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79\"/>
    </mc:Choice>
  </mc:AlternateContent>
  <xr:revisionPtr revIDLastSave="0" documentId="13_ncr:1_{ED3233ED-C14F-4C37-8090-F108149F8DE5}" xr6:coauthVersionLast="47" xr6:coauthVersionMax="47" xr10:uidLastSave="{00000000-0000-0000-0000-000000000000}"/>
  <bookViews>
    <workbookView xWindow="-120" yWindow="-120" windowWidth="29040" windowHeight="15720" tabRatio="780" firstSheet="2" activeTab="29" xr2:uid="{00000000-000D-0000-FFFF-FFFF00000000}"/>
  </bookViews>
  <sheets>
    <sheet name="1" sheetId="1" r:id="rId1"/>
    <sheet name="2" sheetId="4" r:id="rId2"/>
    <sheet name="3" sheetId="5" r:id="rId3"/>
    <sheet name="4" sheetId="7" r:id="rId4"/>
    <sheet name="5" sheetId="8" r:id="rId5"/>
    <sheet name="6" sheetId="10" r:id="rId6"/>
    <sheet name="7" sheetId="11" r:id="rId7"/>
    <sheet name="8" sheetId="12" r:id="rId8"/>
    <sheet name="9" sheetId="13" r:id="rId9"/>
    <sheet name="10" sheetId="2" r:id="rId10"/>
    <sheet name="11" sheetId="14" r:id="rId11"/>
    <sheet name="12" sheetId="16" r:id="rId12"/>
    <sheet name="13" sheetId="17" r:id="rId13"/>
    <sheet name="14" sheetId="18" r:id="rId14"/>
    <sheet name="15" sheetId="19" r:id="rId15"/>
    <sheet name="16" sheetId="20" r:id="rId16"/>
    <sheet name="17" sheetId="21" r:id="rId17"/>
    <sheet name="18" sheetId="22" r:id="rId18"/>
    <sheet name="19" sheetId="23" r:id="rId19"/>
    <sheet name="20" sheetId="24" r:id="rId20"/>
    <sheet name="21" sheetId="25" r:id="rId21"/>
    <sheet name="22" sheetId="26" r:id="rId22"/>
    <sheet name="23" sheetId="27" r:id="rId23"/>
    <sheet name="24" sheetId="28" r:id="rId24"/>
    <sheet name="25" sheetId="29" r:id="rId25"/>
    <sheet name="26" sheetId="30" r:id="rId26"/>
    <sheet name="27" sheetId="31" r:id="rId27"/>
    <sheet name="28" sheetId="32" r:id="rId28"/>
    <sheet name="29" sheetId="33" r:id="rId29"/>
    <sheet name="30" sheetId="34" r:id="rId30"/>
    <sheet name="magh1" sheetId="35" r:id="rId31"/>
    <sheet name="sample" sheetId="15" r:id="rId32"/>
    <sheet name="Feedback" sheetId="3" r:id="rId33"/>
  </sheets>
  <externalReferences>
    <externalReference r:id="rId34"/>
    <externalReference r:id="rId35"/>
  </externalReferences>
  <definedNames>
    <definedName name="IPP" localSheetId="0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29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30">#REF!</definedName>
    <definedName name="IPP" localSheetId="31">#REF!</definedName>
    <definedName name="IPP">#REF!</definedName>
    <definedName name="ippp" localSheetId="0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29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30">#REF!</definedName>
    <definedName name="ippp" localSheetId="31">#REF!</definedName>
    <definedName name="ippp">#REF!</definedName>
    <definedName name="sdasdf" localSheetId="0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29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30">#REF!</definedName>
    <definedName name="sdasdf" localSheetId="31">#REF!</definedName>
    <definedName name="sdasd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4" i="3" l="1"/>
  <c r="Q107" i="35"/>
  <c r="M107" i="35" l="1"/>
  <c r="L107" i="35"/>
  <c r="L44" i="35"/>
  <c r="L48" i="35"/>
  <c r="L62" i="35"/>
  <c r="L78" i="35"/>
  <c r="K5" i="35" s="1"/>
  <c r="K107" i="35"/>
  <c r="J107" i="35"/>
  <c r="I107" i="35"/>
  <c r="H107" i="35"/>
  <c r="G107" i="35"/>
  <c r="F107" i="35"/>
  <c r="E107" i="35"/>
  <c r="AF267" i="35"/>
  <c r="AE267" i="35"/>
  <c r="AD267" i="35"/>
  <c r="AC267" i="35"/>
  <c r="AB267" i="35"/>
  <c r="AA267" i="35"/>
  <c r="Z267" i="35"/>
  <c r="Y267" i="35"/>
  <c r="X267" i="35"/>
  <c r="W267" i="35"/>
  <c r="V267" i="35"/>
  <c r="U267" i="35"/>
  <c r="T267" i="35"/>
  <c r="S267" i="35"/>
  <c r="R267" i="35"/>
  <c r="Q267" i="35"/>
  <c r="P267" i="35"/>
  <c r="O267" i="35"/>
  <c r="N267" i="35"/>
  <c r="M267" i="35"/>
  <c r="L267" i="35"/>
  <c r="K267" i="35"/>
  <c r="J267" i="35"/>
  <c r="I267" i="35"/>
  <c r="H267" i="35"/>
  <c r="G267" i="35"/>
  <c r="F267" i="35"/>
  <c r="E267" i="35"/>
  <c r="D267" i="35"/>
  <c r="C267" i="35"/>
  <c r="B267" i="35"/>
  <c r="A267" i="35"/>
  <c r="AF266" i="35"/>
  <c r="AE266" i="35"/>
  <c r="AD266" i="35"/>
  <c r="AC266" i="35"/>
  <c r="AB266" i="35"/>
  <c r="AA266" i="35"/>
  <c r="Z266" i="35"/>
  <c r="Y266" i="35"/>
  <c r="X266" i="35"/>
  <c r="W266" i="35"/>
  <c r="V266" i="35"/>
  <c r="U266" i="35"/>
  <c r="T266" i="35"/>
  <c r="S266" i="35"/>
  <c r="R266" i="35"/>
  <c r="Q266" i="35"/>
  <c r="P266" i="35"/>
  <c r="O266" i="35"/>
  <c r="N266" i="35"/>
  <c r="M266" i="35"/>
  <c r="L266" i="35"/>
  <c r="K266" i="35"/>
  <c r="J266" i="35"/>
  <c r="I266" i="35"/>
  <c r="H266" i="35"/>
  <c r="G266" i="35"/>
  <c r="F266" i="35"/>
  <c r="E266" i="35"/>
  <c r="D266" i="35"/>
  <c r="C266" i="35"/>
  <c r="B266" i="35"/>
  <c r="A266" i="35"/>
  <c r="AF265" i="35"/>
  <c r="AE265" i="35"/>
  <c r="AD265" i="35"/>
  <c r="AC265" i="35"/>
  <c r="AB265" i="35"/>
  <c r="AA265" i="35"/>
  <c r="Z265" i="35"/>
  <c r="Y265" i="35"/>
  <c r="X265" i="35"/>
  <c r="W265" i="35"/>
  <c r="V265" i="35"/>
  <c r="U265" i="35"/>
  <c r="T265" i="35"/>
  <c r="S265" i="35"/>
  <c r="R265" i="35"/>
  <c r="Q265" i="35"/>
  <c r="P265" i="35"/>
  <c r="O265" i="35"/>
  <c r="N265" i="35"/>
  <c r="M265" i="35"/>
  <c r="L265" i="35"/>
  <c r="K265" i="35"/>
  <c r="J265" i="35"/>
  <c r="I265" i="35"/>
  <c r="H265" i="35"/>
  <c r="G265" i="35"/>
  <c r="F265" i="35"/>
  <c r="E265" i="35"/>
  <c r="D265" i="35"/>
  <c r="C265" i="35"/>
  <c r="B265" i="35"/>
  <c r="A265" i="35"/>
  <c r="AF264" i="35"/>
  <c r="AE264" i="35"/>
  <c r="AD264" i="35"/>
  <c r="AC264" i="35"/>
  <c r="AB264" i="35"/>
  <c r="AA264" i="35"/>
  <c r="Z264" i="35"/>
  <c r="Y264" i="35"/>
  <c r="X264" i="35"/>
  <c r="W264" i="35"/>
  <c r="V264" i="35"/>
  <c r="U264" i="35"/>
  <c r="T264" i="35"/>
  <c r="S264" i="35"/>
  <c r="R264" i="35"/>
  <c r="Q264" i="35"/>
  <c r="P264" i="35"/>
  <c r="O264" i="35"/>
  <c r="N264" i="35"/>
  <c r="M264" i="35"/>
  <c r="L264" i="35"/>
  <c r="K264" i="35"/>
  <c r="J264" i="35"/>
  <c r="I264" i="35"/>
  <c r="H264" i="35"/>
  <c r="G264" i="35"/>
  <c r="F264" i="35"/>
  <c r="E264" i="35"/>
  <c r="D264" i="35"/>
  <c r="C264" i="35"/>
  <c r="B264" i="35"/>
  <c r="A264" i="35"/>
  <c r="AE263" i="35"/>
  <c r="AD263" i="35"/>
  <c r="AC263" i="35"/>
  <c r="AB263" i="35"/>
  <c r="AA263" i="35"/>
  <c r="Z263" i="35"/>
  <c r="Y263" i="35"/>
  <c r="X263" i="35"/>
  <c r="W263" i="35"/>
  <c r="V263" i="35"/>
  <c r="U263" i="35"/>
  <c r="T263" i="35"/>
  <c r="S263" i="35"/>
  <c r="R263" i="35"/>
  <c r="Q263" i="35"/>
  <c r="P263" i="35"/>
  <c r="B263" i="35"/>
  <c r="AP242" i="35"/>
  <c r="S238" i="35"/>
  <c r="AG228" i="35"/>
  <c r="AG61" i="35" s="1"/>
  <c r="AG62" i="35" s="1"/>
  <c r="AG3" i="35" s="1"/>
  <c r="AF228" i="35"/>
  <c r="AE228" i="35"/>
  <c r="AD228" i="35"/>
  <c r="AC228" i="35"/>
  <c r="AB228" i="35"/>
  <c r="AA228" i="35"/>
  <c r="Z228" i="35"/>
  <c r="Y228" i="35"/>
  <c r="X228" i="35"/>
  <c r="W228" i="35"/>
  <c r="V228" i="35"/>
  <c r="U228" i="35"/>
  <c r="T228" i="35"/>
  <c r="S228" i="35"/>
  <c r="R228" i="35"/>
  <c r="Q228" i="35"/>
  <c r="C228" i="35"/>
  <c r="D227" i="35"/>
  <c r="C263" i="35" s="1"/>
  <c r="B227" i="35"/>
  <c r="AF263" i="35" s="1"/>
  <c r="E226" i="35"/>
  <c r="F226" i="35" s="1"/>
  <c r="G226" i="35" s="1"/>
  <c r="H226" i="35" s="1"/>
  <c r="I226" i="35" s="1"/>
  <c r="J226" i="35" s="1"/>
  <c r="K226" i="35" s="1"/>
  <c r="L226" i="35" s="1"/>
  <c r="M226" i="35" s="1"/>
  <c r="N226" i="35" s="1"/>
  <c r="O226" i="35" s="1"/>
  <c r="P226" i="35" s="1"/>
  <c r="D226" i="35"/>
  <c r="B226" i="35"/>
  <c r="D225" i="35"/>
  <c r="E225" i="35" s="1"/>
  <c r="F225" i="35" s="1"/>
  <c r="G225" i="35" s="1"/>
  <c r="H225" i="35" s="1"/>
  <c r="I225" i="35" s="1"/>
  <c r="B225" i="35"/>
  <c r="E224" i="35"/>
  <c r="F224" i="35" s="1"/>
  <c r="G224" i="35" s="1"/>
  <c r="H224" i="35" s="1"/>
  <c r="D224" i="35"/>
  <c r="B224" i="35"/>
  <c r="D223" i="35"/>
  <c r="E223" i="35" s="1"/>
  <c r="F223" i="35" s="1"/>
  <c r="G223" i="35" s="1"/>
  <c r="H223" i="35" s="1"/>
  <c r="I223" i="35" s="1"/>
  <c r="J223" i="35" s="1"/>
  <c r="K223" i="35" s="1"/>
  <c r="L223" i="35" s="1"/>
  <c r="M223" i="35" s="1"/>
  <c r="N223" i="35" s="1"/>
  <c r="O223" i="35" s="1"/>
  <c r="P223" i="35" s="1"/>
  <c r="B223" i="35"/>
  <c r="E222" i="35"/>
  <c r="F222" i="35" s="1"/>
  <c r="D222" i="35"/>
  <c r="B222" i="35"/>
  <c r="B228" i="35" s="1"/>
  <c r="AG220" i="35"/>
  <c r="AF220" i="35"/>
  <c r="AE220" i="35"/>
  <c r="AD220" i="35"/>
  <c r="AC220" i="35"/>
  <c r="AB220" i="35"/>
  <c r="AA220" i="35"/>
  <c r="Z220" i="35"/>
  <c r="Y220" i="35"/>
  <c r="X220" i="35"/>
  <c r="W220" i="35"/>
  <c r="V220" i="35"/>
  <c r="U220" i="35"/>
  <c r="T220" i="35"/>
  <c r="S220" i="35"/>
  <c r="R220" i="35"/>
  <c r="Q220" i="35"/>
  <c r="P220" i="35"/>
  <c r="O220" i="35"/>
  <c r="N220" i="35"/>
  <c r="M220" i="35"/>
  <c r="L220" i="35"/>
  <c r="K220" i="35"/>
  <c r="J220" i="35"/>
  <c r="I220" i="35"/>
  <c r="H220" i="35"/>
  <c r="G220" i="35"/>
  <c r="F220" i="35"/>
  <c r="E220" i="35"/>
  <c r="D220" i="35"/>
  <c r="C220" i="35"/>
  <c r="B220" i="35"/>
  <c r="AI113" i="35"/>
  <c r="AH113" i="35"/>
  <c r="AI112" i="35"/>
  <c r="AH112" i="35"/>
  <c r="AI111" i="35"/>
  <c r="AH111" i="35"/>
  <c r="AI110" i="35"/>
  <c r="AH110" i="35"/>
  <c r="AI109" i="35"/>
  <c r="AH109" i="35"/>
  <c r="AI108" i="35"/>
  <c r="AH108" i="35"/>
  <c r="AI107" i="35"/>
  <c r="AH107" i="35"/>
  <c r="AI106" i="35"/>
  <c r="AH106" i="35"/>
  <c r="AI105" i="35"/>
  <c r="AH105" i="35"/>
  <c r="AF104" i="35"/>
  <c r="AE104" i="35"/>
  <c r="AD104" i="35"/>
  <c r="AC104" i="35"/>
  <c r="AB104" i="35"/>
  <c r="AA104" i="35"/>
  <c r="Z104" i="35"/>
  <c r="Y104" i="35"/>
  <c r="W104" i="35"/>
  <c r="V104" i="35"/>
  <c r="U104" i="35"/>
  <c r="T104" i="35"/>
  <c r="S104" i="35"/>
  <c r="R104" i="35"/>
  <c r="Q104" i="35"/>
  <c r="D104" i="35"/>
  <c r="C104" i="35"/>
  <c r="AI103" i="35"/>
  <c r="AH103" i="35"/>
  <c r="AI102" i="35"/>
  <c r="AH102" i="35"/>
  <c r="AI101" i="35"/>
  <c r="AH101" i="35"/>
  <c r="AI100" i="35"/>
  <c r="AH100" i="35"/>
  <c r="AI99" i="35"/>
  <c r="AH99" i="35"/>
  <c r="AI98" i="35"/>
  <c r="AH98" i="35"/>
  <c r="AI97" i="35"/>
  <c r="AH97" i="35"/>
  <c r="AI96" i="35"/>
  <c r="AH96" i="35"/>
  <c r="AI95" i="35"/>
  <c r="AH95" i="35"/>
  <c r="AI93" i="35"/>
  <c r="AH93" i="35"/>
  <c r="AI92" i="35"/>
  <c r="AH92" i="35"/>
  <c r="AI91" i="35"/>
  <c r="AH91" i="35"/>
  <c r="AI90" i="35"/>
  <c r="AH90" i="35"/>
  <c r="AI89" i="35"/>
  <c r="AH89" i="35"/>
  <c r="AI88" i="35"/>
  <c r="AH88" i="35"/>
  <c r="AI87" i="35"/>
  <c r="AH87" i="35"/>
  <c r="AI84" i="35"/>
  <c r="AH84" i="35"/>
  <c r="AI82" i="35"/>
  <c r="AH82" i="35"/>
  <c r="AG82" i="35"/>
  <c r="AI81" i="35"/>
  <c r="AH81" i="35"/>
  <c r="AI80" i="35"/>
  <c r="AH80" i="35"/>
  <c r="AI79" i="35"/>
  <c r="AH79" i="35"/>
  <c r="AN78" i="35"/>
  <c r="AG78" i="35"/>
  <c r="AF78" i="35"/>
  <c r="AF94" i="35" s="1"/>
  <c r="AE78" i="35"/>
  <c r="AE94" i="35" s="1"/>
  <c r="AD78" i="35"/>
  <c r="AC5" i="35" s="1"/>
  <c r="AC78" i="35"/>
  <c r="AB5" i="35" s="1"/>
  <c r="AB78" i="35"/>
  <c r="AB94" i="35" s="1"/>
  <c r="AA78" i="35"/>
  <c r="AA94" i="35" s="1"/>
  <c r="Z78" i="35"/>
  <c r="Z94" i="35" s="1"/>
  <c r="Y78" i="35"/>
  <c r="Y94" i="35" s="1"/>
  <c r="W78" i="35"/>
  <c r="W94" i="35" s="1"/>
  <c r="V78" i="35"/>
  <c r="V94" i="35" s="1"/>
  <c r="U78" i="35"/>
  <c r="T5" i="35" s="1"/>
  <c r="T78" i="35"/>
  <c r="S5" i="35" s="1"/>
  <c r="S78" i="35"/>
  <c r="S94" i="35" s="1"/>
  <c r="R78" i="35"/>
  <c r="R94" i="35" s="1"/>
  <c r="Q78" i="35"/>
  <c r="Q94" i="35" s="1"/>
  <c r="P78" i="35"/>
  <c r="P94" i="35" s="1"/>
  <c r="O78" i="35"/>
  <c r="N5" i="35" s="1"/>
  <c r="N78" i="35"/>
  <c r="N94" i="35" s="1"/>
  <c r="M78" i="35"/>
  <c r="L5" i="35" s="1"/>
  <c r="K78" i="35"/>
  <c r="K94" i="35" s="1"/>
  <c r="J78" i="35"/>
  <c r="J94" i="35" s="1"/>
  <c r="I78" i="35"/>
  <c r="I94" i="35" s="1"/>
  <c r="H78" i="35"/>
  <c r="H94" i="35" s="1"/>
  <c r="G78" i="35"/>
  <c r="G94" i="35" s="1"/>
  <c r="F78" i="35"/>
  <c r="F94" i="35" s="1"/>
  <c r="E78" i="35"/>
  <c r="D5" i="35" s="1"/>
  <c r="D78" i="35"/>
  <c r="C5" i="35" s="1"/>
  <c r="C78" i="35"/>
  <c r="C94" i="35" s="1"/>
  <c r="B78" i="35"/>
  <c r="B94" i="35" s="1"/>
  <c r="AI77" i="35"/>
  <c r="AH77" i="35"/>
  <c r="AN76" i="35"/>
  <c r="AI76" i="35"/>
  <c r="AH76" i="35"/>
  <c r="AN75" i="35"/>
  <c r="AN77" i="35" s="1"/>
  <c r="AI75" i="35"/>
  <c r="AH75" i="35"/>
  <c r="AI74" i="35"/>
  <c r="AH74" i="35"/>
  <c r="AI73" i="35"/>
  <c r="AH73" i="35"/>
  <c r="AI72" i="35"/>
  <c r="AH72" i="35"/>
  <c r="AI71" i="35"/>
  <c r="AH71" i="35"/>
  <c r="AI70" i="35"/>
  <c r="AH70" i="35"/>
  <c r="AI69" i="35"/>
  <c r="AH69" i="35"/>
  <c r="AI68" i="35"/>
  <c r="AH68" i="35"/>
  <c r="AI67" i="35"/>
  <c r="AH67" i="35"/>
  <c r="AG66" i="35"/>
  <c r="AF66" i="35"/>
  <c r="AE66" i="35"/>
  <c r="AD66" i="35"/>
  <c r="AC66" i="35"/>
  <c r="AB66" i="35"/>
  <c r="AA66" i="35"/>
  <c r="Z66" i="35"/>
  <c r="Y66" i="35"/>
  <c r="W66" i="35"/>
  <c r="V66" i="35"/>
  <c r="U66" i="35"/>
  <c r="T66" i="35"/>
  <c r="S66" i="35"/>
  <c r="R66" i="35"/>
  <c r="Q66" i="35"/>
  <c r="P66" i="35"/>
  <c r="O66" i="35"/>
  <c r="N66" i="35"/>
  <c r="M66" i="35"/>
  <c r="AI65" i="35"/>
  <c r="AH65" i="35"/>
  <c r="AI64" i="35"/>
  <c r="AH64" i="35"/>
  <c r="AI63" i="35"/>
  <c r="AH63" i="35"/>
  <c r="AF62" i="35"/>
  <c r="AE62" i="35"/>
  <c r="AD62" i="35"/>
  <c r="AC62" i="35"/>
  <c r="AB62" i="35"/>
  <c r="AA62" i="35"/>
  <c r="Z62" i="35"/>
  <c r="Y62" i="35"/>
  <c r="W62" i="35"/>
  <c r="V62" i="35"/>
  <c r="U62" i="35"/>
  <c r="T62" i="35"/>
  <c r="S62" i="35"/>
  <c r="R62" i="35"/>
  <c r="Q62" i="35"/>
  <c r="P62" i="35"/>
  <c r="O62" i="35"/>
  <c r="N62" i="35"/>
  <c r="M62" i="35"/>
  <c r="K62" i="35"/>
  <c r="J62" i="35"/>
  <c r="I62" i="35"/>
  <c r="H62" i="35"/>
  <c r="G62" i="35"/>
  <c r="F62" i="35"/>
  <c r="E62" i="35"/>
  <c r="D62" i="35"/>
  <c r="C62" i="35"/>
  <c r="B62" i="35"/>
  <c r="AI61" i="35"/>
  <c r="AH61" i="35"/>
  <c r="AI60" i="35"/>
  <c r="AH60" i="35"/>
  <c r="AI59" i="35"/>
  <c r="AH59" i="35"/>
  <c r="AI58" i="35"/>
  <c r="AH58" i="35"/>
  <c r="AI57" i="35"/>
  <c r="AH57" i="35"/>
  <c r="AI56" i="35"/>
  <c r="AH56" i="35"/>
  <c r="AI55" i="35"/>
  <c r="AH55" i="35"/>
  <c r="AI54" i="35"/>
  <c r="AH54" i="35"/>
  <c r="AI53" i="35"/>
  <c r="AH53" i="35"/>
  <c r="AI52" i="35"/>
  <c r="AH52" i="35"/>
  <c r="AI51" i="35"/>
  <c r="AH51" i="35"/>
  <c r="AI50" i="35"/>
  <c r="AH50" i="35"/>
  <c r="AI49" i="35"/>
  <c r="AH49" i="35"/>
  <c r="AG48" i="35"/>
  <c r="AF48" i="35"/>
  <c r="AE48" i="35"/>
  <c r="AD48" i="35"/>
  <c r="AC48" i="35"/>
  <c r="AB48" i="35"/>
  <c r="AA48" i="35"/>
  <c r="Z48" i="35"/>
  <c r="Y48" i="35"/>
  <c r="W48" i="35"/>
  <c r="V48" i="35"/>
  <c r="U48" i="35"/>
  <c r="T48" i="35"/>
  <c r="S48" i="35"/>
  <c r="R48" i="35"/>
  <c r="Q48" i="35"/>
  <c r="P48" i="35"/>
  <c r="O48" i="35"/>
  <c r="N48" i="35"/>
  <c r="M48" i="35"/>
  <c r="K48" i="35"/>
  <c r="J48" i="35"/>
  <c r="I48" i="35"/>
  <c r="H48" i="35"/>
  <c r="G48" i="35"/>
  <c r="F48" i="35"/>
  <c r="E48" i="35"/>
  <c r="D48" i="35"/>
  <c r="C48" i="35"/>
  <c r="B48" i="35"/>
  <c r="AI47" i="35"/>
  <c r="AH47" i="35"/>
  <c r="AI46" i="35"/>
  <c r="AH46" i="35"/>
  <c r="AI45" i="35"/>
  <c r="AH45" i="35"/>
  <c r="AG44" i="35"/>
  <c r="AF44" i="35"/>
  <c r="AF83" i="35" s="1"/>
  <c r="AF85" i="35" s="1"/>
  <c r="AE44" i="35"/>
  <c r="AE83" i="35" s="1"/>
  <c r="AE85" i="35" s="1"/>
  <c r="AD44" i="35"/>
  <c r="AD83" i="35" s="1"/>
  <c r="AD85" i="35" s="1"/>
  <c r="AC44" i="35"/>
  <c r="AC83" i="35" s="1"/>
  <c r="AC85" i="35" s="1"/>
  <c r="AB44" i="35"/>
  <c r="AB83" i="35" s="1"/>
  <c r="AB85" i="35" s="1"/>
  <c r="AA44" i="35"/>
  <c r="AA83" i="35" s="1"/>
  <c r="AA85" i="35" s="1"/>
  <c r="Z44" i="35"/>
  <c r="Z83" i="35" s="1"/>
  <c r="Z85" i="35" s="1"/>
  <c r="Y44" i="35"/>
  <c r="W44" i="35"/>
  <c r="W83" i="35" s="1"/>
  <c r="W85" i="35" s="1"/>
  <c r="V44" i="35"/>
  <c r="V83" i="35" s="1"/>
  <c r="V85" i="35" s="1"/>
  <c r="U44" i="35"/>
  <c r="U83" i="35" s="1"/>
  <c r="U85" i="35" s="1"/>
  <c r="T44" i="35"/>
  <c r="T83" i="35" s="1"/>
  <c r="T85" i="35" s="1"/>
  <c r="S44" i="35"/>
  <c r="S83" i="35" s="1"/>
  <c r="S85" i="35" s="1"/>
  <c r="R44" i="35"/>
  <c r="Q44" i="35"/>
  <c r="P44" i="35"/>
  <c r="O44" i="35"/>
  <c r="N44" i="35"/>
  <c r="M44" i="35"/>
  <c r="K44" i="35"/>
  <c r="J44" i="35"/>
  <c r="I44" i="35"/>
  <c r="H44" i="35"/>
  <c r="G44" i="35"/>
  <c r="F44" i="35"/>
  <c r="E44" i="35"/>
  <c r="D44" i="35"/>
  <c r="C44" i="35"/>
  <c r="B44" i="35"/>
  <c r="AI43" i="35"/>
  <c r="AH43" i="35"/>
  <c r="AI42" i="35"/>
  <c r="AH42" i="35"/>
  <c r="AI41" i="35"/>
  <c r="AH41" i="35"/>
  <c r="AI40" i="35"/>
  <c r="AH40" i="35"/>
  <c r="AI39" i="35"/>
  <c r="AH39" i="35"/>
  <c r="AI38" i="35"/>
  <c r="AH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X7" i="35"/>
  <c r="AE5" i="35"/>
  <c r="AD5" i="35"/>
  <c r="Z5" i="35"/>
  <c r="Y5" i="35"/>
  <c r="X5" i="35"/>
  <c r="W5" i="35"/>
  <c r="V5" i="35"/>
  <c r="U5" i="35"/>
  <c r="R5" i="35"/>
  <c r="Q5" i="35"/>
  <c r="P5" i="35"/>
  <c r="E5" i="35"/>
  <c r="B5" i="35"/>
  <c r="AG4" i="35"/>
  <c r="K4" i="35"/>
  <c r="E4" i="35"/>
  <c r="H4" i="35" s="1"/>
  <c r="B4" i="35"/>
  <c r="S239" i="35" s="1"/>
  <c r="AG2" i="35"/>
  <c r="AB107" i="34"/>
  <c r="X44" i="34"/>
  <c r="X78" i="34"/>
  <c r="X66" i="34"/>
  <c r="Y66" i="34"/>
  <c r="X62" i="34"/>
  <c r="X48" i="34"/>
  <c r="V107" i="34"/>
  <c r="R44" i="34"/>
  <c r="N107" i="34"/>
  <c r="C107" i="34"/>
  <c r="AF267" i="34"/>
  <c r="AE267" i="34"/>
  <c r="AD267" i="34"/>
  <c r="AC267" i="34"/>
  <c r="AB267" i="34"/>
  <c r="AA267" i="34"/>
  <c r="Z267" i="34"/>
  <c r="Y267" i="34"/>
  <c r="X267" i="34"/>
  <c r="W267" i="34"/>
  <c r="V267" i="34"/>
  <c r="U267" i="34"/>
  <c r="T267" i="34"/>
  <c r="S267" i="34"/>
  <c r="R267" i="34"/>
  <c r="Q267" i="34"/>
  <c r="P267" i="34"/>
  <c r="O267" i="34"/>
  <c r="N267" i="34"/>
  <c r="M267" i="34"/>
  <c r="L267" i="34"/>
  <c r="K267" i="34"/>
  <c r="J267" i="34"/>
  <c r="I267" i="34"/>
  <c r="H267" i="34"/>
  <c r="G267" i="34"/>
  <c r="F267" i="34"/>
  <c r="E267" i="34"/>
  <c r="D267" i="34"/>
  <c r="C267" i="34"/>
  <c r="B267" i="34"/>
  <c r="A267" i="34"/>
  <c r="AF266" i="34"/>
  <c r="AE266" i="34"/>
  <c r="AD266" i="34"/>
  <c r="AC266" i="34"/>
  <c r="AB266" i="34"/>
  <c r="AA266" i="34"/>
  <c r="Z266" i="34"/>
  <c r="Y266" i="34"/>
  <c r="X266" i="34"/>
  <c r="W266" i="34"/>
  <c r="V266" i="34"/>
  <c r="U266" i="34"/>
  <c r="T266" i="34"/>
  <c r="S266" i="34"/>
  <c r="R266" i="34"/>
  <c r="Q266" i="34"/>
  <c r="P266" i="34"/>
  <c r="O266" i="34"/>
  <c r="N266" i="34"/>
  <c r="M266" i="34"/>
  <c r="L266" i="34"/>
  <c r="K266" i="34"/>
  <c r="J266" i="34"/>
  <c r="I266" i="34"/>
  <c r="H266" i="34"/>
  <c r="G266" i="34"/>
  <c r="F266" i="34"/>
  <c r="E266" i="34"/>
  <c r="D266" i="34"/>
  <c r="C266" i="34"/>
  <c r="B266" i="34"/>
  <c r="A266" i="34"/>
  <c r="AF265" i="34"/>
  <c r="AE265" i="34"/>
  <c r="AD265" i="34"/>
  <c r="AC265" i="34"/>
  <c r="AB265" i="34"/>
  <c r="AA265" i="34"/>
  <c r="Z265" i="34"/>
  <c r="Y265" i="34"/>
  <c r="X265" i="34"/>
  <c r="W265" i="34"/>
  <c r="V265" i="34"/>
  <c r="U265" i="34"/>
  <c r="T265" i="34"/>
  <c r="S265" i="34"/>
  <c r="R265" i="34"/>
  <c r="Q265" i="34"/>
  <c r="P265" i="34"/>
  <c r="O265" i="34"/>
  <c r="N265" i="34"/>
  <c r="M265" i="34"/>
  <c r="L265" i="34"/>
  <c r="K265" i="34"/>
  <c r="J265" i="34"/>
  <c r="I265" i="34"/>
  <c r="H265" i="34"/>
  <c r="G265" i="34"/>
  <c r="F265" i="34"/>
  <c r="E265" i="34"/>
  <c r="D265" i="34"/>
  <c r="C265" i="34"/>
  <c r="B265" i="34"/>
  <c r="A265" i="34"/>
  <c r="AF264" i="34"/>
  <c r="AE264" i="34"/>
  <c r="AD264" i="34"/>
  <c r="AC264" i="34"/>
  <c r="AB264" i="34"/>
  <c r="AA264" i="34"/>
  <c r="Z264" i="34"/>
  <c r="Y264" i="34"/>
  <c r="X264" i="34"/>
  <c r="W264" i="34"/>
  <c r="V264" i="34"/>
  <c r="U264" i="34"/>
  <c r="T264" i="34"/>
  <c r="S264" i="34"/>
  <c r="R264" i="34"/>
  <c r="Q264" i="34"/>
  <c r="P264" i="34"/>
  <c r="O264" i="34"/>
  <c r="N264" i="34"/>
  <c r="M264" i="34"/>
  <c r="L264" i="34"/>
  <c r="K264" i="34"/>
  <c r="J264" i="34"/>
  <c r="I264" i="34"/>
  <c r="H264" i="34"/>
  <c r="G264" i="34"/>
  <c r="F264" i="34"/>
  <c r="E264" i="34"/>
  <c r="D264" i="34"/>
  <c r="C264" i="34"/>
  <c r="B264" i="34"/>
  <c r="A264" i="34"/>
  <c r="AE263" i="34"/>
  <c r="AD263" i="34"/>
  <c r="AC263" i="34"/>
  <c r="AB263" i="34"/>
  <c r="AA263" i="34"/>
  <c r="Z263" i="34"/>
  <c r="Y263" i="34"/>
  <c r="X263" i="34"/>
  <c r="W263" i="34"/>
  <c r="V263" i="34"/>
  <c r="U263" i="34"/>
  <c r="T263" i="34"/>
  <c r="S263" i="34"/>
  <c r="R263" i="34"/>
  <c r="Q263" i="34"/>
  <c r="P263" i="34"/>
  <c r="B263" i="34"/>
  <c r="S238" i="34"/>
  <c r="AG228" i="34"/>
  <c r="AF228" i="34"/>
  <c r="AE228" i="34"/>
  <c r="AD228" i="34"/>
  <c r="AC228" i="34"/>
  <c r="AB228" i="34"/>
  <c r="AA228" i="34"/>
  <c r="Z228" i="34"/>
  <c r="Y228" i="34"/>
  <c r="X228" i="34"/>
  <c r="W228" i="34"/>
  <c r="V228" i="34"/>
  <c r="U228" i="34"/>
  <c r="T228" i="34"/>
  <c r="S228" i="34"/>
  <c r="R228" i="34"/>
  <c r="Q228" i="34"/>
  <c r="C228" i="34"/>
  <c r="D227" i="34"/>
  <c r="E227" i="34" s="1"/>
  <c r="B227" i="34"/>
  <c r="AF263" i="34" s="1"/>
  <c r="D226" i="34"/>
  <c r="E226" i="34" s="1"/>
  <c r="F226" i="34" s="1"/>
  <c r="G226" i="34" s="1"/>
  <c r="H226" i="34" s="1"/>
  <c r="I226" i="34" s="1"/>
  <c r="J226" i="34" s="1"/>
  <c r="K226" i="34" s="1"/>
  <c r="L226" i="34" s="1"/>
  <c r="M226" i="34" s="1"/>
  <c r="N226" i="34" s="1"/>
  <c r="O226" i="34" s="1"/>
  <c r="P226" i="34" s="1"/>
  <c r="B226" i="34"/>
  <c r="E225" i="34"/>
  <c r="F225" i="34" s="1"/>
  <c r="G225" i="34" s="1"/>
  <c r="H225" i="34" s="1"/>
  <c r="I225" i="34" s="1"/>
  <c r="D225" i="34"/>
  <c r="B225" i="34"/>
  <c r="D224" i="34"/>
  <c r="E224" i="34" s="1"/>
  <c r="F224" i="34" s="1"/>
  <c r="G224" i="34" s="1"/>
  <c r="H224" i="34" s="1"/>
  <c r="B224" i="34"/>
  <c r="F223" i="34"/>
  <c r="G223" i="34" s="1"/>
  <c r="H223" i="34" s="1"/>
  <c r="I223" i="34" s="1"/>
  <c r="J223" i="34" s="1"/>
  <c r="K223" i="34" s="1"/>
  <c r="L223" i="34" s="1"/>
  <c r="M223" i="34" s="1"/>
  <c r="N223" i="34" s="1"/>
  <c r="O223" i="34" s="1"/>
  <c r="P223" i="34" s="1"/>
  <c r="E223" i="34"/>
  <c r="D223" i="34"/>
  <c r="B223" i="34"/>
  <c r="D222" i="34"/>
  <c r="E222" i="34" s="1"/>
  <c r="B222" i="34"/>
  <c r="AG220" i="34"/>
  <c r="AF220" i="34"/>
  <c r="AE220" i="34"/>
  <c r="AD220" i="34"/>
  <c r="AC220" i="34"/>
  <c r="AB220" i="34"/>
  <c r="AA220" i="34"/>
  <c r="Z220" i="34"/>
  <c r="Y220" i="34"/>
  <c r="X220" i="34"/>
  <c r="W220" i="34"/>
  <c r="V220" i="34"/>
  <c r="U220" i="34"/>
  <c r="T220" i="34"/>
  <c r="S220" i="34"/>
  <c r="R220" i="34"/>
  <c r="Q220" i="34"/>
  <c r="P220" i="34"/>
  <c r="O220" i="34"/>
  <c r="N220" i="34"/>
  <c r="M220" i="34"/>
  <c r="L220" i="34"/>
  <c r="K220" i="34"/>
  <c r="J220" i="34"/>
  <c r="I220" i="34"/>
  <c r="H220" i="34"/>
  <c r="G220" i="34"/>
  <c r="F220" i="34"/>
  <c r="E220" i="34"/>
  <c r="D220" i="34"/>
  <c r="C220" i="34"/>
  <c r="B220" i="34"/>
  <c r="AI113" i="34"/>
  <c r="AH113" i="34"/>
  <c r="AI112" i="34"/>
  <c r="AH112" i="34"/>
  <c r="AI111" i="34"/>
  <c r="AH111" i="34"/>
  <c r="AI110" i="34"/>
  <c r="AH110" i="34"/>
  <c r="AI109" i="34"/>
  <c r="AH109" i="34"/>
  <c r="AI108" i="34"/>
  <c r="AH108" i="34"/>
  <c r="AI107" i="34"/>
  <c r="AH107" i="34"/>
  <c r="AI106" i="34"/>
  <c r="AH106" i="34"/>
  <c r="AI105" i="34"/>
  <c r="AH105" i="34"/>
  <c r="AF104" i="34"/>
  <c r="AE104" i="34"/>
  <c r="AD104" i="34"/>
  <c r="AC104" i="34"/>
  <c r="AB104" i="34"/>
  <c r="AA104" i="34"/>
  <c r="Z104" i="34"/>
  <c r="Y104" i="34"/>
  <c r="W104" i="34"/>
  <c r="V104" i="34"/>
  <c r="U104" i="34"/>
  <c r="T104" i="34"/>
  <c r="S104" i="34"/>
  <c r="R104" i="34"/>
  <c r="Q104" i="34"/>
  <c r="D104" i="34"/>
  <c r="C104" i="34"/>
  <c r="AI103" i="34"/>
  <c r="AH103" i="34"/>
  <c r="AI102" i="34"/>
  <c r="AH102" i="34"/>
  <c r="AI101" i="34"/>
  <c r="AH101" i="34"/>
  <c r="AI100" i="34"/>
  <c r="AH100" i="34"/>
  <c r="AI99" i="34"/>
  <c r="AH99" i="34"/>
  <c r="AI98" i="34"/>
  <c r="AH98" i="34"/>
  <c r="AI97" i="34"/>
  <c r="AH97" i="34"/>
  <c r="AI96" i="34"/>
  <c r="AH96" i="34"/>
  <c r="AI95" i="34"/>
  <c r="AH95" i="34"/>
  <c r="AI93" i="34"/>
  <c r="AH93" i="34"/>
  <c r="AI92" i="34"/>
  <c r="AH92" i="34"/>
  <c r="AI91" i="34"/>
  <c r="AH91" i="34"/>
  <c r="AI90" i="34"/>
  <c r="AH90" i="34"/>
  <c r="AI89" i="34"/>
  <c r="AH89" i="34"/>
  <c r="AI88" i="34"/>
  <c r="AH88" i="34"/>
  <c r="AI87" i="34"/>
  <c r="AH87" i="34"/>
  <c r="AI84" i="34"/>
  <c r="AH84" i="34"/>
  <c r="AI82" i="34"/>
  <c r="AH82" i="34"/>
  <c r="AG82" i="34"/>
  <c r="AI81" i="34"/>
  <c r="AH81" i="34"/>
  <c r="AI80" i="34"/>
  <c r="AH80" i="34"/>
  <c r="AI79" i="34"/>
  <c r="AH79" i="34"/>
  <c r="AN78" i="34"/>
  <c r="AG78" i="34"/>
  <c r="AF78" i="34"/>
  <c r="AF94" i="34" s="1"/>
  <c r="AE78" i="34"/>
  <c r="AE94" i="34" s="1"/>
  <c r="AD78" i="34"/>
  <c r="AD94" i="34" s="1"/>
  <c r="AC78" i="34"/>
  <c r="AC94" i="34" s="1"/>
  <c r="AB78" i="34"/>
  <c r="AB94" i="34" s="1"/>
  <c r="AA78" i="34"/>
  <c r="AA94" i="34" s="1"/>
  <c r="Z78" i="34"/>
  <c r="Z94" i="34" s="1"/>
  <c r="Y78" i="34"/>
  <c r="Y94" i="34" s="1"/>
  <c r="W78" i="34"/>
  <c r="W94" i="34" s="1"/>
  <c r="V78" i="34"/>
  <c r="V94" i="34" s="1"/>
  <c r="U78" i="34"/>
  <c r="U94" i="34" s="1"/>
  <c r="T78" i="34"/>
  <c r="T94" i="34" s="1"/>
  <c r="S78" i="34"/>
  <c r="S94" i="34" s="1"/>
  <c r="R78" i="34"/>
  <c r="R94" i="34" s="1"/>
  <c r="Q78" i="34"/>
  <c r="Q94" i="34" s="1"/>
  <c r="P78" i="34"/>
  <c r="P94" i="34" s="1"/>
  <c r="O78" i="34"/>
  <c r="O94" i="34" s="1"/>
  <c r="N78" i="34"/>
  <c r="N94" i="34" s="1"/>
  <c r="M78" i="34"/>
  <c r="M94" i="34" s="1"/>
  <c r="L78" i="34"/>
  <c r="L94" i="34" s="1"/>
  <c r="K78" i="34"/>
  <c r="K94" i="34" s="1"/>
  <c r="J78" i="34"/>
  <c r="J94" i="34" s="1"/>
  <c r="I78" i="34"/>
  <c r="I94" i="34" s="1"/>
  <c r="H78" i="34"/>
  <c r="H94" i="34" s="1"/>
  <c r="G78" i="34"/>
  <c r="G94" i="34" s="1"/>
  <c r="F78" i="34"/>
  <c r="F94" i="34" s="1"/>
  <c r="E78" i="34"/>
  <c r="E94" i="34" s="1"/>
  <c r="D78" i="34"/>
  <c r="D94" i="34" s="1"/>
  <c r="C78" i="34"/>
  <c r="C94" i="34" s="1"/>
  <c r="AI77" i="34"/>
  <c r="AH77" i="34"/>
  <c r="AN76" i="34"/>
  <c r="AI76" i="34"/>
  <c r="AH76" i="34"/>
  <c r="AN75" i="34"/>
  <c r="AN77" i="34" s="1"/>
  <c r="AI75" i="34"/>
  <c r="AH75" i="34"/>
  <c r="AI74" i="34"/>
  <c r="AH74" i="34"/>
  <c r="AI73" i="34"/>
  <c r="AH73" i="34"/>
  <c r="AI72" i="34"/>
  <c r="AH72" i="34"/>
  <c r="AI71" i="34"/>
  <c r="AH71" i="34"/>
  <c r="AI70" i="34"/>
  <c r="AH70" i="34"/>
  <c r="AI69" i="34"/>
  <c r="AH69" i="34"/>
  <c r="AI68" i="34"/>
  <c r="AH68" i="34"/>
  <c r="AI67" i="34"/>
  <c r="AH67" i="34"/>
  <c r="AG66" i="34"/>
  <c r="AF66" i="34"/>
  <c r="AE66" i="34"/>
  <c r="AD66" i="34"/>
  <c r="AC66" i="34"/>
  <c r="AB66" i="34"/>
  <c r="AA66" i="34"/>
  <c r="Z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AI65" i="34"/>
  <c r="AH65" i="34"/>
  <c r="AI64" i="34"/>
  <c r="AH64" i="34"/>
  <c r="AI63" i="34"/>
  <c r="AH63" i="34"/>
  <c r="AF62" i="34"/>
  <c r="AE62" i="34"/>
  <c r="AD62" i="34"/>
  <c r="AC62" i="34"/>
  <c r="AB62" i="34"/>
  <c r="AA62" i="34"/>
  <c r="Z62" i="34"/>
  <c r="Y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AI61" i="34"/>
  <c r="AH61" i="34"/>
  <c r="AG61" i="34"/>
  <c r="AG62" i="34" s="1"/>
  <c r="AG3" i="34" s="1"/>
  <c r="AI60" i="34"/>
  <c r="AH60" i="34"/>
  <c r="AI59" i="34"/>
  <c r="AH59" i="34"/>
  <c r="AI58" i="34"/>
  <c r="AH58" i="34"/>
  <c r="AI57" i="34"/>
  <c r="AH57" i="34"/>
  <c r="AI56" i="34"/>
  <c r="AH56" i="34"/>
  <c r="AI55" i="34"/>
  <c r="AH55" i="34"/>
  <c r="AI54" i="34"/>
  <c r="AH54" i="34"/>
  <c r="AI53" i="34"/>
  <c r="AH53" i="34"/>
  <c r="AI52" i="34"/>
  <c r="AH52" i="34"/>
  <c r="AI51" i="34"/>
  <c r="AH51" i="34"/>
  <c r="AI50" i="34"/>
  <c r="AH50" i="34"/>
  <c r="AI49" i="34"/>
  <c r="AH49" i="34"/>
  <c r="AG48" i="34"/>
  <c r="AF48" i="34"/>
  <c r="AE48" i="34"/>
  <c r="AD48" i="34"/>
  <c r="AC48" i="34"/>
  <c r="AB48" i="34"/>
  <c r="AA48" i="34"/>
  <c r="Z48" i="34"/>
  <c r="Y48" i="34"/>
  <c r="W48" i="34"/>
  <c r="V48" i="34"/>
  <c r="U48" i="34"/>
  <c r="T48" i="34"/>
  <c r="S48" i="34"/>
  <c r="R48" i="34"/>
  <c r="Q48" i="34"/>
  <c r="P48" i="34"/>
  <c r="O48" i="34"/>
  <c r="N48" i="34"/>
  <c r="M48" i="34"/>
  <c r="L48" i="34"/>
  <c r="K48" i="34"/>
  <c r="J48" i="34"/>
  <c r="I48" i="34"/>
  <c r="H48" i="34"/>
  <c r="G48" i="34"/>
  <c r="F48" i="34"/>
  <c r="E48" i="34"/>
  <c r="D48" i="34"/>
  <c r="C48" i="34"/>
  <c r="AI47" i="34"/>
  <c r="AH47" i="34"/>
  <c r="AI46" i="34"/>
  <c r="AH46" i="34"/>
  <c r="AI45" i="34"/>
  <c r="AH45" i="34"/>
  <c r="AG44" i="34"/>
  <c r="AF44" i="34"/>
  <c r="AE44" i="34"/>
  <c r="AD44" i="34"/>
  <c r="AC44" i="34"/>
  <c r="AB44" i="34"/>
  <c r="AA44" i="34"/>
  <c r="Z44" i="34"/>
  <c r="Y44" i="34"/>
  <c r="W44" i="34"/>
  <c r="W83" i="34" s="1"/>
  <c r="W85" i="34" s="1"/>
  <c r="V44" i="34"/>
  <c r="U44" i="34"/>
  <c r="T44" i="34"/>
  <c r="S44" i="34"/>
  <c r="Q44" i="34"/>
  <c r="P44" i="34"/>
  <c r="O44" i="34"/>
  <c r="O83" i="34" s="1"/>
  <c r="O85" i="34" s="1"/>
  <c r="N44" i="34"/>
  <c r="M44" i="34"/>
  <c r="L44" i="34"/>
  <c r="K44" i="34"/>
  <c r="J44" i="34"/>
  <c r="I44" i="34"/>
  <c r="H44" i="34"/>
  <c r="G44" i="34"/>
  <c r="F44" i="34"/>
  <c r="E44" i="34"/>
  <c r="D44" i="34"/>
  <c r="C44" i="34"/>
  <c r="AI43" i="34"/>
  <c r="AH43" i="34"/>
  <c r="AI42" i="34"/>
  <c r="AH42" i="34"/>
  <c r="AI41" i="34"/>
  <c r="AH41" i="34"/>
  <c r="AI40" i="34"/>
  <c r="AH40" i="34"/>
  <c r="AI39" i="34"/>
  <c r="AH39" i="34"/>
  <c r="AI38" i="34"/>
  <c r="AH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AF5" i="34"/>
  <c r="AB5" i="34"/>
  <c r="W5" i="34"/>
  <c r="R5" i="34"/>
  <c r="P5" i="34"/>
  <c r="AG4" i="34"/>
  <c r="K4" i="34"/>
  <c r="E4" i="34"/>
  <c r="H4" i="34" s="1"/>
  <c r="B4" i="34"/>
  <c r="S239" i="34" s="1"/>
  <c r="AG2" i="34"/>
  <c r="AG6" i="34" s="1"/>
  <c r="AF107" i="33"/>
  <c r="AE107" i="33"/>
  <c r="AD107" i="33"/>
  <c r="AC107" i="33"/>
  <c r="AB107" i="33"/>
  <c r="D263" i="34" l="1"/>
  <c r="F227" i="34"/>
  <c r="E263" i="34" s="1"/>
  <c r="C263" i="34"/>
  <c r="B228" i="34"/>
  <c r="X83" i="34"/>
  <c r="X85" i="34" s="1"/>
  <c r="Y83" i="35"/>
  <c r="Y85" i="35" s="1"/>
  <c r="Y7" i="35" s="1"/>
  <c r="AG83" i="35"/>
  <c r="D228" i="35"/>
  <c r="AG6" i="35"/>
  <c r="D228" i="34"/>
  <c r="R83" i="35"/>
  <c r="R85" i="35" s="1"/>
  <c r="E227" i="35"/>
  <c r="Q83" i="35"/>
  <c r="Q85" i="35" s="1"/>
  <c r="P83" i="35"/>
  <c r="P85" i="35" s="1"/>
  <c r="P86" i="35" s="1"/>
  <c r="O5" i="35"/>
  <c r="O94" i="35"/>
  <c r="AI66" i="35"/>
  <c r="O83" i="35"/>
  <c r="O85" i="35" s="1"/>
  <c r="M5" i="35"/>
  <c r="N83" i="35"/>
  <c r="N85" i="35" s="1"/>
  <c r="AF242" i="35" s="1"/>
  <c r="M83" i="35"/>
  <c r="M85" i="35" s="1"/>
  <c r="AE242" i="35" s="1"/>
  <c r="L94" i="35"/>
  <c r="L83" i="35"/>
  <c r="L85" i="35" s="1"/>
  <c r="L86" i="35" s="1"/>
  <c r="K83" i="35"/>
  <c r="K85" i="35" s="1"/>
  <c r="J5" i="35"/>
  <c r="J83" i="35"/>
  <c r="J85" i="35" s="1"/>
  <c r="J7" i="35" s="1"/>
  <c r="I5" i="35"/>
  <c r="H5" i="35"/>
  <c r="I83" i="35"/>
  <c r="I85" i="35" s="1"/>
  <c r="I7" i="35" s="1"/>
  <c r="G5" i="35"/>
  <c r="H83" i="35"/>
  <c r="H85" i="35" s="1"/>
  <c r="H86" i="35" s="1"/>
  <c r="F5" i="35"/>
  <c r="F83" i="35"/>
  <c r="F85" i="35" s="1"/>
  <c r="X242" i="35" s="1"/>
  <c r="G83" i="35"/>
  <c r="G85" i="35" s="1"/>
  <c r="Y242" i="35" s="1"/>
  <c r="E83" i="35"/>
  <c r="E85" i="35" s="1"/>
  <c r="W242" i="35" s="1"/>
  <c r="D83" i="35"/>
  <c r="D85" i="35" s="1"/>
  <c r="D7" i="35" s="1"/>
  <c r="C83" i="35"/>
  <c r="C85" i="35" s="1"/>
  <c r="AI62" i="35"/>
  <c r="AI48" i="35"/>
  <c r="AI44" i="35"/>
  <c r="AF5" i="35"/>
  <c r="AH48" i="35"/>
  <c r="B83" i="35"/>
  <c r="B85" i="35" s="1"/>
  <c r="B7" i="35" s="1"/>
  <c r="AU242" i="35"/>
  <c r="AC86" i="35"/>
  <c r="AC7" i="35"/>
  <c r="Z242" i="35"/>
  <c r="G222" i="35"/>
  <c r="AH242" i="35"/>
  <c r="K7" i="35"/>
  <c r="AC242" i="35"/>
  <c r="K86" i="35"/>
  <c r="S7" i="35"/>
  <c r="AK242" i="35"/>
  <c r="S86" i="35"/>
  <c r="AT242" i="35"/>
  <c r="AB86" i="35"/>
  <c r="AB7" i="35"/>
  <c r="I86" i="35"/>
  <c r="AV242" i="35"/>
  <c r="AD86" i="35"/>
  <c r="AD7" i="35"/>
  <c r="Q86" i="35"/>
  <c r="Q7" i="35"/>
  <c r="AI242" i="35"/>
  <c r="AN242" i="35"/>
  <c r="V7" i="35"/>
  <c r="V86" i="35"/>
  <c r="AW242" i="35"/>
  <c r="AE86" i="35"/>
  <c r="AE7" i="35"/>
  <c r="R7" i="35"/>
  <c r="AJ242" i="35"/>
  <c r="R86" i="35"/>
  <c r="E86" i="35"/>
  <c r="E7" i="35"/>
  <c r="Y86" i="35"/>
  <c r="AQ242" i="35"/>
  <c r="AG242" i="35"/>
  <c r="O86" i="35"/>
  <c r="O7" i="35"/>
  <c r="AO242" i="35"/>
  <c r="W86" i="35"/>
  <c r="W7" i="35"/>
  <c r="AF86" i="35"/>
  <c r="AF7" i="35"/>
  <c r="AX242" i="35"/>
  <c r="AG85" i="35"/>
  <c r="Z86" i="35"/>
  <c r="Z7" i="35"/>
  <c r="AR242" i="35"/>
  <c r="AL242" i="35"/>
  <c r="T86" i="35"/>
  <c r="T7" i="35"/>
  <c r="AA7" i="35"/>
  <c r="AS242" i="35"/>
  <c r="AA86" i="35"/>
  <c r="AM242" i="35"/>
  <c r="U86" i="35"/>
  <c r="U7" i="35"/>
  <c r="J225" i="35"/>
  <c r="K225" i="35" s="1"/>
  <c r="L225" i="35" s="1"/>
  <c r="M225" i="35" s="1"/>
  <c r="N225" i="35" s="1"/>
  <c r="O225" i="35" s="1"/>
  <c r="P225" i="35" s="1"/>
  <c r="AH78" i="35"/>
  <c r="D94" i="35"/>
  <c r="T94" i="35"/>
  <c r="AC94" i="35"/>
  <c r="B104" i="35"/>
  <c r="E228" i="35"/>
  <c r="D239" i="35"/>
  <c r="AH62" i="35"/>
  <c r="AI78" i="35"/>
  <c r="E94" i="35"/>
  <c r="M94" i="35"/>
  <c r="U94" i="35"/>
  <c r="AD94" i="35"/>
  <c r="AA5" i="35"/>
  <c r="AH44" i="35"/>
  <c r="AH66" i="35"/>
  <c r="AE5" i="34"/>
  <c r="AF83" i="34"/>
  <c r="AF85" i="34" s="1"/>
  <c r="AD5" i="34"/>
  <c r="AE83" i="34"/>
  <c r="AE85" i="34" s="1"/>
  <c r="AD83" i="34"/>
  <c r="AD85" i="34" s="1"/>
  <c r="AC5" i="34"/>
  <c r="AC83" i="34"/>
  <c r="AC85" i="34" s="1"/>
  <c r="AA5" i="34"/>
  <c r="AB83" i="34"/>
  <c r="AB85" i="34" s="1"/>
  <c r="Z5" i="34"/>
  <c r="AA83" i="34"/>
  <c r="AA85" i="34" s="1"/>
  <c r="Y5" i="34"/>
  <c r="Z83" i="34"/>
  <c r="Z85" i="34" s="1"/>
  <c r="AP242" i="34"/>
  <c r="X86" i="34"/>
  <c r="X7" i="34"/>
  <c r="X5" i="34"/>
  <c r="Y83" i="34"/>
  <c r="Y85" i="34" s="1"/>
  <c r="V5" i="34"/>
  <c r="U5" i="34"/>
  <c r="V83" i="34"/>
  <c r="V85" i="34" s="1"/>
  <c r="T5" i="34"/>
  <c r="U83" i="34"/>
  <c r="U85" i="34" s="1"/>
  <c r="AM242" i="34" s="1"/>
  <c r="S5" i="34"/>
  <c r="T83" i="34"/>
  <c r="T85" i="34" s="1"/>
  <c r="T86" i="34" s="1"/>
  <c r="S83" i="34"/>
  <c r="S85" i="34" s="1"/>
  <c r="R83" i="34"/>
  <c r="R85" i="34" s="1"/>
  <c r="Q5" i="34"/>
  <c r="Q83" i="34"/>
  <c r="Q85" i="34" s="1"/>
  <c r="O5" i="34"/>
  <c r="AI66" i="34"/>
  <c r="P83" i="34"/>
  <c r="P85" i="34" s="1"/>
  <c r="P86" i="34" s="1"/>
  <c r="N5" i="34"/>
  <c r="M5" i="34"/>
  <c r="N83" i="34"/>
  <c r="N85" i="34" s="1"/>
  <c r="N7" i="34" s="1"/>
  <c r="L5" i="34"/>
  <c r="M83" i="34"/>
  <c r="M85" i="34" s="1"/>
  <c r="M86" i="34" s="1"/>
  <c r="J5" i="34"/>
  <c r="H5" i="34"/>
  <c r="I83" i="34"/>
  <c r="I85" i="34" s="1"/>
  <c r="I7" i="34" s="1"/>
  <c r="G83" i="34"/>
  <c r="G85" i="34" s="1"/>
  <c r="Y242" i="34" s="1"/>
  <c r="F5" i="34"/>
  <c r="E5" i="34"/>
  <c r="I5" i="34"/>
  <c r="K5" i="34"/>
  <c r="K83" i="34"/>
  <c r="K85" i="34" s="1"/>
  <c r="K7" i="34" s="1"/>
  <c r="J83" i="34"/>
  <c r="J85" i="34" s="1"/>
  <c r="AB242" i="34" s="1"/>
  <c r="L83" i="34"/>
  <c r="L85" i="34" s="1"/>
  <c r="L7" i="34" s="1"/>
  <c r="H83" i="34"/>
  <c r="H85" i="34" s="1"/>
  <c r="D5" i="34"/>
  <c r="G5" i="34"/>
  <c r="C5" i="34"/>
  <c r="AI62" i="34"/>
  <c r="E83" i="34"/>
  <c r="E85" i="34" s="1"/>
  <c r="W242" i="34" s="1"/>
  <c r="F83" i="34"/>
  <c r="F85" i="34" s="1"/>
  <c r="F86" i="34" s="1"/>
  <c r="D83" i="34"/>
  <c r="D85" i="34" s="1"/>
  <c r="D7" i="34" s="1"/>
  <c r="AI48" i="34"/>
  <c r="AI44" i="34"/>
  <c r="B5" i="34"/>
  <c r="C83" i="34"/>
  <c r="C85" i="34" s="1"/>
  <c r="C7" i="34" s="1"/>
  <c r="S7" i="34"/>
  <c r="AK242" i="34"/>
  <c r="S86" i="34"/>
  <c r="AT242" i="34"/>
  <c r="AB86" i="34"/>
  <c r="AB7" i="34"/>
  <c r="AA7" i="34"/>
  <c r="AS242" i="34"/>
  <c r="AA86" i="34"/>
  <c r="AU242" i="34"/>
  <c r="AC86" i="34"/>
  <c r="AC7" i="34"/>
  <c r="J225" i="34"/>
  <c r="K225" i="34" s="1"/>
  <c r="L225" i="34" s="1"/>
  <c r="M225" i="34" s="1"/>
  <c r="N225" i="34" s="1"/>
  <c r="O225" i="34" s="1"/>
  <c r="P225" i="34" s="1"/>
  <c r="U7" i="34"/>
  <c r="AV242" i="34"/>
  <c r="AD86" i="34"/>
  <c r="AD7" i="34"/>
  <c r="AF242" i="34"/>
  <c r="N86" i="34"/>
  <c r="AN242" i="34"/>
  <c r="V86" i="34"/>
  <c r="V7" i="34"/>
  <c r="AW242" i="34"/>
  <c r="AE86" i="34"/>
  <c r="AE7" i="34"/>
  <c r="AO242" i="34"/>
  <c r="W86" i="34"/>
  <c r="W7" i="34"/>
  <c r="AF86" i="34"/>
  <c r="AF7" i="34"/>
  <c r="AX242" i="34"/>
  <c r="R7" i="34"/>
  <c r="AJ242" i="34"/>
  <c r="R86" i="34"/>
  <c r="G86" i="34"/>
  <c r="G7" i="34"/>
  <c r="P7" i="34"/>
  <c r="AH242" i="34"/>
  <c r="Y86" i="34"/>
  <c r="Y7" i="34"/>
  <c r="AQ242" i="34"/>
  <c r="AG83" i="34"/>
  <c r="AG85" i="34"/>
  <c r="AI94" i="34"/>
  <c r="AH94" i="34"/>
  <c r="F222" i="34"/>
  <c r="E104" i="34"/>
  <c r="E228" i="34"/>
  <c r="AG242" i="34"/>
  <c r="O86" i="34"/>
  <c r="O7" i="34"/>
  <c r="I86" i="34"/>
  <c r="Q86" i="34"/>
  <c r="Q7" i="34"/>
  <c r="AI242" i="34"/>
  <c r="Z86" i="34"/>
  <c r="Z7" i="34"/>
  <c r="AR242" i="34"/>
  <c r="AH78" i="34"/>
  <c r="D239" i="34"/>
  <c r="AH62" i="34"/>
  <c r="AI78" i="34"/>
  <c r="G227" i="34"/>
  <c r="AH48" i="34"/>
  <c r="AH44" i="34"/>
  <c r="AH66" i="34"/>
  <c r="J7" i="34" l="1"/>
  <c r="P7" i="35"/>
  <c r="D263" i="35"/>
  <c r="F227" i="35"/>
  <c r="E104" i="35"/>
  <c r="V242" i="34"/>
  <c r="U86" i="34"/>
  <c r="AA242" i="35"/>
  <c r="M7" i="35"/>
  <c r="N7" i="35"/>
  <c r="N86" i="35"/>
  <c r="M86" i="35"/>
  <c r="D86" i="35"/>
  <c r="V242" i="35"/>
  <c r="AD242" i="35"/>
  <c r="L7" i="35"/>
  <c r="J86" i="35"/>
  <c r="AB242" i="35"/>
  <c r="H7" i="35"/>
  <c r="G7" i="35"/>
  <c r="G86" i="35"/>
  <c r="B237" i="35"/>
  <c r="C237" i="35"/>
  <c r="F7" i="35"/>
  <c r="F86" i="35"/>
  <c r="AH94" i="35"/>
  <c r="AI83" i="35"/>
  <c r="B86" i="35"/>
  <c r="T242" i="35"/>
  <c r="AH83" i="35"/>
  <c r="C7" i="35"/>
  <c r="U242" i="35"/>
  <c r="C86" i="35"/>
  <c r="AI94" i="35"/>
  <c r="H222" i="35"/>
  <c r="AH85" i="35"/>
  <c r="AI85" i="35"/>
  <c r="T7" i="34"/>
  <c r="AL242" i="34"/>
  <c r="AE242" i="34"/>
  <c r="M7" i="34"/>
  <c r="L86" i="34"/>
  <c r="AD242" i="34"/>
  <c r="J86" i="34"/>
  <c r="AA242" i="34"/>
  <c r="K86" i="34"/>
  <c r="AC242" i="34"/>
  <c r="C237" i="34"/>
  <c r="E86" i="34"/>
  <c r="E7" i="34"/>
  <c r="H7" i="34"/>
  <c r="H86" i="34"/>
  <c r="Z242" i="34"/>
  <c r="B237" i="34"/>
  <c r="X242" i="34"/>
  <c r="D86" i="34"/>
  <c r="F7" i="34"/>
  <c r="C86" i="34"/>
  <c r="U242" i="34"/>
  <c r="F263" i="34"/>
  <c r="H227" i="34"/>
  <c r="G222" i="34"/>
  <c r="F104" i="34"/>
  <c r="F228" i="34"/>
  <c r="AI83" i="34"/>
  <c r="AH83" i="34"/>
  <c r="P107" i="33"/>
  <c r="N107" i="33"/>
  <c r="X44" i="33"/>
  <c r="X66" i="33"/>
  <c r="X62" i="33"/>
  <c r="Y62" i="33"/>
  <c r="X48" i="33"/>
  <c r="X78" i="33"/>
  <c r="X94" i="33" s="1"/>
  <c r="E263" i="35" l="1"/>
  <c r="G227" i="35"/>
  <c r="F104" i="35"/>
  <c r="F228" i="35"/>
  <c r="A7" i="35"/>
  <c r="K6" i="35"/>
  <c r="AI86" i="35"/>
  <c r="I222" i="35"/>
  <c r="AH86" i="35"/>
  <c r="K6" i="34"/>
  <c r="AI85" i="34"/>
  <c r="AH85" i="34"/>
  <c r="B7" i="34"/>
  <c r="A7" i="34" s="1"/>
  <c r="T242" i="34"/>
  <c r="H222" i="34"/>
  <c r="G104" i="34"/>
  <c r="G228" i="34"/>
  <c r="G263" i="34"/>
  <c r="I227" i="34"/>
  <c r="X83" i="33"/>
  <c r="X85" i="33" s="1"/>
  <c r="X86" i="33" s="1"/>
  <c r="AF267" i="33"/>
  <c r="AE267" i="33"/>
  <c r="AD267" i="33"/>
  <c r="AC267" i="33"/>
  <c r="AB267" i="33"/>
  <c r="AA267" i="33"/>
  <c r="Z267" i="33"/>
  <c r="Y267" i="33"/>
  <c r="X267" i="33"/>
  <c r="W267" i="33"/>
  <c r="V267" i="33"/>
  <c r="U267" i="33"/>
  <c r="T267" i="33"/>
  <c r="S267" i="33"/>
  <c r="R267" i="33"/>
  <c r="Q267" i="33"/>
  <c r="P267" i="33"/>
  <c r="O267" i="33"/>
  <c r="N267" i="33"/>
  <c r="M267" i="33"/>
  <c r="L267" i="33"/>
  <c r="K267" i="33"/>
  <c r="J267" i="33"/>
  <c r="I267" i="33"/>
  <c r="H267" i="33"/>
  <c r="G267" i="33"/>
  <c r="F267" i="33"/>
  <c r="E267" i="33"/>
  <c r="D267" i="33"/>
  <c r="C267" i="33"/>
  <c r="B267" i="33"/>
  <c r="A267" i="33"/>
  <c r="AF266" i="33"/>
  <c r="AE266" i="33"/>
  <c r="AD266" i="33"/>
  <c r="AC266" i="33"/>
  <c r="AB266" i="33"/>
  <c r="AA266" i="33"/>
  <c r="Z266" i="33"/>
  <c r="Y266" i="33"/>
  <c r="X266" i="33"/>
  <c r="W266" i="33"/>
  <c r="V266" i="33"/>
  <c r="U266" i="33"/>
  <c r="T266" i="33"/>
  <c r="S266" i="33"/>
  <c r="R266" i="33"/>
  <c r="Q266" i="33"/>
  <c r="P266" i="33"/>
  <c r="O266" i="33"/>
  <c r="N266" i="33"/>
  <c r="M266" i="33"/>
  <c r="L266" i="33"/>
  <c r="K266" i="33"/>
  <c r="J266" i="33"/>
  <c r="I266" i="33"/>
  <c r="H266" i="33"/>
  <c r="G266" i="33"/>
  <c r="F266" i="33"/>
  <c r="E266" i="33"/>
  <c r="D266" i="33"/>
  <c r="C266" i="33"/>
  <c r="B266" i="33"/>
  <c r="A266" i="33"/>
  <c r="AF265" i="33"/>
  <c r="AE265" i="33"/>
  <c r="AD265" i="33"/>
  <c r="AC265" i="33"/>
  <c r="AB265" i="33"/>
  <c r="AA265" i="33"/>
  <c r="Z265" i="33"/>
  <c r="Y265" i="33"/>
  <c r="X265" i="33"/>
  <c r="W265" i="33"/>
  <c r="V265" i="33"/>
  <c r="U265" i="33"/>
  <c r="T265" i="33"/>
  <c r="S265" i="33"/>
  <c r="R265" i="33"/>
  <c r="Q265" i="33"/>
  <c r="P265" i="33"/>
  <c r="O265" i="33"/>
  <c r="N265" i="33"/>
  <c r="M265" i="33"/>
  <c r="L265" i="33"/>
  <c r="K265" i="33"/>
  <c r="J265" i="33"/>
  <c r="I265" i="33"/>
  <c r="H265" i="33"/>
  <c r="G265" i="33"/>
  <c r="F265" i="33"/>
  <c r="E265" i="33"/>
  <c r="D265" i="33"/>
  <c r="C265" i="33"/>
  <c r="B265" i="33"/>
  <c r="A265" i="33"/>
  <c r="AF264" i="33"/>
  <c r="AE264" i="33"/>
  <c r="AD264" i="33"/>
  <c r="AC264" i="33"/>
  <c r="AB264" i="33"/>
  <c r="AA264" i="33"/>
  <c r="Z264" i="33"/>
  <c r="Y264" i="33"/>
  <c r="X264" i="33"/>
  <c r="W264" i="33"/>
  <c r="V264" i="33"/>
  <c r="U264" i="33"/>
  <c r="T264" i="33"/>
  <c r="S264" i="33"/>
  <c r="R264" i="33"/>
  <c r="Q264" i="33"/>
  <c r="P264" i="33"/>
  <c r="O264" i="33"/>
  <c r="N264" i="33"/>
  <c r="M264" i="33"/>
  <c r="L264" i="33"/>
  <c r="K264" i="33"/>
  <c r="J264" i="33"/>
  <c r="I264" i="33"/>
  <c r="H264" i="33"/>
  <c r="G264" i="33"/>
  <c r="F264" i="33"/>
  <c r="E264" i="33"/>
  <c r="D264" i="33"/>
  <c r="C264" i="33"/>
  <c r="B264" i="33"/>
  <c r="A264" i="33"/>
  <c r="AE263" i="33"/>
  <c r="AD263" i="33"/>
  <c r="AC263" i="33"/>
  <c r="AB263" i="33"/>
  <c r="AA263" i="33"/>
  <c r="Z263" i="33"/>
  <c r="Y263" i="33"/>
  <c r="X263" i="33"/>
  <c r="W263" i="33"/>
  <c r="V263" i="33"/>
  <c r="U263" i="33"/>
  <c r="T263" i="33"/>
  <c r="S263" i="33"/>
  <c r="R263" i="33"/>
  <c r="Q263" i="33"/>
  <c r="P263" i="33"/>
  <c r="B263" i="33"/>
  <c r="AP242" i="33"/>
  <c r="S238" i="33"/>
  <c r="AG228" i="33"/>
  <c r="AG61" i="33" s="1"/>
  <c r="AG62" i="33" s="1"/>
  <c r="AG3" i="33" s="1"/>
  <c r="AF228" i="33"/>
  <c r="AE228" i="33"/>
  <c r="AD228" i="33"/>
  <c r="AC228" i="33"/>
  <c r="AB228" i="33"/>
  <c r="AA228" i="33"/>
  <c r="Z228" i="33"/>
  <c r="Y228" i="33"/>
  <c r="X228" i="33"/>
  <c r="W228" i="33"/>
  <c r="V228" i="33"/>
  <c r="U228" i="33"/>
  <c r="T228" i="33"/>
  <c r="S228" i="33"/>
  <c r="R228" i="33"/>
  <c r="Q228" i="33"/>
  <c r="C228" i="33"/>
  <c r="D227" i="33"/>
  <c r="E227" i="33" s="1"/>
  <c r="B227" i="33"/>
  <c r="AF263" i="33" s="1"/>
  <c r="D226" i="33"/>
  <c r="E226" i="33" s="1"/>
  <c r="F226" i="33" s="1"/>
  <c r="G226" i="33" s="1"/>
  <c r="H226" i="33" s="1"/>
  <c r="I226" i="33" s="1"/>
  <c r="J226" i="33" s="1"/>
  <c r="K226" i="33" s="1"/>
  <c r="L226" i="33" s="1"/>
  <c r="M226" i="33" s="1"/>
  <c r="N226" i="33" s="1"/>
  <c r="O226" i="33" s="1"/>
  <c r="P226" i="33" s="1"/>
  <c r="B226" i="33"/>
  <c r="D225" i="33"/>
  <c r="B225" i="33"/>
  <c r="D224" i="33"/>
  <c r="E224" i="33" s="1"/>
  <c r="F224" i="33" s="1"/>
  <c r="G224" i="33" s="1"/>
  <c r="H224" i="33" s="1"/>
  <c r="B224" i="33"/>
  <c r="D223" i="33"/>
  <c r="E223" i="33" s="1"/>
  <c r="F223" i="33" s="1"/>
  <c r="G223" i="33" s="1"/>
  <c r="H223" i="33" s="1"/>
  <c r="I223" i="33" s="1"/>
  <c r="J223" i="33" s="1"/>
  <c r="K223" i="33" s="1"/>
  <c r="L223" i="33" s="1"/>
  <c r="M223" i="33" s="1"/>
  <c r="N223" i="33" s="1"/>
  <c r="O223" i="33" s="1"/>
  <c r="P223" i="33" s="1"/>
  <c r="B223" i="33"/>
  <c r="E222" i="33"/>
  <c r="F222" i="33" s="1"/>
  <c r="D222" i="33"/>
  <c r="B222" i="33"/>
  <c r="AG220" i="33"/>
  <c r="AF220" i="33"/>
  <c r="AE220" i="33"/>
  <c r="AD220" i="33"/>
  <c r="AC220" i="33"/>
  <c r="AB220" i="33"/>
  <c r="AA220" i="33"/>
  <c r="Z220" i="33"/>
  <c r="Y220" i="33"/>
  <c r="X220" i="33"/>
  <c r="W220" i="33"/>
  <c r="V220" i="33"/>
  <c r="U220" i="33"/>
  <c r="T220" i="33"/>
  <c r="S220" i="33"/>
  <c r="R220" i="33"/>
  <c r="Q220" i="33"/>
  <c r="P220" i="33"/>
  <c r="O220" i="33"/>
  <c r="N220" i="33"/>
  <c r="M220" i="33"/>
  <c r="L220" i="33"/>
  <c r="K220" i="33"/>
  <c r="J220" i="33"/>
  <c r="I220" i="33"/>
  <c r="H220" i="33"/>
  <c r="G220" i="33"/>
  <c r="F220" i="33"/>
  <c r="E220" i="33"/>
  <c r="D220" i="33"/>
  <c r="C220" i="33"/>
  <c r="B220" i="33"/>
  <c r="AI113" i="33"/>
  <c r="AH113" i="33"/>
  <c r="AI112" i="33"/>
  <c r="AH112" i="33"/>
  <c r="AI111" i="33"/>
  <c r="AH111" i="33"/>
  <c r="AI110" i="33"/>
  <c r="AH110" i="33"/>
  <c r="AI109" i="33"/>
  <c r="AH109" i="33"/>
  <c r="AI108" i="33"/>
  <c r="AH108" i="33"/>
  <c r="AI107" i="33"/>
  <c r="AH107" i="33"/>
  <c r="AI106" i="33"/>
  <c r="AH106" i="33"/>
  <c r="AI105" i="33"/>
  <c r="AH105" i="33"/>
  <c r="AF104" i="33"/>
  <c r="AE104" i="33"/>
  <c r="AD104" i="33"/>
  <c r="AC104" i="33"/>
  <c r="AB104" i="33"/>
  <c r="Z104" i="33"/>
  <c r="Y104" i="33"/>
  <c r="W104" i="33"/>
  <c r="V104" i="33"/>
  <c r="U104" i="33"/>
  <c r="T104" i="33"/>
  <c r="S104" i="33"/>
  <c r="R104" i="33"/>
  <c r="Q104" i="33"/>
  <c r="D104" i="33"/>
  <c r="C104" i="33"/>
  <c r="AI103" i="33"/>
  <c r="AH103" i="33"/>
  <c r="AI102" i="33"/>
  <c r="AH102" i="33"/>
  <c r="AI101" i="33"/>
  <c r="AH101" i="33"/>
  <c r="AI100" i="33"/>
  <c r="AH100" i="33"/>
  <c r="AI99" i="33"/>
  <c r="AH99" i="33"/>
  <c r="AI98" i="33"/>
  <c r="AH98" i="33"/>
  <c r="AI97" i="33"/>
  <c r="AH97" i="33"/>
  <c r="AI96" i="33"/>
  <c r="AH96" i="33"/>
  <c r="AI95" i="33"/>
  <c r="AH95" i="33"/>
  <c r="AI93" i="33"/>
  <c r="AH93" i="33"/>
  <c r="AI92" i="33"/>
  <c r="AH92" i="33"/>
  <c r="AI91" i="33"/>
  <c r="AH91" i="33"/>
  <c r="AI90" i="33"/>
  <c r="AH90" i="33"/>
  <c r="AI89" i="33"/>
  <c r="AH89" i="33"/>
  <c r="AI88" i="33"/>
  <c r="AH88" i="33"/>
  <c r="AI87" i="33"/>
  <c r="AH87" i="33"/>
  <c r="AI84" i="33"/>
  <c r="AH84" i="33"/>
  <c r="AI82" i="33"/>
  <c r="AH82" i="33"/>
  <c r="AG82" i="33"/>
  <c r="AI81" i="33"/>
  <c r="AH81" i="33"/>
  <c r="AI80" i="33"/>
  <c r="AH80" i="33"/>
  <c r="AI79" i="33"/>
  <c r="AH79" i="33"/>
  <c r="AN78" i="33"/>
  <c r="AG78" i="33"/>
  <c r="AF78" i="33"/>
  <c r="AF94" i="33" s="1"/>
  <c r="AE78" i="33"/>
  <c r="AE94" i="33" s="1"/>
  <c r="AD78" i="33"/>
  <c r="AD94" i="33" s="1"/>
  <c r="AC78" i="33"/>
  <c r="AC94" i="33" s="1"/>
  <c r="AB78" i="33"/>
  <c r="AB94" i="33" s="1"/>
  <c r="AA78" i="33"/>
  <c r="AA94" i="33" s="1"/>
  <c r="Z78" i="33"/>
  <c r="Z94" i="33" s="1"/>
  <c r="Y78" i="33"/>
  <c r="Y94" i="33" s="1"/>
  <c r="W78" i="33"/>
  <c r="W94" i="33" s="1"/>
  <c r="V78" i="33"/>
  <c r="V94" i="33" s="1"/>
  <c r="U78" i="33"/>
  <c r="U94" i="33" s="1"/>
  <c r="T78" i="33"/>
  <c r="T94" i="33" s="1"/>
  <c r="S78" i="33"/>
  <c r="S94" i="33" s="1"/>
  <c r="R78" i="33"/>
  <c r="R94" i="33" s="1"/>
  <c r="Q78" i="33"/>
  <c r="Q94" i="33" s="1"/>
  <c r="P78" i="33"/>
  <c r="P94" i="33" s="1"/>
  <c r="O78" i="33"/>
  <c r="N5" i="33" s="1"/>
  <c r="N78" i="33"/>
  <c r="N94" i="33" s="1"/>
  <c r="M78" i="33"/>
  <c r="M94" i="33" s="1"/>
  <c r="L78" i="33"/>
  <c r="L94" i="33" s="1"/>
  <c r="K78" i="33"/>
  <c r="K94" i="33" s="1"/>
  <c r="J78" i="33"/>
  <c r="J94" i="33" s="1"/>
  <c r="I78" i="33"/>
  <c r="I94" i="33" s="1"/>
  <c r="H78" i="33"/>
  <c r="H94" i="33" s="1"/>
  <c r="G78" i="33"/>
  <c r="G94" i="33" s="1"/>
  <c r="F78" i="33"/>
  <c r="F94" i="33" s="1"/>
  <c r="E78" i="33"/>
  <c r="E94" i="33" s="1"/>
  <c r="D78" i="33"/>
  <c r="D94" i="33" s="1"/>
  <c r="C78" i="33"/>
  <c r="C94" i="33" s="1"/>
  <c r="B78" i="33"/>
  <c r="B94" i="33" s="1"/>
  <c r="AI77" i="33"/>
  <c r="AH77" i="33"/>
  <c r="AN76" i="33"/>
  <c r="AI76" i="33"/>
  <c r="AH76" i="33"/>
  <c r="AN75" i="33"/>
  <c r="AN77" i="33" s="1"/>
  <c r="AI75" i="33"/>
  <c r="AH75" i="33"/>
  <c r="AI74" i="33"/>
  <c r="AH74" i="33"/>
  <c r="AI73" i="33"/>
  <c r="AH73" i="33"/>
  <c r="AI72" i="33"/>
  <c r="AH72" i="33"/>
  <c r="AI71" i="33"/>
  <c r="AH71" i="33"/>
  <c r="AI70" i="33"/>
  <c r="AH70" i="33"/>
  <c r="AI69" i="33"/>
  <c r="AH69" i="33"/>
  <c r="AI68" i="33"/>
  <c r="AH68" i="33"/>
  <c r="AI67" i="33"/>
  <c r="AH67" i="33"/>
  <c r="AG66" i="33"/>
  <c r="AF66" i="33"/>
  <c r="AE66" i="33"/>
  <c r="AD66" i="33"/>
  <c r="AC66" i="33"/>
  <c r="AB66" i="33"/>
  <c r="AA66" i="33"/>
  <c r="Z66" i="33"/>
  <c r="Y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AI65" i="33"/>
  <c r="AH65" i="33"/>
  <c r="AI64" i="33"/>
  <c r="AH64" i="33"/>
  <c r="AI63" i="33"/>
  <c r="AH63" i="33"/>
  <c r="AF62" i="33"/>
  <c r="AE62" i="33"/>
  <c r="AD62" i="33"/>
  <c r="AC62" i="33"/>
  <c r="AB62" i="33"/>
  <c r="AA62" i="33"/>
  <c r="Z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AI61" i="33"/>
  <c r="AH61" i="33"/>
  <c r="AI60" i="33"/>
  <c r="AH60" i="33"/>
  <c r="AI59" i="33"/>
  <c r="AH59" i="33"/>
  <c r="AI58" i="33"/>
  <c r="AH58" i="33"/>
  <c r="AI57" i="33"/>
  <c r="AH57" i="33"/>
  <c r="AI56" i="33"/>
  <c r="AH56" i="33"/>
  <c r="AI55" i="33"/>
  <c r="AH55" i="33"/>
  <c r="AI54" i="33"/>
  <c r="AH54" i="33"/>
  <c r="AI53" i="33"/>
  <c r="AH53" i="33"/>
  <c r="AI52" i="33"/>
  <c r="AH52" i="33"/>
  <c r="AI51" i="33"/>
  <c r="AH51" i="33"/>
  <c r="AI50" i="33"/>
  <c r="AH50" i="33"/>
  <c r="AI49" i="33"/>
  <c r="AH49" i="33"/>
  <c r="AG48" i="33"/>
  <c r="AF48" i="33"/>
  <c r="AE48" i="33"/>
  <c r="AD48" i="33"/>
  <c r="AC48" i="33"/>
  <c r="AB48" i="33"/>
  <c r="AA48" i="33"/>
  <c r="Z48" i="33"/>
  <c r="Y48" i="33"/>
  <c r="W48" i="33"/>
  <c r="V48" i="33"/>
  <c r="U48" i="33"/>
  <c r="T48" i="33"/>
  <c r="S48" i="33"/>
  <c r="R48" i="33"/>
  <c r="Q48" i="33"/>
  <c r="P48" i="33"/>
  <c r="O48" i="33"/>
  <c r="N48" i="33"/>
  <c r="M48" i="33"/>
  <c r="L48" i="33"/>
  <c r="K48" i="33"/>
  <c r="J48" i="33"/>
  <c r="I48" i="33"/>
  <c r="H48" i="33"/>
  <c r="G48" i="33"/>
  <c r="F48" i="33"/>
  <c r="E48" i="33"/>
  <c r="D48" i="33"/>
  <c r="C48" i="33"/>
  <c r="B48" i="33"/>
  <c r="AI47" i="33"/>
  <c r="AH47" i="33"/>
  <c r="AI46" i="33"/>
  <c r="AH46" i="33"/>
  <c r="AI45" i="33"/>
  <c r="AH45" i="33"/>
  <c r="AG44" i="33"/>
  <c r="AF44" i="33"/>
  <c r="AE44" i="33"/>
  <c r="AD44" i="33"/>
  <c r="AC44" i="33"/>
  <c r="AB44" i="33"/>
  <c r="AA44" i="33"/>
  <c r="Z44" i="33"/>
  <c r="Y44" i="33"/>
  <c r="W44" i="33"/>
  <c r="V44" i="33"/>
  <c r="U44" i="33"/>
  <c r="T44" i="33"/>
  <c r="S44" i="33"/>
  <c r="R44" i="33"/>
  <c r="Q44" i="33"/>
  <c r="P44" i="33"/>
  <c r="O44" i="33"/>
  <c r="N44" i="33"/>
  <c r="M44" i="33"/>
  <c r="L44" i="33"/>
  <c r="K44" i="33"/>
  <c r="J44" i="33"/>
  <c r="I44" i="33"/>
  <c r="H44" i="33"/>
  <c r="G44" i="33"/>
  <c r="F44" i="33"/>
  <c r="E44" i="33"/>
  <c r="D44" i="33"/>
  <c r="C44" i="33"/>
  <c r="B44" i="33"/>
  <c r="AI43" i="33"/>
  <c r="AH43" i="33"/>
  <c r="AI42" i="33"/>
  <c r="AH42" i="33"/>
  <c r="AI41" i="33"/>
  <c r="AH41" i="33"/>
  <c r="AI40" i="33"/>
  <c r="AH40" i="33"/>
  <c r="AI39" i="33"/>
  <c r="AH39" i="33"/>
  <c r="AI38" i="33"/>
  <c r="AH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X7" i="33"/>
  <c r="W5" i="33"/>
  <c r="R5" i="33"/>
  <c r="E5" i="33"/>
  <c r="AG4" i="33"/>
  <c r="K4" i="33"/>
  <c r="E4" i="33"/>
  <c r="H4" i="33" s="1"/>
  <c r="B4" i="33"/>
  <c r="S239" i="33" s="1"/>
  <c r="AG2" i="33"/>
  <c r="Y78" i="32"/>
  <c r="X66" i="32"/>
  <c r="H227" i="35" l="1"/>
  <c r="F263" i="35"/>
  <c r="G104" i="35"/>
  <c r="G228" i="35"/>
  <c r="C263" i="33"/>
  <c r="J222" i="35"/>
  <c r="I222" i="34"/>
  <c r="H104" i="34"/>
  <c r="H228" i="34"/>
  <c r="AI86" i="34"/>
  <c r="AH86" i="34"/>
  <c r="H263" i="34"/>
  <c r="J227" i="34"/>
  <c r="AE5" i="33"/>
  <c r="AF83" i="33"/>
  <c r="AF85" i="33" s="1"/>
  <c r="AD5" i="33"/>
  <c r="F227" i="33"/>
  <c r="E104" i="33"/>
  <c r="B228" i="33"/>
  <c r="K5" i="33"/>
  <c r="B104" i="33"/>
  <c r="AE83" i="33"/>
  <c r="AE85" i="33" s="1"/>
  <c r="AW242" i="33" s="1"/>
  <c r="AC5" i="33"/>
  <c r="AD83" i="33"/>
  <c r="AD85" i="33" s="1"/>
  <c r="AV242" i="33" s="1"/>
  <c r="AB5" i="33"/>
  <c r="AC83" i="33"/>
  <c r="AC85" i="33" s="1"/>
  <c r="AA5" i="33"/>
  <c r="AB83" i="33"/>
  <c r="AB85" i="33" s="1"/>
  <c r="Z5" i="33"/>
  <c r="AA83" i="33"/>
  <c r="AA85" i="33" s="1"/>
  <c r="Y5" i="33"/>
  <c r="X5" i="33"/>
  <c r="V5" i="33"/>
  <c r="W83" i="33"/>
  <c r="W85" i="33" s="1"/>
  <c r="AO242" i="33" s="1"/>
  <c r="U5" i="33"/>
  <c r="V83" i="33"/>
  <c r="V85" i="33" s="1"/>
  <c r="V86" i="33" s="1"/>
  <c r="T5" i="33"/>
  <c r="U83" i="33"/>
  <c r="U85" i="33" s="1"/>
  <c r="S5" i="33"/>
  <c r="T83" i="33"/>
  <c r="T85" i="33" s="1"/>
  <c r="T86" i="33" s="1"/>
  <c r="S83" i="33"/>
  <c r="S85" i="33" s="1"/>
  <c r="AK242" i="33" s="1"/>
  <c r="Q5" i="33"/>
  <c r="R83" i="33"/>
  <c r="R85" i="33" s="1"/>
  <c r="R86" i="33" s="1"/>
  <c r="P5" i="33"/>
  <c r="O5" i="33"/>
  <c r="AG6" i="33"/>
  <c r="D228" i="33"/>
  <c r="Y83" i="33"/>
  <c r="Y85" i="33" s="1"/>
  <c r="Y86" i="33" s="1"/>
  <c r="Q83" i="33"/>
  <c r="Q85" i="33" s="1"/>
  <c r="Q7" i="33" s="1"/>
  <c r="Z83" i="33"/>
  <c r="Z85" i="33" s="1"/>
  <c r="Z86" i="33" s="1"/>
  <c r="D263" i="33"/>
  <c r="P83" i="33"/>
  <c r="P85" i="33" s="1"/>
  <c r="P86" i="33" s="1"/>
  <c r="O94" i="33"/>
  <c r="AH94" i="33" s="1"/>
  <c r="AI66" i="33"/>
  <c r="M5" i="33"/>
  <c r="AH66" i="33"/>
  <c r="N83" i="33"/>
  <c r="N85" i="33" s="1"/>
  <c r="N86" i="33" s="1"/>
  <c r="O83" i="33"/>
  <c r="O85" i="33" s="1"/>
  <c r="O7" i="33" s="1"/>
  <c r="L5" i="33"/>
  <c r="M83" i="33"/>
  <c r="M85" i="33" s="1"/>
  <c r="AE242" i="33" s="1"/>
  <c r="L83" i="33"/>
  <c r="L85" i="33" s="1"/>
  <c r="L86" i="33" s="1"/>
  <c r="J5" i="33"/>
  <c r="K83" i="33"/>
  <c r="K85" i="33" s="1"/>
  <c r="AC242" i="33" s="1"/>
  <c r="I5" i="33"/>
  <c r="J83" i="33"/>
  <c r="J85" i="33" s="1"/>
  <c r="J86" i="33" s="1"/>
  <c r="H5" i="33"/>
  <c r="I83" i="33"/>
  <c r="I85" i="33" s="1"/>
  <c r="AA242" i="33" s="1"/>
  <c r="G5" i="33"/>
  <c r="H83" i="33"/>
  <c r="H85" i="33" s="1"/>
  <c r="Z242" i="33" s="1"/>
  <c r="F5" i="33"/>
  <c r="G83" i="33"/>
  <c r="G85" i="33" s="1"/>
  <c r="G7" i="33" s="1"/>
  <c r="F83" i="33"/>
  <c r="F85" i="33" s="1"/>
  <c r="F86" i="33" s="1"/>
  <c r="D5" i="33"/>
  <c r="E83" i="33"/>
  <c r="E85" i="33" s="1"/>
  <c r="E7" i="33" s="1"/>
  <c r="AI44" i="33"/>
  <c r="D83" i="33"/>
  <c r="D85" i="33" s="1"/>
  <c r="D7" i="33" s="1"/>
  <c r="C5" i="33"/>
  <c r="B5" i="33"/>
  <c r="AI62" i="33"/>
  <c r="C83" i="33"/>
  <c r="C85" i="33" s="1"/>
  <c r="C7" i="33" s="1"/>
  <c r="AI48" i="33"/>
  <c r="AF5" i="33"/>
  <c r="AT242" i="33"/>
  <c r="AB86" i="33"/>
  <c r="AB7" i="33"/>
  <c r="E263" i="33"/>
  <c r="G227" i="33"/>
  <c r="R7" i="33"/>
  <c r="AA7" i="33"/>
  <c r="AS242" i="33"/>
  <c r="AA86" i="33"/>
  <c r="AI94" i="33"/>
  <c r="AU242" i="33"/>
  <c r="AC86" i="33"/>
  <c r="AC7" i="33"/>
  <c r="M86" i="33"/>
  <c r="AM242" i="33"/>
  <c r="U86" i="33"/>
  <c r="U7" i="33"/>
  <c r="AF242" i="33"/>
  <c r="AN242" i="33"/>
  <c r="V7" i="33"/>
  <c r="W7" i="33"/>
  <c r="AF86" i="33"/>
  <c r="AF7" i="33"/>
  <c r="AX242" i="33"/>
  <c r="G222" i="33"/>
  <c r="F104" i="33"/>
  <c r="Y7" i="33"/>
  <c r="AQ242" i="33"/>
  <c r="AG83" i="33"/>
  <c r="AG85" i="33"/>
  <c r="AH78" i="33"/>
  <c r="E228" i="33"/>
  <c r="D239" i="33"/>
  <c r="AH62" i="33"/>
  <c r="AI78" i="33"/>
  <c r="B83" i="33"/>
  <c r="AH48" i="33"/>
  <c r="E225" i="33"/>
  <c r="F225" i="33" s="1"/>
  <c r="G225" i="33" s="1"/>
  <c r="H225" i="33" s="1"/>
  <c r="I225" i="33" s="1"/>
  <c r="AH44" i="33"/>
  <c r="AL242" i="33" l="1"/>
  <c r="AJ242" i="33"/>
  <c r="H86" i="33"/>
  <c r="AD242" i="33"/>
  <c r="D86" i="33"/>
  <c r="G263" i="35"/>
  <c r="I227" i="35"/>
  <c r="H104" i="35"/>
  <c r="H228" i="35"/>
  <c r="K222" i="35"/>
  <c r="K227" i="34"/>
  <c r="I263" i="34"/>
  <c r="I104" i="34"/>
  <c r="J222" i="34"/>
  <c r="AE7" i="33"/>
  <c r="AE86" i="33"/>
  <c r="L7" i="33"/>
  <c r="C86" i="33"/>
  <c r="AD7" i="33"/>
  <c r="AD86" i="33"/>
  <c r="T7" i="33"/>
  <c r="AR242" i="33"/>
  <c r="Z7" i="33"/>
  <c r="S86" i="33"/>
  <c r="S7" i="33"/>
  <c r="W86" i="33"/>
  <c r="Q86" i="33"/>
  <c r="AI242" i="33"/>
  <c r="AH242" i="33"/>
  <c r="Y242" i="33"/>
  <c r="I7" i="33"/>
  <c r="P7" i="33"/>
  <c r="I86" i="33"/>
  <c r="F228" i="33"/>
  <c r="M7" i="33"/>
  <c r="O86" i="33"/>
  <c r="AG242" i="33"/>
  <c r="N7" i="33"/>
  <c r="K86" i="33"/>
  <c r="K7" i="33"/>
  <c r="AB242" i="33"/>
  <c r="J7" i="33"/>
  <c r="C237" i="33"/>
  <c r="H7" i="33"/>
  <c r="G86" i="33"/>
  <c r="B237" i="33"/>
  <c r="F7" i="33"/>
  <c r="X242" i="33"/>
  <c r="E86" i="33"/>
  <c r="W242" i="33"/>
  <c r="V242" i="33"/>
  <c r="U242" i="33"/>
  <c r="H222" i="33"/>
  <c r="G104" i="33"/>
  <c r="G228" i="33"/>
  <c r="F263" i="33"/>
  <c r="H227" i="33"/>
  <c r="J225" i="33"/>
  <c r="K225" i="33" s="1"/>
  <c r="L225" i="33" s="1"/>
  <c r="M225" i="33" s="1"/>
  <c r="N225" i="33" s="1"/>
  <c r="O225" i="33" s="1"/>
  <c r="P225" i="33" s="1"/>
  <c r="B85" i="33"/>
  <c r="AI83" i="33"/>
  <c r="AH83" i="33"/>
  <c r="H263" i="35" l="1"/>
  <c r="J227" i="35"/>
  <c r="I104" i="35"/>
  <c r="L222" i="35"/>
  <c r="K222" i="34"/>
  <c r="J104" i="34"/>
  <c r="J263" i="34"/>
  <c r="L227" i="34"/>
  <c r="K6" i="33"/>
  <c r="G263" i="33"/>
  <c r="I227" i="33"/>
  <c r="I222" i="33"/>
  <c r="H104" i="33"/>
  <c r="H228" i="33"/>
  <c r="AI85" i="33"/>
  <c r="AH85" i="33"/>
  <c r="B7" i="33"/>
  <c r="A7" i="33" s="1"/>
  <c r="T242" i="33"/>
  <c r="B86" i="33"/>
  <c r="K227" i="35" l="1"/>
  <c r="I263" i="35"/>
  <c r="J104" i="35"/>
  <c r="M222" i="35"/>
  <c r="K263" i="34"/>
  <c r="M227" i="34"/>
  <c r="L222" i="34"/>
  <c r="K104" i="34"/>
  <c r="I104" i="33"/>
  <c r="J222" i="33"/>
  <c r="AI86" i="33"/>
  <c r="AH86" i="33"/>
  <c r="H263" i="33"/>
  <c r="J227" i="33"/>
  <c r="J263" i="35" l="1"/>
  <c r="L227" i="35"/>
  <c r="K104" i="35"/>
  <c r="N222" i="35"/>
  <c r="M222" i="34"/>
  <c r="L104" i="34"/>
  <c r="L263" i="34"/>
  <c r="N227" i="34"/>
  <c r="K222" i="33"/>
  <c r="J104" i="33"/>
  <c r="K227" i="33"/>
  <c r="I263" i="33"/>
  <c r="M227" i="35" l="1"/>
  <c r="K263" i="35"/>
  <c r="L104" i="35"/>
  <c r="O222" i="35"/>
  <c r="N222" i="34"/>
  <c r="M104" i="34"/>
  <c r="M263" i="34"/>
  <c r="O227" i="34"/>
  <c r="J263" i="33"/>
  <c r="L227" i="33"/>
  <c r="L222" i="33"/>
  <c r="K104" i="33"/>
  <c r="L263" i="35" l="1"/>
  <c r="N227" i="35"/>
  <c r="M104" i="35"/>
  <c r="P222" i="35"/>
  <c r="N263" i="34"/>
  <c r="P227" i="34"/>
  <c r="O263" i="34" s="1"/>
  <c r="O222" i="34"/>
  <c r="N104" i="34"/>
  <c r="M222" i="33"/>
  <c r="L104" i="33"/>
  <c r="K263" i="33"/>
  <c r="M227" i="33"/>
  <c r="M263" i="35" l="1"/>
  <c r="O227" i="35"/>
  <c r="N104" i="35"/>
  <c r="P222" i="34"/>
  <c r="O104" i="34"/>
  <c r="L263" i="33"/>
  <c r="N227" i="33"/>
  <c r="N222" i="33"/>
  <c r="M104" i="33"/>
  <c r="N263" i="35" l="1"/>
  <c r="P227" i="35"/>
  <c r="O263" i="35" s="1"/>
  <c r="O104" i="35"/>
  <c r="AH104" i="34"/>
  <c r="AI104" i="34"/>
  <c r="O222" i="33"/>
  <c r="N104" i="33"/>
  <c r="M263" i="33"/>
  <c r="O227" i="33"/>
  <c r="AH104" i="35" l="1"/>
  <c r="AI104" i="35"/>
  <c r="N263" i="33"/>
  <c r="P227" i="33"/>
  <c r="O263" i="33" s="1"/>
  <c r="P222" i="33"/>
  <c r="O104" i="33"/>
  <c r="AI104" i="33" l="1"/>
  <c r="AH104" i="33"/>
  <c r="U44" i="32" l="1"/>
  <c r="N107" i="32"/>
  <c r="N108" i="32"/>
  <c r="M108" i="32"/>
  <c r="AI108" i="32" s="1"/>
  <c r="M107" i="32"/>
  <c r="AH106" i="32"/>
  <c r="AF267" i="32"/>
  <c r="AE267" i="32"/>
  <c r="AD267" i="32"/>
  <c r="AC267" i="32"/>
  <c r="AB267" i="32"/>
  <c r="AA267" i="32"/>
  <c r="Z267" i="32"/>
  <c r="Y267" i="32"/>
  <c r="X267" i="32"/>
  <c r="W267" i="32"/>
  <c r="V267" i="32"/>
  <c r="U267" i="32"/>
  <c r="T267" i="32"/>
  <c r="S267" i="32"/>
  <c r="R267" i="32"/>
  <c r="Q267" i="32"/>
  <c r="P267" i="32"/>
  <c r="O267" i="32"/>
  <c r="N267" i="32"/>
  <c r="M267" i="32"/>
  <c r="L267" i="32"/>
  <c r="K267" i="32"/>
  <c r="J267" i="32"/>
  <c r="I267" i="32"/>
  <c r="H267" i="32"/>
  <c r="G267" i="32"/>
  <c r="F267" i="32"/>
  <c r="E267" i="32"/>
  <c r="D267" i="32"/>
  <c r="C267" i="32"/>
  <c r="B267" i="32"/>
  <c r="A267" i="32"/>
  <c r="AF266" i="32"/>
  <c r="AE266" i="32"/>
  <c r="AD266" i="32"/>
  <c r="AC266" i="32"/>
  <c r="AB266" i="32"/>
  <c r="AA266" i="32"/>
  <c r="Z266" i="32"/>
  <c r="Y266" i="32"/>
  <c r="X266" i="32"/>
  <c r="W266" i="32"/>
  <c r="V266" i="32"/>
  <c r="U266" i="32"/>
  <c r="T266" i="32"/>
  <c r="S266" i="32"/>
  <c r="R266" i="32"/>
  <c r="Q266" i="32"/>
  <c r="P266" i="32"/>
  <c r="O266" i="32"/>
  <c r="N266" i="32"/>
  <c r="M266" i="32"/>
  <c r="L266" i="32"/>
  <c r="K266" i="32"/>
  <c r="J266" i="32"/>
  <c r="I266" i="32"/>
  <c r="H266" i="32"/>
  <c r="G266" i="32"/>
  <c r="F266" i="32"/>
  <c r="E266" i="32"/>
  <c r="D266" i="32"/>
  <c r="C266" i="32"/>
  <c r="B266" i="32"/>
  <c r="A266" i="32"/>
  <c r="AF265" i="32"/>
  <c r="AE265" i="32"/>
  <c r="AD265" i="32"/>
  <c r="AC265" i="32"/>
  <c r="AB265" i="32"/>
  <c r="AA265" i="32"/>
  <c r="Z265" i="32"/>
  <c r="Y265" i="32"/>
  <c r="X265" i="32"/>
  <c r="W265" i="32"/>
  <c r="V265" i="32"/>
  <c r="U265" i="32"/>
  <c r="T265" i="32"/>
  <c r="S265" i="32"/>
  <c r="R265" i="32"/>
  <c r="Q265" i="32"/>
  <c r="P265" i="32"/>
  <c r="O265" i="32"/>
  <c r="N265" i="32"/>
  <c r="M265" i="32"/>
  <c r="L265" i="32"/>
  <c r="K265" i="32"/>
  <c r="J265" i="32"/>
  <c r="I265" i="32"/>
  <c r="H265" i="32"/>
  <c r="G265" i="32"/>
  <c r="F265" i="32"/>
  <c r="E265" i="32"/>
  <c r="D265" i="32"/>
  <c r="C265" i="32"/>
  <c r="B265" i="32"/>
  <c r="A265" i="32"/>
  <c r="AF264" i="32"/>
  <c r="AE264" i="32"/>
  <c r="AD264" i="32"/>
  <c r="AC264" i="32"/>
  <c r="AB264" i="32"/>
  <c r="AA264" i="32"/>
  <c r="Z264" i="32"/>
  <c r="Y264" i="32"/>
  <c r="X264" i="32"/>
  <c r="W264" i="32"/>
  <c r="V264" i="32"/>
  <c r="U264" i="32"/>
  <c r="T264" i="32"/>
  <c r="S264" i="32"/>
  <c r="R264" i="32"/>
  <c r="Q264" i="32"/>
  <c r="P264" i="32"/>
  <c r="O264" i="32"/>
  <c r="N264" i="32"/>
  <c r="M264" i="32"/>
  <c r="L264" i="32"/>
  <c r="K264" i="32"/>
  <c r="J264" i="32"/>
  <c r="I264" i="32"/>
  <c r="H264" i="32"/>
  <c r="G264" i="32"/>
  <c r="F264" i="32"/>
  <c r="E264" i="32"/>
  <c r="D264" i="32"/>
  <c r="C264" i="32"/>
  <c r="B264" i="32"/>
  <c r="A264" i="32"/>
  <c r="AE263" i="32"/>
  <c r="AD263" i="32"/>
  <c r="AC263" i="32"/>
  <c r="AB263" i="32"/>
  <c r="AA263" i="32"/>
  <c r="Z263" i="32"/>
  <c r="Y263" i="32"/>
  <c r="X263" i="32"/>
  <c r="W263" i="32"/>
  <c r="V263" i="32"/>
  <c r="U263" i="32"/>
  <c r="T263" i="32"/>
  <c r="S263" i="32"/>
  <c r="R263" i="32"/>
  <c r="Q263" i="32"/>
  <c r="P263" i="32"/>
  <c r="B263" i="32"/>
  <c r="AP242" i="32"/>
  <c r="S238" i="32"/>
  <c r="AG228" i="32"/>
  <c r="AF228" i="32"/>
  <c r="AE228" i="32"/>
  <c r="AD228" i="32"/>
  <c r="AC228" i="32"/>
  <c r="AB228" i="32"/>
  <c r="AA228" i="32"/>
  <c r="Z228" i="32"/>
  <c r="Y228" i="32"/>
  <c r="X228" i="32"/>
  <c r="W228" i="32"/>
  <c r="V228" i="32"/>
  <c r="U228" i="32"/>
  <c r="T228" i="32"/>
  <c r="S228" i="32"/>
  <c r="R228" i="32"/>
  <c r="Q228" i="32"/>
  <c r="C228" i="32"/>
  <c r="D227" i="32"/>
  <c r="C263" i="32" s="1"/>
  <c r="B227" i="32"/>
  <c r="AF263" i="32" s="1"/>
  <c r="D226" i="32"/>
  <c r="E226" i="32" s="1"/>
  <c r="F226" i="32" s="1"/>
  <c r="G226" i="32" s="1"/>
  <c r="H226" i="32" s="1"/>
  <c r="I226" i="32" s="1"/>
  <c r="J226" i="32" s="1"/>
  <c r="K226" i="32" s="1"/>
  <c r="L226" i="32" s="1"/>
  <c r="M226" i="32" s="1"/>
  <c r="N226" i="32" s="1"/>
  <c r="O226" i="32" s="1"/>
  <c r="P226" i="32" s="1"/>
  <c r="B226" i="32"/>
  <c r="D225" i="32"/>
  <c r="E225" i="32" s="1"/>
  <c r="F225" i="32" s="1"/>
  <c r="G225" i="32" s="1"/>
  <c r="H225" i="32" s="1"/>
  <c r="I225" i="32" s="1"/>
  <c r="B225" i="32"/>
  <c r="D224" i="32"/>
  <c r="B224" i="32"/>
  <c r="D223" i="32"/>
  <c r="E223" i="32" s="1"/>
  <c r="F223" i="32" s="1"/>
  <c r="G223" i="32" s="1"/>
  <c r="H223" i="32" s="1"/>
  <c r="I223" i="32" s="1"/>
  <c r="J223" i="32" s="1"/>
  <c r="K223" i="32" s="1"/>
  <c r="L223" i="32" s="1"/>
  <c r="M223" i="32" s="1"/>
  <c r="N223" i="32" s="1"/>
  <c r="O223" i="32" s="1"/>
  <c r="P223" i="32" s="1"/>
  <c r="B223" i="32"/>
  <c r="D222" i="32"/>
  <c r="E222" i="32" s="1"/>
  <c r="B222" i="32"/>
  <c r="B104" i="32" s="1"/>
  <c r="AG220" i="32"/>
  <c r="AF220" i="32"/>
  <c r="AE220" i="32"/>
  <c r="AD220" i="32"/>
  <c r="AC220" i="32"/>
  <c r="AB220" i="32"/>
  <c r="AA220" i="32"/>
  <c r="Z220" i="32"/>
  <c r="Y220" i="32"/>
  <c r="X220" i="32"/>
  <c r="W220" i="32"/>
  <c r="V220" i="32"/>
  <c r="U220" i="32"/>
  <c r="T220" i="32"/>
  <c r="S220" i="32"/>
  <c r="R220" i="32"/>
  <c r="Q220" i="32"/>
  <c r="P220" i="32"/>
  <c r="O220" i="32"/>
  <c r="N220" i="32"/>
  <c r="M220" i="32"/>
  <c r="L220" i="32"/>
  <c r="K220" i="32"/>
  <c r="J220" i="32"/>
  <c r="I220" i="32"/>
  <c r="H220" i="32"/>
  <c r="G220" i="32"/>
  <c r="F220" i="32"/>
  <c r="E220" i="32"/>
  <c r="D220" i="32"/>
  <c r="C220" i="32"/>
  <c r="B220" i="32"/>
  <c r="AI113" i="32"/>
  <c r="AH113" i="32"/>
  <c r="AI112" i="32"/>
  <c r="AH112" i="32"/>
  <c r="AI111" i="32"/>
  <c r="AH111" i="32"/>
  <c r="AI110" i="32"/>
  <c r="AH110" i="32"/>
  <c r="AI109" i="32"/>
  <c r="AH109" i="32"/>
  <c r="AH108" i="32"/>
  <c r="AI107" i="32"/>
  <c r="AH107" i="32"/>
  <c r="AI105" i="32"/>
  <c r="AH105" i="32"/>
  <c r="AF104" i="32"/>
  <c r="AE104" i="32"/>
  <c r="AD104" i="32"/>
  <c r="AC104" i="32"/>
  <c r="AB104" i="32"/>
  <c r="AA104" i="32"/>
  <c r="Z104" i="32"/>
  <c r="Y104" i="32"/>
  <c r="W104" i="32"/>
  <c r="V104" i="32"/>
  <c r="U104" i="32"/>
  <c r="T104" i="32"/>
  <c r="S104" i="32"/>
  <c r="R104" i="32"/>
  <c r="Q104" i="32"/>
  <c r="C104" i="32"/>
  <c r="AI103" i="32"/>
  <c r="AH103" i="32"/>
  <c r="AI102" i="32"/>
  <c r="AH102" i="32"/>
  <c r="AI101" i="32"/>
  <c r="AH101" i="32"/>
  <c r="AI100" i="32"/>
  <c r="AH100" i="32"/>
  <c r="AI99" i="32"/>
  <c r="AH99" i="32"/>
  <c r="AI98" i="32"/>
  <c r="AH98" i="32"/>
  <c r="AI97" i="32"/>
  <c r="AH97" i="32"/>
  <c r="AI96" i="32"/>
  <c r="AH96" i="32"/>
  <c r="AI95" i="32"/>
  <c r="AH95" i="32"/>
  <c r="AI93" i="32"/>
  <c r="AH93" i="32"/>
  <c r="AI92" i="32"/>
  <c r="AH92" i="32"/>
  <c r="AI91" i="32"/>
  <c r="AH91" i="32"/>
  <c r="AI90" i="32"/>
  <c r="AH90" i="32"/>
  <c r="AI89" i="32"/>
  <c r="AH89" i="32"/>
  <c r="AI88" i="32"/>
  <c r="AH88" i="32"/>
  <c r="AI87" i="32"/>
  <c r="AH87" i="32"/>
  <c r="AI84" i="32"/>
  <c r="AH84" i="32"/>
  <c r="AI82" i="32"/>
  <c r="AH82" i="32"/>
  <c r="AG82" i="32"/>
  <c r="AI81" i="32"/>
  <c r="AH81" i="32"/>
  <c r="AI80" i="32"/>
  <c r="AH80" i="32"/>
  <c r="AI79" i="32"/>
  <c r="AH79" i="32"/>
  <c r="AN78" i="32"/>
  <c r="AG78" i="32"/>
  <c r="AF78" i="32"/>
  <c r="AF94" i="32" s="1"/>
  <c r="AE78" i="32"/>
  <c r="AE94" i="32" s="1"/>
  <c r="AD78" i="32"/>
  <c r="AD94" i="32" s="1"/>
  <c r="AC78" i="32"/>
  <c r="AC94" i="32" s="1"/>
  <c r="AB78" i="32"/>
  <c r="AB94" i="32" s="1"/>
  <c r="AA78" i="32"/>
  <c r="AA94" i="32" s="1"/>
  <c r="Z78" i="32"/>
  <c r="Z94" i="32" s="1"/>
  <c r="Y94" i="32"/>
  <c r="W78" i="32"/>
  <c r="W94" i="32" s="1"/>
  <c r="V78" i="32"/>
  <c r="V94" i="32" s="1"/>
  <c r="U78" i="32"/>
  <c r="U94" i="32" s="1"/>
  <c r="T78" i="32"/>
  <c r="T94" i="32" s="1"/>
  <c r="S78" i="32"/>
  <c r="S94" i="32" s="1"/>
  <c r="R78" i="32"/>
  <c r="R94" i="32" s="1"/>
  <c r="Q78" i="32"/>
  <c r="Q94" i="32" s="1"/>
  <c r="P78" i="32"/>
  <c r="P94" i="32" s="1"/>
  <c r="O78" i="32"/>
  <c r="O94" i="32" s="1"/>
  <c r="N78" i="32"/>
  <c r="N94" i="32" s="1"/>
  <c r="M78" i="32"/>
  <c r="M94" i="32" s="1"/>
  <c r="L78" i="32"/>
  <c r="L94" i="32" s="1"/>
  <c r="K78" i="32"/>
  <c r="K94" i="32" s="1"/>
  <c r="J78" i="32"/>
  <c r="J94" i="32" s="1"/>
  <c r="I78" i="32"/>
  <c r="I94" i="32" s="1"/>
  <c r="H78" i="32"/>
  <c r="H94" i="32" s="1"/>
  <c r="G78" i="32"/>
  <c r="G94" i="32" s="1"/>
  <c r="F78" i="32"/>
  <c r="F94" i="32" s="1"/>
  <c r="E78" i="32"/>
  <c r="E94" i="32" s="1"/>
  <c r="D78" i="32"/>
  <c r="D94" i="32" s="1"/>
  <c r="C78" i="32"/>
  <c r="B5" i="32" s="1"/>
  <c r="B78" i="32"/>
  <c r="AI77" i="32"/>
  <c r="AH77" i="32"/>
  <c r="AN76" i="32"/>
  <c r="AI76" i="32"/>
  <c r="AH76" i="32"/>
  <c r="AN75" i="32"/>
  <c r="AI75" i="32"/>
  <c r="AH75" i="32"/>
  <c r="AI74" i="32"/>
  <c r="AH74" i="32"/>
  <c r="AI73" i="32"/>
  <c r="AH73" i="32"/>
  <c r="AI72" i="32"/>
  <c r="AH72" i="32"/>
  <c r="AI71" i="32"/>
  <c r="AH71" i="32"/>
  <c r="AI70" i="32"/>
  <c r="AH70" i="32"/>
  <c r="AI69" i="32"/>
  <c r="AH69" i="32"/>
  <c r="AI68" i="32"/>
  <c r="AH68" i="32"/>
  <c r="AI67" i="32"/>
  <c r="AH67" i="32"/>
  <c r="AG66" i="32"/>
  <c r="AE66" i="32"/>
  <c r="AD66" i="32"/>
  <c r="AC66" i="32"/>
  <c r="AB66" i="32"/>
  <c r="AA66" i="32"/>
  <c r="Z66" i="32"/>
  <c r="Y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AI65" i="32"/>
  <c r="AH65" i="32"/>
  <c r="AI64" i="32"/>
  <c r="AH64" i="32"/>
  <c r="AI63" i="32"/>
  <c r="AH63" i="32"/>
  <c r="AF62" i="32"/>
  <c r="AE62" i="32"/>
  <c r="AD62" i="32"/>
  <c r="AC62" i="32"/>
  <c r="AB62" i="32"/>
  <c r="AA62" i="32"/>
  <c r="Z62" i="32"/>
  <c r="Y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AI61" i="32"/>
  <c r="AH61" i="32"/>
  <c r="AG61" i="32"/>
  <c r="AG62" i="32" s="1"/>
  <c r="AG3" i="32" s="1"/>
  <c r="AI60" i="32"/>
  <c r="AH60" i="32"/>
  <c r="AI59" i="32"/>
  <c r="AH59" i="32"/>
  <c r="AI58" i="32"/>
  <c r="AH58" i="32"/>
  <c r="AI57" i="32"/>
  <c r="AH57" i="32"/>
  <c r="AI56" i="32"/>
  <c r="AH56" i="32"/>
  <c r="AI55" i="32"/>
  <c r="AH55" i="32"/>
  <c r="AI54" i="32"/>
  <c r="AH54" i="32"/>
  <c r="AI53" i="32"/>
  <c r="AH53" i="32"/>
  <c r="AI52" i="32"/>
  <c r="AH52" i="32"/>
  <c r="AI51" i="32"/>
  <c r="AH51" i="32"/>
  <c r="AI50" i="32"/>
  <c r="AH50" i="32"/>
  <c r="AI49" i="32"/>
  <c r="AH49" i="32"/>
  <c r="AG48" i="32"/>
  <c r="AF48" i="32"/>
  <c r="AE48" i="32"/>
  <c r="AD48" i="32"/>
  <c r="AC48" i="32"/>
  <c r="AB48" i="32"/>
  <c r="AA48" i="32"/>
  <c r="Z48" i="32"/>
  <c r="Y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B48" i="32"/>
  <c r="AI47" i="32"/>
  <c r="AH47" i="32"/>
  <c r="AI46" i="32"/>
  <c r="AH46" i="32"/>
  <c r="AI45" i="32"/>
  <c r="AH45" i="32"/>
  <c r="AG44" i="32"/>
  <c r="AG83" i="32" s="1"/>
  <c r="AF44" i="32"/>
  <c r="AE44" i="32"/>
  <c r="AD44" i="32"/>
  <c r="AC44" i="32"/>
  <c r="AB44" i="32"/>
  <c r="AA44" i="32"/>
  <c r="Z44" i="32"/>
  <c r="Y44" i="32"/>
  <c r="W44" i="32"/>
  <c r="V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AI43" i="32"/>
  <c r="AH43" i="32"/>
  <c r="AI42" i="32"/>
  <c r="AH42" i="32"/>
  <c r="AI41" i="32"/>
  <c r="AH41" i="32"/>
  <c r="AI40" i="32"/>
  <c r="AH40" i="32"/>
  <c r="AI39" i="32"/>
  <c r="AH39" i="32"/>
  <c r="AI38" i="32"/>
  <c r="AH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X7" i="32"/>
  <c r="W5" i="32"/>
  <c r="K4" i="32"/>
  <c r="E4" i="32"/>
  <c r="H4" i="32" s="1"/>
  <c r="B4" i="32"/>
  <c r="S239" i="32" s="1"/>
  <c r="AG2" i="32"/>
  <c r="W44" i="31"/>
  <c r="X44" i="31"/>
  <c r="Y44" i="31"/>
  <c r="X62" i="31"/>
  <c r="X48" i="31"/>
  <c r="Y48" i="31"/>
  <c r="Y62" i="31"/>
  <c r="X66" i="31"/>
  <c r="Y66" i="31"/>
  <c r="X78" i="31"/>
  <c r="Y78" i="31"/>
  <c r="Y83" i="31" s="1"/>
  <c r="Y85" i="31" s="1"/>
  <c r="Y86" i="31" s="1"/>
  <c r="U78" i="31"/>
  <c r="X83" i="31" l="1"/>
  <c r="X85" i="31" s="1"/>
  <c r="X86" i="31" s="1"/>
  <c r="AF83" i="32"/>
  <c r="AF85" i="32" s="1"/>
  <c r="AE83" i="32"/>
  <c r="AE85" i="32" s="1"/>
  <c r="AC5" i="32"/>
  <c r="AB5" i="32"/>
  <c r="AC83" i="32"/>
  <c r="AC85" i="32" s="1"/>
  <c r="AA5" i="32"/>
  <c r="AB83" i="32"/>
  <c r="AB85" i="32" s="1"/>
  <c r="Z5" i="32"/>
  <c r="Y5" i="32"/>
  <c r="Z83" i="32"/>
  <c r="Z85" i="32" s="1"/>
  <c r="Y83" i="32"/>
  <c r="Y85" i="32" s="1"/>
  <c r="W83" i="32"/>
  <c r="W85" i="32" s="1"/>
  <c r="AO242" i="32" s="1"/>
  <c r="V83" i="32"/>
  <c r="V85" i="32" s="1"/>
  <c r="T5" i="32"/>
  <c r="S5" i="32"/>
  <c r="T83" i="32"/>
  <c r="T85" i="32" s="1"/>
  <c r="R5" i="32"/>
  <c r="S83" i="32"/>
  <c r="S85" i="32" s="1"/>
  <c r="Q5" i="32"/>
  <c r="Q83" i="32"/>
  <c r="Q85" i="32" s="1"/>
  <c r="P5" i="32"/>
  <c r="P83" i="32"/>
  <c r="P85" i="32" s="1"/>
  <c r="P7" i="32" s="1"/>
  <c r="O83" i="32"/>
  <c r="O85" i="32" s="1"/>
  <c r="N83" i="32"/>
  <c r="N85" i="32" s="1"/>
  <c r="L5" i="32"/>
  <c r="K5" i="32"/>
  <c r="J5" i="32"/>
  <c r="I83" i="32"/>
  <c r="I85" i="32" s="1"/>
  <c r="I86" i="32" s="1"/>
  <c r="AI106" i="32"/>
  <c r="AN77" i="32"/>
  <c r="E227" i="32"/>
  <c r="D263" i="32" s="1"/>
  <c r="D104" i="32"/>
  <c r="R83" i="32"/>
  <c r="R85" i="32" s="1"/>
  <c r="R86" i="32" s="1"/>
  <c r="AA83" i="32"/>
  <c r="AA85" i="32" s="1"/>
  <c r="AA7" i="32" s="1"/>
  <c r="F222" i="32"/>
  <c r="E104" i="32"/>
  <c r="AH66" i="32"/>
  <c r="L83" i="32"/>
  <c r="L85" i="32" s="1"/>
  <c r="L7" i="32" s="1"/>
  <c r="B228" i="32"/>
  <c r="M83" i="32"/>
  <c r="M85" i="32" s="1"/>
  <c r="M86" i="32" s="1"/>
  <c r="U83" i="32"/>
  <c r="U85" i="32" s="1"/>
  <c r="AM242" i="32" s="1"/>
  <c r="AD83" i="32"/>
  <c r="AD85" i="32" s="1"/>
  <c r="AD7" i="32" s="1"/>
  <c r="D228" i="32"/>
  <c r="AI66" i="32"/>
  <c r="G83" i="32"/>
  <c r="G85" i="32" s="1"/>
  <c r="G86" i="32" s="1"/>
  <c r="AI48" i="32"/>
  <c r="K83" i="32"/>
  <c r="K85" i="32" s="1"/>
  <c r="AC242" i="32" s="1"/>
  <c r="H5" i="32"/>
  <c r="I5" i="32"/>
  <c r="D5" i="32"/>
  <c r="J83" i="32"/>
  <c r="J85" i="32" s="1"/>
  <c r="J86" i="32" s="1"/>
  <c r="F83" i="32"/>
  <c r="F85" i="32" s="1"/>
  <c r="F7" i="32" s="1"/>
  <c r="E83" i="32"/>
  <c r="E85" i="32" s="1"/>
  <c r="E86" i="32" s="1"/>
  <c r="C5" i="32"/>
  <c r="D83" i="32"/>
  <c r="D85" i="32" s="1"/>
  <c r="D86" i="32" s="1"/>
  <c r="AI78" i="32"/>
  <c r="C94" i="32"/>
  <c r="AI62" i="32"/>
  <c r="C83" i="32"/>
  <c r="C85" i="32" s="1"/>
  <c r="U242" i="32" s="1"/>
  <c r="B83" i="32"/>
  <c r="B85" i="32" s="1"/>
  <c r="B94" i="32"/>
  <c r="AF5" i="32"/>
  <c r="AH48" i="32"/>
  <c r="AH44" i="32"/>
  <c r="N86" i="32"/>
  <c r="AF242" i="32"/>
  <c r="N7" i="32"/>
  <c r="V86" i="32"/>
  <c r="V7" i="32"/>
  <c r="AN242" i="32"/>
  <c r="AE86" i="32"/>
  <c r="AE7" i="32"/>
  <c r="AW242" i="32"/>
  <c r="G7" i="32"/>
  <c r="Y242" i="32"/>
  <c r="O86" i="32"/>
  <c r="O7" i="32"/>
  <c r="AG242" i="32"/>
  <c r="W86" i="32"/>
  <c r="W7" i="32"/>
  <c r="AF86" i="32"/>
  <c r="AF7" i="32"/>
  <c r="AX242" i="32"/>
  <c r="AK242" i="32"/>
  <c r="S86" i="32"/>
  <c r="S7" i="32"/>
  <c r="Y86" i="32"/>
  <c r="Y7" i="32"/>
  <c r="AQ242" i="32"/>
  <c r="AL242" i="32"/>
  <c r="T86" i="32"/>
  <c r="T7" i="32"/>
  <c r="I7" i="32"/>
  <c r="Q7" i="32"/>
  <c r="AI242" i="32"/>
  <c r="Q86" i="32"/>
  <c r="AR242" i="32"/>
  <c r="Z86" i="32"/>
  <c r="Z7" i="32"/>
  <c r="AG85" i="32"/>
  <c r="AT242" i="32"/>
  <c r="AB86" i="32"/>
  <c r="AB7" i="32"/>
  <c r="AU242" i="32"/>
  <c r="AC86" i="32"/>
  <c r="AC7" i="32"/>
  <c r="J225" i="32"/>
  <c r="K225" i="32" s="1"/>
  <c r="L225" i="32" s="1"/>
  <c r="M225" i="32" s="1"/>
  <c r="N225" i="32" s="1"/>
  <c r="O225" i="32" s="1"/>
  <c r="P225" i="32" s="1"/>
  <c r="M5" i="32"/>
  <c r="AI44" i="32"/>
  <c r="E224" i="32"/>
  <c r="F224" i="32" s="1"/>
  <c r="G224" i="32" s="1"/>
  <c r="H224" i="32" s="1"/>
  <c r="F5" i="32"/>
  <c r="N5" i="32"/>
  <c r="V5" i="32"/>
  <c r="AD5" i="32"/>
  <c r="AH78" i="32"/>
  <c r="D239" i="32"/>
  <c r="E5" i="32"/>
  <c r="G5" i="32"/>
  <c r="O5" i="32"/>
  <c r="AE5" i="32"/>
  <c r="AH62" i="32"/>
  <c r="U5" i="32"/>
  <c r="X5" i="32"/>
  <c r="H83" i="32"/>
  <c r="H85" i="32" s="1"/>
  <c r="AG4" i="32"/>
  <c r="AG6" i="32" s="1"/>
  <c r="AA242" i="32" l="1"/>
  <c r="AH242" i="32"/>
  <c r="P86" i="32"/>
  <c r="AD242" i="32"/>
  <c r="AH94" i="32"/>
  <c r="AD86" i="32"/>
  <c r="AV242" i="32"/>
  <c r="AA86" i="32"/>
  <c r="AS242" i="32"/>
  <c r="U7" i="32"/>
  <c r="AJ242" i="32"/>
  <c r="R7" i="32"/>
  <c r="AE242" i="32"/>
  <c r="L86" i="32"/>
  <c r="K7" i="32"/>
  <c r="AB242" i="32"/>
  <c r="J7" i="32"/>
  <c r="V242" i="32"/>
  <c r="F227" i="32"/>
  <c r="G227" i="32" s="1"/>
  <c r="K86" i="32"/>
  <c r="U86" i="32"/>
  <c r="AI94" i="32"/>
  <c r="E263" i="32"/>
  <c r="M7" i="32"/>
  <c r="F104" i="32"/>
  <c r="G222" i="32"/>
  <c r="W242" i="32"/>
  <c r="F86" i="32"/>
  <c r="X242" i="32"/>
  <c r="E7" i="32"/>
  <c r="D7" i="32"/>
  <c r="C7" i="32"/>
  <c r="C86" i="32"/>
  <c r="H7" i="32"/>
  <c r="H86" i="32"/>
  <c r="Z242" i="32"/>
  <c r="B237" i="32"/>
  <c r="AH85" i="32"/>
  <c r="B7" i="32"/>
  <c r="T242" i="32"/>
  <c r="B86" i="32"/>
  <c r="AI85" i="32"/>
  <c r="AH83" i="32"/>
  <c r="AI83" i="32"/>
  <c r="F228" i="32"/>
  <c r="E228" i="32"/>
  <c r="C237" i="32"/>
  <c r="F263" i="32" l="1"/>
  <c r="H227" i="32"/>
  <c r="G104" i="32"/>
  <c r="H222" i="32"/>
  <c r="G228" i="32"/>
  <c r="A7" i="32"/>
  <c r="AH86" i="32"/>
  <c r="AI86" i="32"/>
  <c r="K6" i="32"/>
  <c r="H104" i="32" l="1"/>
  <c r="I222" i="32"/>
  <c r="H228" i="32"/>
  <c r="G263" i="32"/>
  <c r="I227" i="32"/>
  <c r="H263" i="32" l="1"/>
  <c r="J227" i="32"/>
  <c r="J222" i="32"/>
  <c r="I104" i="32"/>
  <c r="J104" i="32" l="1"/>
  <c r="K222" i="32"/>
  <c r="I263" i="32"/>
  <c r="K227" i="32"/>
  <c r="J263" i="32" l="1"/>
  <c r="L227" i="32"/>
  <c r="L222" i="32"/>
  <c r="K104" i="32"/>
  <c r="M222" i="32" l="1"/>
  <c r="L104" i="32"/>
  <c r="K263" i="32"/>
  <c r="M227" i="32"/>
  <c r="N227" i="32" l="1"/>
  <c r="L263" i="32"/>
  <c r="M104" i="32"/>
  <c r="N222" i="32"/>
  <c r="O222" i="32" l="1"/>
  <c r="N104" i="32"/>
  <c r="M263" i="32"/>
  <c r="O227" i="32"/>
  <c r="P227" i="32" l="1"/>
  <c r="O263" i="32" s="1"/>
  <c r="N263" i="32"/>
  <c r="O104" i="32"/>
  <c r="AI104" i="32" s="1"/>
  <c r="P222" i="32"/>
  <c r="AH104" i="32" l="1"/>
  <c r="O107" i="31" l="1"/>
  <c r="AF267" i="31"/>
  <c r="AE267" i="31"/>
  <c r="AD267" i="31"/>
  <c r="AC267" i="31"/>
  <c r="AB267" i="31"/>
  <c r="AA267" i="31"/>
  <c r="Z267" i="31"/>
  <c r="Y267" i="31"/>
  <c r="X267" i="31"/>
  <c r="W267" i="31"/>
  <c r="V267" i="31"/>
  <c r="U267" i="31"/>
  <c r="T267" i="31"/>
  <c r="S267" i="31"/>
  <c r="R267" i="31"/>
  <c r="Q267" i="31"/>
  <c r="P267" i="31"/>
  <c r="O267" i="31"/>
  <c r="N267" i="31"/>
  <c r="M267" i="31"/>
  <c r="L267" i="31"/>
  <c r="K267" i="31"/>
  <c r="J267" i="31"/>
  <c r="I267" i="31"/>
  <c r="H267" i="31"/>
  <c r="G267" i="31"/>
  <c r="F267" i="31"/>
  <c r="E267" i="31"/>
  <c r="D267" i="31"/>
  <c r="C267" i="31"/>
  <c r="B267" i="31"/>
  <c r="A267" i="31"/>
  <c r="AF266" i="31"/>
  <c r="AE266" i="31"/>
  <c r="AD266" i="31"/>
  <c r="AC266" i="31"/>
  <c r="AB266" i="31"/>
  <c r="AA266" i="31"/>
  <c r="Z266" i="31"/>
  <c r="Y266" i="31"/>
  <c r="X266" i="31"/>
  <c r="W266" i="31"/>
  <c r="V266" i="31"/>
  <c r="U266" i="31"/>
  <c r="T266" i="31"/>
  <c r="S266" i="31"/>
  <c r="R266" i="31"/>
  <c r="Q266" i="31"/>
  <c r="P266" i="31"/>
  <c r="O266" i="31"/>
  <c r="N266" i="31"/>
  <c r="M266" i="31"/>
  <c r="L266" i="31"/>
  <c r="K266" i="31"/>
  <c r="J266" i="31"/>
  <c r="I266" i="31"/>
  <c r="H266" i="31"/>
  <c r="G266" i="31"/>
  <c r="F266" i="31"/>
  <c r="E266" i="31"/>
  <c r="D266" i="31"/>
  <c r="C266" i="31"/>
  <c r="B266" i="31"/>
  <c r="A266" i="31"/>
  <c r="AF265" i="31"/>
  <c r="AE265" i="31"/>
  <c r="AD265" i="31"/>
  <c r="AC265" i="31"/>
  <c r="AB265" i="31"/>
  <c r="AA265" i="31"/>
  <c r="Z265" i="31"/>
  <c r="Y265" i="31"/>
  <c r="X265" i="31"/>
  <c r="W265" i="31"/>
  <c r="V265" i="31"/>
  <c r="U265" i="31"/>
  <c r="T265" i="31"/>
  <c r="S265" i="31"/>
  <c r="R265" i="31"/>
  <c r="Q265" i="31"/>
  <c r="P265" i="31"/>
  <c r="O265" i="31"/>
  <c r="N265" i="31"/>
  <c r="M265" i="31"/>
  <c r="L265" i="31"/>
  <c r="K265" i="31"/>
  <c r="J265" i="31"/>
  <c r="I265" i="31"/>
  <c r="H265" i="31"/>
  <c r="G265" i="31"/>
  <c r="F265" i="31"/>
  <c r="E265" i="31"/>
  <c r="D265" i="31"/>
  <c r="C265" i="31"/>
  <c r="B265" i="31"/>
  <c r="A265" i="31"/>
  <c r="AF264" i="31"/>
  <c r="AE264" i="31"/>
  <c r="AD264" i="31"/>
  <c r="AC264" i="31"/>
  <c r="AB264" i="31"/>
  <c r="AA264" i="31"/>
  <c r="Z264" i="31"/>
  <c r="Y264" i="31"/>
  <c r="X264" i="31"/>
  <c r="W264" i="31"/>
  <c r="V264" i="31"/>
  <c r="U264" i="31"/>
  <c r="T264" i="31"/>
  <c r="S264" i="31"/>
  <c r="R264" i="31"/>
  <c r="Q264" i="31"/>
  <c r="P264" i="31"/>
  <c r="O264" i="31"/>
  <c r="N264" i="31"/>
  <c r="M264" i="31"/>
  <c r="L264" i="31"/>
  <c r="K264" i="31"/>
  <c r="J264" i="31"/>
  <c r="I264" i="31"/>
  <c r="H264" i="31"/>
  <c r="G264" i="31"/>
  <c r="F264" i="31"/>
  <c r="E264" i="31"/>
  <c r="D264" i="31"/>
  <c r="C264" i="31"/>
  <c r="B264" i="31"/>
  <c r="A264" i="31"/>
  <c r="AE263" i="31"/>
  <c r="AD263" i="31"/>
  <c r="AC263" i="31"/>
  <c r="AB263" i="31"/>
  <c r="AA263" i="31"/>
  <c r="Z263" i="31"/>
  <c r="Y263" i="31"/>
  <c r="X263" i="31"/>
  <c r="W263" i="31"/>
  <c r="V263" i="31"/>
  <c r="U263" i="31"/>
  <c r="T263" i="31"/>
  <c r="S263" i="31"/>
  <c r="R263" i="31"/>
  <c r="Q263" i="31"/>
  <c r="P263" i="31"/>
  <c r="B263" i="31"/>
  <c r="AP242" i="31"/>
  <c r="S238" i="31"/>
  <c r="AG228" i="31"/>
  <c r="AF228" i="31"/>
  <c r="AE228" i="31"/>
  <c r="AD228" i="31"/>
  <c r="AC228" i="31"/>
  <c r="AB228" i="31"/>
  <c r="AA228" i="31"/>
  <c r="Z228" i="31"/>
  <c r="Y228" i="31"/>
  <c r="X228" i="31"/>
  <c r="W228" i="31"/>
  <c r="V228" i="31"/>
  <c r="U228" i="31"/>
  <c r="T228" i="31"/>
  <c r="S228" i="31"/>
  <c r="R228" i="31"/>
  <c r="Q228" i="31"/>
  <c r="C228" i="31"/>
  <c r="E227" i="31"/>
  <c r="D263" i="31" s="1"/>
  <c r="D227" i="31"/>
  <c r="C263" i="31" s="1"/>
  <c r="B227" i="31"/>
  <c r="AF263" i="31" s="1"/>
  <c r="D226" i="31"/>
  <c r="E226" i="31" s="1"/>
  <c r="F226" i="31" s="1"/>
  <c r="G226" i="31" s="1"/>
  <c r="H226" i="31" s="1"/>
  <c r="I226" i="31" s="1"/>
  <c r="J226" i="31" s="1"/>
  <c r="K226" i="31" s="1"/>
  <c r="L226" i="31" s="1"/>
  <c r="M226" i="31" s="1"/>
  <c r="N226" i="31" s="1"/>
  <c r="O226" i="31" s="1"/>
  <c r="P226" i="31" s="1"/>
  <c r="B226" i="31"/>
  <c r="D225" i="31"/>
  <c r="E225" i="31" s="1"/>
  <c r="F225" i="31" s="1"/>
  <c r="G225" i="31" s="1"/>
  <c r="H225" i="31" s="1"/>
  <c r="I225" i="31" s="1"/>
  <c r="B225" i="31"/>
  <c r="D224" i="31"/>
  <c r="E224" i="31" s="1"/>
  <c r="F224" i="31" s="1"/>
  <c r="G224" i="31" s="1"/>
  <c r="H224" i="31" s="1"/>
  <c r="B224" i="31"/>
  <c r="E223" i="31"/>
  <c r="F223" i="31" s="1"/>
  <c r="G223" i="31" s="1"/>
  <c r="H223" i="31" s="1"/>
  <c r="I223" i="31" s="1"/>
  <c r="J223" i="31" s="1"/>
  <c r="K223" i="31" s="1"/>
  <c r="L223" i="31" s="1"/>
  <c r="M223" i="31" s="1"/>
  <c r="N223" i="31" s="1"/>
  <c r="O223" i="31" s="1"/>
  <c r="P223" i="31" s="1"/>
  <c r="D223" i="31"/>
  <c r="B223" i="31"/>
  <c r="E222" i="31"/>
  <c r="F222" i="31" s="1"/>
  <c r="D222" i="31"/>
  <c r="D228" i="31" s="1"/>
  <c r="B222" i="31"/>
  <c r="AG220" i="31"/>
  <c r="AF220" i="31"/>
  <c r="AE220" i="31"/>
  <c r="AD220" i="31"/>
  <c r="AC220" i="31"/>
  <c r="AB220" i="31"/>
  <c r="AA220" i="31"/>
  <c r="Z220" i="31"/>
  <c r="Y220" i="31"/>
  <c r="X220" i="31"/>
  <c r="W220" i="31"/>
  <c r="V220" i="31"/>
  <c r="U220" i="31"/>
  <c r="T220" i="31"/>
  <c r="S220" i="31"/>
  <c r="R220" i="31"/>
  <c r="Q220" i="31"/>
  <c r="P220" i="31"/>
  <c r="O220" i="31"/>
  <c r="N220" i="31"/>
  <c r="M220" i="31"/>
  <c r="L220" i="31"/>
  <c r="K220" i="31"/>
  <c r="J220" i="31"/>
  <c r="I220" i="31"/>
  <c r="H220" i="31"/>
  <c r="G220" i="31"/>
  <c r="F220" i="31"/>
  <c r="E220" i="31"/>
  <c r="D220" i="31"/>
  <c r="C220" i="31"/>
  <c r="B220" i="31"/>
  <c r="AI113" i="31"/>
  <c r="AH113" i="31"/>
  <c r="AI112" i="31"/>
  <c r="AH112" i="31"/>
  <c r="AI111" i="31"/>
  <c r="AH111" i="31"/>
  <c r="AI110" i="31"/>
  <c r="AH110" i="31"/>
  <c r="AI109" i="31"/>
  <c r="AH109" i="31"/>
  <c r="AI108" i="31"/>
  <c r="AH108" i="31"/>
  <c r="AI107" i="31"/>
  <c r="AH107" i="31"/>
  <c r="AI106" i="31"/>
  <c r="AH106" i="31"/>
  <c r="AI105" i="31"/>
  <c r="AH105" i="31"/>
  <c r="AF104" i="31"/>
  <c r="AE104" i="31"/>
  <c r="AD104" i="31"/>
  <c r="AC104" i="31"/>
  <c r="AB104" i="31"/>
  <c r="AA104" i="31"/>
  <c r="Z104" i="31"/>
  <c r="Y104" i="31"/>
  <c r="W104" i="31"/>
  <c r="V104" i="31"/>
  <c r="U104" i="31"/>
  <c r="T104" i="31"/>
  <c r="S104" i="31"/>
  <c r="R104" i="31"/>
  <c r="Q104" i="31"/>
  <c r="D104" i="31"/>
  <c r="C104" i="31"/>
  <c r="B104" i="31"/>
  <c r="AI103" i="31"/>
  <c r="AH103" i="31"/>
  <c r="AI102" i="31"/>
  <c r="AH102" i="31"/>
  <c r="AI101" i="31"/>
  <c r="AH101" i="31"/>
  <c r="AI100" i="31"/>
  <c r="AH100" i="31"/>
  <c r="AI99" i="31"/>
  <c r="AH99" i="31"/>
  <c r="AI98" i="31"/>
  <c r="AH98" i="31"/>
  <c r="AI97" i="31"/>
  <c r="AH97" i="31"/>
  <c r="AI96" i="31"/>
  <c r="AH96" i="31"/>
  <c r="AI95" i="31"/>
  <c r="AH95" i="31"/>
  <c r="AI93" i="31"/>
  <c r="AH93" i="31"/>
  <c r="AI92" i="31"/>
  <c r="AH92" i="31"/>
  <c r="AI91" i="31"/>
  <c r="AH91" i="31"/>
  <c r="AI90" i="31"/>
  <c r="AH90" i="31"/>
  <c r="AI89" i="31"/>
  <c r="AH89" i="31"/>
  <c r="AI88" i="31"/>
  <c r="AH88" i="31"/>
  <c r="AI87" i="31"/>
  <c r="AH87" i="31"/>
  <c r="AI84" i="31"/>
  <c r="AH84" i="31"/>
  <c r="AI82" i="31"/>
  <c r="AH82" i="31"/>
  <c r="AG82" i="31"/>
  <c r="AI81" i="31"/>
  <c r="AH81" i="31"/>
  <c r="AI80" i="31"/>
  <c r="AH80" i="31"/>
  <c r="AI79" i="31"/>
  <c r="AH79" i="31"/>
  <c r="AN78" i="31"/>
  <c r="AG78" i="31"/>
  <c r="AF78" i="31"/>
  <c r="AF94" i="31" s="1"/>
  <c r="AE78" i="31"/>
  <c r="AE94" i="31" s="1"/>
  <c r="AD78" i="31"/>
  <c r="AD94" i="31" s="1"/>
  <c r="AC78" i="31"/>
  <c r="AC94" i="31" s="1"/>
  <c r="AB78" i="31"/>
  <c r="AB94" i="31" s="1"/>
  <c r="AA78" i="31"/>
  <c r="AA94" i="31" s="1"/>
  <c r="Z78" i="31"/>
  <c r="Z94" i="31" s="1"/>
  <c r="Y94" i="31"/>
  <c r="W78" i="31"/>
  <c r="W94" i="31" s="1"/>
  <c r="V78" i="31"/>
  <c r="V94" i="31" s="1"/>
  <c r="U94" i="31"/>
  <c r="T78" i="31"/>
  <c r="T94" i="31" s="1"/>
  <c r="S78" i="31"/>
  <c r="S94" i="31" s="1"/>
  <c r="R78" i="31"/>
  <c r="R94" i="31" s="1"/>
  <c r="Q78" i="31"/>
  <c r="Q94" i="31" s="1"/>
  <c r="P78" i="31"/>
  <c r="P94" i="31" s="1"/>
  <c r="O78" i="31"/>
  <c r="O94" i="31" s="1"/>
  <c r="N78" i="31"/>
  <c r="N94" i="31" s="1"/>
  <c r="M78" i="31"/>
  <c r="M94" i="31" s="1"/>
  <c r="L78" i="31"/>
  <c r="L94" i="31" s="1"/>
  <c r="K78" i="31"/>
  <c r="K94" i="31" s="1"/>
  <c r="J78" i="31"/>
  <c r="J94" i="31" s="1"/>
  <c r="I78" i="31"/>
  <c r="I94" i="31" s="1"/>
  <c r="H78" i="31"/>
  <c r="H94" i="31" s="1"/>
  <c r="G78" i="31"/>
  <c r="G94" i="31" s="1"/>
  <c r="F78" i="31"/>
  <c r="F94" i="31" s="1"/>
  <c r="E78" i="31"/>
  <c r="E94" i="31" s="1"/>
  <c r="D78" i="31"/>
  <c r="D94" i="31" s="1"/>
  <c r="C78" i="31"/>
  <c r="C94" i="31" s="1"/>
  <c r="B78" i="31"/>
  <c r="B94" i="31" s="1"/>
  <c r="AI77" i="31"/>
  <c r="AH77" i="31"/>
  <c r="AN76" i="31"/>
  <c r="AI76" i="31"/>
  <c r="AH76" i="31"/>
  <c r="AN75" i="31"/>
  <c r="AN77" i="31" s="1"/>
  <c r="AI75" i="31"/>
  <c r="AH75" i="31"/>
  <c r="AI74" i="31"/>
  <c r="AH74" i="31"/>
  <c r="AI73" i="31"/>
  <c r="AH73" i="31"/>
  <c r="AI72" i="31"/>
  <c r="AH72" i="31"/>
  <c r="AI71" i="31"/>
  <c r="AH71" i="31"/>
  <c r="AI70" i="31"/>
  <c r="AH70" i="31"/>
  <c r="AI69" i="31"/>
  <c r="AH69" i="31"/>
  <c r="AI68" i="31"/>
  <c r="AH68" i="31"/>
  <c r="AI67" i="31"/>
  <c r="AH67" i="31"/>
  <c r="AG66" i="31"/>
  <c r="AF66" i="31"/>
  <c r="AE66" i="31"/>
  <c r="AD66" i="31"/>
  <c r="AC66" i="31"/>
  <c r="AB66" i="31"/>
  <c r="AA66" i="31"/>
  <c r="Z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AI65" i="31"/>
  <c r="AH65" i="31"/>
  <c r="AI64" i="31"/>
  <c r="AH64" i="31"/>
  <c r="AI63" i="31"/>
  <c r="AH63" i="31"/>
  <c r="AF62" i="31"/>
  <c r="AE62" i="31"/>
  <c r="AD62" i="31"/>
  <c r="AC62" i="31"/>
  <c r="AB62" i="31"/>
  <c r="AA62" i="31"/>
  <c r="Z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AI61" i="31"/>
  <c r="AH61" i="31"/>
  <c r="AG61" i="31"/>
  <c r="AG62" i="31" s="1"/>
  <c r="AG3" i="31" s="1"/>
  <c r="AI60" i="31"/>
  <c r="AH60" i="31"/>
  <c r="AI59" i="31"/>
  <c r="AH59" i="31"/>
  <c r="AI58" i="31"/>
  <c r="AH58" i="31"/>
  <c r="AI57" i="31"/>
  <c r="AH57" i="31"/>
  <c r="AI56" i="31"/>
  <c r="AH56" i="31"/>
  <c r="AI55" i="31"/>
  <c r="AH55" i="31"/>
  <c r="AI54" i="31"/>
  <c r="AH54" i="31"/>
  <c r="AI53" i="31"/>
  <c r="AH53" i="31"/>
  <c r="AI52" i="31"/>
  <c r="AH52" i="31"/>
  <c r="AI51" i="31"/>
  <c r="AH51" i="31"/>
  <c r="AI50" i="31"/>
  <c r="AH50" i="31"/>
  <c r="AI49" i="31"/>
  <c r="AH49" i="31"/>
  <c r="AG48" i="31"/>
  <c r="AF48" i="31"/>
  <c r="AE48" i="31"/>
  <c r="AD48" i="31"/>
  <c r="AC48" i="31"/>
  <c r="AB48" i="31"/>
  <c r="AA48" i="31"/>
  <c r="Z48" i="31"/>
  <c r="W48" i="31"/>
  <c r="W83" i="31" s="1"/>
  <c r="W85" i="31" s="1"/>
  <c r="W86" i="31" s="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B48" i="31"/>
  <c r="AI47" i="31"/>
  <c r="AH47" i="31"/>
  <c r="AI46" i="31"/>
  <c r="AH46" i="31"/>
  <c r="AI45" i="31"/>
  <c r="AH45" i="31"/>
  <c r="AG44" i="31"/>
  <c r="AG83" i="31" s="1"/>
  <c r="AF44" i="31"/>
  <c r="AE44" i="31"/>
  <c r="AD44" i="31"/>
  <c r="AC44" i="31"/>
  <c r="AB44" i="31"/>
  <c r="AA44" i="31"/>
  <c r="Z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AI43" i="31"/>
  <c r="AH43" i="31"/>
  <c r="AI42" i="31"/>
  <c r="AH42" i="31"/>
  <c r="AI41" i="31"/>
  <c r="AH41" i="31"/>
  <c r="AI40" i="31"/>
  <c r="AH40" i="31"/>
  <c r="AI39" i="31"/>
  <c r="AH39" i="31"/>
  <c r="AI38" i="31"/>
  <c r="AH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X7" i="31"/>
  <c r="W5" i="31"/>
  <c r="O5" i="31"/>
  <c r="AG4" i="31"/>
  <c r="K4" i="31"/>
  <c r="E4" i="31"/>
  <c r="H4" i="31" s="1"/>
  <c r="B4" i="31"/>
  <c r="S239" i="31" s="1"/>
  <c r="AG2" i="31"/>
  <c r="AG6" i="31" s="1"/>
  <c r="AD107" i="30"/>
  <c r="AC107" i="30"/>
  <c r="Z107" i="30"/>
  <c r="Y107" i="30"/>
  <c r="Y48" i="30"/>
  <c r="Y44" i="30"/>
  <c r="X78" i="30"/>
  <c r="X94" i="30" s="1"/>
  <c r="Y78" i="30"/>
  <c r="Y94" i="30" s="1"/>
  <c r="X66" i="30"/>
  <c r="Y66" i="30"/>
  <c r="Z66" i="30"/>
  <c r="X62" i="30"/>
  <c r="Y62" i="30"/>
  <c r="Z62" i="30"/>
  <c r="AA62" i="30"/>
  <c r="AB62" i="30"/>
  <c r="AC62" i="30"/>
  <c r="AD62" i="30"/>
  <c r="AE62" i="30"/>
  <c r="AF62" i="30"/>
  <c r="AB83" i="31" l="1"/>
  <c r="AB85" i="31" s="1"/>
  <c r="E104" i="31"/>
  <c r="S5" i="31"/>
  <c r="B228" i="31"/>
  <c r="AF83" i="31"/>
  <c r="AF85" i="31" s="1"/>
  <c r="AE5" i="31"/>
  <c r="AD5" i="31"/>
  <c r="AE83" i="31"/>
  <c r="AE85" i="31" s="1"/>
  <c r="AE86" i="31" s="1"/>
  <c r="AC83" i="31"/>
  <c r="AC85" i="31" s="1"/>
  <c r="AC5" i="31"/>
  <c r="AB5" i="31"/>
  <c r="AD83" i="31"/>
  <c r="AD85" i="31" s="1"/>
  <c r="AA5" i="31"/>
  <c r="Z5" i="31"/>
  <c r="Y5" i="31"/>
  <c r="Z83" i="31"/>
  <c r="Z85" i="31" s="1"/>
  <c r="Z86" i="31" s="1"/>
  <c r="AA83" i="31"/>
  <c r="AA85" i="31" s="1"/>
  <c r="X5" i="31"/>
  <c r="V5" i="31"/>
  <c r="U5" i="31"/>
  <c r="V83" i="31"/>
  <c r="V85" i="31" s="1"/>
  <c r="T5" i="31"/>
  <c r="U83" i="31"/>
  <c r="U85" i="31" s="1"/>
  <c r="AM242" i="31" s="1"/>
  <c r="T83" i="31"/>
  <c r="T85" i="31" s="1"/>
  <c r="AL242" i="31" s="1"/>
  <c r="R5" i="31"/>
  <c r="S83" i="31"/>
  <c r="S85" i="31" s="1"/>
  <c r="R83" i="31"/>
  <c r="R85" i="31" s="1"/>
  <c r="Q5" i="31"/>
  <c r="P5" i="31"/>
  <c r="Q83" i="31"/>
  <c r="Q85" i="31" s="1"/>
  <c r="Q7" i="31" s="1"/>
  <c r="P83" i="31"/>
  <c r="P85" i="31" s="1"/>
  <c r="P86" i="31" s="1"/>
  <c r="N5" i="31"/>
  <c r="O83" i="31"/>
  <c r="O85" i="31" s="1"/>
  <c r="M5" i="31"/>
  <c r="AI66" i="31"/>
  <c r="N83" i="31"/>
  <c r="N85" i="31" s="1"/>
  <c r="L5" i="31"/>
  <c r="M83" i="31"/>
  <c r="M85" i="31" s="1"/>
  <c r="M86" i="31" s="1"/>
  <c r="K5" i="31"/>
  <c r="L83" i="31"/>
  <c r="L85" i="31" s="1"/>
  <c r="L7" i="31" s="1"/>
  <c r="J5" i="31"/>
  <c r="K83" i="31"/>
  <c r="K85" i="31" s="1"/>
  <c r="K7" i="31" s="1"/>
  <c r="I5" i="31"/>
  <c r="J83" i="31"/>
  <c r="J85" i="31" s="1"/>
  <c r="J7" i="31" s="1"/>
  <c r="H5" i="31"/>
  <c r="I83" i="31"/>
  <c r="I85" i="31" s="1"/>
  <c r="AA242" i="31" s="1"/>
  <c r="G5" i="31"/>
  <c r="H83" i="31"/>
  <c r="H85" i="31" s="1"/>
  <c r="H7" i="31" s="1"/>
  <c r="F5" i="31"/>
  <c r="G83" i="31"/>
  <c r="G85" i="31" s="1"/>
  <c r="G7" i="31" s="1"/>
  <c r="E5" i="31"/>
  <c r="F83" i="31"/>
  <c r="F85" i="31" s="1"/>
  <c r="X242" i="31" s="1"/>
  <c r="D5" i="31"/>
  <c r="E83" i="31"/>
  <c r="E85" i="31" s="1"/>
  <c r="E86" i="31" s="1"/>
  <c r="C5" i="31"/>
  <c r="D83" i="31"/>
  <c r="D85" i="31" s="1"/>
  <c r="V242" i="31" s="1"/>
  <c r="AI48" i="31"/>
  <c r="AI44" i="31"/>
  <c r="C83" i="31"/>
  <c r="C85" i="31" s="1"/>
  <c r="B5" i="31"/>
  <c r="AI62" i="31"/>
  <c r="AF5" i="31"/>
  <c r="AH48" i="31"/>
  <c r="R7" i="31"/>
  <c r="AJ242" i="31"/>
  <c r="R86" i="31"/>
  <c r="AA7" i="31"/>
  <c r="AS242" i="31"/>
  <c r="AA86" i="31"/>
  <c r="AI94" i="31"/>
  <c r="AH94" i="31"/>
  <c r="S7" i="31"/>
  <c r="AK242" i="31"/>
  <c r="S86" i="31"/>
  <c r="T86" i="31"/>
  <c r="T7" i="31"/>
  <c r="AU242" i="31"/>
  <c r="AC86" i="31"/>
  <c r="AC7" i="31"/>
  <c r="G222" i="31"/>
  <c r="AT242" i="31"/>
  <c r="AB86" i="31"/>
  <c r="AB7" i="31"/>
  <c r="E7" i="31"/>
  <c r="AE242" i="31"/>
  <c r="M7" i="31"/>
  <c r="AV242" i="31"/>
  <c r="AD86" i="31"/>
  <c r="AD7" i="31"/>
  <c r="J225" i="31"/>
  <c r="K225" i="31" s="1"/>
  <c r="L225" i="31" s="1"/>
  <c r="M225" i="31" s="1"/>
  <c r="N225" i="31" s="1"/>
  <c r="O225" i="31" s="1"/>
  <c r="P225" i="31" s="1"/>
  <c r="AF242" i="31"/>
  <c r="N86" i="31"/>
  <c r="N7" i="31"/>
  <c r="AN242" i="31"/>
  <c r="V86" i="31"/>
  <c r="V7" i="31"/>
  <c r="AW242" i="31"/>
  <c r="AE7" i="31"/>
  <c r="C7" i="31"/>
  <c r="U242" i="31"/>
  <c r="C86" i="31"/>
  <c r="Y242" i="31"/>
  <c r="G86" i="31"/>
  <c r="AO242" i="31"/>
  <c r="W7" i="31"/>
  <c r="AF86" i="31"/>
  <c r="AF7" i="31"/>
  <c r="AX242" i="31"/>
  <c r="Y7" i="31"/>
  <c r="AQ242" i="31"/>
  <c r="AG85" i="31"/>
  <c r="AG242" i="31"/>
  <c r="O86" i="31"/>
  <c r="O7" i="31"/>
  <c r="I86" i="31"/>
  <c r="I7" i="31"/>
  <c r="Q86" i="31"/>
  <c r="AI242" i="31"/>
  <c r="Z7" i="31"/>
  <c r="AR242" i="31"/>
  <c r="AH78" i="31"/>
  <c r="E228" i="31"/>
  <c r="D239" i="31"/>
  <c r="AH62" i="31"/>
  <c r="AI78" i="31"/>
  <c r="F227" i="31"/>
  <c r="F104" i="31" s="1"/>
  <c r="B83" i="31"/>
  <c r="AH44" i="31"/>
  <c r="AH66" i="31"/>
  <c r="Y83" i="30"/>
  <c r="X83" i="30"/>
  <c r="X85" i="30" s="1"/>
  <c r="X7" i="30" s="1"/>
  <c r="AH242" i="31" l="1"/>
  <c r="P7" i="31"/>
  <c r="U7" i="31"/>
  <c r="U86" i="31"/>
  <c r="L86" i="31"/>
  <c r="AD242" i="31"/>
  <c r="K86" i="31"/>
  <c r="B237" i="31"/>
  <c r="AC242" i="31"/>
  <c r="J86" i="31"/>
  <c r="AB242" i="31"/>
  <c r="C237" i="31"/>
  <c r="K6" i="31" s="1"/>
  <c r="Z242" i="31"/>
  <c r="H86" i="31"/>
  <c r="F7" i="31"/>
  <c r="F86" i="31"/>
  <c r="W242" i="31"/>
  <c r="D7" i="31"/>
  <c r="D86" i="31"/>
  <c r="H222" i="31"/>
  <c r="G104" i="31"/>
  <c r="E263" i="31"/>
  <c r="G227" i="31"/>
  <c r="F228" i="31"/>
  <c r="B85" i="31"/>
  <c r="AI83" i="31"/>
  <c r="AH83" i="31"/>
  <c r="F263" i="31" l="1"/>
  <c r="H227" i="31"/>
  <c r="G228" i="31"/>
  <c r="I222" i="31"/>
  <c r="H104" i="31"/>
  <c r="H228" i="31"/>
  <c r="AI85" i="31"/>
  <c r="AH85" i="31"/>
  <c r="B7" i="31"/>
  <c r="A7" i="31" s="1"/>
  <c r="T242" i="31"/>
  <c r="B86" i="31"/>
  <c r="J222" i="31" l="1"/>
  <c r="AI86" i="31"/>
  <c r="AH86" i="31"/>
  <c r="G263" i="31"/>
  <c r="I227" i="31"/>
  <c r="I104" i="31" s="1"/>
  <c r="K222" i="31" l="1"/>
  <c r="J104" i="31"/>
  <c r="H263" i="31"/>
  <c r="J227" i="31"/>
  <c r="K227" i="31" l="1"/>
  <c r="I263" i="31"/>
  <c r="L222" i="31"/>
  <c r="K104" i="31"/>
  <c r="M222" i="31" l="1"/>
  <c r="L104" i="31"/>
  <c r="J263" i="31"/>
  <c r="L227" i="31"/>
  <c r="N222" i="31" l="1"/>
  <c r="K263" i="31"/>
  <c r="M227" i="31"/>
  <c r="M104" i="31" s="1"/>
  <c r="L263" i="31" l="1"/>
  <c r="N227" i="31"/>
  <c r="O222" i="31"/>
  <c r="N104" i="31"/>
  <c r="P222" i="31" l="1"/>
  <c r="M263" i="31"/>
  <c r="O227" i="31"/>
  <c r="O104" i="31" s="1"/>
  <c r="AH104" i="31" l="1"/>
  <c r="AI104" i="31"/>
  <c r="N263" i="31"/>
  <c r="P227" i="31"/>
  <c r="O263" i="31" s="1"/>
  <c r="P62" i="30"/>
  <c r="I107" i="30"/>
  <c r="H107" i="30"/>
  <c r="G107" i="30" l="1"/>
  <c r="F107" i="30"/>
  <c r="D107" i="30" l="1"/>
  <c r="AF267" i="30"/>
  <c r="AE267" i="30"/>
  <c r="AD267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J267" i="30"/>
  <c r="I267" i="30"/>
  <c r="H267" i="30"/>
  <c r="G267" i="30"/>
  <c r="F267" i="30"/>
  <c r="E267" i="30"/>
  <c r="D267" i="30"/>
  <c r="C267" i="30"/>
  <c r="B267" i="30"/>
  <c r="A267" i="30"/>
  <c r="AF266" i="30"/>
  <c r="AE266" i="30"/>
  <c r="AD266" i="30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J266" i="30"/>
  <c r="I266" i="30"/>
  <c r="H266" i="30"/>
  <c r="G266" i="30"/>
  <c r="F266" i="30"/>
  <c r="E266" i="30"/>
  <c r="D266" i="30"/>
  <c r="C266" i="30"/>
  <c r="B266" i="30"/>
  <c r="A266" i="30"/>
  <c r="AF265" i="30"/>
  <c r="AE265" i="30"/>
  <c r="AD265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J265" i="30"/>
  <c r="I265" i="30"/>
  <c r="H265" i="30"/>
  <c r="G265" i="30"/>
  <c r="F265" i="30"/>
  <c r="E265" i="30"/>
  <c r="D265" i="30"/>
  <c r="C265" i="30"/>
  <c r="B265" i="30"/>
  <c r="A265" i="30"/>
  <c r="AF264" i="30"/>
  <c r="AE264" i="30"/>
  <c r="AD264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J264" i="30"/>
  <c r="I264" i="30"/>
  <c r="H264" i="30"/>
  <c r="G264" i="30"/>
  <c r="F264" i="30"/>
  <c r="E264" i="30"/>
  <c r="D264" i="30"/>
  <c r="C264" i="30"/>
  <c r="B264" i="30"/>
  <c r="A264" i="30"/>
  <c r="AE263" i="30"/>
  <c r="AD263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B263" i="30"/>
  <c r="AP242" i="30"/>
  <c r="S238" i="30"/>
  <c r="AG228" i="30"/>
  <c r="AF228" i="30"/>
  <c r="AE228" i="30"/>
  <c r="AD228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C228" i="30"/>
  <c r="E227" i="30"/>
  <c r="D263" i="30" s="1"/>
  <c r="D227" i="30"/>
  <c r="C263" i="30" s="1"/>
  <c r="B227" i="30"/>
  <c r="AF263" i="30" s="1"/>
  <c r="D226" i="30"/>
  <c r="E226" i="30" s="1"/>
  <c r="F226" i="30" s="1"/>
  <c r="G226" i="30" s="1"/>
  <c r="H226" i="30" s="1"/>
  <c r="I226" i="30" s="1"/>
  <c r="J226" i="30" s="1"/>
  <c r="K226" i="30" s="1"/>
  <c r="L226" i="30" s="1"/>
  <c r="M226" i="30" s="1"/>
  <c r="N226" i="30" s="1"/>
  <c r="O226" i="30" s="1"/>
  <c r="P226" i="30" s="1"/>
  <c r="B226" i="30"/>
  <c r="E225" i="30"/>
  <c r="F225" i="30" s="1"/>
  <c r="G225" i="30" s="1"/>
  <c r="H225" i="30" s="1"/>
  <c r="I225" i="30" s="1"/>
  <c r="D225" i="30"/>
  <c r="B225" i="30"/>
  <c r="D224" i="30"/>
  <c r="E224" i="30" s="1"/>
  <c r="F224" i="30" s="1"/>
  <c r="G224" i="30" s="1"/>
  <c r="H224" i="30" s="1"/>
  <c r="B224" i="30"/>
  <c r="D223" i="30"/>
  <c r="E223" i="30" s="1"/>
  <c r="F223" i="30" s="1"/>
  <c r="G223" i="30" s="1"/>
  <c r="H223" i="30" s="1"/>
  <c r="I223" i="30" s="1"/>
  <c r="J223" i="30" s="1"/>
  <c r="K223" i="30" s="1"/>
  <c r="L223" i="30" s="1"/>
  <c r="M223" i="30" s="1"/>
  <c r="N223" i="30" s="1"/>
  <c r="O223" i="30" s="1"/>
  <c r="P223" i="30" s="1"/>
  <c r="B223" i="30"/>
  <c r="D222" i="30"/>
  <c r="E222" i="30" s="1"/>
  <c r="B222" i="30"/>
  <c r="AG220" i="30"/>
  <c r="AF220" i="30"/>
  <c r="AE220" i="30"/>
  <c r="AD220" i="30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J220" i="30"/>
  <c r="I220" i="30"/>
  <c r="H220" i="30"/>
  <c r="G220" i="30"/>
  <c r="F220" i="30"/>
  <c r="E220" i="30"/>
  <c r="D220" i="30"/>
  <c r="C220" i="30"/>
  <c r="B220" i="30"/>
  <c r="AI113" i="30"/>
  <c r="AH113" i="30"/>
  <c r="AI112" i="30"/>
  <c r="AH112" i="30"/>
  <c r="AI111" i="30"/>
  <c r="AH111" i="30"/>
  <c r="AI110" i="30"/>
  <c r="AH110" i="30"/>
  <c r="AI109" i="30"/>
  <c r="AH109" i="30"/>
  <c r="AI108" i="30"/>
  <c r="AH108" i="30"/>
  <c r="AI107" i="30"/>
  <c r="AH107" i="30"/>
  <c r="AI106" i="30"/>
  <c r="AH106" i="30"/>
  <c r="AI105" i="30"/>
  <c r="AH105" i="30"/>
  <c r="AF104" i="30"/>
  <c r="AE104" i="30"/>
  <c r="AD104" i="30"/>
  <c r="AC104" i="30"/>
  <c r="AB104" i="30"/>
  <c r="AA104" i="30"/>
  <c r="Z104" i="30"/>
  <c r="Y104" i="30"/>
  <c r="W104" i="30"/>
  <c r="V104" i="30"/>
  <c r="U104" i="30"/>
  <c r="T104" i="30"/>
  <c r="S104" i="30"/>
  <c r="R104" i="30"/>
  <c r="Q104" i="30"/>
  <c r="D104" i="30"/>
  <c r="C104" i="30"/>
  <c r="B104" i="30"/>
  <c r="AI103" i="30"/>
  <c r="AH103" i="30"/>
  <c r="AI102" i="30"/>
  <c r="AH102" i="30"/>
  <c r="AI101" i="30"/>
  <c r="AH101" i="30"/>
  <c r="AI100" i="30"/>
  <c r="AH100" i="30"/>
  <c r="AI99" i="30"/>
  <c r="AH99" i="30"/>
  <c r="AI98" i="30"/>
  <c r="AH98" i="30"/>
  <c r="AI97" i="30"/>
  <c r="AH97" i="30"/>
  <c r="AI96" i="30"/>
  <c r="AH96" i="30"/>
  <c r="AI95" i="30"/>
  <c r="AH95" i="30"/>
  <c r="AI93" i="30"/>
  <c r="AH93" i="30"/>
  <c r="AI92" i="30"/>
  <c r="AH92" i="30"/>
  <c r="AI91" i="30"/>
  <c r="AH91" i="30"/>
  <c r="AI90" i="30"/>
  <c r="AH90" i="30"/>
  <c r="AI89" i="30"/>
  <c r="AH89" i="30"/>
  <c r="AI88" i="30"/>
  <c r="AH88" i="30"/>
  <c r="AI87" i="30"/>
  <c r="AH87" i="30"/>
  <c r="AI84" i="30"/>
  <c r="AH84" i="30"/>
  <c r="AI82" i="30"/>
  <c r="AH82" i="30"/>
  <c r="AG82" i="30"/>
  <c r="AI81" i="30"/>
  <c r="AH81" i="30"/>
  <c r="AI80" i="30"/>
  <c r="AH80" i="30"/>
  <c r="AI79" i="30"/>
  <c r="AH79" i="30"/>
  <c r="AN78" i="30"/>
  <c r="AG78" i="30"/>
  <c r="AF78" i="30"/>
  <c r="AF94" i="30" s="1"/>
  <c r="AE78" i="30"/>
  <c r="AE94" i="30" s="1"/>
  <c r="AD78" i="30"/>
  <c r="AD94" i="30" s="1"/>
  <c r="AC78" i="30"/>
  <c r="AC94" i="30" s="1"/>
  <c r="AB78" i="30"/>
  <c r="AB94" i="30" s="1"/>
  <c r="AA78" i="30"/>
  <c r="AA94" i="30" s="1"/>
  <c r="Z78" i="30"/>
  <c r="Z94" i="30" s="1"/>
  <c r="W78" i="30"/>
  <c r="W94" i="30" s="1"/>
  <c r="V78" i="30"/>
  <c r="V94" i="30" s="1"/>
  <c r="U78" i="30"/>
  <c r="U94" i="30" s="1"/>
  <c r="T78" i="30"/>
  <c r="T94" i="30" s="1"/>
  <c r="S78" i="30"/>
  <c r="S94" i="30" s="1"/>
  <c r="R78" i="30"/>
  <c r="R94" i="30" s="1"/>
  <c r="Q78" i="30"/>
  <c r="Q94" i="30" s="1"/>
  <c r="P78" i="30"/>
  <c r="P94" i="30" s="1"/>
  <c r="O78" i="30"/>
  <c r="O94" i="30" s="1"/>
  <c r="N78" i="30"/>
  <c r="N94" i="30" s="1"/>
  <c r="M78" i="30"/>
  <c r="M94" i="30" s="1"/>
  <c r="L78" i="30"/>
  <c r="L94" i="30" s="1"/>
  <c r="K78" i="30"/>
  <c r="K94" i="30" s="1"/>
  <c r="J78" i="30"/>
  <c r="J94" i="30" s="1"/>
  <c r="I78" i="30"/>
  <c r="I94" i="30" s="1"/>
  <c r="H78" i="30"/>
  <c r="H94" i="30" s="1"/>
  <c r="G78" i="30"/>
  <c r="G94" i="30" s="1"/>
  <c r="F78" i="30"/>
  <c r="F94" i="30" s="1"/>
  <c r="E78" i="30"/>
  <c r="E94" i="30" s="1"/>
  <c r="D78" i="30"/>
  <c r="D94" i="30" s="1"/>
  <c r="C78" i="30"/>
  <c r="C94" i="30" s="1"/>
  <c r="B78" i="30"/>
  <c r="B94" i="30" s="1"/>
  <c r="AI77" i="30"/>
  <c r="AH77" i="30"/>
  <c r="AN76" i="30"/>
  <c r="AI76" i="30"/>
  <c r="AH76" i="30"/>
  <c r="AN75" i="30"/>
  <c r="AI75" i="30"/>
  <c r="AH75" i="30"/>
  <c r="AI74" i="30"/>
  <c r="AH74" i="30"/>
  <c r="AI73" i="30"/>
  <c r="AH73" i="30"/>
  <c r="AI72" i="30"/>
  <c r="AH72" i="30"/>
  <c r="AI71" i="30"/>
  <c r="AH71" i="30"/>
  <c r="AI70" i="30"/>
  <c r="AH70" i="30"/>
  <c r="AI69" i="30"/>
  <c r="AH69" i="30"/>
  <c r="AI68" i="30"/>
  <c r="AH68" i="30"/>
  <c r="AI67" i="30"/>
  <c r="AH67" i="30"/>
  <c r="AG66" i="30"/>
  <c r="AF66" i="30"/>
  <c r="AE66" i="30"/>
  <c r="AD66" i="30"/>
  <c r="AC66" i="30"/>
  <c r="AB66" i="30"/>
  <c r="AA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AI65" i="30"/>
  <c r="AH65" i="30"/>
  <c r="AI64" i="30"/>
  <c r="AH64" i="30"/>
  <c r="AI63" i="30"/>
  <c r="AH63" i="30"/>
  <c r="W62" i="30"/>
  <c r="V62" i="30"/>
  <c r="U62" i="30"/>
  <c r="T62" i="30"/>
  <c r="S62" i="30"/>
  <c r="R62" i="30"/>
  <c r="Q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AI61" i="30"/>
  <c r="AH61" i="30"/>
  <c r="AG61" i="30"/>
  <c r="AG62" i="30" s="1"/>
  <c r="AG3" i="30" s="1"/>
  <c r="AI60" i="30"/>
  <c r="AH60" i="30"/>
  <c r="AI59" i="30"/>
  <c r="AH59" i="30"/>
  <c r="AI58" i="30"/>
  <c r="AH58" i="30"/>
  <c r="AI57" i="30"/>
  <c r="AH57" i="30"/>
  <c r="AI56" i="30"/>
  <c r="AH56" i="30"/>
  <c r="AI55" i="30"/>
  <c r="AH55" i="30"/>
  <c r="AI54" i="30"/>
  <c r="AH54" i="30"/>
  <c r="AI53" i="30"/>
  <c r="AH53" i="30"/>
  <c r="AI52" i="30"/>
  <c r="AH52" i="30"/>
  <c r="AI51" i="30"/>
  <c r="AH51" i="30"/>
  <c r="AI50" i="30"/>
  <c r="AH50" i="30"/>
  <c r="AI49" i="30"/>
  <c r="AH49" i="30"/>
  <c r="AG48" i="30"/>
  <c r="AF48" i="30"/>
  <c r="AE48" i="30"/>
  <c r="AD48" i="30"/>
  <c r="AC48" i="30"/>
  <c r="AB48" i="30"/>
  <c r="AA48" i="30"/>
  <c r="Z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B48" i="30"/>
  <c r="AI47" i="30"/>
  <c r="AH47" i="30"/>
  <c r="AI46" i="30"/>
  <c r="AH46" i="30"/>
  <c r="AI45" i="30"/>
  <c r="AH45" i="30"/>
  <c r="AG44" i="30"/>
  <c r="AG83" i="30" s="1"/>
  <c r="AF44" i="30"/>
  <c r="AE44" i="30"/>
  <c r="AD44" i="30"/>
  <c r="AC44" i="30"/>
  <c r="AB44" i="30"/>
  <c r="AA44" i="30"/>
  <c r="Z44" i="30"/>
  <c r="Y85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AI43" i="30"/>
  <c r="AH43" i="30"/>
  <c r="AI42" i="30"/>
  <c r="AH42" i="30"/>
  <c r="AI41" i="30"/>
  <c r="AH41" i="30"/>
  <c r="AI40" i="30"/>
  <c r="AH40" i="30"/>
  <c r="AI39" i="30"/>
  <c r="AH39" i="30"/>
  <c r="AI38" i="30"/>
  <c r="AH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X5" i="30"/>
  <c r="W5" i="30"/>
  <c r="N5" i="30"/>
  <c r="B5" i="30"/>
  <c r="AG4" i="30"/>
  <c r="K4" i="30"/>
  <c r="E4" i="30"/>
  <c r="H4" i="30" s="1"/>
  <c r="B4" i="30"/>
  <c r="S239" i="30" s="1"/>
  <c r="AG2" i="30"/>
  <c r="AB107" i="29"/>
  <c r="X78" i="29"/>
  <c r="Y78" i="29"/>
  <c r="X66" i="29"/>
  <c r="Y66" i="29"/>
  <c r="X62" i="29"/>
  <c r="Y62" i="29"/>
  <c r="X48" i="29"/>
  <c r="Y48" i="29"/>
  <c r="X44" i="29"/>
  <c r="Y44" i="29"/>
  <c r="F222" i="30" l="1"/>
  <c r="E104" i="30"/>
  <c r="D228" i="30"/>
  <c r="C83" i="30"/>
  <c r="C85" i="30" s="1"/>
  <c r="AN77" i="30"/>
  <c r="X83" i="29"/>
  <c r="X85" i="29" s="1"/>
  <c r="AG6" i="30"/>
  <c r="B228" i="30"/>
  <c r="Y83" i="29"/>
  <c r="Y85" i="29" s="1"/>
  <c r="AD5" i="30"/>
  <c r="AE5" i="30"/>
  <c r="AF83" i="30"/>
  <c r="AF85" i="30" s="1"/>
  <c r="AF86" i="30" s="1"/>
  <c r="AE83" i="30"/>
  <c r="AE85" i="30" s="1"/>
  <c r="AC5" i="30"/>
  <c r="AD83" i="30"/>
  <c r="AD85" i="30" s="1"/>
  <c r="AV242" i="30" s="1"/>
  <c r="AB5" i="30"/>
  <c r="AC83" i="30"/>
  <c r="AC85" i="30" s="1"/>
  <c r="AU242" i="30" s="1"/>
  <c r="AA5" i="30"/>
  <c r="AB83" i="30"/>
  <c r="AB85" i="30" s="1"/>
  <c r="AT242" i="30" s="1"/>
  <c r="Z5" i="30"/>
  <c r="AA83" i="30"/>
  <c r="AA85" i="30" s="1"/>
  <c r="AA7" i="30" s="1"/>
  <c r="Y5" i="30"/>
  <c r="Z83" i="30"/>
  <c r="Z85" i="30" s="1"/>
  <c r="Z86" i="30" s="1"/>
  <c r="V5" i="30"/>
  <c r="W83" i="30"/>
  <c r="W85" i="30" s="1"/>
  <c r="AO242" i="30" s="1"/>
  <c r="V83" i="30"/>
  <c r="V85" i="30" s="1"/>
  <c r="U5" i="30"/>
  <c r="U83" i="30"/>
  <c r="U85" i="30" s="1"/>
  <c r="T5" i="30"/>
  <c r="S5" i="30"/>
  <c r="T83" i="30"/>
  <c r="T85" i="30" s="1"/>
  <c r="T86" i="30" s="1"/>
  <c r="R5" i="30"/>
  <c r="S83" i="30"/>
  <c r="S85" i="30" s="1"/>
  <c r="S86" i="30" s="1"/>
  <c r="Q5" i="30"/>
  <c r="R83" i="30"/>
  <c r="R85" i="30" s="1"/>
  <c r="AJ242" i="30" s="1"/>
  <c r="P5" i="30"/>
  <c r="Q83" i="30"/>
  <c r="Q85" i="30" s="1"/>
  <c r="Q86" i="30" s="1"/>
  <c r="O5" i="30"/>
  <c r="P83" i="30"/>
  <c r="P85" i="30" s="1"/>
  <c r="P7" i="30" s="1"/>
  <c r="O83" i="30"/>
  <c r="O85" i="30" s="1"/>
  <c r="O86" i="30" s="1"/>
  <c r="M5" i="30"/>
  <c r="N83" i="30"/>
  <c r="N85" i="30" s="1"/>
  <c r="N7" i="30" s="1"/>
  <c r="L5" i="30"/>
  <c r="M83" i="30"/>
  <c r="M85" i="30" s="1"/>
  <c r="AI66" i="30"/>
  <c r="K5" i="30"/>
  <c r="L83" i="30"/>
  <c r="L85" i="30" s="1"/>
  <c r="L86" i="30" s="1"/>
  <c r="J5" i="30"/>
  <c r="K83" i="30"/>
  <c r="K85" i="30" s="1"/>
  <c r="AC242" i="30" s="1"/>
  <c r="J83" i="30"/>
  <c r="J85" i="30" s="1"/>
  <c r="I5" i="30"/>
  <c r="I83" i="30"/>
  <c r="I85" i="30" s="1"/>
  <c r="I7" i="30" s="1"/>
  <c r="H5" i="30"/>
  <c r="G5" i="30"/>
  <c r="H83" i="30"/>
  <c r="H85" i="30" s="1"/>
  <c r="H7" i="30" s="1"/>
  <c r="F5" i="30"/>
  <c r="G83" i="30"/>
  <c r="G85" i="30" s="1"/>
  <c r="AI62" i="30"/>
  <c r="E5" i="30"/>
  <c r="F83" i="30"/>
  <c r="F85" i="30" s="1"/>
  <c r="F7" i="30" s="1"/>
  <c r="D5" i="30"/>
  <c r="E83" i="30"/>
  <c r="E85" i="30" s="1"/>
  <c r="W242" i="30" s="1"/>
  <c r="C5" i="30"/>
  <c r="D83" i="30"/>
  <c r="D85" i="30" s="1"/>
  <c r="V242" i="30" s="1"/>
  <c r="AI48" i="30"/>
  <c r="AH48" i="30"/>
  <c r="AI44" i="30"/>
  <c r="AF5" i="30"/>
  <c r="AH62" i="30"/>
  <c r="AL242" i="30"/>
  <c r="G222" i="30"/>
  <c r="AF242" i="30"/>
  <c r="AN242" i="30"/>
  <c r="V86" i="30"/>
  <c r="V7" i="30"/>
  <c r="AW242" i="30"/>
  <c r="AE86" i="30"/>
  <c r="AE7" i="30"/>
  <c r="AM242" i="30"/>
  <c r="U86" i="30"/>
  <c r="U7" i="30"/>
  <c r="J225" i="30"/>
  <c r="K225" i="30" s="1"/>
  <c r="L225" i="30" s="1"/>
  <c r="M225" i="30" s="1"/>
  <c r="N225" i="30" s="1"/>
  <c r="O225" i="30" s="1"/>
  <c r="P225" i="30" s="1"/>
  <c r="Y242" i="30"/>
  <c r="W86" i="30"/>
  <c r="W7" i="30"/>
  <c r="AG85" i="30"/>
  <c r="AE242" i="30"/>
  <c r="M86" i="30"/>
  <c r="M7" i="30"/>
  <c r="J7" i="30"/>
  <c r="AB242" i="30"/>
  <c r="J86" i="30"/>
  <c r="AA86" i="30"/>
  <c r="AI94" i="30"/>
  <c r="AH94" i="30"/>
  <c r="Y86" i="30"/>
  <c r="Y7" i="30"/>
  <c r="AQ242" i="30"/>
  <c r="R7" i="30"/>
  <c r="C7" i="30"/>
  <c r="U242" i="30"/>
  <c r="C86" i="30"/>
  <c r="S7" i="30"/>
  <c r="AK242" i="30"/>
  <c r="AH78" i="30"/>
  <c r="E228" i="30"/>
  <c r="D239" i="30"/>
  <c r="AI78" i="30"/>
  <c r="F227" i="30"/>
  <c r="B83" i="30"/>
  <c r="AH44" i="30"/>
  <c r="AH66" i="30"/>
  <c r="P86" i="30" l="1"/>
  <c r="D7" i="30"/>
  <c r="AR242" i="30"/>
  <c r="Z7" i="30"/>
  <c r="AD7" i="30"/>
  <c r="AD86" i="30"/>
  <c r="AX242" i="30"/>
  <c r="AF7" i="30"/>
  <c r="AC7" i="30"/>
  <c r="AC86" i="30"/>
  <c r="AB7" i="30"/>
  <c r="AB86" i="30"/>
  <c r="AS242" i="30"/>
  <c r="T7" i="30"/>
  <c r="R86" i="30"/>
  <c r="AI242" i="30"/>
  <c r="Q7" i="30"/>
  <c r="AH242" i="30"/>
  <c r="N86" i="30"/>
  <c r="O7" i="30"/>
  <c r="AG242" i="30"/>
  <c r="AD242" i="30"/>
  <c r="L7" i="30"/>
  <c r="K7" i="30"/>
  <c r="K86" i="30"/>
  <c r="I86" i="30"/>
  <c r="AA242" i="30"/>
  <c r="H86" i="30"/>
  <c r="B237" i="30"/>
  <c r="C237" i="30"/>
  <c r="Z242" i="30"/>
  <c r="G7" i="30"/>
  <c r="G86" i="30"/>
  <c r="X242" i="30"/>
  <c r="F86" i="30"/>
  <c r="E7" i="30"/>
  <c r="E86" i="30"/>
  <c r="D86" i="30"/>
  <c r="E263" i="30"/>
  <c r="G227" i="30"/>
  <c r="G228" i="30" s="1"/>
  <c r="F228" i="30"/>
  <c r="B85" i="30"/>
  <c r="AI83" i="30"/>
  <c r="AH83" i="30"/>
  <c r="F104" i="30"/>
  <c r="H222" i="30"/>
  <c r="N66" i="29"/>
  <c r="K6" i="30" l="1"/>
  <c r="AI85" i="30"/>
  <c r="AH85" i="30"/>
  <c r="B7" i="30"/>
  <c r="A7" i="30" s="1"/>
  <c r="T242" i="30"/>
  <c r="B86" i="30"/>
  <c r="F263" i="30"/>
  <c r="H227" i="30"/>
  <c r="H104" i="30" s="1"/>
  <c r="I222" i="30"/>
  <c r="G104" i="30"/>
  <c r="H228" i="30" l="1"/>
  <c r="AI86" i="30"/>
  <c r="AH86" i="30"/>
  <c r="I104" i="30"/>
  <c r="J222" i="30"/>
  <c r="G263" i="30"/>
  <c r="I227" i="30"/>
  <c r="K222" i="30" l="1"/>
  <c r="J104" i="30"/>
  <c r="H263" i="30"/>
  <c r="J227" i="30"/>
  <c r="L222" i="30" l="1"/>
  <c r="K227" i="30"/>
  <c r="I263" i="30"/>
  <c r="J263" i="30" l="1"/>
  <c r="L227" i="30"/>
  <c r="K104" i="30"/>
  <c r="M222" i="30"/>
  <c r="L104" i="30"/>
  <c r="N222" i="30" l="1"/>
  <c r="K263" i="30"/>
  <c r="M227" i="30"/>
  <c r="L263" i="30" l="1"/>
  <c r="N227" i="30"/>
  <c r="M104" i="30"/>
  <c r="O222" i="30"/>
  <c r="N104" i="30"/>
  <c r="P222" i="30" l="1"/>
  <c r="M263" i="30"/>
  <c r="O227" i="30"/>
  <c r="D107" i="29"/>
  <c r="C107" i="29"/>
  <c r="B107" i="29"/>
  <c r="AF267" i="29"/>
  <c r="AE267" i="29"/>
  <c r="AD267" i="29"/>
  <c r="AC267" i="29"/>
  <c r="AB267" i="29"/>
  <c r="AA267" i="29"/>
  <c r="Z267" i="29"/>
  <c r="Y267" i="29"/>
  <c r="X267" i="29"/>
  <c r="W267" i="29"/>
  <c r="V267" i="29"/>
  <c r="U267" i="29"/>
  <c r="T267" i="29"/>
  <c r="S267" i="29"/>
  <c r="R267" i="29"/>
  <c r="Q267" i="29"/>
  <c r="P267" i="29"/>
  <c r="O267" i="29"/>
  <c r="N267" i="29"/>
  <c r="M267" i="29"/>
  <c r="L267" i="29"/>
  <c r="K267" i="29"/>
  <c r="J267" i="29"/>
  <c r="I267" i="29"/>
  <c r="H267" i="29"/>
  <c r="G267" i="29"/>
  <c r="F267" i="29"/>
  <c r="E267" i="29"/>
  <c r="D267" i="29"/>
  <c r="C267" i="29"/>
  <c r="B267" i="29"/>
  <c r="A267" i="29"/>
  <c r="AF266" i="29"/>
  <c r="AE266" i="29"/>
  <c r="AD266" i="29"/>
  <c r="AC266" i="29"/>
  <c r="AB266" i="29"/>
  <c r="AA266" i="29"/>
  <c r="Z266" i="29"/>
  <c r="Y266" i="29"/>
  <c r="X266" i="29"/>
  <c r="W266" i="29"/>
  <c r="V266" i="29"/>
  <c r="U266" i="29"/>
  <c r="T266" i="29"/>
  <c r="S266" i="29"/>
  <c r="R266" i="29"/>
  <c r="Q266" i="29"/>
  <c r="P266" i="29"/>
  <c r="O266" i="29"/>
  <c r="N266" i="29"/>
  <c r="M266" i="29"/>
  <c r="L266" i="29"/>
  <c r="K266" i="29"/>
  <c r="J266" i="29"/>
  <c r="I266" i="29"/>
  <c r="H266" i="29"/>
  <c r="G266" i="29"/>
  <c r="F266" i="29"/>
  <c r="E266" i="29"/>
  <c r="D266" i="29"/>
  <c r="C266" i="29"/>
  <c r="B266" i="29"/>
  <c r="A266" i="29"/>
  <c r="AF265" i="29"/>
  <c r="AE265" i="29"/>
  <c r="AD265" i="29"/>
  <c r="AC265" i="29"/>
  <c r="AB265" i="29"/>
  <c r="AA265" i="29"/>
  <c r="Z265" i="29"/>
  <c r="Y265" i="29"/>
  <c r="X265" i="29"/>
  <c r="W265" i="29"/>
  <c r="V265" i="29"/>
  <c r="U265" i="29"/>
  <c r="T265" i="29"/>
  <c r="S265" i="29"/>
  <c r="R265" i="29"/>
  <c r="Q265" i="29"/>
  <c r="P265" i="29"/>
  <c r="O265" i="29"/>
  <c r="N265" i="29"/>
  <c r="M265" i="29"/>
  <c r="L265" i="29"/>
  <c r="K265" i="29"/>
  <c r="J265" i="29"/>
  <c r="I265" i="29"/>
  <c r="H265" i="29"/>
  <c r="G265" i="29"/>
  <c r="F265" i="29"/>
  <c r="E265" i="29"/>
  <c r="D265" i="29"/>
  <c r="C265" i="29"/>
  <c r="B265" i="29"/>
  <c r="A265" i="29"/>
  <c r="AF264" i="29"/>
  <c r="AE264" i="29"/>
  <c r="AD264" i="29"/>
  <c r="AC264" i="29"/>
  <c r="AB264" i="29"/>
  <c r="AA264" i="29"/>
  <c r="Z264" i="29"/>
  <c r="Y264" i="29"/>
  <c r="X264" i="29"/>
  <c r="W264" i="29"/>
  <c r="V264" i="29"/>
  <c r="U264" i="29"/>
  <c r="T264" i="29"/>
  <c r="S264" i="29"/>
  <c r="R264" i="29"/>
  <c r="Q264" i="29"/>
  <c r="P264" i="29"/>
  <c r="O264" i="29"/>
  <c r="N264" i="29"/>
  <c r="M264" i="29"/>
  <c r="L264" i="29"/>
  <c r="K264" i="29"/>
  <c r="J264" i="29"/>
  <c r="I264" i="29"/>
  <c r="H264" i="29"/>
  <c r="G264" i="29"/>
  <c r="F264" i="29"/>
  <c r="E264" i="29"/>
  <c r="D264" i="29"/>
  <c r="C264" i="29"/>
  <c r="B264" i="29"/>
  <c r="A264" i="29"/>
  <c r="AE263" i="29"/>
  <c r="AD263" i="29"/>
  <c r="AC263" i="29"/>
  <c r="AB263" i="29"/>
  <c r="AA263" i="29"/>
  <c r="Z263" i="29"/>
  <c r="Y263" i="29"/>
  <c r="X263" i="29"/>
  <c r="W263" i="29"/>
  <c r="V263" i="29"/>
  <c r="U263" i="29"/>
  <c r="T263" i="29"/>
  <c r="S263" i="29"/>
  <c r="R263" i="29"/>
  <c r="Q263" i="29"/>
  <c r="P263" i="29"/>
  <c r="B263" i="29"/>
  <c r="AP242" i="29"/>
  <c r="S238" i="29"/>
  <c r="AG228" i="29"/>
  <c r="AG61" i="29" s="1"/>
  <c r="AG62" i="29" s="1"/>
  <c r="AG3" i="29" s="1"/>
  <c r="AF228" i="29"/>
  <c r="AE228" i="29"/>
  <c r="AD228" i="29"/>
  <c r="AC228" i="29"/>
  <c r="AB228" i="29"/>
  <c r="AA228" i="29"/>
  <c r="Z228" i="29"/>
  <c r="Y228" i="29"/>
  <c r="X228" i="29"/>
  <c r="W228" i="29"/>
  <c r="V228" i="29"/>
  <c r="U228" i="29"/>
  <c r="T228" i="29"/>
  <c r="S228" i="29"/>
  <c r="R228" i="29"/>
  <c r="Q228" i="29"/>
  <c r="C228" i="29"/>
  <c r="E227" i="29"/>
  <c r="D263" i="29" s="1"/>
  <c r="D227" i="29"/>
  <c r="C263" i="29" s="1"/>
  <c r="B227" i="29"/>
  <c r="AF263" i="29" s="1"/>
  <c r="E226" i="29"/>
  <c r="F226" i="29" s="1"/>
  <c r="G226" i="29" s="1"/>
  <c r="H226" i="29" s="1"/>
  <c r="I226" i="29" s="1"/>
  <c r="J226" i="29" s="1"/>
  <c r="K226" i="29" s="1"/>
  <c r="L226" i="29" s="1"/>
  <c r="M226" i="29" s="1"/>
  <c r="N226" i="29" s="1"/>
  <c r="O226" i="29" s="1"/>
  <c r="P226" i="29" s="1"/>
  <c r="D226" i="29"/>
  <c r="B226" i="29"/>
  <c r="D225" i="29"/>
  <c r="E225" i="29" s="1"/>
  <c r="F225" i="29" s="1"/>
  <c r="G225" i="29" s="1"/>
  <c r="H225" i="29" s="1"/>
  <c r="I225" i="29" s="1"/>
  <c r="B225" i="29"/>
  <c r="E224" i="29"/>
  <c r="F224" i="29" s="1"/>
  <c r="G224" i="29" s="1"/>
  <c r="H224" i="29" s="1"/>
  <c r="D224" i="29"/>
  <c r="B224" i="29"/>
  <c r="E223" i="29"/>
  <c r="F223" i="29" s="1"/>
  <c r="G223" i="29" s="1"/>
  <c r="H223" i="29" s="1"/>
  <c r="I223" i="29" s="1"/>
  <c r="J223" i="29" s="1"/>
  <c r="K223" i="29" s="1"/>
  <c r="L223" i="29" s="1"/>
  <c r="M223" i="29" s="1"/>
  <c r="N223" i="29" s="1"/>
  <c r="O223" i="29" s="1"/>
  <c r="P223" i="29" s="1"/>
  <c r="D223" i="29"/>
  <c r="B223" i="29"/>
  <c r="D222" i="29"/>
  <c r="B222" i="29"/>
  <c r="B104" i="29" s="1"/>
  <c r="AG220" i="29"/>
  <c r="AF220" i="29"/>
  <c r="AE220" i="29"/>
  <c r="AD220" i="29"/>
  <c r="AC220" i="29"/>
  <c r="AB220" i="29"/>
  <c r="AA220" i="29"/>
  <c r="Z220" i="29"/>
  <c r="Y220" i="29"/>
  <c r="X220" i="29"/>
  <c r="W220" i="29"/>
  <c r="V220" i="29"/>
  <c r="U220" i="29"/>
  <c r="T220" i="29"/>
  <c r="S220" i="29"/>
  <c r="R220" i="29"/>
  <c r="Q220" i="29"/>
  <c r="P220" i="29"/>
  <c r="O220" i="29"/>
  <c r="N220" i="29"/>
  <c r="M220" i="29"/>
  <c r="L220" i="29"/>
  <c r="K220" i="29"/>
  <c r="J220" i="29"/>
  <c r="I220" i="29"/>
  <c r="H220" i="29"/>
  <c r="G220" i="29"/>
  <c r="F220" i="29"/>
  <c r="E220" i="29"/>
  <c r="D220" i="29"/>
  <c r="C220" i="29"/>
  <c r="B220" i="29"/>
  <c r="AI113" i="29"/>
  <c r="AH113" i="29"/>
  <c r="AI112" i="29"/>
  <c r="AH112" i="29"/>
  <c r="AI111" i="29"/>
  <c r="AH111" i="29"/>
  <c r="AI110" i="29"/>
  <c r="AH110" i="29"/>
  <c r="AI109" i="29"/>
  <c r="AH109" i="29"/>
  <c r="AI108" i="29"/>
  <c r="AH108" i="29"/>
  <c r="AI107" i="29"/>
  <c r="AH107" i="29"/>
  <c r="AI106" i="29"/>
  <c r="AH106" i="29"/>
  <c r="AI105" i="29"/>
  <c r="AH105" i="29"/>
  <c r="AF104" i="29"/>
  <c r="AE104" i="29"/>
  <c r="AD104" i="29"/>
  <c r="AC104" i="29"/>
  <c r="AB104" i="29"/>
  <c r="AA104" i="29"/>
  <c r="Z104" i="29"/>
  <c r="Y104" i="29"/>
  <c r="W104" i="29"/>
  <c r="V104" i="29"/>
  <c r="U104" i="29"/>
  <c r="T104" i="29"/>
  <c r="S104" i="29"/>
  <c r="R104" i="29"/>
  <c r="Q104" i="29"/>
  <c r="D104" i="29"/>
  <c r="C104" i="29"/>
  <c r="AI103" i="29"/>
  <c r="AH103" i="29"/>
  <c r="AI102" i="29"/>
  <c r="AH102" i="29"/>
  <c r="AI101" i="29"/>
  <c r="AH101" i="29"/>
  <c r="AI100" i="29"/>
  <c r="AH100" i="29"/>
  <c r="AI99" i="29"/>
  <c r="AH99" i="29"/>
  <c r="AI98" i="29"/>
  <c r="AH98" i="29"/>
  <c r="AI97" i="29"/>
  <c r="AH97" i="29"/>
  <c r="AI96" i="29"/>
  <c r="AH96" i="29"/>
  <c r="AI95" i="29"/>
  <c r="AH95" i="29"/>
  <c r="AI93" i="29"/>
  <c r="AH93" i="29"/>
  <c r="AI92" i="29"/>
  <c r="AH92" i="29"/>
  <c r="AI91" i="29"/>
  <c r="AH91" i="29"/>
  <c r="AI90" i="29"/>
  <c r="AH90" i="29"/>
  <c r="AI89" i="29"/>
  <c r="AH89" i="29"/>
  <c r="AI88" i="29"/>
  <c r="AH88" i="29"/>
  <c r="AI87" i="29"/>
  <c r="AH87" i="29"/>
  <c r="AI84" i="29"/>
  <c r="AH84" i="29"/>
  <c r="AI82" i="29"/>
  <c r="AH82" i="29"/>
  <c r="AG82" i="29"/>
  <c r="AI81" i="29"/>
  <c r="AH81" i="29"/>
  <c r="AI80" i="29"/>
  <c r="AH80" i="29"/>
  <c r="AI79" i="29"/>
  <c r="AH79" i="29"/>
  <c r="AN78" i="29"/>
  <c r="AG78" i="29"/>
  <c r="AF78" i="29"/>
  <c r="AF94" i="29" s="1"/>
  <c r="AE78" i="29"/>
  <c r="AE94" i="29" s="1"/>
  <c r="AD78" i="29"/>
  <c r="AC5" i="29" s="1"/>
  <c r="AC78" i="29"/>
  <c r="AB5" i="29" s="1"/>
  <c r="AB78" i="29"/>
  <c r="AB94" i="29" s="1"/>
  <c r="AA78" i="29"/>
  <c r="AA94" i="29" s="1"/>
  <c r="Z78" i="29"/>
  <c r="Z94" i="29" s="1"/>
  <c r="Y94" i="29"/>
  <c r="W78" i="29"/>
  <c r="V5" i="29" s="1"/>
  <c r="V78" i="29"/>
  <c r="U5" i="29" s="1"/>
  <c r="U78" i="29"/>
  <c r="T5" i="29" s="1"/>
  <c r="T78" i="29"/>
  <c r="T94" i="29" s="1"/>
  <c r="S78" i="29"/>
  <c r="S94" i="29" s="1"/>
  <c r="R78" i="29"/>
  <c r="R94" i="29" s="1"/>
  <c r="Q78" i="29"/>
  <c r="Q94" i="29" s="1"/>
  <c r="P78" i="29"/>
  <c r="P94" i="29" s="1"/>
  <c r="O78" i="29"/>
  <c r="O94" i="29" s="1"/>
  <c r="N78" i="29"/>
  <c r="M5" i="29" s="1"/>
  <c r="M78" i="29"/>
  <c r="L5" i="29" s="1"/>
  <c r="L78" i="29"/>
  <c r="L94" i="29" s="1"/>
  <c r="K78" i="29"/>
  <c r="K94" i="29" s="1"/>
  <c r="J78" i="29"/>
  <c r="J94" i="29" s="1"/>
  <c r="I78" i="29"/>
  <c r="H5" i="29" s="1"/>
  <c r="H78" i="29"/>
  <c r="G5" i="29" s="1"/>
  <c r="G78" i="29"/>
  <c r="G94" i="29" s="1"/>
  <c r="F78" i="29"/>
  <c r="E5" i="29" s="1"/>
  <c r="E78" i="29"/>
  <c r="D5" i="29" s="1"/>
  <c r="D78" i="29"/>
  <c r="D94" i="29" s="1"/>
  <c r="C78" i="29"/>
  <c r="C94" i="29" s="1"/>
  <c r="B78" i="29"/>
  <c r="B94" i="29" s="1"/>
  <c r="AI77" i="29"/>
  <c r="AH77" i="29"/>
  <c r="AN76" i="29"/>
  <c r="AI76" i="29"/>
  <c r="AH76" i="29"/>
  <c r="AN75" i="29"/>
  <c r="AN77" i="29" s="1"/>
  <c r="AI75" i="29"/>
  <c r="AH75" i="29"/>
  <c r="AI74" i="29"/>
  <c r="AH74" i="29"/>
  <c r="AI73" i="29"/>
  <c r="AH73" i="29"/>
  <c r="AI72" i="29"/>
  <c r="AH72" i="29"/>
  <c r="AI71" i="29"/>
  <c r="AH71" i="29"/>
  <c r="AI70" i="29"/>
  <c r="AH70" i="29"/>
  <c r="AI69" i="29"/>
  <c r="AH69" i="29"/>
  <c r="AI68" i="29"/>
  <c r="AH68" i="29"/>
  <c r="AI67" i="29"/>
  <c r="AH67" i="29"/>
  <c r="AG66" i="29"/>
  <c r="AF66" i="29"/>
  <c r="AE66" i="29"/>
  <c r="AD66" i="29"/>
  <c r="AC66" i="29"/>
  <c r="AB66" i="29"/>
  <c r="AA66" i="29"/>
  <c r="Z66" i="29"/>
  <c r="W66" i="29"/>
  <c r="V66" i="29"/>
  <c r="U66" i="29"/>
  <c r="T66" i="29"/>
  <c r="S66" i="29"/>
  <c r="R66" i="29"/>
  <c r="Q66" i="29"/>
  <c r="P66" i="29"/>
  <c r="O66" i="29"/>
  <c r="M66" i="29"/>
  <c r="L66" i="29"/>
  <c r="AI65" i="29"/>
  <c r="AH65" i="29"/>
  <c r="AI64" i="29"/>
  <c r="AH64" i="29"/>
  <c r="AI63" i="29"/>
  <c r="AH63" i="29"/>
  <c r="AF62" i="29"/>
  <c r="AE62" i="29"/>
  <c r="AD62" i="29"/>
  <c r="AC62" i="29"/>
  <c r="AB62" i="29"/>
  <c r="AA62" i="29"/>
  <c r="Z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AI61" i="29"/>
  <c r="AH61" i="29"/>
  <c r="AI60" i="29"/>
  <c r="AH60" i="29"/>
  <c r="AI59" i="29"/>
  <c r="AH59" i="29"/>
  <c r="AI58" i="29"/>
  <c r="AH58" i="29"/>
  <c r="AI57" i="29"/>
  <c r="AH57" i="29"/>
  <c r="AI56" i="29"/>
  <c r="AH56" i="29"/>
  <c r="AI55" i="29"/>
  <c r="AH55" i="29"/>
  <c r="AI54" i="29"/>
  <c r="AH54" i="29"/>
  <c r="AI53" i="29"/>
  <c r="AH53" i="29"/>
  <c r="AI52" i="29"/>
  <c r="AH52" i="29"/>
  <c r="AI51" i="29"/>
  <c r="AH51" i="29"/>
  <c r="AI50" i="29"/>
  <c r="AH50" i="29"/>
  <c r="AI49" i="29"/>
  <c r="AH49" i="29"/>
  <c r="AG48" i="29"/>
  <c r="AF48" i="29"/>
  <c r="AE48" i="29"/>
  <c r="AD48" i="29"/>
  <c r="AC48" i="29"/>
  <c r="AB48" i="29"/>
  <c r="AA48" i="29"/>
  <c r="Z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I47" i="29"/>
  <c r="AH47" i="29"/>
  <c r="AI46" i="29"/>
  <c r="AH46" i="29"/>
  <c r="AI45" i="29"/>
  <c r="AH45" i="29"/>
  <c r="AG44" i="29"/>
  <c r="AF44" i="29"/>
  <c r="AE44" i="29"/>
  <c r="AD44" i="29"/>
  <c r="AC44" i="29"/>
  <c r="AB44" i="29"/>
  <c r="AA44" i="29"/>
  <c r="Z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I43" i="29"/>
  <c r="AH43" i="29"/>
  <c r="AI42" i="29"/>
  <c r="AH42" i="29"/>
  <c r="AI41" i="29"/>
  <c r="AH41" i="29"/>
  <c r="AI40" i="29"/>
  <c r="AH40" i="29"/>
  <c r="AI39" i="29"/>
  <c r="AH39" i="29"/>
  <c r="AI38" i="29"/>
  <c r="AH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X7" i="29"/>
  <c r="AE5" i="29"/>
  <c r="Z5" i="29"/>
  <c r="W5" i="29"/>
  <c r="S5" i="29"/>
  <c r="R5" i="29"/>
  <c r="Q5" i="29"/>
  <c r="O5" i="29"/>
  <c r="N5" i="29"/>
  <c r="AG4" i="29"/>
  <c r="K4" i="29"/>
  <c r="E4" i="29"/>
  <c r="H4" i="29" s="1"/>
  <c r="B4" i="29"/>
  <c r="S239" i="29" s="1"/>
  <c r="AG2" i="29"/>
  <c r="AB107" i="28"/>
  <c r="AA107" i="28"/>
  <c r="Z107" i="28"/>
  <c r="X107" i="28"/>
  <c r="Y107" i="28"/>
  <c r="AH107" i="28" s="1"/>
  <c r="W107" i="28"/>
  <c r="V107" i="28"/>
  <c r="T107" i="28"/>
  <c r="S107" i="28"/>
  <c r="L48" i="28"/>
  <c r="M48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E267" i="28"/>
  <c r="D267" i="28"/>
  <c r="C267" i="28"/>
  <c r="B267" i="28"/>
  <c r="A267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E266" i="28"/>
  <c r="D266" i="28"/>
  <c r="C266" i="28"/>
  <c r="B266" i="28"/>
  <c r="A266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E265" i="28"/>
  <c r="D265" i="28"/>
  <c r="C265" i="28"/>
  <c r="B265" i="28"/>
  <c r="A265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E264" i="28"/>
  <c r="D264" i="28"/>
  <c r="C264" i="28"/>
  <c r="B264" i="28"/>
  <c r="A264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B263" i="28"/>
  <c r="AP242" i="28"/>
  <c r="S23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C228" i="28"/>
  <c r="D227" i="28"/>
  <c r="C263" i="28" s="1"/>
  <c r="B227" i="28"/>
  <c r="AF263" i="28" s="1"/>
  <c r="D226" i="28"/>
  <c r="E226" i="28" s="1"/>
  <c r="F226" i="28" s="1"/>
  <c r="G226" i="28" s="1"/>
  <c r="H226" i="28" s="1"/>
  <c r="I226" i="28" s="1"/>
  <c r="J226" i="28" s="1"/>
  <c r="K226" i="28" s="1"/>
  <c r="L226" i="28" s="1"/>
  <c r="M226" i="28" s="1"/>
  <c r="N226" i="28" s="1"/>
  <c r="O226" i="28" s="1"/>
  <c r="P226" i="28" s="1"/>
  <c r="B226" i="28"/>
  <c r="E225" i="28"/>
  <c r="F225" i="28" s="1"/>
  <c r="G225" i="28" s="1"/>
  <c r="H225" i="28" s="1"/>
  <c r="I225" i="28" s="1"/>
  <c r="D225" i="28"/>
  <c r="B225" i="28"/>
  <c r="D224" i="28"/>
  <c r="E224" i="28" s="1"/>
  <c r="F224" i="28" s="1"/>
  <c r="G224" i="28" s="1"/>
  <c r="H224" i="28" s="1"/>
  <c r="B224" i="28"/>
  <c r="E223" i="28"/>
  <c r="F223" i="28" s="1"/>
  <c r="G223" i="28" s="1"/>
  <c r="H223" i="28" s="1"/>
  <c r="I223" i="28" s="1"/>
  <c r="J223" i="28" s="1"/>
  <c r="K223" i="28" s="1"/>
  <c r="L223" i="28" s="1"/>
  <c r="M223" i="28" s="1"/>
  <c r="N223" i="28" s="1"/>
  <c r="O223" i="28" s="1"/>
  <c r="P223" i="28" s="1"/>
  <c r="D223" i="28"/>
  <c r="B223" i="28"/>
  <c r="D222" i="28"/>
  <c r="E222" i="28" s="1"/>
  <c r="B222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E220" i="28"/>
  <c r="D220" i="28"/>
  <c r="C220" i="28"/>
  <c r="B220" i="28"/>
  <c r="AI113" i="28"/>
  <c r="AH113" i="28"/>
  <c r="AI112" i="28"/>
  <c r="AH112" i="28"/>
  <c r="AI111" i="28"/>
  <c r="AH111" i="28"/>
  <c r="AI110" i="28"/>
  <c r="AH110" i="28"/>
  <c r="AI109" i="28"/>
  <c r="AH109" i="28"/>
  <c r="AI108" i="28"/>
  <c r="AH108" i="28"/>
  <c r="AI106" i="28"/>
  <c r="AH106" i="28"/>
  <c r="AI105" i="28"/>
  <c r="AH105" i="28"/>
  <c r="AF104" i="28"/>
  <c r="AE104" i="28"/>
  <c r="AD104" i="28"/>
  <c r="AC104" i="28"/>
  <c r="AB104" i="28"/>
  <c r="AA104" i="28"/>
  <c r="Z104" i="28"/>
  <c r="W104" i="28"/>
  <c r="V104" i="28"/>
  <c r="U104" i="28"/>
  <c r="T104" i="28"/>
  <c r="S104" i="28"/>
  <c r="R104" i="28"/>
  <c r="Q104" i="28"/>
  <c r="D104" i="28"/>
  <c r="C104" i="28"/>
  <c r="AI103" i="28"/>
  <c r="AH103" i="28"/>
  <c r="AI102" i="28"/>
  <c r="AH102" i="28"/>
  <c r="AI101" i="28"/>
  <c r="AH101" i="28"/>
  <c r="AI100" i="28"/>
  <c r="AH100" i="28"/>
  <c r="AI99" i="28"/>
  <c r="AH99" i="28"/>
  <c r="AI98" i="28"/>
  <c r="AH98" i="28"/>
  <c r="AI97" i="28"/>
  <c r="AH97" i="28"/>
  <c r="AI96" i="28"/>
  <c r="AH96" i="28"/>
  <c r="AI95" i="28"/>
  <c r="AH95" i="28"/>
  <c r="AI93" i="28"/>
  <c r="AH93" i="28"/>
  <c r="AI92" i="28"/>
  <c r="AH92" i="28"/>
  <c r="AI91" i="28"/>
  <c r="AH91" i="28"/>
  <c r="AI90" i="28"/>
  <c r="AH90" i="28"/>
  <c r="AI89" i="28"/>
  <c r="AH89" i="28"/>
  <c r="AI88" i="28"/>
  <c r="AH88" i="28"/>
  <c r="AI87" i="28"/>
  <c r="AH87" i="28"/>
  <c r="AI84" i="28"/>
  <c r="AH84" i="28"/>
  <c r="AI82" i="28"/>
  <c r="AH82" i="28"/>
  <c r="AG82" i="28"/>
  <c r="AI81" i="28"/>
  <c r="AH81" i="28"/>
  <c r="AI80" i="28"/>
  <c r="AH80" i="28"/>
  <c r="AI79" i="28"/>
  <c r="AH79" i="28"/>
  <c r="AN78" i="28"/>
  <c r="AG78" i="28"/>
  <c r="AF78" i="28"/>
  <c r="AF94" i="28" s="1"/>
  <c r="AE78" i="28"/>
  <c r="AE94" i="28" s="1"/>
  <c r="AD78" i="28"/>
  <c r="AD94" i="28" s="1"/>
  <c r="AC78" i="28"/>
  <c r="AC94" i="28" s="1"/>
  <c r="AB78" i="28"/>
  <c r="AB94" i="28" s="1"/>
  <c r="AA78" i="28"/>
  <c r="AA94" i="28" s="1"/>
  <c r="Z78" i="28"/>
  <c r="Z94" i="28" s="1"/>
  <c r="Y78" i="28"/>
  <c r="Y94" i="28" s="1"/>
  <c r="W78" i="28"/>
  <c r="W94" i="28" s="1"/>
  <c r="V78" i="28"/>
  <c r="V94" i="28" s="1"/>
  <c r="U78" i="28"/>
  <c r="T5" i="28" s="1"/>
  <c r="T78" i="28"/>
  <c r="T94" i="28" s="1"/>
  <c r="S78" i="28"/>
  <c r="S94" i="28" s="1"/>
  <c r="R78" i="28"/>
  <c r="R94" i="28" s="1"/>
  <c r="Q78" i="28"/>
  <c r="Q94" i="28" s="1"/>
  <c r="P78" i="28"/>
  <c r="P94" i="28" s="1"/>
  <c r="O78" i="28"/>
  <c r="O94" i="28" s="1"/>
  <c r="N78" i="28"/>
  <c r="N94" i="28" s="1"/>
  <c r="M78" i="28"/>
  <c r="M94" i="28" s="1"/>
  <c r="L78" i="28"/>
  <c r="L94" i="28" s="1"/>
  <c r="K78" i="28"/>
  <c r="K94" i="28" s="1"/>
  <c r="J78" i="28"/>
  <c r="J94" i="28" s="1"/>
  <c r="I78" i="28"/>
  <c r="I94" i="28" s="1"/>
  <c r="H78" i="28"/>
  <c r="H94" i="28" s="1"/>
  <c r="G78" i="28"/>
  <c r="G94" i="28" s="1"/>
  <c r="F78" i="28"/>
  <c r="F94" i="28" s="1"/>
  <c r="E78" i="28"/>
  <c r="E94" i="28" s="1"/>
  <c r="D78" i="28"/>
  <c r="D94" i="28" s="1"/>
  <c r="C78" i="28"/>
  <c r="C94" i="28" s="1"/>
  <c r="B78" i="28"/>
  <c r="B94" i="28" s="1"/>
  <c r="AI77" i="28"/>
  <c r="AH77" i="28"/>
  <c r="AN76" i="28"/>
  <c r="AI76" i="28"/>
  <c r="AH76" i="28"/>
  <c r="AN75" i="28"/>
  <c r="AN77" i="28" s="1"/>
  <c r="AI75" i="28"/>
  <c r="AH75" i="28"/>
  <c r="AI74" i="28"/>
  <c r="AH74" i="28"/>
  <c r="AI73" i="28"/>
  <c r="AH73" i="28"/>
  <c r="AI72" i="28"/>
  <c r="AH72" i="28"/>
  <c r="AI71" i="28"/>
  <c r="AH71" i="28"/>
  <c r="AI70" i="28"/>
  <c r="AH70" i="28"/>
  <c r="AI69" i="28"/>
  <c r="AH69" i="28"/>
  <c r="AI68" i="28"/>
  <c r="AH68" i="28"/>
  <c r="AI67" i="28"/>
  <c r="AH67" i="28"/>
  <c r="AG66" i="28"/>
  <c r="AF66" i="28"/>
  <c r="AE66" i="28"/>
  <c r="AD66" i="28"/>
  <c r="AC66" i="28"/>
  <c r="AB66" i="28"/>
  <c r="AA66" i="28"/>
  <c r="Z66" i="28"/>
  <c r="Y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AI65" i="28"/>
  <c r="AH65" i="28"/>
  <c r="AI64" i="28"/>
  <c r="AH64" i="28"/>
  <c r="AI63" i="28"/>
  <c r="AH63" i="28"/>
  <c r="AF62" i="28"/>
  <c r="AE62" i="28"/>
  <c r="AD62" i="28"/>
  <c r="AC62" i="28"/>
  <c r="AB62" i="28"/>
  <c r="AA62" i="28"/>
  <c r="Z62" i="28"/>
  <c r="Y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AI61" i="28"/>
  <c r="AH61" i="28"/>
  <c r="AG61" i="28"/>
  <c r="AG62" i="28" s="1"/>
  <c r="AG3" i="28" s="1"/>
  <c r="AI60" i="28"/>
  <c r="AH60" i="28"/>
  <c r="AI59" i="28"/>
  <c r="AH59" i="28"/>
  <c r="AI58" i="28"/>
  <c r="AH58" i="28"/>
  <c r="AI57" i="28"/>
  <c r="AH57" i="28"/>
  <c r="AI56" i="28"/>
  <c r="AH56" i="28"/>
  <c r="AI55" i="28"/>
  <c r="AH55" i="28"/>
  <c r="AI54" i="28"/>
  <c r="AH54" i="28"/>
  <c r="AI53" i="28"/>
  <c r="AH53" i="28"/>
  <c r="AI52" i="28"/>
  <c r="AH52" i="28"/>
  <c r="AI51" i="28"/>
  <c r="AH51" i="28"/>
  <c r="AI50" i="28"/>
  <c r="AH50" i="28"/>
  <c r="AI49" i="28"/>
  <c r="AH49" i="28"/>
  <c r="AG48" i="28"/>
  <c r="AF48" i="28"/>
  <c r="AE48" i="28"/>
  <c r="AD48" i="28"/>
  <c r="AC48" i="28"/>
  <c r="AB48" i="28"/>
  <c r="AA48" i="28"/>
  <c r="Z48" i="28"/>
  <c r="Y48" i="28"/>
  <c r="W48" i="28"/>
  <c r="V48" i="28"/>
  <c r="U48" i="28"/>
  <c r="T48" i="28"/>
  <c r="S48" i="28"/>
  <c r="R48" i="28"/>
  <c r="Q48" i="28"/>
  <c r="P48" i="28"/>
  <c r="O48" i="28"/>
  <c r="N48" i="28"/>
  <c r="K48" i="28"/>
  <c r="J48" i="28"/>
  <c r="I48" i="28"/>
  <c r="H48" i="28"/>
  <c r="G48" i="28"/>
  <c r="F48" i="28"/>
  <c r="E48" i="28"/>
  <c r="D48" i="28"/>
  <c r="C48" i="28"/>
  <c r="B48" i="28"/>
  <c r="AI47" i="28"/>
  <c r="AH47" i="28"/>
  <c r="AI46" i="28"/>
  <c r="AH46" i="28"/>
  <c r="AI45" i="28"/>
  <c r="AH45" i="28"/>
  <c r="AG44" i="28"/>
  <c r="AG83" i="28" s="1"/>
  <c r="AF44" i="28"/>
  <c r="AE44" i="28"/>
  <c r="AD44" i="28"/>
  <c r="AC44" i="28"/>
  <c r="AB44" i="28"/>
  <c r="AA44" i="28"/>
  <c r="Z44" i="28"/>
  <c r="Y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I83" i="28" s="1"/>
  <c r="I85" i="28" s="1"/>
  <c r="H44" i="28"/>
  <c r="G44" i="28"/>
  <c r="F44" i="28"/>
  <c r="F83" i="28" s="1"/>
  <c r="F85" i="28" s="1"/>
  <c r="E44" i="28"/>
  <c r="D44" i="28"/>
  <c r="C44" i="28"/>
  <c r="B44" i="28"/>
  <c r="AI43" i="28"/>
  <c r="AH43" i="28"/>
  <c r="AI42" i="28"/>
  <c r="AH42" i="28"/>
  <c r="AI41" i="28"/>
  <c r="AH41" i="28"/>
  <c r="AI40" i="28"/>
  <c r="AH40" i="28"/>
  <c r="AI39" i="28"/>
  <c r="AH39" i="28"/>
  <c r="AI38" i="28"/>
  <c r="AH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X7" i="28"/>
  <c r="Y5" i="28"/>
  <c r="X5" i="28"/>
  <c r="W5" i="28"/>
  <c r="G5" i="28"/>
  <c r="AG4" i="28"/>
  <c r="K4" i="28"/>
  <c r="E4" i="28"/>
  <c r="H4" i="28" s="1"/>
  <c r="B4" i="28"/>
  <c r="D239" i="28" s="1"/>
  <c r="AG2" i="28"/>
  <c r="Z107" i="27"/>
  <c r="Z48" i="27"/>
  <c r="Y107" i="27"/>
  <c r="Y104" i="27" s="1"/>
  <c r="W107" i="27"/>
  <c r="V107" i="27"/>
  <c r="G106" i="25"/>
  <c r="H106" i="25"/>
  <c r="I106" i="25"/>
  <c r="J106" i="25"/>
  <c r="K106" i="25"/>
  <c r="L106" i="25"/>
  <c r="G107" i="25"/>
  <c r="H107" i="25"/>
  <c r="I107" i="25"/>
  <c r="J107" i="25"/>
  <c r="K107" i="25"/>
  <c r="L107" i="25"/>
  <c r="T107" i="27"/>
  <c r="S107" i="27"/>
  <c r="AI107" i="27" s="1"/>
  <c r="Q107" i="27"/>
  <c r="P107" i="27"/>
  <c r="D107" i="27"/>
  <c r="C107" i="27"/>
  <c r="B107" i="27"/>
  <c r="AF267" i="27"/>
  <c r="AE267" i="27"/>
  <c r="AD267" i="27"/>
  <c r="AC267" i="27"/>
  <c r="AB267" i="27"/>
  <c r="AA267" i="27"/>
  <c r="Z267" i="27"/>
  <c r="Y267" i="27"/>
  <c r="X267" i="27"/>
  <c r="W267" i="27"/>
  <c r="V267" i="27"/>
  <c r="U267" i="27"/>
  <c r="T267" i="27"/>
  <c r="S267" i="27"/>
  <c r="R267" i="27"/>
  <c r="Q267" i="27"/>
  <c r="P267" i="27"/>
  <c r="O267" i="27"/>
  <c r="N267" i="27"/>
  <c r="M267" i="27"/>
  <c r="L267" i="27"/>
  <c r="K267" i="27"/>
  <c r="J267" i="27"/>
  <c r="I267" i="27"/>
  <c r="H267" i="27"/>
  <c r="G267" i="27"/>
  <c r="F267" i="27"/>
  <c r="E267" i="27"/>
  <c r="D267" i="27"/>
  <c r="C267" i="27"/>
  <c r="B267" i="27"/>
  <c r="A267" i="27"/>
  <c r="AF266" i="27"/>
  <c r="AE266" i="27"/>
  <c r="AD266" i="27"/>
  <c r="AC266" i="27"/>
  <c r="AB266" i="27"/>
  <c r="AA266" i="27"/>
  <c r="Z266" i="27"/>
  <c r="Y266" i="27"/>
  <c r="X266" i="27"/>
  <c r="W266" i="27"/>
  <c r="V266" i="27"/>
  <c r="U266" i="27"/>
  <c r="T266" i="27"/>
  <c r="S266" i="27"/>
  <c r="R266" i="27"/>
  <c r="Q266" i="27"/>
  <c r="P266" i="27"/>
  <c r="O266" i="27"/>
  <c r="N266" i="27"/>
  <c r="M266" i="27"/>
  <c r="L266" i="27"/>
  <c r="K266" i="27"/>
  <c r="J266" i="27"/>
  <c r="I266" i="27"/>
  <c r="H266" i="27"/>
  <c r="G266" i="27"/>
  <c r="F266" i="27"/>
  <c r="E266" i="27"/>
  <c r="D266" i="27"/>
  <c r="C266" i="27"/>
  <c r="B266" i="27"/>
  <c r="A266" i="27"/>
  <c r="AF265" i="27"/>
  <c r="AE265" i="27"/>
  <c r="AD265" i="27"/>
  <c r="AC265" i="27"/>
  <c r="AB265" i="27"/>
  <c r="AA265" i="27"/>
  <c r="Z265" i="27"/>
  <c r="Y265" i="27"/>
  <c r="X265" i="27"/>
  <c r="W265" i="27"/>
  <c r="V265" i="27"/>
  <c r="U265" i="27"/>
  <c r="T265" i="27"/>
  <c r="S265" i="27"/>
  <c r="R265" i="27"/>
  <c r="Q265" i="27"/>
  <c r="P265" i="27"/>
  <c r="O265" i="27"/>
  <c r="N265" i="27"/>
  <c r="M265" i="27"/>
  <c r="L265" i="27"/>
  <c r="K265" i="27"/>
  <c r="J265" i="27"/>
  <c r="I265" i="27"/>
  <c r="H265" i="27"/>
  <c r="G265" i="27"/>
  <c r="F265" i="27"/>
  <c r="E265" i="27"/>
  <c r="D265" i="27"/>
  <c r="C265" i="27"/>
  <c r="B265" i="27"/>
  <c r="A265" i="27"/>
  <c r="AF264" i="27"/>
  <c r="AE264" i="27"/>
  <c r="AD264" i="27"/>
  <c r="AC264" i="27"/>
  <c r="AB264" i="27"/>
  <c r="AA264" i="27"/>
  <c r="Z264" i="27"/>
  <c r="Y264" i="27"/>
  <c r="X264" i="27"/>
  <c r="W264" i="27"/>
  <c r="V264" i="27"/>
  <c r="U264" i="27"/>
  <c r="T264" i="27"/>
  <c r="S264" i="27"/>
  <c r="R264" i="27"/>
  <c r="Q264" i="27"/>
  <c r="P264" i="27"/>
  <c r="O264" i="27"/>
  <c r="N264" i="27"/>
  <c r="M264" i="27"/>
  <c r="L264" i="27"/>
  <c r="K264" i="27"/>
  <c r="J264" i="27"/>
  <c r="I264" i="27"/>
  <c r="H264" i="27"/>
  <c r="G264" i="27"/>
  <c r="F264" i="27"/>
  <c r="E264" i="27"/>
  <c r="D264" i="27"/>
  <c r="C264" i="27"/>
  <c r="B264" i="27"/>
  <c r="A264" i="27"/>
  <c r="AE263" i="27"/>
  <c r="AD263" i="27"/>
  <c r="AC263" i="27"/>
  <c r="AB263" i="27"/>
  <c r="AA263" i="27"/>
  <c r="Z263" i="27"/>
  <c r="Y263" i="27"/>
  <c r="X263" i="27"/>
  <c r="W263" i="27"/>
  <c r="V263" i="27"/>
  <c r="U263" i="27"/>
  <c r="T263" i="27"/>
  <c r="S263" i="27"/>
  <c r="R263" i="27"/>
  <c r="Q263" i="27"/>
  <c r="P263" i="27"/>
  <c r="B263" i="27"/>
  <c r="AP242" i="27"/>
  <c r="S238" i="27"/>
  <c r="AG228" i="27"/>
  <c r="AF228" i="27"/>
  <c r="AE228" i="27"/>
  <c r="AD228" i="27"/>
  <c r="AC228" i="27"/>
  <c r="AB228" i="27"/>
  <c r="AA228" i="27"/>
  <c r="Z228" i="27"/>
  <c r="Y228" i="27"/>
  <c r="X228" i="27"/>
  <c r="W228" i="27"/>
  <c r="V228" i="27"/>
  <c r="U228" i="27"/>
  <c r="T228" i="27"/>
  <c r="S228" i="27"/>
  <c r="R228" i="27"/>
  <c r="Q228" i="27"/>
  <c r="C228" i="27"/>
  <c r="D227" i="27"/>
  <c r="C263" i="27" s="1"/>
  <c r="B227" i="27"/>
  <c r="AF263" i="27" s="1"/>
  <c r="D226" i="27"/>
  <c r="E226" i="27" s="1"/>
  <c r="F226" i="27" s="1"/>
  <c r="G226" i="27" s="1"/>
  <c r="H226" i="27" s="1"/>
  <c r="I226" i="27" s="1"/>
  <c r="J226" i="27" s="1"/>
  <c r="K226" i="27" s="1"/>
  <c r="L226" i="27" s="1"/>
  <c r="M226" i="27" s="1"/>
  <c r="N226" i="27" s="1"/>
  <c r="O226" i="27" s="1"/>
  <c r="P226" i="27" s="1"/>
  <c r="B226" i="27"/>
  <c r="E225" i="27"/>
  <c r="F225" i="27" s="1"/>
  <c r="G225" i="27" s="1"/>
  <c r="H225" i="27" s="1"/>
  <c r="I225" i="27" s="1"/>
  <c r="D225" i="27"/>
  <c r="B225" i="27"/>
  <c r="D224" i="27"/>
  <c r="E224" i="27" s="1"/>
  <c r="F224" i="27" s="1"/>
  <c r="G224" i="27" s="1"/>
  <c r="H224" i="27" s="1"/>
  <c r="B224" i="27"/>
  <c r="D223" i="27"/>
  <c r="E223" i="27" s="1"/>
  <c r="F223" i="27" s="1"/>
  <c r="G223" i="27" s="1"/>
  <c r="H223" i="27" s="1"/>
  <c r="I223" i="27" s="1"/>
  <c r="J223" i="27" s="1"/>
  <c r="K223" i="27" s="1"/>
  <c r="L223" i="27" s="1"/>
  <c r="M223" i="27" s="1"/>
  <c r="N223" i="27" s="1"/>
  <c r="O223" i="27" s="1"/>
  <c r="P223" i="27" s="1"/>
  <c r="B223" i="27"/>
  <c r="D222" i="27"/>
  <c r="E222" i="27" s="1"/>
  <c r="B222" i="27"/>
  <c r="AG220" i="27"/>
  <c r="AF220" i="27"/>
  <c r="AE220" i="27"/>
  <c r="AD220" i="27"/>
  <c r="AC220" i="27"/>
  <c r="AB220" i="27"/>
  <c r="AA220" i="27"/>
  <c r="Z220" i="27"/>
  <c r="Y220" i="27"/>
  <c r="X220" i="27"/>
  <c r="W220" i="27"/>
  <c r="V220" i="27"/>
  <c r="U220" i="27"/>
  <c r="T220" i="27"/>
  <c r="S220" i="27"/>
  <c r="R220" i="27"/>
  <c r="Q220" i="27"/>
  <c r="P220" i="27"/>
  <c r="O220" i="27"/>
  <c r="N220" i="27"/>
  <c r="M220" i="27"/>
  <c r="L220" i="27"/>
  <c r="K220" i="27"/>
  <c r="J220" i="27"/>
  <c r="I220" i="27"/>
  <c r="H220" i="27"/>
  <c r="G220" i="27"/>
  <c r="F220" i="27"/>
  <c r="E220" i="27"/>
  <c r="D220" i="27"/>
  <c r="C220" i="27"/>
  <c r="B220" i="27"/>
  <c r="AI113" i="27"/>
  <c r="AH113" i="27"/>
  <c r="AI112" i="27"/>
  <c r="AH112" i="27"/>
  <c r="AI111" i="27"/>
  <c r="AH111" i="27"/>
  <c r="AI110" i="27"/>
  <c r="AH110" i="27"/>
  <c r="AI109" i="27"/>
  <c r="AH109" i="27"/>
  <c r="AI108" i="27"/>
  <c r="AH108" i="27"/>
  <c r="AI106" i="27"/>
  <c r="AH106" i="27"/>
  <c r="AI105" i="27"/>
  <c r="AH105" i="27"/>
  <c r="AF104" i="27"/>
  <c r="AE104" i="27"/>
  <c r="AD104" i="27"/>
  <c r="AC104" i="27"/>
  <c r="AB104" i="27"/>
  <c r="AA104" i="27"/>
  <c r="Z104" i="27"/>
  <c r="W104" i="27"/>
  <c r="V104" i="27"/>
  <c r="U104" i="27"/>
  <c r="T104" i="27"/>
  <c r="R104" i="27"/>
  <c r="Q104" i="27"/>
  <c r="C104" i="27"/>
  <c r="AI103" i="27"/>
  <c r="AH103" i="27"/>
  <c r="AI102" i="27"/>
  <c r="AH102" i="27"/>
  <c r="AI101" i="27"/>
  <c r="AH101" i="27"/>
  <c r="AI100" i="27"/>
  <c r="AH100" i="27"/>
  <c r="AI99" i="27"/>
  <c r="AH99" i="27"/>
  <c r="AI98" i="27"/>
  <c r="AH98" i="27"/>
  <c r="AI97" i="27"/>
  <c r="AH97" i="27"/>
  <c r="AI96" i="27"/>
  <c r="AH96" i="27"/>
  <c r="AI95" i="27"/>
  <c r="AH95" i="27"/>
  <c r="AI93" i="27"/>
  <c r="AH93" i="27"/>
  <c r="AI92" i="27"/>
  <c r="AH92" i="27"/>
  <c r="AI91" i="27"/>
  <c r="AH91" i="27"/>
  <c r="AI90" i="27"/>
  <c r="AH90" i="27"/>
  <c r="AI89" i="27"/>
  <c r="AH89" i="27"/>
  <c r="AI88" i="27"/>
  <c r="AH88" i="27"/>
  <c r="AI87" i="27"/>
  <c r="AH87" i="27"/>
  <c r="AI84" i="27"/>
  <c r="AH84" i="27"/>
  <c r="AI82" i="27"/>
  <c r="AH82" i="27"/>
  <c r="AG82" i="27"/>
  <c r="AI81" i="27"/>
  <c r="AH81" i="27"/>
  <c r="AI80" i="27"/>
  <c r="AH80" i="27"/>
  <c r="AI79" i="27"/>
  <c r="AH79" i="27"/>
  <c r="AG78" i="27"/>
  <c r="AF78" i="27"/>
  <c r="AF94" i="27" s="1"/>
  <c r="AE78" i="27"/>
  <c r="AE94" i="27" s="1"/>
  <c r="AD78" i="27"/>
  <c r="AD94" i="27" s="1"/>
  <c r="AC78" i="27"/>
  <c r="AC94" i="27" s="1"/>
  <c r="AB78" i="27"/>
  <c r="AA5" i="27" s="1"/>
  <c r="AA78" i="27"/>
  <c r="Z5" i="27" s="1"/>
  <c r="Z78" i="27"/>
  <c r="Z94" i="27" s="1"/>
  <c r="Y78" i="27"/>
  <c r="Y94" i="27" s="1"/>
  <c r="W78" i="27"/>
  <c r="W94" i="27" s="1"/>
  <c r="V78" i="27"/>
  <c r="V94" i="27" s="1"/>
  <c r="U78" i="27"/>
  <c r="U94" i="27" s="1"/>
  <c r="T78" i="27"/>
  <c r="T94" i="27" s="1"/>
  <c r="S78" i="27"/>
  <c r="S94" i="27" s="1"/>
  <c r="R78" i="27"/>
  <c r="Q5" i="27" s="1"/>
  <c r="Q78" i="27"/>
  <c r="Q94" i="27" s="1"/>
  <c r="P78" i="27"/>
  <c r="P94" i="27" s="1"/>
  <c r="O78" i="27"/>
  <c r="O94" i="27" s="1"/>
  <c r="N78" i="27"/>
  <c r="N94" i="27" s="1"/>
  <c r="M78" i="27"/>
  <c r="M94" i="27" s="1"/>
  <c r="L78" i="27"/>
  <c r="L94" i="27" s="1"/>
  <c r="K78" i="27"/>
  <c r="K94" i="27" s="1"/>
  <c r="J78" i="27"/>
  <c r="I5" i="27" s="1"/>
  <c r="I78" i="27"/>
  <c r="I94" i="27" s="1"/>
  <c r="H78" i="27"/>
  <c r="H94" i="27" s="1"/>
  <c r="G78" i="27"/>
  <c r="G94" i="27" s="1"/>
  <c r="F78" i="27"/>
  <c r="F94" i="27" s="1"/>
  <c r="E78" i="27"/>
  <c r="E94" i="27" s="1"/>
  <c r="D78" i="27"/>
  <c r="D94" i="27" s="1"/>
  <c r="C78" i="27"/>
  <c r="B5" i="27" s="1"/>
  <c r="AI77" i="27"/>
  <c r="AH77" i="27"/>
  <c r="AI76" i="27"/>
  <c r="AH76" i="27"/>
  <c r="AN77" i="27"/>
  <c r="AN78" i="27" s="1"/>
  <c r="AI75" i="27"/>
  <c r="AH75" i="27"/>
  <c r="AI74" i="27"/>
  <c r="AH74" i="27"/>
  <c r="AI73" i="27"/>
  <c r="AH73" i="27"/>
  <c r="AI72" i="27"/>
  <c r="AH72" i="27"/>
  <c r="AI71" i="27"/>
  <c r="AH71" i="27"/>
  <c r="AI70" i="27"/>
  <c r="AH70" i="27"/>
  <c r="AI69" i="27"/>
  <c r="AH69" i="27"/>
  <c r="AI68" i="27"/>
  <c r="AH68" i="27"/>
  <c r="AI67" i="27"/>
  <c r="AH67" i="27"/>
  <c r="AG66" i="27"/>
  <c r="AF66" i="27"/>
  <c r="AE66" i="27"/>
  <c r="AD66" i="27"/>
  <c r="AC66" i="27"/>
  <c r="AB66" i="27"/>
  <c r="AA66" i="27"/>
  <c r="Z66" i="27"/>
  <c r="Y66" i="27"/>
  <c r="V66" i="27"/>
  <c r="U66" i="27"/>
  <c r="T66" i="27"/>
  <c r="S66" i="27"/>
  <c r="R66" i="27"/>
  <c r="Q66" i="27"/>
  <c r="P66" i="27"/>
  <c r="O66" i="27"/>
  <c r="N66" i="27"/>
  <c r="M66" i="27"/>
  <c r="L66" i="27"/>
  <c r="AI65" i="27"/>
  <c r="AH65" i="27"/>
  <c r="AI64" i="27"/>
  <c r="AH64" i="27"/>
  <c r="AI63" i="27"/>
  <c r="AH63" i="27"/>
  <c r="AF62" i="27"/>
  <c r="AE62" i="27"/>
  <c r="AD62" i="27"/>
  <c r="AC62" i="27"/>
  <c r="AB62" i="27"/>
  <c r="AA62" i="27"/>
  <c r="Z62" i="27"/>
  <c r="Y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AI61" i="27"/>
  <c r="AH61" i="27"/>
  <c r="AG61" i="27"/>
  <c r="AG62" i="27" s="1"/>
  <c r="AG3" i="27" s="1"/>
  <c r="AI60" i="27"/>
  <c r="AH60" i="27"/>
  <c r="AI59" i="27"/>
  <c r="AH59" i="27"/>
  <c r="AI58" i="27"/>
  <c r="AH58" i="27"/>
  <c r="AI57" i="27"/>
  <c r="AH57" i="27"/>
  <c r="AI56" i="27"/>
  <c r="AH56" i="27"/>
  <c r="AI55" i="27"/>
  <c r="AH55" i="27"/>
  <c r="AI54" i="27"/>
  <c r="AH54" i="27"/>
  <c r="AI53" i="27"/>
  <c r="AH53" i="27"/>
  <c r="AI52" i="27"/>
  <c r="AH52" i="27"/>
  <c r="AI51" i="27"/>
  <c r="AH51" i="27"/>
  <c r="AI50" i="27"/>
  <c r="AH50" i="27"/>
  <c r="AI49" i="27"/>
  <c r="AH49" i="27"/>
  <c r="AG48" i="27"/>
  <c r="AF48" i="27"/>
  <c r="AE48" i="27"/>
  <c r="AD48" i="27"/>
  <c r="AC48" i="27"/>
  <c r="AB48" i="27"/>
  <c r="AA48" i="27"/>
  <c r="Y48" i="27"/>
  <c r="W48" i="27"/>
  <c r="V48" i="27"/>
  <c r="U48" i="27"/>
  <c r="T48" i="27"/>
  <c r="S48" i="27"/>
  <c r="R48" i="27"/>
  <c r="Q48" i="27"/>
  <c r="P48" i="27"/>
  <c r="O48" i="27"/>
  <c r="N48" i="27"/>
  <c r="M48" i="27"/>
  <c r="L48" i="27"/>
  <c r="K48" i="27"/>
  <c r="J48" i="27"/>
  <c r="I48" i="27"/>
  <c r="H48" i="27"/>
  <c r="G48" i="27"/>
  <c r="F48" i="27"/>
  <c r="E48" i="27"/>
  <c r="D48" i="27"/>
  <c r="C48" i="27"/>
  <c r="AI47" i="27"/>
  <c r="AH47" i="27"/>
  <c r="AI46" i="27"/>
  <c r="AH46" i="27"/>
  <c r="AI45" i="27"/>
  <c r="AH45" i="27"/>
  <c r="AG44" i="27"/>
  <c r="AF44" i="27"/>
  <c r="AE44" i="27"/>
  <c r="AD44" i="27"/>
  <c r="AC44" i="27"/>
  <c r="AB44" i="27"/>
  <c r="AA44" i="27"/>
  <c r="Z44" i="27"/>
  <c r="Y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AI43" i="27"/>
  <c r="AH43" i="27"/>
  <c r="AI42" i="27"/>
  <c r="AH42" i="27"/>
  <c r="AI41" i="27"/>
  <c r="AH41" i="27"/>
  <c r="AI40" i="27"/>
  <c r="AH40" i="27"/>
  <c r="AI39" i="27"/>
  <c r="AH39" i="27"/>
  <c r="AI38" i="27"/>
  <c r="AH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X7" i="27"/>
  <c r="AF5" i="27"/>
  <c r="W5" i="27"/>
  <c r="AG4" i="27"/>
  <c r="K4" i="27"/>
  <c r="E4" i="27"/>
  <c r="H4" i="27" s="1"/>
  <c r="B4" i="27"/>
  <c r="S239" i="27" s="1"/>
  <c r="AG2" i="27"/>
  <c r="AG6" i="27" s="1"/>
  <c r="AF107" i="26"/>
  <c r="AE107" i="26"/>
  <c r="AE44" i="26"/>
  <c r="AE48" i="26"/>
  <c r="AE62" i="26"/>
  <c r="AE66" i="26"/>
  <c r="AE78" i="26"/>
  <c r="AD107" i="26"/>
  <c r="AC107" i="26"/>
  <c r="X78" i="26"/>
  <c r="X94" i="26" s="1"/>
  <c r="X66" i="26"/>
  <c r="X62" i="26"/>
  <c r="X48" i="26"/>
  <c r="X44" i="26"/>
  <c r="AI107" i="28" l="1"/>
  <c r="AG85" i="27"/>
  <c r="S104" i="27"/>
  <c r="B228" i="27"/>
  <c r="AG83" i="29"/>
  <c r="AG6" i="29"/>
  <c r="Y104" i="28"/>
  <c r="X83" i="26"/>
  <c r="X85" i="26" s="1"/>
  <c r="X86" i="26" s="1"/>
  <c r="AG6" i="28"/>
  <c r="E227" i="28"/>
  <c r="D263" i="28" s="1"/>
  <c r="AB5" i="28"/>
  <c r="AG85" i="28"/>
  <c r="B228" i="28"/>
  <c r="D228" i="28"/>
  <c r="D228" i="29"/>
  <c r="F227" i="29"/>
  <c r="D104" i="27"/>
  <c r="D228" i="27"/>
  <c r="T83" i="29"/>
  <c r="T85" i="29" s="1"/>
  <c r="T7" i="29" s="1"/>
  <c r="E222" i="29"/>
  <c r="B228" i="29"/>
  <c r="N263" i="30"/>
  <c r="P227" i="30"/>
  <c r="O263" i="30" s="1"/>
  <c r="O104" i="30"/>
  <c r="AF83" i="29"/>
  <c r="AF85" i="29" s="1"/>
  <c r="AF7" i="29" s="1"/>
  <c r="AE83" i="29"/>
  <c r="AE85" i="29" s="1"/>
  <c r="AE7" i="29" s="1"/>
  <c r="AD83" i="29"/>
  <c r="AD85" i="29" s="1"/>
  <c r="AV242" i="29" s="1"/>
  <c r="AC83" i="29"/>
  <c r="AC85" i="29" s="1"/>
  <c r="AC7" i="29" s="1"/>
  <c r="AA5" i="29"/>
  <c r="AB83" i="29"/>
  <c r="AB85" i="29" s="1"/>
  <c r="AT242" i="29" s="1"/>
  <c r="AA83" i="29"/>
  <c r="AA85" i="29" s="1"/>
  <c r="AA7" i="29" s="1"/>
  <c r="Z83" i="29"/>
  <c r="Z85" i="29" s="1"/>
  <c r="Z7" i="29" s="1"/>
  <c r="Y5" i="29"/>
  <c r="X5" i="29"/>
  <c r="Y86" i="29"/>
  <c r="W94" i="29"/>
  <c r="W83" i="29"/>
  <c r="V83" i="29"/>
  <c r="V85" i="29" s="1"/>
  <c r="V86" i="29" s="1"/>
  <c r="U83" i="29"/>
  <c r="U85" i="29" s="1"/>
  <c r="U86" i="29" s="1"/>
  <c r="S83" i="29"/>
  <c r="S85" i="29" s="1"/>
  <c r="AK242" i="29" s="1"/>
  <c r="R83" i="29"/>
  <c r="R85" i="29" s="1"/>
  <c r="R86" i="29" s="1"/>
  <c r="P5" i="29"/>
  <c r="Q83" i="29"/>
  <c r="Q85" i="29" s="1"/>
  <c r="Q86" i="29" s="1"/>
  <c r="P83" i="29"/>
  <c r="P85" i="29" s="1"/>
  <c r="P86" i="29" s="1"/>
  <c r="O83" i="29"/>
  <c r="O85" i="29" s="1"/>
  <c r="AG242" i="29" s="1"/>
  <c r="AI66" i="29"/>
  <c r="N83" i="29"/>
  <c r="N85" i="29" s="1"/>
  <c r="N86" i="29" s="1"/>
  <c r="M83" i="29"/>
  <c r="M85" i="29" s="1"/>
  <c r="AE242" i="29" s="1"/>
  <c r="K5" i="29"/>
  <c r="L83" i="29"/>
  <c r="L85" i="29" s="1"/>
  <c r="AD242" i="29" s="1"/>
  <c r="J5" i="29"/>
  <c r="K83" i="29"/>
  <c r="K85" i="29" s="1"/>
  <c r="K86" i="29" s="1"/>
  <c r="I5" i="29"/>
  <c r="J83" i="29"/>
  <c r="J85" i="29" s="1"/>
  <c r="J7" i="29" s="1"/>
  <c r="I94" i="29"/>
  <c r="I83" i="29"/>
  <c r="I85" i="29" s="1"/>
  <c r="I86" i="29" s="1"/>
  <c r="H94" i="29"/>
  <c r="H83" i="29"/>
  <c r="H85" i="29" s="1"/>
  <c r="H7" i="29" s="1"/>
  <c r="F5" i="29"/>
  <c r="G83" i="29"/>
  <c r="G85" i="29" s="1"/>
  <c r="Y242" i="29" s="1"/>
  <c r="F83" i="29"/>
  <c r="F85" i="29" s="1"/>
  <c r="F7" i="29" s="1"/>
  <c r="E83" i="29"/>
  <c r="E85" i="29" s="1"/>
  <c r="W242" i="29" s="1"/>
  <c r="C5" i="29"/>
  <c r="AI62" i="29"/>
  <c r="D83" i="29"/>
  <c r="D85" i="29" s="1"/>
  <c r="V242" i="29" s="1"/>
  <c r="AI48" i="29"/>
  <c r="AI44" i="29"/>
  <c r="B5" i="29"/>
  <c r="AH48" i="29"/>
  <c r="C83" i="29"/>
  <c r="C85" i="29" s="1"/>
  <c r="U242" i="29" s="1"/>
  <c r="AF5" i="29"/>
  <c r="B83" i="29"/>
  <c r="B85" i="29" s="1"/>
  <c r="AE5" i="28"/>
  <c r="AF83" i="28"/>
  <c r="AF85" i="28" s="1"/>
  <c r="AL242" i="29"/>
  <c r="T86" i="29"/>
  <c r="R7" i="29"/>
  <c r="Q7" i="29"/>
  <c r="Z86" i="29"/>
  <c r="AR242" i="29"/>
  <c r="AD86" i="29"/>
  <c r="AD7" i="29"/>
  <c r="O7" i="29"/>
  <c r="O86" i="29"/>
  <c r="AG85" i="29"/>
  <c r="J225" i="29"/>
  <c r="K225" i="29" s="1"/>
  <c r="L225" i="29" s="1"/>
  <c r="M225" i="29" s="1"/>
  <c r="N225" i="29" s="1"/>
  <c r="O225" i="29" s="1"/>
  <c r="P225" i="29" s="1"/>
  <c r="E228" i="29"/>
  <c r="AD5" i="29"/>
  <c r="AH78" i="29"/>
  <c r="AC94" i="29"/>
  <c r="D239" i="29"/>
  <c r="AH62" i="29"/>
  <c r="AI78" i="29"/>
  <c r="E94" i="29"/>
  <c r="M94" i="29"/>
  <c r="U94" i="29"/>
  <c r="AD94" i="29"/>
  <c r="F94" i="29"/>
  <c r="N94" i="29"/>
  <c r="V94" i="29"/>
  <c r="AH44" i="29"/>
  <c r="AH66" i="29"/>
  <c r="AD5" i="28"/>
  <c r="AE83" i="28"/>
  <c r="AE85" i="28" s="1"/>
  <c r="AW242" i="28" s="1"/>
  <c r="AC5" i="28"/>
  <c r="AD83" i="28"/>
  <c r="AD85" i="28" s="1"/>
  <c r="AD86" i="28" s="1"/>
  <c r="AC83" i="28"/>
  <c r="AC85" i="28" s="1"/>
  <c r="AU242" i="28" s="1"/>
  <c r="AA5" i="28"/>
  <c r="AB83" i="28"/>
  <c r="AB85" i="28" s="1"/>
  <c r="AA83" i="28"/>
  <c r="AA85" i="28" s="1"/>
  <c r="Z83" i="28"/>
  <c r="Z85" i="28" s="1"/>
  <c r="Z86" i="28" s="1"/>
  <c r="Y83" i="28"/>
  <c r="Y85" i="28" s="1"/>
  <c r="Y7" i="28" s="1"/>
  <c r="V5" i="28"/>
  <c r="W83" i="28"/>
  <c r="W85" i="28" s="1"/>
  <c r="AO242" i="28" s="1"/>
  <c r="U5" i="28"/>
  <c r="V83" i="28"/>
  <c r="V85" i="28" s="1"/>
  <c r="AN242" i="28" s="1"/>
  <c r="U94" i="28"/>
  <c r="U83" i="28"/>
  <c r="U85" i="28" s="1"/>
  <c r="S5" i="28"/>
  <c r="T83" i="28"/>
  <c r="T85" i="28" s="1"/>
  <c r="T7" i="28" s="1"/>
  <c r="R5" i="28"/>
  <c r="S83" i="28"/>
  <c r="S85" i="28" s="1"/>
  <c r="AK242" i="28" s="1"/>
  <c r="R83" i="28"/>
  <c r="R85" i="28" s="1"/>
  <c r="R7" i="28" s="1"/>
  <c r="P5" i="28"/>
  <c r="Q83" i="28"/>
  <c r="Q85" i="28" s="1"/>
  <c r="O5" i="28"/>
  <c r="P83" i="28"/>
  <c r="P85" i="28" s="1"/>
  <c r="N5" i="28"/>
  <c r="AI66" i="28"/>
  <c r="O83" i="28"/>
  <c r="O85" i="28" s="1"/>
  <c r="AG242" i="28" s="1"/>
  <c r="M5" i="28"/>
  <c r="N83" i="28"/>
  <c r="N85" i="28" s="1"/>
  <c r="N7" i="28" s="1"/>
  <c r="L5" i="28"/>
  <c r="M83" i="28"/>
  <c r="M85" i="28" s="1"/>
  <c r="M86" i="28" s="1"/>
  <c r="J5" i="28"/>
  <c r="K5" i="28"/>
  <c r="L83" i="28"/>
  <c r="L85" i="28" s="1"/>
  <c r="AD242" i="28" s="1"/>
  <c r="K83" i="28"/>
  <c r="K85" i="28" s="1"/>
  <c r="K7" i="28" s="1"/>
  <c r="H5" i="28"/>
  <c r="J83" i="28"/>
  <c r="J85" i="28" s="1"/>
  <c r="J7" i="28" s="1"/>
  <c r="H83" i="28"/>
  <c r="H85" i="28" s="1"/>
  <c r="F5" i="28"/>
  <c r="E5" i="28"/>
  <c r="G83" i="28"/>
  <c r="G85" i="28" s="1"/>
  <c r="E83" i="28"/>
  <c r="E85" i="28" s="1"/>
  <c r="W242" i="28" s="1"/>
  <c r="D5" i="28"/>
  <c r="C5" i="28"/>
  <c r="AI48" i="28"/>
  <c r="AI44" i="28"/>
  <c r="C83" i="28"/>
  <c r="C85" i="28" s="1"/>
  <c r="B5" i="28"/>
  <c r="D83" i="28"/>
  <c r="D85" i="28" s="1"/>
  <c r="D86" i="28" s="1"/>
  <c r="AI62" i="28"/>
  <c r="AH62" i="28"/>
  <c r="S239" i="28"/>
  <c r="Y86" i="28"/>
  <c r="I86" i="28"/>
  <c r="I7" i="28"/>
  <c r="AA242" i="28"/>
  <c r="Q86" i="28"/>
  <c r="Q7" i="28"/>
  <c r="AI242" i="28"/>
  <c r="AA7" i="28"/>
  <c r="AS242" i="28"/>
  <c r="AA86" i="28"/>
  <c r="AI94" i="28"/>
  <c r="AH94" i="28"/>
  <c r="J225" i="28"/>
  <c r="K225" i="28" s="1"/>
  <c r="L225" i="28" s="1"/>
  <c r="M225" i="28" s="1"/>
  <c r="N225" i="28" s="1"/>
  <c r="O225" i="28" s="1"/>
  <c r="P225" i="28" s="1"/>
  <c r="F222" i="28"/>
  <c r="E104" i="28"/>
  <c r="E228" i="28"/>
  <c r="C7" i="28"/>
  <c r="U242" i="28"/>
  <c r="C86" i="28"/>
  <c r="AB86" i="28"/>
  <c r="AT242" i="28"/>
  <c r="AB7" i="28"/>
  <c r="Y242" i="28"/>
  <c r="AL242" i="28"/>
  <c r="T86" i="28"/>
  <c r="O86" i="28"/>
  <c r="O7" i="28"/>
  <c r="H86" i="28"/>
  <c r="H7" i="28"/>
  <c r="Z242" i="28"/>
  <c r="E7" i="28"/>
  <c r="E86" i="28"/>
  <c r="AM242" i="28"/>
  <c r="U86" i="28"/>
  <c r="U7" i="28"/>
  <c r="P86" i="28"/>
  <c r="P7" i="28"/>
  <c r="AH242" i="28"/>
  <c r="AR242" i="28"/>
  <c r="X242" i="28"/>
  <c r="F86" i="28"/>
  <c r="F7" i="28"/>
  <c r="AF242" i="28"/>
  <c r="N86" i="28"/>
  <c r="V86" i="28"/>
  <c r="V7" i="28"/>
  <c r="AE86" i="28"/>
  <c r="AF86" i="28"/>
  <c r="AF7" i="28"/>
  <c r="AX242" i="28"/>
  <c r="AH78" i="28"/>
  <c r="B104" i="28"/>
  <c r="AF5" i="28"/>
  <c r="F227" i="28"/>
  <c r="I5" i="28"/>
  <c r="Q5" i="28"/>
  <c r="Z5" i="28"/>
  <c r="B83" i="28"/>
  <c r="AH48" i="28"/>
  <c r="AI78" i="28"/>
  <c r="AH44" i="28"/>
  <c r="AH66" i="28"/>
  <c r="AC5" i="27"/>
  <c r="AD83" i="27"/>
  <c r="AD85" i="27" s="1"/>
  <c r="AV242" i="27" s="1"/>
  <c r="AB5" i="27"/>
  <c r="AE5" i="27"/>
  <c r="AE83" i="27"/>
  <c r="AE85" i="27" s="1"/>
  <c r="AF83" i="27"/>
  <c r="AF85" i="27" s="1"/>
  <c r="AD5" i="27"/>
  <c r="AC83" i="27"/>
  <c r="AC85" i="27" s="1"/>
  <c r="AC86" i="27" s="1"/>
  <c r="AB94" i="27"/>
  <c r="AB83" i="27"/>
  <c r="AB85" i="27" s="1"/>
  <c r="AT242" i="27" s="1"/>
  <c r="AA94" i="27"/>
  <c r="AI94" i="27" s="1"/>
  <c r="AA83" i="27"/>
  <c r="AA85" i="27" s="1"/>
  <c r="Y5" i="27"/>
  <c r="Z83" i="27"/>
  <c r="Z85" i="27" s="1"/>
  <c r="X5" i="27"/>
  <c r="Y83" i="27"/>
  <c r="Y85" i="27" s="1"/>
  <c r="Y86" i="27" s="1"/>
  <c r="V5" i="27"/>
  <c r="W83" i="27"/>
  <c r="W85" i="27" s="1"/>
  <c r="AO242" i="27" s="1"/>
  <c r="U5" i="27"/>
  <c r="V83" i="27"/>
  <c r="V85" i="27" s="1"/>
  <c r="V7" i="27" s="1"/>
  <c r="T5" i="27"/>
  <c r="U83" i="27"/>
  <c r="U85" i="27" s="1"/>
  <c r="AH107" i="27"/>
  <c r="S5" i="27"/>
  <c r="T83" i="27"/>
  <c r="T85" i="27" s="1"/>
  <c r="R5" i="27"/>
  <c r="S83" i="27"/>
  <c r="S85" i="27" s="1"/>
  <c r="S7" i="27" s="1"/>
  <c r="P5" i="27"/>
  <c r="R94" i="27"/>
  <c r="R83" i="27"/>
  <c r="R85" i="27" s="1"/>
  <c r="N5" i="27"/>
  <c r="AI66" i="27"/>
  <c r="M5" i="27"/>
  <c r="N83" i="27"/>
  <c r="N85" i="27" s="1"/>
  <c r="AF242" i="27" s="1"/>
  <c r="L5" i="27"/>
  <c r="M83" i="27"/>
  <c r="M85" i="27" s="1"/>
  <c r="AE242" i="27" s="1"/>
  <c r="K5" i="27"/>
  <c r="AH66" i="27"/>
  <c r="AI48" i="27"/>
  <c r="L83" i="27"/>
  <c r="L85" i="27" s="1"/>
  <c r="L86" i="27" s="1"/>
  <c r="J5" i="27"/>
  <c r="K83" i="27"/>
  <c r="K85" i="27" s="1"/>
  <c r="K7" i="27" s="1"/>
  <c r="O83" i="27"/>
  <c r="O85" i="27" s="1"/>
  <c r="AG242" i="27" s="1"/>
  <c r="P83" i="27"/>
  <c r="P85" i="27" s="1"/>
  <c r="P86" i="27" s="1"/>
  <c r="Q83" i="27"/>
  <c r="Q85" i="27" s="1"/>
  <c r="Q86" i="27" s="1"/>
  <c r="H5" i="27"/>
  <c r="J94" i="27"/>
  <c r="J83" i="27"/>
  <c r="J85" i="27" s="1"/>
  <c r="AB242" i="27" s="1"/>
  <c r="I83" i="27"/>
  <c r="I85" i="27" s="1"/>
  <c r="I7" i="27" s="1"/>
  <c r="H83" i="27"/>
  <c r="H85" i="27" s="1"/>
  <c r="Z242" i="27" s="1"/>
  <c r="F5" i="27"/>
  <c r="G83" i="27"/>
  <c r="G85" i="27" s="1"/>
  <c r="Y242" i="27" s="1"/>
  <c r="E5" i="27"/>
  <c r="F83" i="27"/>
  <c r="F85" i="27" s="1"/>
  <c r="X242" i="27" s="1"/>
  <c r="AI62" i="27"/>
  <c r="D5" i="27"/>
  <c r="E83" i="27"/>
  <c r="E85" i="27" s="1"/>
  <c r="W242" i="27" s="1"/>
  <c r="AI78" i="27"/>
  <c r="AH78" i="27"/>
  <c r="C5" i="27"/>
  <c r="C94" i="27"/>
  <c r="C83" i="27"/>
  <c r="C85" i="27" s="1"/>
  <c r="U242" i="27" s="1"/>
  <c r="D83" i="27"/>
  <c r="D85" i="27" s="1"/>
  <c r="V242" i="27" s="1"/>
  <c r="AH44" i="27"/>
  <c r="I86" i="27"/>
  <c r="Z86" i="27"/>
  <c r="Z7" i="27"/>
  <c r="AR242" i="27"/>
  <c r="AL242" i="27"/>
  <c r="T86" i="27"/>
  <c r="T7" i="27"/>
  <c r="AU242" i="27"/>
  <c r="R7" i="27"/>
  <c r="AJ242" i="27"/>
  <c r="R86" i="27"/>
  <c r="AK242" i="27"/>
  <c r="F86" i="27"/>
  <c r="F7" i="27"/>
  <c r="AN242" i="27"/>
  <c r="V86" i="27"/>
  <c r="AW242" i="27"/>
  <c r="AE86" i="27"/>
  <c r="AE7" i="27"/>
  <c r="AM242" i="27"/>
  <c r="U86" i="27"/>
  <c r="U7" i="27"/>
  <c r="F222" i="27"/>
  <c r="J225" i="27"/>
  <c r="K225" i="27" s="1"/>
  <c r="L225" i="27" s="1"/>
  <c r="M225" i="27" s="1"/>
  <c r="N225" i="27" s="1"/>
  <c r="O225" i="27" s="1"/>
  <c r="P225" i="27" s="1"/>
  <c r="W86" i="27"/>
  <c r="W7" i="27"/>
  <c r="AF86" i="27"/>
  <c r="AF7" i="27"/>
  <c r="AX242" i="27"/>
  <c r="AS242" i="27"/>
  <c r="AA86" i="27"/>
  <c r="AA7" i="27"/>
  <c r="AQ242" i="27"/>
  <c r="AG83" i="27"/>
  <c r="D239" i="27"/>
  <c r="G5" i="27"/>
  <c r="O5" i="27"/>
  <c r="AH62" i="27"/>
  <c r="E227" i="27"/>
  <c r="AI44" i="27"/>
  <c r="AH48" i="27"/>
  <c r="AE83" i="26"/>
  <c r="S86" i="27" l="1"/>
  <c r="AV242" i="28"/>
  <c r="S7" i="28"/>
  <c r="AN242" i="29"/>
  <c r="G227" i="29"/>
  <c r="E263" i="29"/>
  <c r="AH94" i="27"/>
  <c r="AD7" i="27"/>
  <c r="N86" i="27"/>
  <c r="W7" i="28"/>
  <c r="W86" i="28"/>
  <c r="AC86" i="28"/>
  <c r="E104" i="29"/>
  <c r="F222" i="29"/>
  <c r="K86" i="27"/>
  <c r="G86" i="27"/>
  <c r="AC7" i="28"/>
  <c r="R86" i="28"/>
  <c r="G7" i="27"/>
  <c r="Y7" i="27"/>
  <c r="AB7" i="27"/>
  <c r="J7" i="27"/>
  <c r="AC7" i="27"/>
  <c r="AB86" i="27"/>
  <c r="Z7" i="28"/>
  <c r="AD7" i="28"/>
  <c r="S86" i="28"/>
  <c r="AJ242" i="28"/>
  <c r="AQ242" i="28"/>
  <c r="AI242" i="29"/>
  <c r="AF242" i="29"/>
  <c r="N7" i="27"/>
  <c r="AD86" i="27"/>
  <c r="AD242" i="27"/>
  <c r="AH104" i="30"/>
  <c r="AI104" i="30"/>
  <c r="AF86" i="29"/>
  <c r="AX242" i="29"/>
  <c r="AE86" i="29"/>
  <c r="AW242" i="29"/>
  <c r="AU242" i="29"/>
  <c r="AC86" i="29"/>
  <c r="AB7" i="29"/>
  <c r="AB86" i="29"/>
  <c r="AA86" i="29"/>
  <c r="AS242" i="29"/>
  <c r="W85" i="29"/>
  <c r="AO242" i="29" s="1"/>
  <c r="Y7" i="29"/>
  <c r="AQ242" i="29"/>
  <c r="V7" i="29"/>
  <c r="AM242" i="29"/>
  <c r="U7" i="29"/>
  <c r="S86" i="29"/>
  <c r="S7" i="29"/>
  <c r="AJ242" i="29"/>
  <c r="AH242" i="29"/>
  <c r="P7" i="29"/>
  <c r="N7" i="29"/>
  <c r="M7" i="29"/>
  <c r="M86" i="29"/>
  <c r="L7" i="29"/>
  <c r="L86" i="29"/>
  <c r="AC242" i="29"/>
  <c r="K7" i="29"/>
  <c r="J86" i="29"/>
  <c r="AB242" i="29"/>
  <c r="I7" i="29"/>
  <c r="AA242" i="29"/>
  <c r="Z242" i="29"/>
  <c r="H86" i="29"/>
  <c r="G86" i="29"/>
  <c r="B237" i="29"/>
  <c r="G7" i="29"/>
  <c r="C237" i="29"/>
  <c r="AH94" i="29"/>
  <c r="F86" i="29"/>
  <c r="X242" i="29"/>
  <c r="E7" i="29"/>
  <c r="E86" i="29"/>
  <c r="AI94" i="29"/>
  <c r="D7" i="29"/>
  <c r="D86" i="29"/>
  <c r="C7" i="29"/>
  <c r="C86" i="29"/>
  <c r="B7" i="29"/>
  <c r="B86" i="29"/>
  <c r="AH83" i="29"/>
  <c r="AI83" i="29"/>
  <c r="T242" i="29"/>
  <c r="AE7" i="28"/>
  <c r="M7" i="28"/>
  <c r="AE242" i="28"/>
  <c r="L7" i="28"/>
  <c r="L86" i="28"/>
  <c r="AC242" i="28"/>
  <c r="K86" i="28"/>
  <c r="C237" i="28"/>
  <c r="J86" i="28"/>
  <c r="AB242" i="28"/>
  <c r="G7" i="28"/>
  <c r="G86" i="28"/>
  <c r="B237" i="28"/>
  <c r="D7" i="28"/>
  <c r="V242" i="28"/>
  <c r="B85" i="28"/>
  <c r="AI83" i="28"/>
  <c r="AH83" i="28"/>
  <c r="G222" i="28"/>
  <c r="F228" i="28"/>
  <c r="F104" i="28"/>
  <c r="E263" i="28"/>
  <c r="G227" i="28"/>
  <c r="AI242" i="27"/>
  <c r="Q7" i="27"/>
  <c r="AH242" i="27"/>
  <c r="P7" i="27"/>
  <c r="O86" i="27"/>
  <c r="O7" i="27"/>
  <c r="M7" i="27"/>
  <c r="M86" i="27"/>
  <c r="L7" i="27"/>
  <c r="AC242" i="27"/>
  <c r="J86" i="27"/>
  <c r="AA242" i="27"/>
  <c r="C237" i="27"/>
  <c r="H7" i="27"/>
  <c r="H86" i="27"/>
  <c r="B237" i="27"/>
  <c r="E86" i="27"/>
  <c r="E7" i="27"/>
  <c r="D7" i="27"/>
  <c r="D86" i="27"/>
  <c r="C7" i="27"/>
  <c r="C86" i="27"/>
  <c r="AI83" i="27"/>
  <c r="AH83" i="27"/>
  <c r="D263" i="27"/>
  <c r="F227" i="27"/>
  <c r="E228" i="27"/>
  <c r="E104" i="27"/>
  <c r="G222" i="27"/>
  <c r="L62" i="26"/>
  <c r="G48" i="26"/>
  <c r="F78" i="26"/>
  <c r="F94" i="26" s="1"/>
  <c r="G78" i="26"/>
  <c r="G94" i="26" s="1"/>
  <c r="H78" i="26"/>
  <c r="H94" i="26" s="1"/>
  <c r="I78" i="26"/>
  <c r="H5" i="26" s="1"/>
  <c r="J78" i="26"/>
  <c r="I5" i="26" s="1"/>
  <c r="K78" i="26"/>
  <c r="K94" i="26" s="1"/>
  <c r="L78" i="26"/>
  <c r="L94" i="26" s="1"/>
  <c r="M78" i="26"/>
  <c r="M94" i="26" s="1"/>
  <c r="N78" i="26"/>
  <c r="N94" i="26" s="1"/>
  <c r="O78" i="26"/>
  <c r="N5" i="26" s="1"/>
  <c r="P78" i="26"/>
  <c r="P94" i="26" s="1"/>
  <c r="Q78" i="26"/>
  <c r="P5" i="26" s="1"/>
  <c r="R78" i="26"/>
  <c r="Q5" i="26" s="1"/>
  <c r="S78" i="26"/>
  <c r="R5" i="26" s="1"/>
  <c r="T78" i="26"/>
  <c r="T94" i="26" s="1"/>
  <c r="U78" i="26"/>
  <c r="T5" i="26" s="1"/>
  <c r="V78" i="26"/>
  <c r="V94" i="26" s="1"/>
  <c r="W78" i="26"/>
  <c r="W94" i="26" s="1"/>
  <c r="W5" i="26"/>
  <c r="Y78" i="26"/>
  <c r="Z78" i="26"/>
  <c r="Y5" i="26" s="1"/>
  <c r="AA78" i="26"/>
  <c r="AA94" i="26" s="1"/>
  <c r="AB78" i="26"/>
  <c r="AB94" i="26" s="1"/>
  <c r="AC78" i="26"/>
  <c r="AC94" i="26" s="1"/>
  <c r="AD78" i="26"/>
  <c r="AD94" i="26" s="1"/>
  <c r="AF78" i="26"/>
  <c r="AF94" i="26" s="1"/>
  <c r="E78" i="26"/>
  <c r="E62" i="26"/>
  <c r="E48" i="26"/>
  <c r="E44" i="26"/>
  <c r="AF62" i="25"/>
  <c r="AF66" i="25"/>
  <c r="AF78" i="25"/>
  <c r="AF267" i="26"/>
  <c r="AE267" i="26"/>
  <c r="AD267" i="26"/>
  <c r="AC267" i="26"/>
  <c r="AB267" i="26"/>
  <c r="AA267" i="26"/>
  <c r="Z267" i="26"/>
  <c r="Y267" i="26"/>
  <c r="X267" i="26"/>
  <c r="W267" i="26"/>
  <c r="V267" i="26"/>
  <c r="U267" i="26"/>
  <c r="T267" i="26"/>
  <c r="S267" i="26"/>
  <c r="R267" i="26"/>
  <c r="Q267" i="26"/>
  <c r="P267" i="26"/>
  <c r="O267" i="26"/>
  <c r="N267" i="26"/>
  <c r="M267" i="26"/>
  <c r="L267" i="26"/>
  <c r="K267" i="26"/>
  <c r="J267" i="26"/>
  <c r="I267" i="26"/>
  <c r="H267" i="26"/>
  <c r="G267" i="26"/>
  <c r="F267" i="26"/>
  <c r="E267" i="26"/>
  <c r="D267" i="26"/>
  <c r="C267" i="26"/>
  <c r="B267" i="26"/>
  <c r="A267" i="26"/>
  <c r="AF266" i="26"/>
  <c r="AE266" i="26"/>
  <c r="AD266" i="26"/>
  <c r="AC266" i="26"/>
  <c r="AB266" i="26"/>
  <c r="AA266" i="26"/>
  <c r="Z266" i="26"/>
  <c r="Y266" i="26"/>
  <c r="X266" i="26"/>
  <c r="W266" i="26"/>
  <c r="V266" i="26"/>
  <c r="U266" i="26"/>
  <c r="T266" i="26"/>
  <c r="S266" i="26"/>
  <c r="R266" i="26"/>
  <c r="Q266" i="26"/>
  <c r="P266" i="26"/>
  <c r="O266" i="26"/>
  <c r="N266" i="26"/>
  <c r="M266" i="26"/>
  <c r="L266" i="26"/>
  <c r="K266" i="26"/>
  <c r="J266" i="26"/>
  <c r="I266" i="26"/>
  <c r="H266" i="26"/>
  <c r="G266" i="26"/>
  <c r="F266" i="26"/>
  <c r="E266" i="26"/>
  <c r="D266" i="26"/>
  <c r="C266" i="26"/>
  <c r="B266" i="26"/>
  <c r="A266" i="26"/>
  <c r="AF265" i="26"/>
  <c r="AE265" i="26"/>
  <c r="AD265" i="26"/>
  <c r="AC265" i="26"/>
  <c r="AB265" i="26"/>
  <c r="AA265" i="26"/>
  <c r="Z265" i="26"/>
  <c r="Y265" i="26"/>
  <c r="X265" i="26"/>
  <c r="W265" i="26"/>
  <c r="V265" i="26"/>
  <c r="U265" i="26"/>
  <c r="T265" i="26"/>
  <c r="S265" i="26"/>
  <c r="R265" i="26"/>
  <c r="Q265" i="26"/>
  <c r="P265" i="26"/>
  <c r="O265" i="26"/>
  <c r="N265" i="26"/>
  <c r="M265" i="26"/>
  <c r="L265" i="26"/>
  <c r="K265" i="26"/>
  <c r="J265" i="26"/>
  <c r="I265" i="26"/>
  <c r="H265" i="26"/>
  <c r="G265" i="26"/>
  <c r="F265" i="26"/>
  <c r="E265" i="26"/>
  <c r="D265" i="26"/>
  <c r="C265" i="26"/>
  <c r="B265" i="26"/>
  <c r="A265" i="26"/>
  <c r="AF264" i="26"/>
  <c r="AE264" i="26"/>
  <c r="AD264" i="26"/>
  <c r="AC264" i="26"/>
  <c r="AB264" i="26"/>
  <c r="AA264" i="26"/>
  <c r="Z264" i="26"/>
  <c r="Y264" i="26"/>
  <c r="X264" i="26"/>
  <c r="W264" i="26"/>
  <c r="V264" i="26"/>
  <c r="U264" i="26"/>
  <c r="T264" i="26"/>
  <c r="S264" i="26"/>
  <c r="R264" i="26"/>
  <c r="Q264" i="26"/>
  <c r="P264" i="26"/>
  <c r="O264" i="26"/>
  <c r="N264" i="26"/>
  <c r="M264" i="26"/>
  <c r="L264" i="26"/>
  <c r="K264" i="26"/>
  <c r="J264" i="26"/>
  <c r="I264" i="26"/>
  <c r="H264" i="26"/>
  <c r="G264" i="26"/>
  <c r="F264" i="26"/>
  <c r="E264" i="26"/>
  <c r="D264" i="26"/>
  <c r="C264" i="26"/>
  <c r="B264" i="26"/>
  <c r="A264" i="26"/>
  <c r="AE263" i="26"/>
  <c r="AD263" i="26"/>
  <c r="AC263" i="26"/>
  <c r="AB263" i="26"/>
  <c r="AA263" i="26"/>
  <c r="Z263" i="26"/>
  <c r="Y263" i="26"/>
  <c r="X263" i="26"/>
  <c r="W263" i="26"/>
  <c r="V263" i="26"/>
  <c r="U263" i="26"/>
  <c r="T263" i="26"/>
  <c r="S263" i="26"/>
  <c r="R263" i="26"/>
  <c r="Q263" i="26"/>
  <c r="P263" i="26"/>
  <c r="B263" i="26"/>
  <c r="AP242" i="26"/>
  <c r="S238" i="26"/>
  <c r="AG228" i="26"/>
  <c r="AF228" i="26"/>
  <c r="AE228" i="26"/>
  <c r="AD228" i="26"/>
  <c r="AC228" i="26"/>
  <c r="AB228" i="26"/>
  <c r="AA228" i="26"/>
  <c r="Z228" i="26"/>
  <c r="Y228" i="26"/>
  <c r="X228" i="26"/>
  <c r="W228" i="26"/>
  <c r="V228" i="26"/>
  <c r="U228" i="26"/>
  <c r="T228" i="26"/>
  <c r="S228" i="26"/>
  <c r="R228" i="26"/>
  <c r="Q228" i="26"/>
  <c r="C228" i="26"/>
  <c r="D227" i="26"/>
  <c r="E227" i="26" s="1"/>
  <c r="B227" i="26"/>
  <c r="AF263" i="26" s="1"/>
  <c r="D226" i="26"/>
  <c r="E226" i="26" s="1"/>
  <c r="F226" i="26" s="1"/>
  <c r="G226" i="26" s="1"/>
  <c r="H226" i="26" s="1"/>
  <c r="I226" i="26" s="1"/>
  <c r="J226" i="26" s="1"/>
  <c r="K226" i="26" s="1"/>
  <c r="L226" i="26" s="1"/>
  <c r="M226" i="26" s="1"/>
  <c r="N226" i="26" s="1"/>
  <c r="O226" i="26" s="1"/>
  <c r="P226" i="26" s="1"/>
  <c r="B226" i="26"/>
  <c r="D225" i="26"/>
  <c r="E225" i="26" s="1"/>
  <c r="F225" i="26" s="1"/>
  <c r="G225" i="26" s="1"/>
  <c r="H225" i="26" s="1"/>
  <c r="I225" i="26" s="1"/>
  <c r="B225" i="26"/>
  <c r="D224" i="26"/>
  <c r="E224" i="26" s="1"/>
  <c r="F224" i="26" s="1"/>
  <c r="G224" i="26" s="1"/>
  <c r="H224" i="26" s="1"/>
  <c r="B224" i="26"/>
  <c r="D223" i="26"/>
  <c r="E223" i="26" s="1"/>
  <c r="F223" i="26" s="1"/>
  <c r="G223" i="26" s="1"/>
  <c r="H223" i="26" s="1"/>
  <c r="I223" i="26" s="1"/>
  <c r="J223" i="26" s="1"/>
  <c r="K223" i="26" s="1"/>
  <c r="L223" i="26" s="1"/>
  <c r="M223" i="26" s="1"/>
  <c r="N223" i="26" s="1"/>
  <c r="O223" i="26" s="1"/>
  <c r="P223" i="26" s="1"/>
  <c r="B223" i="26"/>
  <c r="D222" i="26"/>
  <c r="D228" i="26" s="1"/>
  <c r="B222" i="26"/>
  <c r="AG220" i="26"/>
  <c r="AF220" i="26"/>
  <c r="AE220" i="26"/>
  <c r="AD220" i="26"/>
  <c r="AC220" i="26"/>
  <c r="AB220" i="26"/>
  <c r="AA220" i="26"/>
  <c r="Z220" i="26"/>
  <c r="Y220" i="26"/>
  <c r="X220" i="26"/>
  <c r="W220" i="26"/>
  <c r="V220" i="26"/>
  <c r="U220" i="26"/>
  <c r="T220" i="26"/>
  <c r="S220" i="26"/>
  <c r="R220" i="26"/>
  <c r="Q220" i="26"/>
  <c r="P220" i="26"/>
  <c r="O220" i="26"/>
  <c r="N220" i="26"/>
  <c r="M220" i="26"/>
  <c r="L220" i="26"/>
  <c r="K220" i="26"/>
  <c r="J220" i="26"/>
  <c r="I220" i="26"/>
  <c r="H220" i="26"/>
  <c r="G220" i="26"/>
  <c r="F220" i="26"/>
  <c r="E220" i="26"/>
  <c r="D220" i="26"/>
  <c r="C220" i="26"/>
  <c r="B220" i="26"/>
  <c r="AI113" i="26"/>
  <c r="AH113" i="26"/>
  <c r="AI112" i="26"/>
  <c r="AH112" i="26"/>
  <c r="AI111" i="26"/>
  <c r="AH111" i="26"/>
  <c r="AI110" i="26"/>
  <c r="AH110" i="26"/>
  <c r="AI109" i="26"/>
  <c r="AH109" i="26"/>
  <c r="AI108" i="26"/>
  <c r="AH108" i="26"/>
  <c r="AI107" i="26"/>
  <c r="AH107" i="26"/>
  <c r="AI106" i="26"/>
  <c r="AH106" i="26"/>
  <c r="AI105" i="26"/>
  <c r="AH105" i="26"/>
  <c r="AF104" i="26"/>
  <c r="AE104" i="26"/>
  <c r="AD104" i="26"/>
  <c r="AC104" i="26"/>
  <c r="AB104" i="26"/>
  <c r="AA104" i="26"/>
  <c r="Z104" i="26"/>
  <c r="Y104" i="26"/>
  <c r="W104" i="26"/>
  <c r="V104" i="26"/>
  <c r="U104" i="26"/>
  <c r="T104" i="26"/>
  <c r="S104" i="26"/>
  <c r="R104" i="26"/>
  <c r="Q104" i="26"/>
  <c r="D104" i="26"/>
  <c r="C104" i="26"/>
  <c r="B104" i="26"/>
  <c r="AI103" i="26"/>
  <c r="AH103" i="26"/>
  <c r="AI102" i="26"/>
  <c r="AH102" i="26"/>
  <c r="AI101" i="26"/>
  <c r="AH101" i="26"/>
  <c r="AI100" i="26"/>
  <c r="AH100" i="26"/>
  <c r="AI99" i="26"/>
  <c r="AH99" i="26"/>
  <c r="AI98" i="26"/>
  <c r="AH98" i="26"/>
  <c r="AI97" i="26"/>
  <c r="AH97" i="26"/>
  <c r="AI96" i="26"/>
  <c r="AH96" i="26"/>
  <c r="AI95" i="26"/>
  <c r="AH95" i="26"/>
  <c r="AI93" i="26"/>
  <c r="AH93" i="26"/>
  <c r="AI92" i="26"/>
  <c r="AH92" i="26"/>
  <c r="AI91" i="26"/>
  <c r="AH91" i="26"/>
  <c r="AI90" i="26"/>
  <c r="AH90" i="26"/>
  <c r="AI89" i="26"/>
  <c r="AH89" i="26"/>
  <c r="AI88" i="26"/>
  <c r="AH88" i="26"/>
  <c r="AI87" i="26"/>
  <c r="AH87" i="26"/>
  <c r="AI84" i="26"/>
  <c r="AH84" i="26"/>
  <c r="AI82" i="26"/>
  <c r="AH82" i="26"/>
  <c r="AG82" i="26"/>
  <c r="AI81" i="26"/>
  <c r="AH81" i="26"/>
  <c r="AI80" i="26"/>
  <c r="AH80" i="26"/>
  <c r="AI79" i="26"/>
  <c r="AH79" i="26"/>
  <c r="AN78" i="26"/>
  <c r="AG78" i="26"/>
  <c r="AE94" i="26"/>
  <c r="Y94" i="26"/>
  <c r="E94" i="26"/>
  <c r="D78" i="26"/>
  <c r="D94" i="26" s="1"/>
  <c r="C78" i="26"/>
  <c r="C94" i="26" s="1"/>
  <c r="B78" i="26"/>
  <c r="B94" i="26" s="1"/>
  <c r="AI77" i="26"/>
  <c r="AH77" i="26"/>
  <c r="AN76" i="26"/>
  <c r="AI76" i="26"/>
  <c r="AH76" i="26"/>
  <c r="AN75" i="26"/>
  <c r="AN77" i="26" s="1"/>
  <c r="AI75" i="26"/>
  <c r="AH75" i="26"/>
  <c r="AI74" i="26"/>
  <c r="AH74" i="26"/>
  <c r="AI73" i="26"/>
  <c r="AH73" i="26"/>
  <c r="AI72" i="26"/>
  <c r="AH72" i="26"/>
  <c r="AI71" i="26"/>
  <c r="AH71" i="26"/>
  <c r="AI70" i="26"/>
  <c r="AH70" i="26"/>
  <c r="AI69" i="26"/>
  <c r="AH69" i="26"/>
  <c r="AI68" i="26"/>
  <c r="AH68" i="26"/>
  <c r="AI67" i="26"/>
  <c r="AH67" i="26"/>
  <c r="AG66" i="26"/>
  <c r="AG4" i="26" s="1"/>
  <c r="AF66" i="26"/>
  <c r="AD66" i="26"/>
  <c r="AC66" i="26"/>
  <c r="AB66" i="26"/>
  <c r="AA66" i="26"/>
  <c r="Z66" i="26"/>
  <c r="Y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AI65" i="26"/>
  <c r="AH65" i="26"/>
  <c r="AI64" i="26"/>
  <c r="AH64" i="26"/>
  <c r="AI63" i="26"/>
  <c r="AH63" i="26"/>
  <c r="AF62" i="26"/>
  <c r="AD62" i="26"/>
  <c r="AC62" i="26"/>
  <c r="AB62" i="26"/>
  <c r="AA62" i="26"/>
  <c r="Z62" i="26"/>
  <c r="Y62" i="26"/>
  <c r="W62" i="26"/>
  <c r="V62" i="26"/>
  <c r="U62" i="26"/>
  <c r="T62" i="26"/>
  <c r="S62" i="26"/>
  <c r="R62" i="26"/>
  <c r="Q62" i="26"/>
  <c r="P62" i="26"/>
  <c r="O62" i="26"/>
  <c r="N62" i="26"/>
  <c r="M62" i="26"/>
  <c r="K62" i="26"/>
  <c r="J62" i="26"/>
  <c r="I62" i="26"/>
  <c r="H62" i="26"/>
  <c r="G62" i="26"/>
  <c r="F62" i="26"/>
  <c r="D62" i="26"/>
  <c r="C62" i="26"/>
  <c r="B62" i="26"/>
  <c r="AI61" i="26"/>
  <c r="AH61" i="26"/>
  <c r="AG61" i="26"/>
  <c r="AG62" i="26" s="1"/>
  <c r="AG3" i="26" s="1"/>
  <c r="AI60" i="26"/>
  <c r="AH60" i="26"/>
  <c r="AI59" i="26"/>
  <c r="AH59" i="26"/>
  <c r="AI58" i="26"/>
  <c r="AH58" i="26"/>
  <c r="AI57" i="26"/>
  <c r="AH57" i="26"/>
  <c r="AI56" i="26"/>
  <c r="AH56" i="26"/>
  <c r="AI55" i="26"/>
  <c r="AH55" i="26"/>
  <c r="AI54" i="26"/>
  <c r="AH54" i="26"/>
  <c r="AI53" i="26"/>
  <c r="AH53" i="26"/>
  <c r="AI52" i="26"/>
  <c r="AH52" i="26"/>
  <c r="AI51" i="26"/>
  <c r="AH51" i="26"/>
  <c r="AI50" i="26"/>
  <c r="AH50" i="26"/>
  <c r="AI49" i="26"/>
  <c r="AH49" i="26"/>
  <c r="AG48" i="26"/>
  <c r="AF48" i="26"/>
  <c r="AD48" i="26"/>
  <c r="AC48" i="26"/>
  <c r="AB48" i="26"/>
  <c r="AA48" i="26"/>
  <c r="Z48" i="26"/>
  <c r="Y48" i="26"/>
  <c r="W48" i="26"/>
  <c r="V48" i="26"/>
  <c r="U48" i="26"/>
  <c r="T48" i="26"/>
  <c r="S48" i="26"/>
  <c r="R48" i="26"/>
  <c r="Q48" i="26"/>
  <c r="P48" i="26"/>
  <c r="O48" i="26"/>
  <c r="N48" i="26"/>
  <c r="M48" i="26"/>
  <c r="L48" i="26"/>
  <c r="K48" i="26"/>
  <c r="J48" i="26"/>
  <c r="I48" i="26"/>
  <c r="H48" i="26"/>
  <c r="F48" i="26"/>
  <c r="D48" i="26"/>
  <c r="C48" i="26"/>
  <c r="B48" i="26"/>
  <c r="AI47" i="26"/>
  <c r="AH47" i="26"/>
  <c r="AI46" i="26"/>
  <c r="AH46" i="26"/>
  <c r="AI45" i="26"/>
  <c r="AH45" i="26"/>
  <c r="AG44" i="26"/>
  <c r="AF44" i="26"/>
  <c r="AE85" i="26"/>
  <c r="AD44" i="26"/>
  <c r="AC44" i="26"/>
  <c r="AB44" i="26"/>
  <c r="AA44" i="26"/>
  <c r="Z44" i="26"/>
  <c r="Y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D44" i="26"/>
  <c r="C44" i="26"/>
  <c r="B44" i="26"/>
  <c r="AI43" i="26"/>
  <c r="AH43" i="26"/>
  <c r="AI42" i="26"/>
  <c r="AH42" i="26"/>
  <c r="AI41" i="26"/>
  <c r="AH41" i="26"/>
  <c r="AI40" i="26"/>
  <c r="AH40" i="26"/>
  <c r="AI39" i="26"/>
  <c r="AH39" i="26"/>
  <c r="AI38" i="26"/>
  <c r="AH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X7" i="26"/>
  <c r="AA5" i="26"/>
  <c r="X5" i="26"/>
  <c r="U5" i="26"/>
  <c r="K4" i="26"/>
  <c r="E4" i="26"/>
  <c r="H4" i="26" s="1"/>
  <c r="B4" i="26"/>
  <c r="S239" i="26" s="1"/>
  <c r="AG2" i="26"/>
  <c r="AG6" i="26" s="1"/>
  <c r="X78" i="25"/>
  <c r="X66" i="25"/>
  <c r="X62" i="25"/>
  <c r="X48" i="25"/>
  <c r="X44" i="25"/>
  <c r="V66" i="25"/>
  <c r="V62" i="25"/>
  <c r="V48" i="25"/>
  <c r="V44" i="25"/>
  <c r="AH85" i="29" l="1"/>
  <c r="G222" i="29"/>
  <c r="F104" i="29"/>
  <c r="F228" i="29"/>
  <c r="F263" i="29"/>
  <c r="H227" i="29"/>
  <c r="AB83" i="26"/>
  <c r="AB85" i="26" s="1"/>
  <c r="AT242" i="26" s="1"/>
  <c r="B228" i="26"/>
  <c r="AI85" i="29"/>
  <c r="W86" i="29"/>
  <c r="C263" i="26"/>
  <c r="W7" i="29"/>
  <c r="AI86" i="29"/>
  <c r="A7" i="29"/>
  <c r="K6" i="29"/>
  <c r="AH86" i="29"/>
  <c r="K6" i="28"/>
  <c r="F263" i="28"/>
  <c r="H227" i="28"/>
  <c r="H222" i="28"/>
  <c r="G104" i="28"/>
  <c r="G228" i="28"/>
  <c r="AI85" i="28"/>
  <c r="AH85" i="28"/>
  <c r="B7" i="28"/>
  <c r="A7" i="28" s="1"/>
  <c r="T242" i="28"/>
  <c r="B86" i="28"/>
  <c r="K6" i="27"/>
  <c r="E263" i="27"/>
  <c r="G227" i="27"/>
  <c r="F228" i="27"/>
  <c r="F104" i="27"/>
  <c r="H222" i="27"/>
  <c r="G104" i="27"/>
  <c r="AI85" i="27"/>
  <c r="AH85" i="27"/>
  <c r="B7" i="27"/>
  <c r="A7" i="27" s="1"/>
  <c r="T242" i="27"/>
  <c r="AE5" i="26"/>
  <c r="AF83" i="26"/>
  <c r="AF85" i="26" s="1"/>
  <c r="AC5" i="26"/>
  <c r="AB5" i="26"/>
  <c r="AC83" i="26"/>
  <c r="AC85" i="26" s="1"/>
  <c r="AC86" i="26" s="1"/>
  <c r="Z94" i="26"/>
  <c r="AA83" i="26"/>
  <c r="AA85" i="26" s="1"/>
  <c r="Z5" i="26"/>
  <c r="Y83" i="26"/>
  <c r="Y85" i="26" s="1"/>
  <c r="W83" i="26"/>
  <c r="W85" i="26" s="1"/>
  <c r="V5" i="26"/>
  <c r="V83" i="26"/>
  <c r="V85" i="26" s="1"/>
  <c r="AN242" i="26" s="1"/>
  <c r="U94" i="26"/>
  <c r="U83" i="26"/>
  <c r="U85" i="26" s="1"/>
  <c r="AM242" i="26" s="1"/>
  <c r="S5" i="26"/>
  <c r="S94" i="26"/>
  <c r="T83" i="26"/>
  <c r="T85" i="26" s="1"/>
  <c r="S83" i="26"/>
  <c r="S85" i="26" s="1"/>
  <c r="Q94" i="26"/>
  <c r="Q83" i="26"/>
  <c r="Q85" i="26" s="1"/>
  <c r="Q86" i="26" s="1"/>
  <c r="P83" i="26"/>
  <c r="P85" i="26" s="1"/>
  <c r="P86" i="26" s="1"/>
  <c r="O5" i="26"/>
  <c r="O94" i="26"/>
  <c r="O83" i="26"/>
  <c r="O85" i="26" s="1"/>
  <c r="M5" i="26"/>
  <c r="N83" i="26"/>
  <c r="N85" i="26" s="1"/>
  <c r="L5" i="26"/>
  <c r="AH66" i="26"/>
  <c r="M83" i="26"/>
  <c r="M85" i="26" s="1"/>
  <c r="M7" i="26" s="1"/>
  <c r="K5" i="26"/>
  <c r="AI66" i="26"/>
  <c r="L83" i="26"/>
  <c r="L85" i="26" s="1"/>
  <c r="L7" i="26" s="1"/>
  <c r="J5" i="26"/>
  <c r="K83" i="26"/>
  <c r="K85" i="26" s="1"/>
  <c r="AC242" i="26" s="1"/>
  <c r="I94" i="26"/>
  <c r="I83" i="26"/>
  <c r="I85" i="26" s="1"/>
  <c r="AA242" i="26" s="1"/>
  <c r="G5" i="26"/>
  <c r="G83" i="26"/>
  <c r="G85" i="26" s="1"/>
  <c r="G7" i="26" s="1"/>
  <c r="F5" i="26"/>
  <c r="H83" i="26"/>
  <c r="H85" i="26" s="1"/>
  <c r="H7" i="26" s="1"/>
  <c r="AD83" i="26"/>
  <c r="AD85" i="26" s="1"/>
  <c r="AD86" i="26" s="1"/>
  <c r="J94" i="26"/>
  <c r="R94" i="26"/>
  <c r="Z83" i="26"/>
  <c r="Z85" i="26" s="1"/>
  <c r="Z86" i="26" s="1"/>
  <c r="J83" i="26"/>
  <c r="J85" i="26" s="1"/>
  <c r="J7" i="26" s="1"/>
  <c r="R83" i="26"/>
  <c r="R85" i="26" s="1"/>
  <c r="R86" i="26" s="1"/>
  <c r="E5" i="26"/>
  <c r="F83" i="26"/>
  <c r="F85" i="26" s="1"/>
  <c r="X242" i="26" s="1"/>
  <c r="D5" i="26"/>
  <c r="E83" i="26"/>
  <c r="E85" i="26" s="1"/>
  <c r="W242" i="26" s="1"/>
  <c r="C5" i="26"/>
  <c r="D83" i="26"/>
  <c r="D85" i="26" s="1"/>
  <c r="D86" i="26" s="1"/>
  <c r="AI44" i="26"/>
  <c r="AI48" i="26"/>
  <c r="AI62" i="26"/>
  <c r="C83" i="26"/>
  <c r="C85" i="26" s="1"/>
  <c r="C7" i="26" s="1"/>
  <c r="B5" i="26"/>
  <c r="AF5" i="26"/>
  <c r="AH48" i="26"/>
  <c r="V242" i="26"/>
  <c r="AD242" i="26"/>
  <c r="AL242" i="26"/>
  <c r="T86" i="26"/>
  <c r="T7" i="26"/>
  <c r="AW242" i="26"/>
  <c r="AE86" i="26"/>
  <c r="AE7" i="26"/>
  <c r="AG242" i="26"/>
  <c r="O86" i="26"/>
  <c r="O7" i="26"/>
  <c r="AO242" i="26"/>
  <c r="W86" i="26"/>
  <c r="W7" i="26"/>
  <c r="AF86" i="26"/>
  <c r="AF7" i="26"/>
  <c r="AX242" i="26"/>
  <c r="D263" i="26"/>
  <c r="F227" i="26"/>
  <c r="AK242" i="26"/>
  <c r="S7" i="26"/>
  <c r="S86" i="26"/>
  <c r="AG85" i="26"/>
  <c r="V86" i="26"/>
  <c r="V7" i="26"/>
  <c r="AG83" i="26"/>
  <c r="J225" i="26"/>
  <c r="K225" i="26" s="1"/>
  <c r="L225" i="26" s="1"/>
  <c r="M225" i="26" s="1"/>
  <c r="N225" i="26" s="1"/>
  <c r="O225" i="26" s="1"/>
  <c r="P225" i="26" s="1"/>
  <c r="AF242" i="26"/>
  <c r="N86" i="26"/>
  <c r="N7" i="26"/>
  <c r="Y86" i="26"/>
  <c r="Y7" i="26"/>
  <c r="AQ242" i="26"/>
  <c r="AS242" i="26"/>
  <c r="AA7" i="26"/>
  <c r="AA86" i="26"/>
  <c r="P7" i="26"/>
  <c r="AH242" i="26"/>
  <c r="AD5" i="26"/>
  <c r="AH78" i="26"/>
  <c r="D239" i="26"/>
  <c r="AH62" i="26"/>
  <c r="AI78" i="26"/>
  <c r="E222" i="26"/>
  <c r="B83" i="26"/>
  <c r="AH44" i="26"/>
  <c r="X83" i="25"/>
  <c r="X85" i="25" s="1"/>
  <c r="X86" i="25" s="1"/>
  <c r="AC7" i="26" l="1"/>
  <c r="Y242" i="26"/>
  <c r="G263" i="29"/>
  <c r="I227" i="29"/>
  <c r="AB7" i="26"/>
  <c r="G86" i="26"/>
  <c r="AB86" i="26"/>
  <c r="AI242" i="26"/>
  <c r="U7" i="26"/>
  <c r="AU242" i="26"/>
  <c r="Q7" i="26"/>
  <c r="U86" i="26"/>
  <c r="G104" i="29"/>
  <c r="H222" i="29"/>
  <c r="G228" i="29"/>
  <c r="I7" i="26"/>
  <c r="I86" i="26"/>
  <c r="AI86" i="28"/>
  <c r="AH86" i="28"/>
  <c r="I222" i="28"/>
  <c r="H104" i="28"/>
  <c r="H228" i="28"/>
  <c r="G263" i="28"/>
  <c r="I227" i="28"/>
  <c r="I222" i="27"/>
  <c r="AI86" i="27"/>
  <c r="AH86" i="27"/>
  <c r="F263" i="27"/>
  <c r="H227" i="27"/>
  <c r="G228" i="27"/>
  <c r="AV242" i="26"/>
  <c r="AD7" i="26"/>
  <c r="AR242" i="26"/>
  <c r="Z7" i="26"/>
  <c r="AH94" i="26"/>
  <c r="AJ242" i="26"/>
  <c r="R7" i="26"/>
  <c r="M86" i="26"/>
  <c r="AE242" i="26"/>
  <c r="L86" i="26"/>
  <c r="K86" i="26"/>
  <c r="K7" i="26"/>
  <c r="AI94" i="26"/>
  <c r="AB242" i="26"/>
  <c r="C237" i="26"/>
  <c r="B237" i="26"/>
  <c r="Z242" i="26"/>
  <c r="H86" i="26"/>
  <c r="F7" i="26"/>
  <c r="F86" i="26"/>
  <c r="J86" i="26"/>
  <c r="E7" i="26"/>
  <c r="E86" i="26"/>
  <c r="D7" i="26"/>
  <c r="C86" i="26"/>
  <c r="U242" i="26"/>
  <c r="F222" i="26"/>
  <c r="E104" i="26"/>
  <c r="E228" i="26"/>
  <c r="B85" i="26"/>
  <c r="AI83" i="26"/>
  <c r="AH83" i="26"/>
  <c r="E263" i="26"/>
  <c r="G227" i="26"/>
  <c r="H104" i="29" l="1"/>
  <c r="H228" i="29"/>
  <c r="I222" i="29"/>
  <c r="H263" i="29"/>
  <c r="J227" i="29"/>
  <c r="I104" i="28"/>
  <c r="J222" i="28"/>
  <c r="H263" i="28"/>
  <c r="J227" i="28"/>
  <c r="G263" i="27"/>
  <c r="I227" i="27"/>
  <c r="I104" i="27" s="1"/>
  <c r="H228" i="27"/>
  <c r="H104" i="27"/>
  <c r="J222" i="27"/>
  <c r="K6" i="26"/>
  <c r="F263" i="26"/>
  <c r="H227" i="26"/>
  <c r="AI85" i="26"/>
  <c r="AH85" i="26"/>
  <c r="B7" i="26"/>
  <c r="A7" i="26" s="1"/>
  <c r="T242" i="26"/>
  <c r="B86" i="26"/>
  <c r="G222" i="26"/>
  <c r="F104" i="26"/>
  <c r="F228" i="26"/>
  <c r="K227" i="29" l="1"/>
  <c r="I263" i="29"/>
  <c r="I104" i="29"/>
  <c r="J222" i="29"/>
  <c r="K227" i="28"/>
  <c r="I263" i="28"/>
  <c r="J104" i="28"/>
  <c r="K222" i="28"/>
  <c r="K222" i="27"/>
  <c r="H263" i="27"/>
  <c r="J227" i="27"/>
  <c r="AI86" i="26"/>
  <c r="AH86" i="26"/>
  <c r="H222" i="26"/>
  <c r="G104" i="26"/>
  <c r="G228" i="26"/>
  <c r="G263" i="26"/>
  <c r="I227" i="26"/>
  <c r="J104" i="29" l="1"/>
  <c r="K222" i="29"/>
  <c r="J263" i="29"/>
  <c r="L227" i="29"/>
  <c r="L222" i="28"/>
  <c r="K104" i="28"/>
  <c r="J263" i="28"/>
  <c r="L227" i="28"/>
  <c r="K227" i="27"/>
  <c r="I263" i="27"/>
  <c r="J104" i="27"/>
  <c r="L222" i="27"/>
  <c r="K104" i="27"/>
  <c r="H263" i="26"/>
  <c r="J227" i="26"/>
  <c r="I222" i="26"/>
  <c r="H104" i="26"/>
  <c r="H228" i="26"/>
  <c r="M227" i="29" l="1"/>
  <c r="K263" i="29"/>
  <c r="L222" i="29"/>
  <c r="K104" i="29"/>
  <c r="K263" i="28"/>
  <c r="M227" i="28"/>
  <c r="M222" i="28"/>
  <c r="L104" i="28"/>
  <c r="M222" i="27"/>
  <c r="L104" i="27"/>
  <c r="J263" i="27"/>
  <c r="L227" i="27"/>
  <c r="I104" i="26"/>
  <c r="J222" i="26"/>
  <c r="K227" i="26"/>
  <c r="I263" i="26"/>
  <c r="M222" i="29" l="1"/>
  <c r="L104" i="29"/>
  <c r="L263" i="29"/>
  <c r="N227" i="29"/>
  <c r="N222" i="28"/>
  <c r="M104" i="28"/>
  <c r="L263" i="28"/>
  <c r="N227" i="28"/>
  <c r="K263" i="27"/>
  <c r="M227" i="27"/>
  <c r="N222" i="27"/>
  <c r="M104" i="27"/>
  <c r="K222" i="26"/>
  <c r="J104" i="26"/>
  <c r="J263" i="26"/>
  <c r="L227" i="26"/>
  <c r="M263" i="29" l="1"/>
  <c r="O227" i="29"/>
  <c r="M104" i="29"/>
  <c r="N222" i="29"/>
  <c r="M263" i="28"/>
  <c r="O227" i="28"/>
  <c r="O222" i="28"/>
  <c r="N104" i="28"/>
  <c r="O222" i="27"/>
  <c r="N104" i="27"/>
  <c r="L263" i="27"/>
  <c r="N227" i="27"/>
  <c r="K263" i="26"/>
  <c r="M227" i="26"/>
  <c r="L222" i="26"/>
  <c r="K104" i="26"/>
  <c r="N104" i="29" l="1"/>
  <c r="O222" i="29"/>
  <c r="P227" i="29"/>
  <c r="O263" i="29" s="1"/>
  <c r="N263" i="29"/>
  <c r="P222" i="28"/>
  <c r="O104" i="28"/>
  <c r="N263" i="28"/>
  <c r="P227" i="28"/>
  <c r="O263" i="28" s="1"/>
  <c r="M263" i="27"/>
  <c r="O227" i="27"/>
  <c r="P222" i="27"/>
  <c r="O104" i="27"/>
  <c r="M222" i="26"/>
  <c r="L104" i="26"/>
  <c r="L263" i="26"/>
  <c r="N227" i="26"/>
  <c r="P222" i="29" l="1"/>
  <c r="O104" i="29"/>
  <c r="AI104" i="29" s="1"/>
  <c r="AI104" i="28"/>
  <c r="AH104" i="28"/>
  <c r="AI104" i="27"/>
  <c r="AH104" i="27"/>
  <c r="N263" i="27"/>
  <c r="P227" i="27"/>
  <c r="O263" i="27" s="1"/>
  <c r="M263" i="26"/>
  <c r="O227" i="26"/>
  <c r="N222" i="26"/>
  <c r="M104" i="26"/>
  <c r="AH104" i="29" l="1"/>
  <c r="O222" i="26"/>
  <c r="N104" i="26"/>
  <c r="N263" i="26"/>
  <c r="P227" i="26"/>
  <c r="O263" i="26" s="1"/>
  <c r="P222" i="26" l="1"/>
  <c r="O104" i="26"/>
  <c r="AI104" i="26" l="1"/>
  <c r="AH104" i="26"/>
  <c r="F107" i="25" l="1"/>
  <c r="F106" i="25"/>
  <c r="E107" i="25"/>
  <c r="E108" i="25"/>
  <c r="D108" i="25" l="1"/>
  <c r="D107" i="25"/>
  <c r="C108" i="25"/>
  <c r="C107" i="25"/>
  <c r="C44" i="25"/>
  <c r="C48" i="25"/>
  <c r="AF267" i="25"/>
  <c r="AE267" i="25"/>
  <c r="AD267" i="25"/>
  <c r="AC267" i="25"/>
  <c r="AB267" i="25"/>
  <c r="AA267" i="25"/>
  <c r="Z267" i="25"/>
  <c r="Y267" i="25"/>
  <c r="X267" i="25"/>
  <c r="W267" i="25"/>
  <c r="V267" i="25"/>
  <c r="U267" i="25"/>
  <c r="T267" i="25"/>
  <c r="S267" i="25"/>
  <c r="R267" i="25"/>
  <c r="Q267" i="25"/>
  <c r="P267" i="25"/>
  <c r="O267" i="25"/>
  <c r="N267" i="25"/>
  <c r="M267" i="25"/>
  <c r="L267" i="25"/>
  <c r="K267" i="25"/>
  <c r="J267" i="25"/>
  <c r="I267" i="25"/>
  <c r="H267" i="25"/>
  <c r="G267" i="25"/>
  <c r="F267" i="25"/>
  <c r="E267" i="25"/>
  <c r="D267" i="25"/>
  <c r="C267" i="25"/>
  <c r="B267" i="25"/>
  <c r="A267" i="25"/>
  <c r="AF266" i="25"/>
  <c r="AE266" i="25"/>
  <c r="AD266" i="25"/>
  <c r="AC266" i="25"/>
  <c r="AB266" i="25"/>
  <c r="AA266" i="25"/>
  <c r="Z266" i="25"/>
  <c r="Y266" i="25"/>
  <c r="X266" i="25"/>
  <c r="W266" i="25"/>
  <c r="V266" i="25"/>
  <c r="U266" i="25"/>
  <c r="T266" i="25"/>
  <c r="S266" i="25"/>
  <c r="R266" i="25"/>
  <c r="Q266" i="25"/>
  <c r="P266" i="25"/>
  <c r="O266" i="25"/>
  <c r="N266" i="25"/>
  <c r="M266" i="25"/>
  <c r="L266" i="25"/>
  <c r="K266" i="25"/>
  <c r="J266" i="25"/>
  <c r="I266" i="25"/>
  <c r="H266" i="25"/>
  <c r="G266" i="25"/>
  <c r="F266" i="25"/>
  <c r="E266" i="25"/>
  <c r="D266" i="25"/>
  <c r="C266" i="25"/>
  <c r="B266" i="25"/>
  <c r="A266" i="25"/>
  <c r="AF265" i="25"/>
  <c r="AE265" i="25"/>
  <c r="AD265" i="25"/>
  <c r="AC265" i="25"/>
  <c r="AB265" i="25"/>
  <c r="AA265" i="25"/>
  <c r="Z265" i="25"/>
  <c r="Y265" i="25"/>
  <c r="X265" i="25"/>
  <c r="W265" i="25"/>
  <c r="V265" i="25"/>
  <c r="U265" i="25"/>
  <c r="T265" i="25"/>
  <c r="S265" i="25"/>
  <c r="R265" i="25"/>
  <c r="Q265" i="25"/>
  <c r="P265" i="25"/>
  <c r="O265" i="25"/>
  <c r="N265" i="25"/>
  <c r="M265" i="25"/>
  <c r="L265" i="25"/>
  <c r="K265" i="25"/>
  <c r="J265" i="25"/>
  <c r="I265" i="25"/>
  <c r="H265" i="25"/>
  <c r="G265" i="25"/>
  <c r="F265" i="25"/>
  <c r="E265" i="25"/>
  <c r="D265" i="25"/>
  <c r="C265" i="25"/>
  <c r="B265" i="25"/>
  <c r="A265" i="25"/>
  <c r="AF264" i="25"/>
  <c r="AE264" i="25"/>
  <c r="AD264" i="25"/>
  <c r="AC264" i="25"/>
  <c r="AB264" i="25"/>
  <c r="AA264" i="25"/>
  <c r="Z264" i="25"/>
  <c r="Y264" i="25"/>
  <c r="X264" i="25"/>
  <c r="W264" i="25"/>
  <c r="V264" i="25"/>
  <c r="U264" i="25"/>
  <c r="T264" i="25"/>
  <c r="S264" i="25"/>
  <c r="R264" i="25"/>
  <c r="Q264" i="25"/>
  <c r="P264" i="25"/>
  <c r="O264" i="25"/>
  <c r="N264" i="25"/>
  <c r="M264" i="25"/>
  <c r="L264" i="25"/>
  <c r="K264" i="25"/>
  <c r="J264" i="25"/>
  <c r="I264" i="25"/>
  <c r="H264" i="25"/>
  <c r="G264" i="25"/>
  <c r="F264" i="25"/>
  <c r="E264" i="25"/>
  <c r="D264" i="25"/>
  <c r="C264" i="25"/>
  <c r="B264" i="25"/>
  <c r="A264" i="25"/>
  <c r="AE263" i="25"/>
  <c r="AD263" i="25"/>
  <c r="AC263" i="25"/>
  <c r="AB263" i="25"/>
  <c r="AA263" i="25"/>
  <c r="Z263" i="25"/>
  <c r="Y263" i="25"/>
  <c r="X263" i="25"/>
  <c r="W263" i="25"/>
  <c r="V263" i="25"/>
  <c r="U263" i="25"/>
  <c r="T263" i="25"/>
  <c r="S263" i="25"/>
  <c r="R263" i="25"/>
  <c r="Q263" i="25"/>
  <c r="P263" i="25"/>
  <c r="C263" i="25"/>
  <c r="B263" i="25"/>
  <c r="AP242" i="25"/>
  <c r="S238" i="25"/>
  <c r="AG228" i="25"/>
  <c r="AF228" i="25"/>
  <c r="AE228" i="25"/>
  <c r="AD228" i="25"/>
  <c r="AC228" i="25"/>
  <c r="AB228" i="25"/>
  <c r="AA228" i="25"/>
  <c r="Z228" i="25"/>
  <c r="Y228" i="25"/>
  <c r="X228" i="25"/>
  <c r="W228" i="25"/>
  <c r="V228" i="25"/>
  <c r="U228" i="25"/>
  <c r="T228" i="25"/>
  <c r="S228" i="25"/>
  <c r="R228" i="25"/>
  <c r="Q228" i="25"/>
  <c r="C228" i="25"/>
  <c r="D227" i="25"/>
  <c r="E227" i="25" s="1"/>
  <c r="B227" i="25"/>
  <c r="AF263" i="25" s="1"/>
  <c r="E226" i="25"/>
  <c r="F226" i="25" s="1"/>
  <c r="G226" i="25" s="1"/>
  <c r="H226" i="25" s="1"/>
  <c r="I226" i="25" s="1"/>
  <c r="J226" i="25" s="1"/>
  <c r="K226" i="25" s="1"/>
  <c r="L226" i="25" s="1"/>
  <c r="M226" i="25" s="1"/>
  <c r="N226" i="25" s="1"/>
  <c r="O226" i="25" s="1"/>
  <c r="P226" i="25" s="1"/>
  <c r="D226" i="25"/>
  <c r="B226" i="25"/>
  <c r="D225" i="25"/>
  <c r="E225" i="25" s="1"/>
  <c r="F225" i="25" s="1"/>
  <c r="G225" i="25" s="1"/>
  <c r="H225" i="25" s="1"/>
  <c r="I225" i="25" s="1"/>
  <c r="B225" i="25"/>
  <c r="D224" i="25"/>
  <c r="E224" i="25" s="1"/>
  <c r="F224" i="25" s="1"/>
  <c r="G224" i="25" s="1"/>
  <c r="H224" i="25" s="1"/>
  <c r="B224" i="25"/>
  <c r="D223" i="25"/>
  <c r="E223" i="25" s="1"/>
  <c r="F223" i="25" s="1"/>
  <c r="G223" i="25" s="1"/>
  <c r="H223" i="25" s="1"/>
  <c r="I223" i="25" s="1"/>
  <c r="J223" i="25" s="1"/>
  <c r="K223" i="25" s="1"/>
  <c r="L223" i="25" s="1"/>
  <c r="M223" i="25" s="1"/>
  <c r="N223" i="25" s="1"/>
  <c r="O223" i="25" s="1"/>
  <c r="P223" i="25" s="1"/>
  <c r="B223" i="25"/>
  <c r="E222" i="25"/>
  <c r="F222" i="25" s="1"/>
  <c r="D222" i="25"/>
  <c r="D228" i="25" s="1"/>
  <c r="B222" i="25"/>
  <c r="AG220" i="25"/>
  <c r="AF220" i="25"/>
  <c r="AE220" i="25"/>
  <c r="AD220" i="25"/>
  <c r="AC220" i="25"/>
  <c r="AB220" i="25"/>
  <c r="AA220" i="25"/>
  <c r="Z220" i="25"/>
  <c r="Y220" i="25"/>
  <c r="X220" i="25"/>
  <c r="W220" i="25"/>
  <c r="V220" i="25"/>
  <c r="U220" i="25"/>
  <c r="T220" i="25"/>
  <c r="S220" i="25"/>
  <c r="R220" i="25"/>
  <c r="Q220" i="25"/>
  <c r="P220" i="25"/>
  <c r="O220" i="25"/>
  <c r="N220" i="25"/>
  <c r="M220" i="25"/>
  <c r="L220" i="25"/>
  <c r="K220" i="25"/>
  <c r="J220" i="25"/>
  <c r="I220" i="25"/>
  <c r="H220" i="25"/>
  <c r="G220" i="25"/>
  <c r="F220" i="25"/>
  <c r="E220" i="25"/>
  <c r="D220" i="25"/>
  <c r="C220" i="25"/>
  <c r="B220" i="25"/>
  <c r="AI113" i="25"/>
  <c r="AH113" i="25"/>
  <c r="AI112" i="25"/>
  <c r="AH112" i="25"/>
  <c r="AI111" i="25"/>
  <c r="AH111" i="25"/>
  <c r="AI110" i="25"/>
  <c r="AH110" i="25"/>
  <c r="AI109" i="25"/>
  <c r="AH109" i="25"/>
  <c r="AI108" i="25"/>
  <c r="AH108" i="25"/>
  <c r="AI107" i="25"/>
  <c r="AH107" i="25"/>
  <c r="AI106" i="25"/>
  <c r="AH106" i="25"/>
  <c r="AI105" i="25"/>
  <c r="AH105" i="25"/>
  <c r="AF104" i="25"/>
  <c r="AE104" i="25"/>
  <c r="AD104" i="25"/>
  <c r="AC104" i="25"/>
  <c r="AB104" i="25"/>
  <c r="AA104" i="25"/>
  <c r="Z104" i="25"/>
  <c r="Y104" i="25"/>
  <c r="W104" i="25"/>
  <c r="V104" i="25"/>
  <c r="U104" i="25"/>
  <c r="T104" i="25"/>
  <c r="S104" i="25"/>
  <c r="R104" i="25"/>
  <c r="Q104" i="25"/>
  <c r="D104" i="25"/>
  <c r="C104" i="25"/>
  <c r="AI103" i="25"/>
  <c r="AH103" i="25"/>
  <c r="AI102" i="25"/>
  <c r="AH102" i="25"/>
  <c r="AI101" i="25"/>
  <c r="AH101" i="25"/>
  <c r="AI100" i="25"/>
  <c r="AH100" i="25"/>
  <c r="AI99" i="25"/>
  <c r="AH99" i="25"/>
  <c r="AI98" i="25"/>
  <c r="AH98" i="25"/>
  <c r="AI97" i="25"/>
  <c r="AH97" i="25"/>
  <c r="AI96" i="25"/>
  <c r="AH96" i="25"/>
  <c r="AI95" i="25"/>
  <c r="AH95" i="25"/>
  <c r="AI93" i="25"/>
  <c r="AH93" i="25"/>
  <c r="AI92" i="25"/>
  <c r="AH92" i="25"/>
  <c r="AI91" i="25"/>
  <c r="AH91" i="25"/>
  <c r="AI90" i="25"/>
  <c r="AH90" i="25"/>
  <c r="AI89" i="25"/>
  <c r="AH89" i="25"/>
  <c r="AI88" i="25"/>
  <c r="AH88" i="25"/>
  <c r="AI87" i="25"/>
  <c r="AH87" i="25"/>
  <c r="AI84" i="25"/>
  <c r="AH84" i="25"/>
  <c r="AI82" i="25"/>
  <c r="AH82" i="25"/>
  <c r="AG82" i="25"/>
  <c r="AI81" i="25"/>
  <c r="AH81" i="25"/>
  <c r="AI80" i="25"/>
  <c r="AH80" i="25"/>
  <c r="AI79" i="25"/>
  <c r="AH79" i="25"/>
  <c r="AN78" i="25"/>
  <c r="AG78" i="25"/>
  <c r="AF94" i="25"/>
  <c r="AE78" i="25"/>
  <c r="AE94" i="25" s="1"/>
  <c r="AD78" i="25"/>
  <c r="AD94" i="25" s="1"/>
  <c r="AC78" i="25"/>
  <c r="AB5" i="25" s="1"/>
  <c r="AB78" i="25"/>
  <c r="AB94" i="25" s="1"/>
  <c r="AA78" i="25"/>
  <c r="AA94" i="25" s="1"/>
  <c r="Z78" i="25"/>
  <c r="Z94" i="25" s="1"/>
  <c r="Y78" i="25"/>
  <c r="Y94" i="25" s="1"/>
  <c r="W78" i="25"/>
  <c r="W94" i="25" s="1"/>
  <c r="V78" i="25"/>
  <c r="U5" i="25" s="1"/>
  <c r="U78" i="25"/>
  <c r="U94" i="25" s="1"/>
  <c r="T78" i="25"/>
  <c r="S5" i="25" s="1"/>
  <c r="S78" i="25"/>
  <c r="S94" i="25" s="1"/>
  <c r="R78" i="25"/>
  <c r="R94" i="25" s="1"/>
  <c r="Q78" i="25"/>
  <c r="Q94" i="25" s="1"/>
  <c r="P78" i="25"/>
  <c r="P94" i="25" s="1"/>
  <c r="O78" i="25"/>
  <c r="O94" i="25" s="1"/>
  <c r="N78" i="25"/>
  <c r="M5" i="25" s="1"/>
  <c r="M78" i="25"/>
  <c r="M94" i="25" s="1"/>
  <c r="L78" i="25"/>
  <c r="K5" i="25" s="1"/>
  <c r="K78" i="25"/>
  <c r="K94" i="25" s="1"/>
  <c r="J78" i="25"/>
  <c r="J94" i="25" s="1"/>
  <c r="I78" i="25"/>
  <c r="I94" i="25" s="1"/>
  <c r="H78" i="25"/>
  <c r="H94" i="25" s="1"/>
  <c r="G78" i="25"/>
  <c r="G94" i="25" s="1"/>
  <c r="F78" i="25"/>
  <c r="F94" i="25" s="1"/>
  <c r="E78" i="25"/>
  <c r="E94" i="25" s="1"/>
  <c r="D78" i="25"/>
  <c r="C5" i="25" s="1"/>
  <c r="C78" i="25"/>
  <c r="C94" i="25" s="1"/>
  <c r="B78" i="25"/>
  <c r="B94" i="25" s="1"/>
  <c r="AI77" i="25"/>
  <c r="AH77" i="25"/>
  <c r="AN76" i="25"/>
  <c r="AI76" i="25"/>
  <c r="AH76" i="25"/>
  <c r="AN75" i="25"/>
  <c r="AN77" i="25" s="1"/>
  <c r="AI75" i="25"/>
  <c r="AH75" i="25"/>
  <c r="AI74" i="25"/>
  <c r="AH74" i="25"/>
  <c r="AI73" i="25"/>
  <c r="AH73" i="25"/>
  <c r="AI72" i="25"/>
  <c r="AH72" i="25"/>
  <c r="AI71" i="25"/>
  <c r="AH71" i="25"/>
  <c r="AI70" i="25"/>
  <c r="AH70" i="25"/>
  <c r="AI69" i="25"/>
  <c r="AH69" i="25"/>
  <c r="AI68" i="25"/>
  <c r="AH68" i="25"/>
  <c r="AI67" i="25"/>
  <c r="AH67" i="25"/>
  <c r="AG66" i="25"/>
  <c r="AE66" i="25"/>
  <c r="AD66" i="25"/>
  <c r="AC66" i="25"/>
  <c r="AB66" i="25"/>
  <c r="AA66" i="25"/>
  <c r="Z66" i="25"/>
  <c r="Y66" i="25"/>
  <c r="W66" i="25"/>
  <c r="U66" i="25"/>
  <c r="T66" i="25"/>
  <c r="S66" i="25"/>
  <c r="R66" i="25"/>
  <c r="Q66" i="25"/>
  <c r="P66" i="25"/>
  <c r="O66" i="25"/>
  <c r="N66" i="25"/>
  <c r="M66" i="25"/>
  <c r="L66" i="25"/>
  <c r="AI65" i="25"/>
  <c r="AH65" i="25"/>
  <c r="AI64" i="25"/>
  <c r="AH64" i="25"/>
  <c r="AI63" i="25"/>
  <c r="AH63" i="25"/>
  <c r="AE62" i="25"/>
  <c r="AD62" i="25"/>
  <c r="AC62" i="25"/>
  <c r="AB62" i="25"/>
  <c r="AA62" i="25"/>
  <c r="Z62" i="25"/>
  <c r="Y62" i="25"/>
  <c r="W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AI61" i="25"/>
  <c r="AH61" i="25"/>
  <c r="AG61" i="25"/>
  <c r="AG62" i="25" s="1"/>
  <c r="AG3" i="25" s="1"/>
  <c r="AI60" i="25"/>
  <c r="AH60" i="25"/>
  <c r="AI59" i="25"/>
  <c r="AH59" i="25"/>
  <c r="AI58" i="25"/>
  <c r="AH58" i="25"/>
  <c r="AI57" i="25"/>
  <c r="AH57" i="25"/>
  <c r="AI56" i="25"/>
  <c r="AH56" i="25"/>
  <c r="AI55" i="25"/>
  <c r="AH55" i="25"/>
  <c r="AI54" i="25"/>
  <c r="AH54" i="25"/>
  <c r="AI53" i="25"/>
  <c r="AH53" i="25"/>
  <c r="AI52" i="25"/>
  <c r="AH52" i="25"/>
  <c r="AI51" i="25"/>
  <c r="AH51" i="25"/>
  <c r="AI50" i="25"/>
  <c r="AH50" i="25"/>
  <c r="AI49" i="25"/>
  <c r="AH49" i="25"/>
  <c r="AG48" i="25"/>
  <c r="AF48" i="25"/>
  <c r="AE48" i="25"/>
  <c r="AD48" i="25"/>
  <c r="AC48" i="25"/>
  <c r="AB48" i="25"/>
  <c r="AA48" i="25"/>
  <c r="Z48" i="25"/>
  <c r="Y48" i="25"/>
  <c r="W48" i="25"/>
  <c r="U48" i="25"/>
  <c r="T48" i="25"/>
  <c r="S48" i="25"/>
  <c r="R48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B48" i="25"/>
  <c r="AI47" i="25"/>
  <c r="AH47" i="25"/>
  <c r="AI46" i="25"/>
  <c r="AH46" i="25"/>
  <c r="AI45" i="25"/>
  <c r="AH45" i="25"/>
  <c r="AG44" i="25"/>
  <c r="AG2" i="25" s="1"/>
  <c r="AF44" i="25"/>
  <c r="AE44" i="25"/>
  <c r="AD44" i="25"/>
  <c r="AC44" i="25"/>
  <c r="AB44" i="25"/>
  <c r="AA44" i="25"/>
  <c r="Z44" i="25"/>
  <c r="Y44" i="25"/>
  <c r="W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G83" i="25" s="1"/>
  <c r="G85" i="25" s="1"/>
  <c r="F44" i="25"/>
  <c r="E44" i="25"/>
  <c r="D44" i="25"/>
  <c r="B44" i="25"/>
  <c r="AI43" i="25"/>
  <c r="AH43" i="25"/>
  <c r="AI42" i="25"/>
  <c r="AH42" i="25"/>
  <c r="AI41" i="25"/>
  <c r="AH41" i="25"/>
  <c r="AI40" i="25"/>
  <c r="AH40" i="25"/>
  <c r="AI39" i="25"/>
  <c r="AH39" i="25"/>
  <c r="AI38" i="25"/>
  <c r="AH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X7" i="25"/>
  <c r="W5" i="25"/>
  <c r="J5" i="25"/>
  <c r="AG4" i="25"/>
  <c r="K4" i="25"/>
  <c r="E4" i="25"/>
  <c r="H4" i="25" s="1"/>
  <c r="B4" i="25"/>
  <c r="S239" i="25" s="1"/>
  <c r="AB107" i="24"/>
  <c r="X83" i="24"/>
  <c r="X85" i="24" s="1"/>
  <c r="X86" i="24" s="1"/>
  <c r="X78" i="24"/>
  <c r="X66" i="24"/>
  <c r="X62" i="24"/>
  <c r="X48" i="24"/>
  <c r="X44" i="24"/>
  <c r="R78" i="24"/>
  <c r="R66" i="24"/>
  <c r="R44" i="24"/>
  <c r="B228" i="25" l="1"/>
  <c r="AG83" i="25"/>
  <c r="AC83" i="25"/>
  <c r="AC85" i="25" s="1"/>
  <c r="AG6" i="25"/>
  <c r="F5" i="25"/>
  <c r="I5" i="25"/>
  <c r="J83" i="25"/>
  <c r="J85" i="25" s="1"/>
  <c r="J86" i="25" s="1"/>
  <c r="K83" i="25"/>
  <c r="K85" i="25" s="1"/>
  <c r="K86" i="25" s="1"/>
  <c r="L83" i="25"/>
  <c r="L85" i="25" s="1"/>
  <c r="L86" i="25" s="1"/>
  <c r="H83" i="25"/>
  <c r="H85" i="25" s="1"/>
  <c r="Z242" i="25" s="1"/>
  <c r="AE5" i="25"/>
  <c r="AF83" i="25"/>
  <c r="AF85" i="25" s="1"/>
  <c r="AF86" i="25" s="1"/>
  <c r="AD5" i="25"/>
  <c r="AE83" i="25"/>
  <c r="AE85" i="25" s="1"/>
  <c r="AE7" i="25" s="1"/>
  <c r="AC5" i="25"/>
  <c r="AD83" i="25"/>
  <c r="AD85" i="25" s="1"/>
  <c r="AD86" i="25" s="1"/>
  <c r="AB83" i="25"/>
  <c r="AB85" i="25" s="1"/>
  <c r="AA5" i="25"/>
  <c r="Z5" i="25"/>
  <c r="AA83" i="25"/>
  <c r="AA85" i="25" s="1"/>
  <c r="AS242" i="25" s="1"/>
  <c r="Y5" i="25"/>
  <c r="Z83" i="25"/>
  <c r="Z85" i="25" s="1"/>
  <c r="AR242" i="25" s="1"/>
  <c r="X5" i="25"/>
  <c r="Y83" i="25"/>
  <c r="Y85" i="25" s="1"/>
  <c r="Y86" i="25" s="1"/>
  <c r="V5" i="25"/>
  <c r="W83" i="25"/>
  <c r="W85" i="25" s="1"/>
  <c r="V94" i="25"/>
  <c r="V83" i="25"/>
  <c r="V85" i="25" s="1"/>
  <c r="V7" i="25" s="1"/>
  <c r="T5" i="25"/>
  <c r="R5" i="25"/>
  <c r="S83" i="25"/>
  <c r="S85" i="25" s="1"/>
  <c r="S7" i="25" s="1"/>
  <c r="R83" i="25"/>
  <c r="R85" i="25" s="1"/>
  <c r="R7" i="25" s="1"/>
  <c r="Q5" i="25"/>
  <c r="Q83" i="25"/>
  <c r="Q85" i="25" s="1"/>
  <c r="Q86" i="25" s="1"/>
  <c r="P5" i="25"/>
  <c r="AH66" i="25"/>
  <c r="T83" i="25"/>
  <c r="T85" i="25" s="1"/>
  <c r="AL242" i="25" s="1"/>
  <c r="U83" i="25"/>
  <c r="U85" i="25" s="1"/>
  <c r="U7" i="25" s="1"/>
  <c r="P83" i="25"/>
  <c r="P85" i="25" s="1"/>
  <c r="P7" i="25" s="1"/>
  <c r="N5" i="25"/>
  <c r="O83" i="25"/>
  <c r="O85" i="25" s="1"/>
  <c r="O7" i="25" s="1"/>
  <c r="N94" i="25"/>
  <c r="N83" i="25"/>
  <c r="N85" i="25" s="1"/>
  <c r="N86" i="25" s="1"/>
  <c r="L5" i="25"/>
  <c r="AI66" i="25"/>
  <c r="M83" i="25"/>
  <c r="M85" i="25" s="1"/>
  <c r="AE242" i="25" s="1"/>
  <c r="H5" i="25"/>
  <c r="I83" i="25"/>
  <c r="I85" i="25" s="1"/>
  <c r="I86" i="25" s="1"/>
  <c r="E83" i="25"/>
  <c r="E85" i="25" s="1"/>
  <c r="E7" i="25" s="1"/>
  <c r="D5" i="25"/>
  <c r="E5" i="25"/>
  <c r="D83" i="25"/>
  <c r="D85" i="25" s="1"/>
  <c r="V242" i="25" s="1"/>
  <c r="F83" i="25"/>
  <c r="F85" i="25" s="1"/>
  <c r="F86" i="25" s="1"/>
  <c r="AI48" i="25"/>
  <c r="AI44" i="25"/>
  <c r="C83" i="25"/>
  <c r="C85" i="25" s="1"/>
  <c r="C86" i="25" s="1"/>
  <c r="B5" i="25"/>
  <c r="AI62" i="25"/>
  <c r="AF5" i="25"/>
  <c r="D263" i="25"/>
  <c r="E104" i="25"/>
  <c r="F227" i="25"/>
  <c r="F104" i="25" s="1"/>
  <c r="AT242" i="25"/>
  <c r="AB86" i="25"/>
  <c r="AB7" i="25"/>
  <c r="D7" i="25"/>
  <c r="AU242" i="25"/>
  <c r="AC86" i="25"/>
  <c r="AC7" i="25"/>
  <c r="Q7" i="25"/>
  <c r="AI242" i="25"/>
  <c r="J225" i="25"/>
  <c r="K225" i="25" s="1"/>
  <c r="L225" i="25" s="1"/>
  <c r="M225" i="25" s="1"/>
  <c r="N225" i="25" s="1"/>
  <c r="O225" i="25" s="1"/>
  <c r="P225" i="25" s="1"/>
  <c r="G222" i="25"/>
  <c r="AV242" i="25"/>
  <c r="Y242" i="25"/>
  <c r="G7" i="25"/>
  <c r="G86" i="25"/>
  <c r="W242" i="25"/>
  <c r="E86" i="25"/>
  <c r="AO242" i="25"/>
  <c r="W86" i="25"/>
  <c r="W7" i="25"/>
  <c r="AG85" i="25"/>
  <c r="AH78" i="25"/>
  <c r="D94" i="25"/>
  <c r="L94" i="25"/>
  <c r="T94" i="25"/>
  <c r="AC94" i="25"/>
  <c r="B104" i="25"/>
  <c r="E228" i="25"/>
  <c r="D239" i="25"/>
  <c r="G5" i="25"/>
  <c r="O5" i="25"/>
  <c r="AH62" i="25"/>
  <c r="AI78" i="25"/>
  <c r="B83" i="25"/>
  <c r="AH48" i="25"/>
  <c r="AH44" i="25"/>
  <c r="U242" i="25" l="1"/>
  <c r="M7" i="25"/>
  <c r="AC242" i="25"/>
  <c r="M86" i="25"/>
  <c r="J7" i="25"/>
  <c r="AB242" i="25"/>
  <c r="H7" i="25"/>
  <c r="H86" i="25"/>
  <c r="L7" i="25"/>
  <c r="AD242" i="25"/>
  <c r="K7" i="25"/>
  <c r="AA242" i="25"/>
  <c r="AX242" i="25"/>
  <c r="AF7" i="25"/>
  <c r="AE86" i="25"/>
  <c r="AW242" i="25"/>
  <c r="AD7" i="25"/>
  <c r="AI94" i="25"/>
  <c r="AA86" i="25"/>
  <c r="AA7" i="25"/>
  <c r="Z86" i="25"/>
  <c r="Z7" i="25"/>
  <c r="Y7" i="25"/>
  <c r="AQ242" i="25"/>
  <c r="V86" i="25"/>
  <c r="AN242" i="25"/>
  <c r="U86" i="25"/>
  <c r="AM242" i="25"/>
  <c r="T7" i="25"/>
  <c r="T86" i="25"/>
  <c r="S86" i="25"/>
  <c r="AK242" i="25"/>
  <c r="R86" i="25"/>
  <c r="AJ242" i="25"/>
  <c r="O86" i="25"/>
  <c r="AG242" i="25"/>
  <c r="C237" i="25"/>
  <c r="AF242" i="25"/>
  <c r="P86" i="25"/>
  <c r="AH242" i="25"/>
  <c r="N7" i="25"/>
  <c r="B237" i="25"/>
  <c r="I7" i="25"/>
  <c r="F7" i="25"/>
  <c r="D86" i="25"/>
  <c r="X242" i="25"/>
  <c r="C7" i="25"/>
  <c r="F228" i="25"/>
  <c r="E263" i="25"/>
  <c r="G227" i="25"/>
  <c r="AH94" i="25"/>
  <c r="H222" i="25"/>
  <c r="B85" i="25"/>
  <c r="AI83" i="25"/>
  <c r="AH83" i="25"/>
  <c r="K6" i="25" l="1"/>
  <c r="I222" i="25"/>
  <c r="H104" i="25"/>
  <c r="H228" i="25"/>
  <c r="AI85" i="25"/>
  <c r="AH85" i="25"/>
  <c r="B7" i="25"/>
  <c r="A7" i="25" s="1"/>
  <c r="T242" i="25"/>
  <c r="B86" i="25"/>
  <c r="F263" i="25"/>
  <c r="H227" i="25"/>
  <c r="G228" i="25"/>
  <c r="G104" i="25"/>
  <c r="AI86" i="25" l="1"/>
  <c r="AH86" i="25"/>
  <c r="G263" i="25"/>
  <c r="I227" i="25"/>
  <c r="I104" i="25"/>
  <c r="J222" i="25"/>
  <c r="H263" i="25" l="1"/>
  <c r="J227" i="25"/>
  <c r="K222" i="25"/>
  <c r="J104" i="25"/>
  <c r="L222" i="25" l="1"/>
  <c r="K104" i="25"/>
  <c r="K227" i="25"/>
  <c r="I263" i="25"/>
  <c r="J263" i="25" l="1"/>
  <c r="L227" i="25"/>
  <c r="M222" i="25"/>
  <c r="L104" i="25"/>
  <c r="N222" i="25" l="1"/>
  <c r="K263" i="25"/>
  <c r="M227" i="25"/>
  <c r="L263" i="25" l="1"/>
  <c r="N227" i="25"/>
  <c r="O222" i="25"/>
  <c r="N104" i="25"/>
  <c r="P222" i="25" l="1"/>
  <c r="O104" i="25"/>
  <c r="M263" i="25"/>
  <c r="O227" i="25"/>
  <c r="AI104" i="25" l="1"/>
  <c r="AH104" i="25"/>
  <c r="N263" i="25"/>
  <c r="P227" i="25"/>
  <c r="O263" i="25" s="1"/>
  <c r="D107" i="24" l="1"/>
  <c r="C107" i="24"/>
  <c r="AF267" i="24"/>
  <c r="AE267" i="24"/>
  <c r="AD267" i="24"/>
  <c r="AC267" i="24"/>
  <c r="AB267" i="24"/>
  <c r="AA267" i="24"/>
  <c r="Z267" i="24"/>
  <c r="Y267" i="24"/>
  <c r="X267" i="24"/>
  <c r="W267" i="24"/>
  <c r="V267" i="24"/>
  <c r="U267" i="24"/>
  <c r="T267" i="24"/>
  <c r="S267" i="24"/>
  <c r="R267" i="24"/>
  <c r="Q267" i="24"/>
  <c r="P267" i="24"/>
  <c r="O267" i="24"/>
  <c r="N267" i="24"/>
  <c r="M267" i="24"/>
  <c r="L267" i="24"/>
  <c r="K267" i="24"/>
  <c r="J267" i="24"/>
  <c r="I267" i="24"/>
  <c r="H267" i="24"/>
  <c r="G267" i="24"/>
  <c r="F267" i="24"/>
  <c r="E267" i="24"/>
  <c r="D267" i="24"/>
  <c r="C267" i="24"/>
  <c r="B267" i="24"/>
  <c r="A267" i="24"/>
  <c r="AF266" i="24"/>
  <c r="AE266" i="24"/>
  <c r="AD266" i="24"/>
  <c r="AC266" i="24"/>
  <c r="AB266" i="24"/>
  <c r="AA266" i="24"/>
  <c r="Z266" i="24"/>
  <c r="Y266" i="24"/>
  <c r="X266" i="24"/>
  <c r="W266" i="24"/>
  <c r="V266" i="24"/>
  <c r="U266" i="24"/>
  <c r="T266" i="24"/>
  <c r="S266" i="24"/>
  <c r="R266" i="24"/>
  <c r="Q266" i="24"/>
  <c r="P266" i="24"/>
  <c r="O266" i="24"/>
  <c r="N266" i="24"/>
  <c r="M266" i="24"/>
  <c r="L266" i="24"/>
  <c r="K266" i="24"/>
  <c r="J266" i="24"/>
  <c r="I266" i="24"/>
  <c r="H266" i="24"/>
  <c r="G266" i="24"/>
  <c r="F266" i="24"/>
  <c r="E266" i="24"/>
  <c r="D266" i="24"/>
  <c r="C266" i="24"/>
  <c r="B266" i="24"/>
  <c r="A266" i="24"/>
  <c r="AF265" i="24"/>
  <c r="AE265" i="24"/>
  <c r="AD265" i="24"/>
  <c r="AC265" i="24"/>
  <c r="AB265" i="24"/>
  <c r="AA265" i="24"/>
  <c r="Z265" i="24"/>
  <c r="Y265" i="24"/>
  <c r="X265" i="24"/>
  <c r="W265" i="24"/>
  <c r="V265" i="24"/>
  <c r="U265" i="24"/>
  <c r="T265" i="24"/>
  <c r="S265" i="24"/>
  <c r="R265" i="24"/>
  <c r="Q265" i="24"/>
  <c r="P265" i="24"/>
  <c r="O265" i="24"/>
  <c r="N265" i="24"/>
  <c r="M265" i="24"/>
  <c r="L265" i="24"/>
  <c r="K265" i="24"/>
  <c r="J265" i="24"/>
  <c r="I265" i="24"/>
  <c r="H265" i="24"/>
  <c r="G265" i="24"/>
  <c r="F265" i="24"/>
  <c r="E265" i="24"/>
  <c r="D265" i="24"/>
  <c r="C265" i="24"/>
  <c r="B265" i="24"/>
  <c r="A265" i="24"/>
  <c r="AF264" i="24"/>
  <c r="AE264" i="24"/>
  <c r="AD264" i="24"/>
  <c r="AC264" i="24"/>
  <c r="AB264" i="24"/>
  <c r="AA264" i="24"/>
  <c r="Z264" i="24"/>
  <c r="Y264" i="24"/>
  <c r="X264" i="24"/>
  <c r="W264" i="24"/>
  <c r="V264" i="24"/>
  <c r="U264" i="24"/>
  <c r="T264" i="24"/>
  <c r="S264" i="24"/>
  <c r="R264" i="24"/>
  <c r="Q264" i="24"/>
  <c r="P264" i="24"/>
  <c r="O264" i="24"/>
  <c r="N264" i="24"/>
  <c r="M264" i="24"/>
  <c r="L264" i="24"/>
  <c r="K264" i="24"/>
  <c r="J264" i="24"/>
  <c r="I264" i="24"/>
  <c r="H264" i="24"/>
  <c r="G264" i="24"/>
  <c r="F264" i="24"/>
  <c r="E264" i="24"/>
  <c r="D264" i="24"/>
  <c r="C264" i="24"/>
  <c r="B264" i="24"/>
  <c r="A264" i="24"/>
  <c r="AE263" i="24"/>
  <c r="AD263" i="24"/>
  <c r="AC263" i="24"/>
  <c r="AB263" i="24"/>
  <c r="AA263" i="24"/>
  <c r="Z263" i="24"/>
  <c r="Y263" i="24"/>
  <c r="X263" i="24"/>
  <c r="W263" i="24"/>
  <c r="V263" i="24"/>
  <c r="U263" i="24"/>
  <c r="T263" i="24"/>
  <c r="S263" i="24"/>
  <c r="R263" i="24"/>
  <c r="Q263" i="24"/>
  <c r="P263" i="24"/>
  <c r="B263" i="24"/>
  <c r="AP242" i="24"/>
  <c r="S238" i="24"/>
  <c r="AG228" i="24"/>
  <c r="AG61" i="24" s="1"/>
  <c r="AG62" i="24" s="1"/>
  <c r="AG3" i="24" s="1"/>
  <c r="AG6" i="24" s="1"/>
  <c r="AF228" i="24"/>
  <c r="AE228" i="24"/>
  <c r="AD228" i="24"/>
  <c r="AC228" i="24"/>
  <c r="AB228" i="24"/>
  <c r="AA228" i="24"/>
  <c r="Z228" i="24"/>
  <c r="Y228" i="24"/>
  <c r="X228" i="24"/>
  <c r="W228" i="24"/>
  <c r="V228" i="24"/>
  <c r="U228" i="24"/>
  <c r="T228" i="24"/>
  <c r="S228" i="24"/>
  <c r="R228" i="24"/>
  <c r="Q228" i="24"/>
  <c r="C228" i="24"/>
  <c r="E227" i="24"/>
  <c r="D263" i="24" s="1"/>
  <c r="D227" i="24"/>
  <c r="C263" i="24" s="1"/>
  <c r="B227" i="24"/>
  <c r="AF263" i="24" s="1"/>
  <c r="D226" i="24"/>
  <c r="E226" i="24" s="1"/>
  <c r="F226" i="24" s="1"/>
  <c r="G226" i="24" s="1"/>
  <c r="H226" i="24" s="1"/>
  <c r="I226" i="24" s="1"/>
  <c r="J226" i="24" s="1"/>
  <c r="K226" i="24" s="1"/>
  <c r="L226" i="24" s="1"/>
  <c r="M226" i="24" s="1"/>
  <c r="N226" i="24" s="1"/>
  <c r="O226" i="24" s="1"/>
  <c r="P226" i="24" s="1"/>
  <c r="B226" i="24"/>
  <c r="D225" i="24"/>
  <c r="E225" i="24" s="1"/>
  <c r="F225" i="24" s="1"/>
  <c r="G225" i="24" s="1"/>
  <c r="H225" i="24" s="1"/>
  <c r="I225" i="24" s="1"/>
  <c r="B225" i="24"/>
  <c r="D224" i="24"/>
  <c r="E224" i="24" s="1"/>
  <c r="F224" i="24" s="1"/>
  <c r="G224" i="24" s="1"/>
  <c r="H224" i="24" s="1"/>
  <c r="B224" i="24"/>
  <c r="D223" i="24"/>
  <c r="E223" i="24" s="1"/>
  <c r="F223" i="24" s="1"/>
  <c r="G223" i="24" s="1"/>
  <c r="H223" i="24" s="1"/>
  <c r="I223" i="24" s="1"/>
  <c r="J223" i="24" s="1"/>
  <c r="K223" i="24" s="1"/>
  <c r="L223" i="24" s="1"/>
  <c r="M223" i="24" s="1"/>
  <c r="N223" i="24" s="1"/>
  <c r="O223" i="24" s="1"/>
  <c r="P223" i="24" s="1"/>
  <c r="B223" i="24"/>
  <c r="E222" i="24"/>
  <c r="F222" i="24" s="1"/>
  <c r="D222" i="24"/>
  <c r="B222" i="24"/>
  <c r="AG220" i="24"/>
  <c r="AF220" i="24"/>
  <c r="AE220" i="24"/>
  <c r="AD220" i="24"/>
  <c r="AC220" i="24"/>
  <c r="AB220" i="24"/>
  <c r="AA220" i="24"/>
  <c r="Z220" i="24"/>
  <c r="Y220" i="24"/>
  <c r="X220" i="24"/>
  <c r="W220" i="24"/>
  <c r="V220" i="24"/>
  <c r="U220" i="24"/>
  <c r="T220" i="24"/>
  <c r="S220" i="24"/>
  <c r="R220" i="24"/>
  <c r="Q220" i="24"/>
  <c r="P220" i="24"/>
  <c r="O220" i="24"/>
  <c r="N220" i="24"/>
  <c r="M220" i="24"/>
  <c r="L220" i="24"/>
  <c r="K220" i="24"/>
  <c r="J220" i="24"/>
  <c r="I220" i="24"/>
  <c r="H220" i="24"/>
  <c r="G220" i="24"/>
  <c r="F220" i="24"/>
  <c r="E220" i="24"/>
  <c r="D220" i="24"/>
  <c r="C220" i="24"/>
  <c r="B220" i="24"/>
  <c r="AI113" i="24"/>
  <c r="AH113" i="24"/>
  <c r="AI112" i="24"/>
  <c r="AH112" i="24"/>
  <c r="AI111" i="24"/>
  <c r="AH111" i="24"/>
  <c r="AI110" i="24"/>
  <c r="AH110" i="24"/>
  <c r="AI109" i="24"/>
  <c r="AH109" i="24"/>
  <c r="AI108" i="24"/>
  <c r="AH108" i="24"/>
  <c r="AI107" i="24"/>
  <c r="AI106" i="24"/>
  <c r="AH106" i="24"/>
  <c r="AI105" i="24"/>
  <c r="AH105" i="24"/>
  <c r="AF104" i="24"/>
  <c r="AE104" i="24"/>
  <c r="AD104" i="24"/>
  <c r="AC104" i="24"/>
  <c r="AB104" i="24"/>
  <c r="AA104" i="24"/>
  <c r="Z104" i="24"/>
  <c r="Y104" i="24"/>
  <c r="W104" i="24"/>
  <c r="V104" i="24"/>
  <c r="U104" i="24"/>
  <c r="T104" i="24"/>
  <c r="S104" i="24"/>
  <c r="R104" i="24"/>
  <c r="Q104" i="24"/>
  <c r="C104" i="24"/>
  <c r="B104" i="24"/>
  <c r="AI103" i="24"/>
  <c r="AH103" i="24"/>
  <c r="AI102" i="24"/>
  <c r="AH102" i="24"/>
  <c r="AI101" i="24"/>
  <c r="AH101" i="24"/>
  <c r="AI100" i="24"/>
  <c r="AH100" i="24"/>
  <c r="AI99" i="24"/>
  <c r="AH99" i="24"/>
  <c r="AI98" i="24"/>
  <c r="AH98" i="24"/>
  <c r="AI97" i="24"/>
  <c r="AH97" i="24"/>
  <c r="AI96" i="24"/>
  <c r="AH96" i="24"/>
  <c r="AI95" i="24"/>
  <c r="AH95" i="24"/>
  <c r="AI93" i="24"/>
  <c r="AH93" i="24"/>
  <c r="AI92" i="24"/>
  <c r="AH92" i="24"/>
  <c r="AI91" i="24"/>
  <c r="AH91" i="24"/>
  <c r="AI90" i="24"/>
  <c r="AH90" i="24"/>
  <c r="AI89" i="24"/>
  <c r="AH89" i="24"/>
  <c r="AI88" i="24"/>
  <c r="AH88" i="24"/>
  <c r="AI87" i="24"/>
  <c r="AH87" i="24"/>
  <c r="AI84" i="24"/>
  <c r="AH84" i="24"/>
  <c r="AI82" i="24"/>
  <c r="AH82" i="24"/>
  <c r="AG82" i="24"/>
  <c r="AI81" i="24"/>
  <c r="AH81" i="24"/>
  <c r="AI80" i="24"/>
  <c r="AH80" i="24"/>
  <c r="AI79" i="24"/>
  <c r="AH79" i="24"/>
  <c r="AN78" i="24"/>
  <c r="AG78" i="24"/>
  <c r="AF78" i="24"/>
  <c r="AF94" i="24" s="1"/>
  <c r="AE78" i="24"/>
  <c r="AE94" i="24" s="1"/>
  <c r="AD78" i="24"/>
  <c r="AD94" i="24" s="1"/>
  <c r="AC78" i="24"/>
  <c r="AC94" i="24" s="1"/>
  <c r="AB78" i="24"/>
  <c r="AB94" i="24" s="1"/>
  <c r="AA78" i="24"/>
  <c r="AA94" i="24" s="1"/>
  <c r="Z78" i="24"/>
  <c r="Z94" i="24" s="1"/>
  <c r="Y78" i="24"/>
  <c r="X5" i="24" s="1"/>
  <c r="W78" i="24"/>
  <c r="W94" i="24" s="1"/>
  <c r="V78" i="24"/>
  <c r="V94" i="24" s="1"/>
  <c r="U78" i="24"/>
  <c r="U94" i="24" s="1"/>
  <c r="T78" i="24"/>
  <c r="T94" i="24" s="1"/>
  <c r="S78" i="24"/>
  <c r="S94" i="24" s="1"/>
  <c r="R94" i="24"/>
  <c r="Q78" i="24"/>
  <c r="Q94" i="24" s="1"/>
  <c r="P78" i="24"/>
  <c r="P94" i="24" s="1"/>
  <c r="O78" i="24"/>
  <c r="N5" i="24" s="1"/>
  <c r="N78" i="24"/>
  <c r="N94" i="24" s="1"/>
  <c r="M78" i="24"/>
  <c r="M94" i="24" s="1"/>
  <c r="L78" i="24"/>
  <c r="K5" i="24" s="1"/>
  <c r="K78" i="24"/>
  <c r="K94" i="24" s="1"/>
  <c r="J78" i="24"/>
  <c r="J94" i="24" s="1"/>
  <c r="I78" i="24"/>
  <c r="I94" i="24" s="1"/>
  <c r="H78" i="24"/>
  <c r="H94" i="24" s="1"/>
  <c r="G78" i="24"/>
  <c r="F5" i="24" s="1"/>
  <c r="F78" i="24"/>
  <c r="F94" i="24" s="1"/>
  <c r="E78" i="24"/>
  <c r="E94" i="24" s="1"/>
  <c r="D78" i="24"/>
  <c r="C5" i="24" s="1"/>
  <c r="C78" i="24"/>
  <c r="C94" i="24" s="1"/>
  <c r="B78" i="24"/>
  <c r="B94" i="24" s="1"/>
  <c r="AI77" i="24"/>
  <c r="AH77" i="24"/>
  <c r="AN76" i="24"/>
  <c r="AI76" i="24"/>
  <c r="AH76" i="24"/>
  <c r="AN75" i="24"/>
  <c r="AN77" i="24" s="1"/>
  <c r="AI75" i="24"/>
  <c r="AH75" i="24"/>
  <c r="AI74" i="24"/>
  <c r="AH74" i="24"/>
  <c r="AI73" i="24"/>
  <c r="AH73" i="24"/>
  <c r="AI72" i="24"/>
  <c r="AH72" i="24"/>
  <c r="AI71" i="24"/>
  <c r="AH71" i="24"/>
  <c r="AI70" i="24"/>
  <c r="AH70" i="24"/>
  <c r="AI69" i="24"/>
  <c r="AH69" i="24"/>
  <c r="AI68" i="24"/>
  <c r="AH68" i="24"/>
  <c r="AI67" i="24"/>
  <c r="AH67" i="24"/>
  <c r="AG66" i="24"/>
  <c r="AF66" i="24"/>
  <c r="AE66" i="24"/>
  <c r="AD66" i="24"/>
  <c r="AC66" i="24"/>
  <c r="AB66" i="24"/>
  <c r="AA66" i="24"/>
  <c r="Z66" i="24"/>
  <c r="Y66" i="24"/>
  <c r="W66" i="24"/>
  <c r="V66" i="24"/>
  <c r="U66" i="24"/>
  <c r="T66" i="24"/>
  <c r="S66" i="24"/>
  <c r="Q66" i="24"/>
  <c r="P66" i="24"/>
  <c r="O66" i="24"/>
  <c r="N66" i="24"/>
  <c r="M66" i="24"/>
  <c r="L66" i="24"/>
  <c r="AI65" i="24"/>
  <c r="AH65" i="24"/>
  <c r="AI64" i="24"/>
  <c r="AH64" i="24"/>
  <c r="AI63" i="24"/>
  <c r="AH63" i="24"/>
  <c r="AF62" i="24"/>
  <c r="AE62" i="24"/>
  <c r="AD62" i="24"/>
  <c r="AC62" i="24"/>
  <c r="AB62" i="24"/>
  <c r="AA62" i="24"/>
  <c r="Z62" i="24"/>
  <c r="Y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AI61" i="24"/>
  <c r="AH61" i="24"/>
  <c r="AI60" i="24"/>
  <c r="AH60" i="24"/>
  <c r="AI59" i="24"/>
  <c r="AH59" i="24"/>
  <c r="AI58" i="24"/>
  <c r="AH58" i="24"/>
  <c r="AI57" i="24"/>
  <c r="AH57" i="24"/>
  <c r="AI56" i="24"/>
  <c r="AH56" i="24"/>
  <c r="AI55" i="24"/>
  <c r="AH55" i="24"/>
  <c r="AI54" i="24"/>
  <c r="AH54" i="24"/>
  <c r="AI53" i="24"/>
  <c r="AH53" i="24"/>
  <c r="AI52" i="24"/>
  <c r="AH52" i="24"/>
  <c r="AI51" i="24"/>
  <c r="AH51" i="24"/>
  <c r="AI50" i="24"/>
  <c r="AH50" i="24"/>
  <c r="AI49" i="24"/>
  <c r="AH49" i="24"/>
  <c r="AG48" i="24"/>
  <c r="AF48" i="24"/>
  <c r="AE48" i="24"/>
  <c r="AD48" i="24"/>
  <c r="AC48" i="24"/>
  <c r="AB48" i="24"/>
  <c r="AA48" i="24"/>
  <c r="Z48" i="24"/>
  <c r="Y48" i="24"/>
  <c r="W48" i="24"/>
  <c r="V48" i="24"/>
  <c r="U48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F48" i="24"/>
  <c r="E48" i="24"/>
  <c r="D48" i="24"/>
  <c r="C48" i="24"/>
  <c r="AI47" i="24"/>
  <c r="AH47" i="24"/>
  <c r="AI46" i="24"/>
  <c r="AH46" i="24"/>
  <c r="AI45" i="24"/>
  <c r="AH45" i="24"/>
  <c r="AG44" i="24"/>
  <c r="AF44" i="24"/>
  <c r="AE44" i="24"/>
  <c r="AD44" i="24"/>
  <c r="AC44" i="24"/>
  <c r="AB44" i="24"/>
  <c r="AA44" i="24"/>
  <c r="Z44" i="24"/>
  <c r="Y44" i="24"/>
  <c r="W44" i="24"/>
  <c r="V44" i="24"/>
  <c r="U44" i="24"/>
  <c r="T44" i="24"/>
  <c r="S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AI43" i="24"/>
  <c r="AH43" i="24"/>
  <c r="AI42" i="24"/>
  <c r="AH42" i="24"/>
  <c r="AI41" i="24"/>
  <c r="AH41" i="24"/>
  <c r="AI40" i="24"/>
  <c r="AH40" i="24"/>
  <c r="AI39" i="24"/>
  <c r="AH39" i="24"/>
  <c r="AI38" i="24"/>
  <c r="AH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X7" i="24"/>
  <c r="AE5" i="24"/>
  <c r="Y5" i="24"/>
  <c r="W5" i="24"/>
  <c r="AG4" i="24"/>
  <c r="K4" i="24"/>
  <c r="E4" i="24"/>
  <c r="H4" i="24" s="1"/>
  <c r="B4" i="24"/>
  <c r="S239" i="24" s="1"/>
  <c r="AG2" i="24"/>
  <c r="AD107" i="23"/>
  <c r="AC107" i="23"/>
  <c r="AA107" i="23"/>
  <c r="Z107" i="23"/>
  <c r="Y107" i="23"/>
  <c r="W107" i="23"/>
  <c r="V107" i="23"/>
  <c r="V44" i="23"/>
  <c r="V48" i="23"/>
  <c r="V62" i="23"/>
  <c r="V66" i="23"/>
  <c r="V78" i="23"/>
  <c r="V94" i="23" s="1"/>
  <c r="V104" i="23"/>
  <c r="U107" i="23"/>
  <c r="T107" i="23"/>
  <c r="D228" i="24" l="1"/>
  <c r="E104" i="24"/>
  <c r="B228" i="24"/>
  <c r="D104" i="24"/>
  <c r="AF83" i="24"/>
  <c r="AF85" i="24" s="1"/>
  <c r="AD5" i="24"/>
  <c r="AE83" i="24"/>
  <c r="AE85" i="24" s="1"/>
  <c r="AW242" i="24" s="1"/>
  <c r="AC5" i="24"/>
  <c r="AD83" i="24"/>
  <c r="AD85" i="24" s="1"/>
  <c r="AB5" i="24"/>
  <c r="AC83" i="24"/>
  <c r="AC85" i="24" s="1"/>
  <c r="AC7" i="24" s="1"/>
  <c r="AA5" i="24"/>
  <c r="AB83" i="24"/>
  <c r="AB85" i="24" s="1"/>
  <c r="AB7" i="24" s="1"/>
  <c r="Z5" i="24"/>
  <c r="AA83" i="24"/>
  <c r="AA85" i="24" s="1"/>
  <c r="AA7" i="24" s="1"/>
  <c r="Z83" i="24"/>
  <c r="Z85" i="24" s="1"/>
  <c r="Z7" i="24" s="1"/>
  <c r="Y83" i="24"/>
  <c r="Y85" i="24" s="1"/>
  <c r="Y94" i="24"/>
  <c r="V5" i="24"/>
  <c r="W83" i="24"/>
  <c r="W85" i="24" s="1"/>
  <c r="U5" i="24"/>
  <c r="V83" i="24"/>
  <c r="V85" i="24" s="1"/>
  <c r="AN242" i="24" s="1"/>
  <c r="T5" i="24"/>
  <c r="U83" i="24"/>
  <c r="U85" i="24" s="1"/>
  <c r="U86" i="24" s="1"/>
  <c r="S5" i="24"/>
  <c r="R5" i="24"/>
  <c r="S83" i="24"/>
  <c r="S85" i="24" s="1"/>
  <c r="R83" i="24"/>
  <c r="R85" i="24" s="1"/>
  <c r="Q5" i="24"/>
  <c r="P5" i="24"/>
  <c r="Q83" i="24"/>
  <c r="Q85" i="24" s="1"/>
  <c r="Q86" i="24" s="1"/>
  <c r="O5" i="24"/>
  <c r="O94" i="24"/>
  <c r="AI66" i="24"/>
  <c r="M5" i="24"/>
  <c r="N83" i="24"/>
  <c r="N85" i="24" s="1"/>
  <c r="N86" i="24" s="1"/>
  <c r="L5" i="24"/>
  <c r="M83" i="24"/>
  <c r="M85" i="24" s="1"/>
  <c r="M7" i="24" s="1"/>
  <c r="O83" i="24"/>
  <c r="O85" i="24" s="1"/>
  <c r="AG242" i="24" s="1"/>
  <c r="P83" i="24"/>
  <c r="P85" i="24" s="1"/>
  <c r="P86" i="24" s="1"/>
  <c r="T83" i="24"/>
  <c r="T85" i="24" s="1"/>
  <c r="AL242" i="24" s="1"/>
  <c r="I5" i="24"/>
  <c r="J83" i="24"/>
  <c r="J85" i="24" s="1"/>
  <c r="AB242" i="24" s="1"/>
  <c r="J5" i="24"/>
  <c r="K83" i="24"/>
  <c r="K85" i="24" s="1"/>
  <c r="K86" i="24" s="1"/>
  <c r="L83" i="24"/>
  <c r="L85" i="24" s="1"/>
  <c r="L86" i="24" s="1"/>
  <c r="H5" i="24"/>
  <c r="I83" i="24"/>
  <c r="I85" i="24" s="1"/>
  <c r="I86" i="24" s="1"/>
  <c r="G5" i="24"/>
  <c r="H83" i="24"/>
  <c r="H85" i="24" s="1"/>
  <c r="G94" i="24"/>
  <c r="G83" i="24"/>
  <c r="G85" i="24" s="1"/>
  <c r="G86" i="24" s="1"/>
  <c r="E5" i="24"/>
  <c r="F83" i="24"/>
  <c r="F85" i="24" s="1"/>
  <c r="X242" i="24" s="1"/>
  <c r="D5" i="24"/>
  <c r="E83" i="24"/>
  <c r="E85" i="24" s="1"/>
  <c r="W242" i="24" s="1"/>
  <c r="AH107" i="24"/>
  <c r="D83" i="24"/>
  <c r="D85" i="24" s="1"/>
  <c r="D7" i="24" s="1"/>
  <c r="AH62" i="24"/>
  <c r="AI48" i="24"/>
  <c r="AI44" i="24"/>
  <c r="B5" i="24"/>
  <c r="AI62" i="24"/>
  <c r="C83" i="24"/>
  <c r="C85" i="24" s="1"/>
  <c r="C7" i="24" s="1"/>
  <c r="AF5" i="24"/>
  <c r="AV242" i="24"/>
  <c r="AD86" i="24"/>
  <c r="AD7" i="24"/>
  <c r="AF242" i="24"/>
  <c r="J225" i="24"/>
  <c r="K225" i="24" s="1"/>
  <c r="L225" i="24" s="1"/>
  <c r="M225" i="24" s="1"/>
  <c r="N225" i="24" s="1"/>
  <c r="O225" i="24" s="1"/>
  <c r="P225" i="24" s="1"/>
  <c r="AU242" i="24"/>
  <c r="AC86" i="24"/>
  <c r="Y242" i="24"/>
  <c r="AO242" i="24"/>
  <c r="W86" i="24"/>
  <c r="W7" i="24"/>
  <c r="AF86" i="24"/>
  <c r="AF7" i="24"/>
  <c r="AX242" i="24"/>
  <c r="G222" i="24"/>
  <c r="H86" i="24"/>
  <c r="Y86" i="24"/>
  <c r="Y7" i="24"/>
  <c r="AQ242" i="24"/>
  <c r="AG83" i="24"/>
  <c r="AG85" i="24"/>
  <c r="R7" i="24"/>
  <c r="AJ242" i="24"/>
  <c r="R86" i="24"/>
  <c r="S7" i="24"/>
  <c r="AK242" i="24"/>
  <c r="S86" i="24"/>
  <c r="AT242" i="24"/>
  <c r="AB86" i="24"/>
  <c r="AH78" i="24"/>
  <c r="D94" i="24"/>
  <c r="L94" i="24"/>
  <c r="E228" i="24"/>
  <c r="D239" i="24"/>
  <c r="AI78" i="24"/>
  <c r="F227" i="24"/>
  <c r="F104" i="24" s="1"/>
  <c r="B83" i="24"/>
  <c r="AH48" i="24"/>
  <c r="AH44" i="24"/>
  <c r="AH66" i="24"/>
  <c r="V83" i="23"/>
  <c r="V85" i="23" s="1"/>
  <c r="V86" i="23" s="1"/>
  <c r="AI242" i="24" l="1"/>
  <c r="AE7" i="24"/>
  <c r="AR242" i="24"/>
  <c r="AA86" i="24"/>
  <c r="Q7" i="24"/>
  <c r="V7" i="24"/>
  <c r="AE86" i="24"/>
  <c r="U7" i="24"/>
  <c r="V86" i="24"/>
  <c r="J7" i="24"/>
  <c r="N7" i="24"/>
  <c r="AM242" i="24"/>
  <c r="AS242" i="24"/>
  <c r="Z86" i="24"/>
  <c r="T7" i="24"/>
  <c r="T86" i="24"/>
  <c r="P7" i="24"/>
  <c r="O7" i="24"/>
  <c r="O86" i="24"/>
  <c r="M86" i="24"/>
  <c r="AE242" i="24"/>
  <c r="AH242" i="24"/>
  <c r="AD242" i="24"/>
  <c r="AC242" i="24"/>
  <c r="K7" i="24"/>
  <c r="J86" i="24"/>
  <c r="C237" i="24"/>
  <c r="L7" i="24"/>
  <c r="AI94" i="24"/>
  <c r="I7" i="24"/>
  <c r="AA242" i="24"/>
  <c r="Z242" i="24"/>
  <c r="H7" i="24"/>
  <c r="B237" i="24"/>
  <c r="G7" i="24"/>
  <c r="F7" i="24"/>
  <c r="F86" i="24"/>
  <c r="E7" i="24"/>
  <c r="E86" i="24"/>
  <c r="D86" i="24"/>
  <c r="V242" i="24"/>
  <c r="C86" i="24"/>
  <c r="U242" i="24"/>
  <c r="B85" i="24"/>
  <c r="AI83" i="24"/>
  <c r="AH83" i="24"/>
  <c r="AH94" i="24"/>
  <c r="F228" i="24"/>
  <c r="E263" i="24"/>
  <c r="G227" i="24"/>
  <c r="H222" i="24"/>
  <c r="G104" i="24"/>
  <c r="G228" i="24"/>
  <c r="K6" i="24" l="1"/>
  <c r="AI85" i="24"/>
  <c r="AH85" i="24"/>
  <c r="B7" i="24"/>
  <c r="A7" i="24" s="1"/>
  <c r="T242" i="24"/>
  <c r="B86" i="24"/>
  <c r="I222" i="24"/>
  <c r="H104" i="24"/>
  <c r="F263" i="24"/>
  <c r="H227" i="24"/>
  <c r="J222" i="24" l="1"/>
  <c r="G263" i="24"/>
  <c r="I227" i="24"/>
  <c r="AI86" i="24"/>
  <c r="AH86" i="24"/>
  <c r="H228" i="24"/>
  <c r="K222" i="24" l="1"/>
  <c r="H263" i="24"/>
  <c r="J227" i="24"/>
  <c r="I104" i="24"/>
  <c r="K227" i="24" l="1"/>
  <c r="I263" i="24"/>
  <c r="J104" i="24"/>
  <c r="L222" i="24"/>
  <c r="K104" i="24"/>
  <c r="M222" i="24" l="1"/>
  <c r="J263" i="24"/>
  <c r="L227" i="24"/>
  <c r="K263" i="24" l="1"/>
  <c r="M227" i="24"/>
  <c r="L104" i="24"/>
  <c r="N222" i="24"/>
  <c r="M104" i="24"/>
  <c r="O222" i="24" l="1"/>
  <c r="L263" i="24"/>
  <c r="N227" i="24"/>
  <c r="M263" i="24" l="1"/>
  <c r="O227" i="24"/>
  <c r="N104" i="24"/>
  <c r="P222" i="24"/>
  <c r="O104" i="24"/>
  <c r="AH104" i="24" l="1"/>
  <c r="AI104" i="24"/>
  <c r="N263" i="24"/>
  <c r="P227" i="24"/>
  <c r="O263" i="24" s="1"/>
  <c r="L107" i="23" l="1"/>
  <c r="K107" i="23"/>
  <c r="K66" i="22"/>
  <c r="J66" i="23"/>
  <c r="K66" i="23"/>
  <c r="L66" i="23"/>
  <c r="J107" i="23"/>
  <c r="AI107" i="23" s="1"/>
  <c r="AI108" i="23"/>
  <c r="I107" i="23"/>
  <c r="H107" i="23"/>
  <c r="G107" i="23"/>
  <c r="F107" i="23"/>
  <c r="E107" i="23"/>
  <c r="AF267" i="23"/>
  <c r="AE267" i="23"/>
  <c r="AD267" i="23"/>
  <c r="AC267" i="23"/>
  <c r="AB267" i="23"/>
  <c r="AA267" i="23"/>
  <c r="Z267" i="23"/>
  <c r="Y267" i="23"/>
  <c r="X267" i="23"/>
  <c r="W267" i="23"/>
  <c r="V267" i="23"/>
  <c r="U267" i="23"/>
  <c r="T267" i="23"/>
  <c r="S267" i="23"/>
  <c r="R267" i="23"/>
  <c r="Q267" i="23"/>
  <c r="P267" i="23"/>
  <c r="O267" i="23"/>
  <c r="N267" i="23"/>
  <c r="M267" i="23"/>
  <c r="L267" i="23"/>
  <c r="K267" i="23"/>
  <c r="J267" i="23"/>
  <c r="I267" i="23"/>
  <c r="H267" i="23"/>
  <c r="G267" i="23"/>
  <c r="F267" i="23"/>
  <c r="E267" i="23"/>
  <c r="D267" i="23"/>
  <c r="C267" i="23"/>
  <c r="B267" i="23"/>
  <c r="A267" i="23"/>
  <c r="AF266" i="23"/>
  <c r="AE266" i="23"/>
  <c r="AD266" i="23"/>
  <c r="AC266" i="23"/>
  <c r="AB266" i="23"/>
  <c r="AA266" i="23"/>
  <c r="Z266" i="23"/>
  <c r="Y266" i="23"/>
  <c r="X266" i="23"/>
  <c r="W266" i="23"/>
  <c r="V266" i="23"/>
  <c r="U266" i="23"/>
  <c r="T266" i="23"/>
  <c r="S266" i="23"/>
  <c r="R266" i="23"/>
  <c r="Q266" i="23"/>
  <c r="P266" i="23"/>
  <c r="O266" i="23"/>
  <c r="N266" i="23"/>
  <c r="M266" i="23"/>
  <c r="L266" i="23"/>
  <c r="K266" i="23"/>
  <c r="J266" i="23"/>
  <c r="I266" i="23"/>
  <c r="H266" i="23"/>
  <c r="G266" i="23"/>
  <c r="F266" i="23"/>
  <c r="E266" i="23"/>
  <c r="D266" i="23"/>
  <c r="C266" i="23"/>
  <c r="B266" i="23"/>
  <c r="A266" i="23"/>
  <c r="AF265" i="23"/>
  <c r="AE265" i="23"/>
  <c r="AD265" i="23"/>
  <c r="AC265" i="23"/>
  <c r="AB265" i="23"/>
  <c r="AA265" i="23"/>
  <c r="Z265" i="23"/>
  <c r="Y265" i="23"/>
  <c r="X265" i="23"/>
  <c r="W265" i="23"/>
  <c r="V265" i="23"/>
  <c r="U265" i="23"/>
  <c r="T265" i="23"/>
  <c r="S265" i="23"/>
  <c r="R265" i="23"/>
  <c r="Q265" i="23"/>
  <c r="P265" i="23"/>
  <c r="O265" i="23"/>
  <c r="N265" i="23"/>
  <c r="M265" i="23"/>
  <c r="L265" i="23"/>
  <c r="K265" i="23"/>
  <c r="J265" i="23"/>
  <c r="I265" i="23"/>
  <c r="H265" i="23"/>
  <c r="G265" i="23"/>
  <c r="F265" i="23"/>
  <c r="E265" i="23"/>
  <c r="D265" i="23"/>
  <c r="C265" i="23"/>
  <c r="B265" i="23"/>
  <c r="A265" i="23"/>
  <c r="AF264" i="23"/>
  <c r="AE264" i="23"/>
  <c r="AD264" i="23"/>
  <c r="AC264" i="23"/>
  <c r="AB264" i="23"/>
  <c r="AA264" i="23"/>
  <c r="Z264" i="23"/>
  <c r="Y264" i="23"/>
  <c r="X264" i="23"/>
  <c r="W264" i="23"/>
  <c r="V264" i="23"/>
  <c r="U264" i="23"/>
  <c r="T264" i="23"/>
  <c r="S264" i="23"/>
  <c r="R264" i="23"/>
  <c r="Q264" i="23"/>
  <c r="P264" i="23"/>
  <c r="O264" i="23"/>
  <c r="N264" i="23"/>
  <c r="M264" i="23"/>
  <c r="L264" i="23"/>
  <c r="K264" i="23"/>
  <c r="J264" i="23"/>
  <c r="I264" i="23"/>
  <c r="H264" i="23"/>
  <c r="G264" i="23"/>
  <c r="F264" i="23"/>
  <c r="E264" i="23"/>
  <c r="D264" i="23"/>
  <c r="C264" i="23"/>
  <c r="B264" i="23"/>
  <c r="A264" i="23"/>
  <c r="AE263" i="23"/>
  <c r="AD263" i="23"/>
  <c r="AC263" i="23"/>
  <c r="AB263" i="23"/>
  <c r="AA263" i="23"/>
  <c r="Z263" i="23"/>
  <c r="Y263" i="23"/>
  <c r="X263" i="23"/>
  <c r="W263" i="23"/>
  <c r="V263" i="23"/>
  <c r="U263" i="23"/>
  <c r="T263" i="23"/>
  <c r="S263" i="23"/>
  <c r="R263" i="23"/>
  <c r="Q263" i="23"/>
  <c r="P263" i="23"/>
  <c r="B263" i="23"/>
  <c r="AP242" i="23"/>
  <c r="S238" i="23"/>
  <c r="AG228" i="23"/>
  <c r="AF228" i="23"/>
  <c r="AE228" i="23"/>
  <c r="AD228" i="23"/>
  <c r="AC228" i="23"/>
  <c r="AB228" i="23"/>
  <c r="AA228" i="23"/>
  <c r="Z228" i="23"/>
  <c r="Y228" i="23"/>
  <c r="X228" i="23"/>
  <c r="W228" i="23"/>
  <c r="V228" i="23"/>
  <c r="U228" i="23"/>
  <c r="T228" i="23"/>
  <c r="S228" i="23"/>
  <c r="R228" i="23"/>
  <c r="Q228" i="23"/>
  <c r="C228" i="23"/>
  <c r="D227" i="23"/>
  <c r="C263" i="23" s="1"/>
  <c r="B227" i="23"/>
  <c r="AF263" i="23" s="1"/>
  <c r="D226" i="23"/>
  <c r="E226" i="23" s="1"/>
  <c r="F226" i="23" s="1"/>
  <c r="G226" i="23" s="1"/>
  <c r="H226" i="23" s="1"/>
  <c r="I226" i="23" s="1"/>
  <c r="J226" i="23" s="1"/>
  <c r="K226" i="23" s="1"/>
  <c r="L226" i="23" s="1"/>
  <c r="M226" i="23" s="1"/>
  <c r="N226" i="23" s="1"/>
  <c r="O226" i="23" s="1"/>
  <c r="P226" i="23" s="1"/>
  <c r="B226" i="23"/>
  <c r="F225" i="23"/>
  <c r="G225" i="23" s="1"/>
  <c r="H225" i="23" s="1"/>
  <c r="I225" i="23" s="1"/>
  <c r="E225" i="23"/>
  <c r="D225" i="23"/>
  <c r="B225" i="23"/>
  <c r="E224" i="23"/>
  <c r="F224" i="23" s="1"/>
  <c r="G224" i="23" s="1"/>
  <c r="H224" i="23" s="1"/>
  <c r="D224" i="23"/>
  <c r="B224" i="23"/>
  <c r="E223" i="23"/>
  <c r="F223" i="23" s="1"/>
  <c r="G223" i="23" s="1"/>
  <c r="H223" i="23" s="1"/>
  <c r="I223" i="23" s="1"/>
  <c r="J223" i="23" s="1"/>
  <c r="K223" i="23" s="1"/>
  <c r="L223" i="23" s="1"/>
  <c r="M223" i="23" s="1"/>
  <c r="N223" i="23" s="1"/>
  <c r="O223" i="23" s="1"/>
  <c r="P223" i="23" s="1"/>
  <c r="D223" i="23"/>
  <c r="B223" i="23"/>
  <c r="D222" i="23"/>
  <c r="E222" i="23" s="1"/>
  <c r="B222" i="23"/>
  <c r="B228" i="23" s="1"/>
  <c r="AG220" i="23"/>
  <c r="AF220" i="23"/>
  <c r="AE220" i="23"/>
  <c r="AD220" i="23"/>
  <c r="AC220" i="23"/>
  <c r="AB220" i="23"/>
  <c r="AA220" i="23"/>
  <c r="Z220" i="23"/>
  <c r="Y220" i="23"/>
  <c r="X220" i="23"/>
  <c r="W220" i="23"/>
  <c r="V220" i="23"/>
  <c r="U220" i="23"/>
  <c r="T220" i="23"/>
  <c r="S220" i="23"/>
  <c r="R220" i="23"/>
  <c r="Q220" i="23"/>
  <c r="P220" i="23"/>
  <c r="O220" i="23"/>
  <c r="N220" i="23"/>
  <c r="M220" i="23"/>
  <c r="L220" i="23"/>
  <c r="K220" i="23"/>
  <c r="J220" i="23"/>
  <c r="I220" i="23"/>
  <c r="H220" i="23"/>
  <c r="G220" i="23"/>
  <c r="F220" i="23"/>
  <c r="E220" i="23"/>
  <c r="D220" i="23"/>
  <c r="C220" i="23"/>
  <c r="B220" i="23"/>
  <c r="AI113" i="23"/>
  <c r="AH113" i="23"/>
  <c r="AI112" i="23"/>
  <c r="AH112" i="23"/>
  <c r="AI111" i="23"/>
  <c r="AH111" i="23"/>
  <c r="AI110" i="23"/>
  <c r="AH110" i="23"/>
  <c r="AI109" i="23"/>
  <c r="AH109" i="23"/>
  <c r="AH108" i="23"/>
  <c r="AI106" i="23"/>
  <c r="AH106" i="23"/>
  <c r="AI105" i="23"/>
  <c r="AH105" i="23"/>
  <c r="AF104" i="23"/>
  <c r="AE104" i="23"/>
  <c r="AD104" i="23"/>
  <c r="AC104" i="23"/>
  <c r="AB104" i="23"/>
  <c r="AA104" i="23"/>
  <c r="Z104" i="23"/>
  <c r="W104" i="23"/>
  <c r="U104" i="23"/>
  <c r="T104" i="23"/>
  <c r="S104" i="23"/>
  <c r="R104" i="23"/>
  <c r="Q104" i="23"/>
  <c r="C104" i="23"/>
  <c r="AI103" i="23"/>
  <c r="AH103" i="23"/>
  <c r="AI102" i="23"/>
  <c r="AH102" i="23"/>
  <c r="AI101" i="23"/>
  <c r="AH101" i="23"/>
  <c r="AI100" i="23"/>
  <c r="AH100" i="23"/>
  <c r="AI99" i="23"/>
  <c r="AH99" i="23"/>
  <c r="AI98" i="23"/>
  <c r="AH98" i="23"/>
  <c r="AI97" i="23"/>
  <c r="AH97" i="23"/>
  <c r="AI96" i="23"/>
  <c r="AH96" i="23"/>
  <c r="AI95" i="23"/>
  <c r="AH95" i="23"/>
  <c r="AI93" i="23"/>
  <c r="AH93" i="23"/>
  <c r="AI92" i="23"/>
  <c r="AH92" i="23"/>
  <c r="AI91" i="23"/>
  <c r="AH91" i="23"/>
  <c r="AI90" i="23"/>
  <c r="AH90" i="23"/>
  <c r="AI89" i="23"/>
  <c r="AH89" i="23"/>
  <c r="AI88" i="23"/>
  <c r="AH88" i="23"/>
  <c r="AI87" i="23"/>
  <c r="AH87" i="23"/>
  <c r="AI84" i="23"/>
  <c r="AH84" i="23"/>
  <c r="AI82" i="23"/>
  <c r="AH82" i="23"/>
  <c r="AG82" i="23"/>
  <c r="AI81" i="23"/>
  <c r="AH81" i="23"/>
  <c r="AI80" i="23"/>
  <c r="AH80" i="23"/>
  <c r="AI79" i="23"/>
  <c r="AH79" i="23"/>
  <c r="AN78" i="23"/>
  <c r="AG78" i="23"/>
  <c r="AF78" i="23"/>
  <c r="AF94" i="23" s="1"/>
  <c r="AE78" i="23"/>
  <c r="AE94" i="23" s="1"/>
  <c r="AD78" i="23"/>
  <c r="AD94" i="23" s="1"/>
  <c r="AC78" i="23"/>
  <c r="AC94" i="23" s="1"/>
  <c r="AB78" i="23"/>
  <c r="AB94" i="23" s="1"/>
  <c r="AA78" i="23"/>
  <c r="AA94" i="23" s="1"/>
  <c r="Z78" i="23"/>
  <c r="Z94" i="23" s="1"/>
  <c r="W78" i="23"/>
  <c r="W94" i="23" s="1"/>
  <c r="U78" i="23"/>
  <c r="U94" i="23" s="1"/>
  <c r="T78" i="23"/>
  <c r="T94" i="23" s="1"/>
  <c r="S78" i="23"/>
  <c r="S94" i="23" s="1"/>
  <c r="R78" i="23"/>
  <c r="R94" i="23" s="1"/>
  <c r="Q78" i="23"/>
  <c r="Q94" i="23" s="1"/>
  <c r="P78" i="23"/>
  <c r="P94" i="23" s="1"/>
  <c r="O78" i="23"/>
  <c r="O94" i="23" s="1"/>
  <c r="N78" i="23"/>
  <c r="N94" i="23" s="1"/>
  <c r="M78" i="23"/>
  <c r="M94" i="23" s="1"/>
  <c r="L78" i="23"/>
  <c r="L94" i="23" s="1"/>
  <c r="K78" i="23"/>
  <c r="J5" i="23" s="1"/>
  <c r="J78" i="23"/>
  <c r="J94" i="23" s="1"/>
  <c r="I78" i="23"/>
  <c r="I94" i="23" s="1"/>
  <c r="H78" i="23"/>
  <c r="H94" i="23" s="1"/>
  <c r="G78" i="23"/>
  <c r="G94" i="23" s="1"/>
  <c r="F78" i="23"/>
  <c r="F94" i="23" s="1"/>
  <c r="E78" i="23"/>
  <c r="E94" i="23" s="1"/>
  <c r="D78" i="23"/>
  <c r="D94" i="23" s="1"/>
  <c r="C78" i="23"/>
  <c r="C94" i="23" s="1"/>
  <c r="B78" i="23"/>
  <c r="B94" i="23" s="1"/>
  <c r="AI77" i="23"/>
  <c r="AH77" i="23"/>
  <c r="AN76" i="23"/>
  <c r="AI76" i="23"/>
  <c r="AH76" i="23"/>
  <c r="AN75" i="23"/>
  <c r="AN77" i="23" s="1"/>
  <c r="AI75" i="23"/>
  <c r="AH75" i="23"/>
  <c r="AI74" i="23"/>
  <c r="AH74" i="23"/>
  <c r="AI73" i="23"/>
  <c r="AH73" i="23"/>
  <c r="AI72" i="23"/>
  <c r="AH72" i="23"/>
  <c r="AI71" i="23"/>
  <c r="AH71" i="23"/>
  <c r="AI70" i="23"/>
  <c r="AH70" i="23"/>
  <c r="AI69" i="23"/>
  <c r="AH69" i="23"/>
  <c r="AI68" i="23"/>
  <c r="AH68" i="23"/>
  <c r="AI67" i="23"/>
  <c r="AH67" i="23"/>
  <c r="AG66" i="23"/>
  <c r="AF66" i="23"/>
  <c r="AE66" i="23"/>
  <c r="AD66" i="23"/>
  <c r="AC66" i="23"/>
  <c r="AB66" i="23"/>
  <c r="AA66" i="23"/>
  <c r="Z66" i="23"/>
  <c r="W66" i="23"/>
  <c r="U66" i="23"/>
  <c r="T66" i="23"/>
  <c r="S66" i="23"/>
  <c r="R66" i="23"/>
  <c r="Q66" i="23"/>
  <c r="P66" i="23"/>
  <c r="O66" i="23"/>
  <c r="N66" i="23"/>
  <c r="M66" i="23"/>
  <c r="AI65" i="23"/>
  <c r="AH65" i="23"/>
  <c r="AI64" i="23"/>
  <c r="AH64" i="23"/>
  <c r="AI63" i="23"/>
  <c r="AH63" i="23"/>
  <c r="AF62" i="23"/>
  <c r="AE62" i="23"/>
  <c r="AD62" i="23"/>
  <c r="AC62" i="23"/>
  <c r="AB62" i="23"/>
  <c r="AA62" i="23"/>
  <c r="Z62" i="23"/>
  <c r="W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AI61" i="23"/>
  <c r="AH61" i="23"/>
  <c r="AG61" i="23"/>
  <c r="AG62" i="23" s="1"/>
  <c r="AG3" i="23" s="1"/>
  <c r="AI60" i="23"/>
  <c r="AH60" i="23"/>
  <c r="AI59" i="23"/>
  <c r="AH59" i="23"/>
  <c r="AI58" i="23"/>
  <c r="AH58" i="23"/>
  <c r="AI57" i="23"/>
  <c r="AH57" i="23"/>
  <c r="AI56" i="23"/>
  <c r="AH56" i="23"/>
  <c r="AI55" i="23"/>
  <c r="AH55" i="23"/>
  <c r="AI54" i="23"/>
  <c r="AH54" i="23"/>
  <c r="AI53" i="23"/>
  <c r="AH53" i="23"/>
  <c r="AI52" i="23"/>
  <c r="AH52" i="23"/>
  <c r="AI51" i="23"/>
  <c r="AH51" i="23"/>
  <c r="AI50" i="23"/>
  <c r="AH50" i="23"/>
  <c r="AI49" i="23"/>
  <c r="AH49" i="23"/>
  <c r="AG48" i="23"/>
  <c r="AF48" i="23"/>
  <c r="AE48" i="23"/>
  <c r="AD48" i="23"/>
  <c r="AC48" i="23"/>
  <c r="AB48" i="23"/>
  <c r="AA48" i="23"/>
  <c r="Z48" i="23"/>
  <c r="W48" i="23"/>
  <c r="U48" i="23"/>
  <c r="T48" i="23"/>
  <c r="S48" i="23"/>
  <c r="R48" i="23"/>
  <c r="Q48" i="23"/>
  <c r="P48" i="23"/>
  <c r="O48" i="23"/>
  <c r="N48" i="23"/>
  <c r="M48" i="23"/>
  <c r="L48" i="23"/>
  <c r="K48" i="23"/>
  <c r="J48" i="23"/>
  <c r="I48" i="23"/>
  <c r="H48" i="23"/>
  <c r="G48" i="23"/>
  <c r="F48" i="23"/>
  <c r="E48" i="23"/>
  <c r="D48" i="23"/>
  <c r="C48" i="23"/>
  <c r="B48" i="23"/>
  <c r="AI47" i="23"/>
  <c r="AH47" i="23"/>
  <c r="AI46" i="23"/>
  <c r="AH46" i="23"/>
  <c r="AI45" i="23"/>
  <c r="AH45" i="23"/>
  <c r="AG44" i="23"/>
  <c r="AF44" i="23"/>
  <c r="AE44" i="23"/>
  <c r="AD44" i="23"/>
  <c r="AC44" i="23"/>
  <c r="AB44" i="23"/>
  <c r="AA44" i="23"/>
  <c r="Z44" i="23"/>
  <c r="W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AI43" i="23"/>
  <c r="AH43" i="23"/>
  <c r="AI42" i="23"/>
  <c r="AH42" i="23"/>
  <c r="AI41" i="23"/>
  <c r="AH41" i="23"/>
  <c r="AI40" i="23"/>
  <c r="AH40" i="23"/>
  <c r="AI39" i="23"/>
  <c r="AH39" i="23"/>
  <c r="AI38" i="23"/>
  <c r="AH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X7" i="23"/>
  <c r="Z5" i="23"/>
  <c r="X5" i="23"/>
  <c r="W5" i="23"/>
  <c r="U5" i="23"/>
  <c r="S5" i="23"/>
  <c r="Q5" i="23"/>
  <c r="K5" i="23"/>
  <c r="AG4" i="23"/>
  <c r="K4" i="23"/>
  <c r="E4" i="23"/>
  <c r="H4" i="23" s="1"/>
  <c r="B4" i="23"/>
  <c r="S239" i="23" s="1"/>
  <c r="AG2" i="23"/>
  <c r="Z107" i="22"/>
  <c r="Y107" i="22"/>
  <c r="W113" i="22"/>
  <c r="W107" i="22"/>
  <c r="V107" i="22"/>
  <c r="U107" i="22"/>
  <c r="T107" i="22"/>
  <c r="AG6" i="23" l="1"/>
  <c r="D104" i="23"/>
  <c r="E227" i="23"/>
  <c r="AG85" i="23"/>
  <c r="AG83" i="23"/>
  <c r="D228" i="23"/>
  <c r="AE5" i="23"/>
  <c r="AF83" i="23"/>
  <c r="AF85" i="23" s="1"/>
  <c r="AD5" i="23"/>
  <c r="AE83" i="23"/>
  <c r="AE85" i="23" s="1"/>
  <c r="AC5" i="23"/>
  <c r="AD83" i="23"/>
  <c r="AD85" i="23" s="1"/>
  <c r="AB5" i="23"/>
  <c r="AC83" i="23"/>
  <c r="AC85" i="23" s="1"/>
  <c r="AC86" i="23" s="1"/>
  <c r="AB83" i="23"/>
  <c r="AB85" i="23" s="1"/>
  <c r="AB7" i="23" s="1"/>
  <c r="AA5" i="23"/>
  <c r="AA83" i="23"/>
  <c r="AA85" i="23" s="1"/>
  <c r="Y5" i="23"/>
  <c r="Z83" i="23"/>
  <c r="Z85" i="23" s="1"/>
  <c r="V5" i="23"/>
  <c r="W83" i="23"/>
  <c r="W85" i="23" s="1"/>
  <c r="U83" i="23"/>
  <c r="U85" i="23" s="1"/>
  <c r="U86" i="23" s="1"/>
  <c r="T5" i="23"/>
  <c r="T83" i="23"/>
  <c r="T85" i="23" s="1"/>
  <c r="S83" i="23"/>
  <c r="S85" i="23" s="1"/>
  <c r="R5" i="23"/>
  <c r="R83" i="23"/>
  <c r="R85" i="23" s="1"/>
  <c r="R86" i="23" s="1"/>
  <c r="P5" i="23"/>
  <c r="Q83" i="23"/>
  <c r="Q85" i="23" s="1"/>
  <c r="P83" i="23"/>
  <c r="P85" i="23" s="1"/>
  <c r="P7" i="23" s="1"/>
  <c r="O5" i="23"/>
  <c r="N5" i="23"/>
  <c r="AH66" i="23"/>
  <c r="O83" i="23"/>
  <c r="O85" i="23" s="1"/>
  <c r="M5" i="23"/>
  <c r="N83" i="23"/>
  <c r="N85" i="23" s="1"/>
  <c r="AH107" i="23"/>
  <c r="L5" i="23"/>
  <c r="M83" i="23"/>
  <c r="M85" i="23" s="1"/>
  <c r="AE242" i="23" s="1"/>
  <c r="L83" i="23"/>
  <c r="L85" i="23" s="1"/>
  <c r="L86" i="23" s="1"/>
  <c r="AI66" i="23"/>
  <c r="K94" i="23"/>
  <c r="K83" i="23"/>
  <c r="K85" i="23" s="1"/>
  <c r="K86" i="23" s="1"/>
  <c r="I5" i="23"/>
  <c r="J83" i="23"/>
  <c r="J85" i="23" s="1"/>
  <c r="J7" i="23" s="1"/>
  <c r="H5" i="23"/>
  <c r="I83" i="23"/>
  <c r="I85" i="23" s="1"/>
  <c r="G5" i="23"/>
  <c r="H83" i="23"/>
  <c r="H85" i="23" s="1"/>
  <c r="Z242" i="23" s="1"/>
  <c r="F5" i="23"/>
  <c r="G83" i="23"/>
  <c r="G85" i="23" s="1"/>
  <c r="Y242" i="23" s="1"/>
  <c r="E5" i="23"/>
  <c r="F83" i="23"/>
  <c r="F85" i="23" s="1"/>
  <c r="X242" i="23" s="1"/>
  <c r="D5" i="23"/>
  <c r="AI62" i="23"/>
  <c r="E83" i="23"/>
  <c r="E85" i="23" s="1"/>
  <c r="E7" i="23" s="1"/>
  <c r="D83" i="23"/>
  <c r="D85" i="23" s="1"/>
  <c r="V242" i="23" s="1"/>
  <c r="C5" i="23"/>
  <c r="B5" i="23"/>
  <c r="AI48" i="23"/>
  <c r="C83" i="23"/>
  <c r="C85" i="23" s="1"/>
  <c r="C7" i="23" s="1"/>
  <c r="AI44" i="23"/>
  <c r="AF5" i="23"/>
  <c r="Y7" i="23"/>
  <c r="AQ242" i="23"/>
  <c r="Z86" i="23"/>
  <c r="Z7" i="23"/>
  <c r="AR242" i="23"/>
  <c r="J225" i="23"/>
  <c r="K225" i="23" s="1"/>
  <c r="L225" i="23" s="1"/>
  <c r="M225" i="23" s="1"/>
  <c r="N225" i="23" s="1"/>
  <c r="O225" i="23" s="1"/>
  <c r="P225" i="23" s="1"/>
  <c r="AO242" i="23"/>
  <c r="W86" i="23"/>
  <c r="W7" i="23"/>
  <c r="Q86" i="23"/>
  <c r="Q7" i="23"/>
  <c r="AI242" i="23"/>
  <c r="R7" i="23"/>
  <c r="AJ242" i="23"/>
  <c r="AA7" i="23"/>
  <c r="AS242" i="23"/>
  <c r="AA86" i="23"/>
  <c r="AI94" i="23"/>
  <c r="AH94" i="23"/>
  <c r="AG242" i="23"/>
  <c r="O86" i="23"/>
  <c r="O7" i="23"/>
  <c r="AC242" i="23"/>
  <c r="S7" i="23"/>
  <c r="AK242" i="23"/>
  <c r="S86" i="23"/>
  <c r="AT242" i="23"/>
  <c r="G7" i="23"/>
  <c r="D7" i="23"/>
  <c r="AL242" i="23"/>
  <c r="T86" i="23"/>
  <c r="T7" i="23"/>
  <c r="W242" i="23"/>
  <c r="U7" i="23"/>
  <c r="AV242" i="23"/>
  <c r="AD86" i="23"/>
  <c r="AD7" i="23"/>
  <c r="F222" i="23"/>
  <c r="E104" i="23"/>
  <c r="E228" i="23"/>
  <c r="AF86" i="23"/>
  <c r="AF7" i="23"/>
  <c r="AX242" i="23"/>
  <c r="AF242" i="23"/>
  <c r="N86" i="23"/>
  <c r="N7" i="23"/>
  <c r="AN242" i="23"/>
  <c r="V7" i="23"/>
  <c r="AW242" i="23"/>
  <c r="AE86" i="23"/>
  <c r="AE7" i="23"/>
  <c r="AH78" i="23"/>
  <c r="B104" i="23"/>
  <c r="D239" i="23"/>
  <c r="AH62" i="23"/>
  <c r="AI78" i="23"/>
  <c r="B83" i="23"/>
  <c r="AH48" i="23"/>
  <c r="AH44" i="23"/>
  <c r="AU242" i="23" l="1"/>
  <c r="AB86" i="23"/>
  <c r="P86" i="23"/>
  <c r="AM242" i="23"/>
  <c r="D263" i="23"/>
  <c r="F227" i="23"/>
  <c r="AC7" i="23"/>
  <c r="G86" i="23"/>
  <c r="K7" i="23"/>
  <c r="AH242" i="23"/>
  <c r="M7" i="23"/>
  <c r="M86" i="23"/>
  <c r="AD242" i="23"/>
  <c r="L7" i="23"/>
  <c r="B237" i="23"/>
  <c r="J86" i="23"/>
  <c r="AB242" i="23"/>
  <c r="I7" i="23"/>
  <c r="I86" i="23"/>
  <c r="AA242" i="23"/>
  <c r="H7" i="23"/>
  <c r="H86" i="23"/>
  <c r="C237" i="23"/>
  <c r="K6" i="23" s="1"/>
  <c r="F86" i="23"/>
  <c r="F7" i="23"/>
  <c r="D86" i="23"/>
  <c r="E86" i="23"/>
  <c r="U242" i="23"/>
  <c r="C86" i="23"/>
  <c r="B85" i="23"/>
  <c r="AI83" i="23"/>
  <c r="AH83" i="23"/>
  <c r="G222" i="23"/>
  <c r="E263" i="23" l="1"/>
  <c r="G227" i="23"/>
  <c r="F104" i="23"/>
  <c r="F228" i="23"/>
  <c r="H222" i="23"/>
  <c r="G104" i="23"/>
  <c r="G228" i="23"/>
  <c r="AI85" i="23"/>
  <c r="AH85" i="23"/>
  <c r="B7" i="23"/>
  <c r="A7" i="23" s="1"/>
  <c r="T242" i="23"/>
  <c r="B86" i="23"/>
  <c r="H227" i="23" l="1"/>
  <c r="F263" i="23"/>
  <c r="AI86" i="23"/>
  <c r="AH86" i="23"/>
  <c r="I222" i="23"/>
  <c r="H104" i="23"/>
  <c r="H228" i="23"/>
  <c r="K107" i="22"/>
  <c r="J107" i="22"/>
  <c r="I107" i="22"/>
  <c r="H107" i="22"/>
  <c r="G107" i="22"/>
  <c r="F107" i="22"/>
  <c r="E107" i="22"/>
  <c r="AF267" i="22"/>
  <c r="AE267" i="22"/>
  <c r="AD267" i="22"/>
  <c r="AC267" i="22"/>
  <c r="AB267" i="22"/>
  <c r="AA267" i="22"/>
  <c r="Z267" i="22"/>
  <c r="Y267" i="22"/>
  <c r="X267" i="22"/>
  <c r="W267" i="22"/>
  <c r="V267" i="22"/>
  <c r="U267" i="22"/>
  <c r="T267" i="22"/>
  <c r="S267" i="22"/>
  <c r="R267" i="22"/>
  <c r="Q267" i="22"/>
  <c r="P267" i="22"/>
  <c r="O267" i="22"/>
  <c r="N267" i="22"/>
  <c r="M267" i="22"/>
  <c r="L267" i="22"/>
  <c r="K267" i="22"/>
  <c r="J267" i="22"/>
  <c r="I267" i="22"/>
  <c r="H267" i="22"/>
  <c r="G267" i="22"/>
  <c r="F267" i="22"/>
  <c r="E267" i="22"/>
  <c r="D267" i="22"/>
  <c r="C267" i="22"/>
  <c r="B267" i="22"/>
  <c r="A267" i="22"/>
  <c r="AF266" i="22"/>
  <c r="AE266" i="22"/>
  <c r="AD266" i="22"/>
  <c r="AC266" i="22"/>
  <c r="AB266" i="22"/>
  <c r="AA266" i="22"/>
  <c r="Z266" i="22"/>
  <c r="Y266" i="22"/>
  <c r="X266" i="22"/>
  <c r="W266" i="22"/>
  <c r="V266" i="22"/>
  <c r="U266" i="22"/>
  <c r="T266" i="22"/>
  <c r="S266" i="22"/>
  <c r="R266" i="22"/>
  <c r="Q266" i="22"/>
  <c r="P266" i="22"/>
  <c r="O266" i="22"/>
  <c r="N266" i="22"/>
  <c r="M266" i="22"/>
  <c r="L266" i="22"/>
  <c r="K266" i="22"/>
  <c r="J266" i="22"/>
  <c r="I266" i="22"/>
  <c r="H266" i="22"/>
  <c r="G266" i="22"/>
  <c r="F266" i="22"/>
  <c r="E266" i="22"/>
  <c r="D266" i="22"/>
  <c r="C266" i="22"/>
  <c r="B266" i="22"/>
  <c r="A266" i="22"/>
  <c r="AF265" i="22"/>
  <c r="AE265" i="22"/>
  <c r="AD265" i="22"/>
  <c r="AC265" i="22"/>
  <c r="AB265" i="22"/>
  <c r="AA265" i="22"/>
  <c r="Z265" i="22"/>
  <c r="Y265" i="22"/>
  <c r="X265" i="22"/>
  <c r="W265" i="22"/>
  <c r="V265" i="22"/>
  <c r="U265" i="22"/>
  <c r="T265" i="22"/>
  <c r="S265" i="22"/>
  <c r="R265" i="22"/>
  <c r="Q265" i="22"/>
  <c r="P265" i="22"/>
  <c r="O265" i="22"/>
  <c r="N265" i="22"/>
  <c r="M265" i="22"/>
  <c r="L265" i="22"/>
  <c r="K265" i="22"/>
  <c r="J265" i="22"/>
  <c r="I265" i="22"/>
  <c r="H265" i="22"/>
  <c r="G265" i="22"/>
  <c r="F265" i="22"/>
  <c r="E265" i="22"/>
  <c r="D265" i="22"/>
  <c r="C265" i="22"/>
  <c r="B265" i="22"/>
  <c r="A265" i="22"/>
  <c r="AF264" i="22"/>
  <c r="AE264" i="22"/>
  <c r="AD264" i="22"/>
  <c r="AC264" i="22"/>
  <c r="AB264" i="22"/>
  <c r="AA264" i="22"/>
  <c r="Z264" i="22"/>
  <c r="Y264" i="22"/>
  <c r="X264" i="22"/>
  <c r="W264" i="22"/>
  <c r="V264" i="22"/>
  <c r="U264" i="22"/>
  <c r="T264" i="22"/>
  <c r="S264" i="22"/>
  <c r="R264" i="22"/>
  <c r="Q264" i="22"/>
  <c r="P264" i="22"/>
  <c r="O264" i="22"/>
  <c r="N264" i="22"/>
  <c r="M264" i="22"/>
  <c r="L264" i="22"/>
  <c r="K264" i="22"/>
  <c r="J264" i="22"/>
  <c r="I264" i="22"/>
  <c r="H264" i="22"/>
  <c r="G264" i="22"/>
  <c r="F264" i="22"/>
  <c r="E264" i="22"/>
  <c r="D264" i="22"/>
  <c r="C264" i="22"/>
  <c r="B264" i="22"/>
  <c r="A264" i="22"/>
  <c r="AE263" i="22"/>
  <c r="AD263" i="22"/>
  <c r="AC263" i="22"/>
  <c r="AB263" i="22"/>
  <c r="AA263" i="22"/>
  <c r="Z263" i="22"/>
  <c r="Y263" i="22"/>
  <c r="X263" i="22"/>
  <c r="W263" i="22"/>
  <c r="V263" i="22"/>
  <c r="U263" i="22"/>
  <c r="T263" i="22"/>
  <c r="S263" i="22"/>
  <c r="R263" i="22"/>
  <c r="Q263" i="22"/>
  <c r="P263" i="22"/>
  <c r="B263" i="22"/>
  <c r="AP242" i="22"/>
  <c r="S238" i="22"/>
  <c r="AG228" i="22"/>
  <c r="AF228" i="22"/>
  <c r="AE228" i="22"/>
  <c r="AD228" i="22"/>
  <c r="AC228" i="22"/>
  <c r="AB228" i="22"/>
  <c r="AA228" i="22"/>
  <c r="Z228" i="22"/>
  <c r="Y228" i="22"/>
  <c r="X228" i="22"/>
  <c r="W228" i="22"/>
  <c r="V228" i="22"/>
  <c r="U228" i="22"/>
  <c r="T228" i="22"/>
  <c r="S228" i="22"/>
  <c r="R228" i="22"/>
  <c r="Q228" i="22"/>
  <c r="C228" i="22"/>
  <c r="D227" i="22"/>
  <c r="C263" i="22" s="1"/>
  <c r="B227" i="22"/>
  <c r="AF263" i="22" s="1"/>
  <c r="E226" i="22"/>
  <c r="F226" i="22" s="1"/>
  <c r="G226" i="22" s="1"/>
  <c r="H226" i="22" s="1"/>
  <c r="I226" i="22" s="1"/>
  <c r="J226" i="22" s="1"/>
  <c r="K226" i="22" s="1"/>
  <c r="L226" i="22" s="1"/>
  <c r="M226" i="22" s="1"/>
  <c r="N226" i="22" s="1"/>
  <c r="O226" i="22" s="1"/>
  <c r="P226" i="22" s="1"/>
  <c r="D226" i="22"/>
  <c r="B226" i="22"/>
  <c r="D225" i="22"/>
  <c r="E225" i="22" s="1"/>
  <c r="F225" i="22" s="1"/>
  <c r="G225" i="22" s="1"/>
  <c r="H225" i="22" s="1"/>
  <c r="I225" i="22" s="1"/>
  <c r="B225" i="22"/>
  <c r="D224" i="22"/>
  <c r="E224" i="22" s="1"/>
  <c r="F224" i="22" s="1"/>
  <c r="G224" i="22" s="1"/>
  <c r="H224" i="22" s="1"/>
  <c r="B224" i="22"/>
  <c r="D223" i="22"/>
  <c r="E223" i="22" s="1"/>
  <c r="F223" i="22" s="1"/>
  <c r="G223" i="22" s="1"/>
  <c r="H223" i="22" s="1"/>
  <c r="I223" i="22" s="1"/>
  <c r="J223" i="22" s="1"/>
  <c r="K223" i="22" s="1"/>
  <c r="L223" i="22" s="1"/>
  <c r="M223" i="22" s="1"/>
  <c r="N223" i="22" s="1"/>
  <c r="O223" i="22" s="1"/>
  <c r="P223" i="22" s="1"/>
  <c r="B223" i="22"/>
  <c r="D222" i="22"/>
  <c r="E222" i="22" s="1"/>
  <c r="F222" i="22" s="1"/>
  <c r="G222" i="22" s="1"/>
  <c r="B222" i="22"/>
  <c r="AG220" i="22"/>
  <c r="AF220" i="22"/>
  <c r="AE220" i="22"/>
  <c r="AD220" i="22"/>
  <c r="AC220" i="22"/>
  <c r="AB220" i="22"/>
  <c r="AA220" i="22"/>
  <c r="Z220" i="22"/>
  <c r="Y220" i="22"/>
  <c r="X220" i="22"/>
  <c r="W220" i="22"/>
  <c r="V220" i="22"/>
  <c r="U220" i="22"/>
  <c r="T220" i="22"/>
  <c r="S220" i="22"/>
  <c r="R220" i="22"/>
  <c r="Q220" i="22"/>
  <c r="P220" i="22"/>
  <c r="O220" i="22"/>
  <c r="N220" i="22"/>
  <c r="M220" i="22"/>
  <c r="L220" i="22"/>
  <c r="K220" i="22"/>
  <c r="J220" i="22"/>
  <c r="I220" i="22"/>
  <c r="H220" i="22"/>
  <c r="G220" i="22"/>
  <c r="F220" i="22"/>
  <c r="E220" i="22"/>
  <c r="D220" i="22"/>
  <c r="C220" i="22"/>
  <c r="B220" i="22"/>
  <c r="AI113" i="22"/>
  <c r="AH113" i="22"/>
  <c r="AI112" i="22"/>
  <c r="AH112" i="22"/>
  <c r="AI111" i="22"/>
  <c r="AH111" i="22"/>
  <c r="AI110" i="22"/>
  <c r="AH110" i="22"/>
  <c r="AI109" i="22"/>
  <c r="AH109" i="22"/>
  <c r="AI108" i="22"/>
  <c r="AH108" i="22"/>
  <c r="AI106" i="22"/>
  <c r="AH106" i="22"/>
  <c r="AI105" i="22"/>
  <c r="AH105" i="22"/>
  <c r="AF104" i="22"/>
  <c r="AE104" i="22"/>
  <c r="AD104" i="22"/>
  <c r="AC104" i="22"/>
  <c r="AB104" i="22"/>
  <c r="AA104" i="22"/>
  <c r="Z104" i="22"/>
  <c r="Y104" i="22"/>
  <c r="W104" i="22"/>
  <c r="V104" i="22"/>
  <c r="U104" i="22"/>
  <c r="T104" i="22"/>
  <c r="S104" i="22"/>
  <c r="R104" i="22"/>
  <c r="Q104" i="22"/>
  <c r="D104" i="22"/>
  <c r="C104" i="22"/>
  <c r="B104" i="22"/>
  <c r="AI103" i="22"/>
  <c r="AH103" i="22"/>
  <c r="AI102" i="22"/>
  <c r="AH102" i="22"/>
  <c r="AI101" i="22"/>
  <c r="AH101" i="22"/>
  <c r="AI100" i="22"/>
  <c r="AH100" i="22"/>
  <c r="AI99" i="22"/>
  <c r="AH99" i="22"/>
  <c r="AI98" i="22"/>
  <c r="AH98" i="22"/>
  <c r="AI97" i="22"/>
  <c r="AH97" i="22"/>
  <c r="AI96" i="22"/>
  <c r="AH96" i="22"/>
  <c r="AI95" i="22"/>
  <c r="AH95" i="22"/>
  <c r="AI93" i="22"/>
  <c r="AH93" i="22"/>
  <c r="AI92" i="22"/>
  <c r="AH92" i="22"/>
  <c r="AI91" i="22"/>
  <c r="AH91" i="22"/>
  <c r="AI90" i="22"/>
  <c r="AH90" i="22"/>
  <c r="AI89" i="22"/>
  <c r="AH89" i="22"/>
  <c r="AI88" i="22"/>
  <c r="AH88" i="22"/>
  <c r="AI87" i="22"/>
  <c r="AH87" i="22"/>
  <c r="AI84" i="22"/>
  <c r="AH84" i="22"/>
  <c r="AI82" i="22"/>
  <c r="AH82" i="22"/>
  <c r="AG82" i="22"/>
  <c r="AI81" i="22"/>
  <c r="AH81" i="22"/>
  <c r="AI80" i="22"/>
  <c r="AH80" i="22"/>
  <c r="AI79" i="22"/>
  <c r="AH79" i="22"/>
  <c r="AN78" i="22"/>
  <c r="AG78" i="22"/>
  <c r="AF78" i="22"/>
  <c r="AF94" i="22" s="1"/>
  <c r="AE78" i="22"/>
  <c r="AE94" i="22" s="1"/>
  <c r="AD78" i="22"/>
  <c r="AC5" i="22" s="1"/>
  <c r="AC78" i="22"/>
  <c r="AC94" i="22" s="1"/>
  <c r="AB78" i="22"/>
  <c r="AB94" i="22" s="1"/>
  <c r="AA78" i="22"/>
  <c r="AA94" i="22" s="1"/>
  <c r="Z78" i="22"/>
  <c r="Z94" i="22" s="1"/>
  <c r="Y78" i="22"/>
  <c r="Y94" i="22" s="1"/>
  <c r="W78" i="22"/>
  <c r="W94" i="22" s="1"/>
  <c r="V78" i="22"/>
  <c r="V94" i="22" s="1"/>
  <c r="U78" i="22"/>
  <c r="T5" i="22" s="1"/>
  <c r="T78" i="22"/>
  <c r="S5" i="22" s="1"/>
  <c r="S78" i="22"/>
  <c r="S94" i="22" s="1"/>
  <c r="R78" i="22"/>
  <c r="R94" i="22" s="1"/>
  <c r="Q78" i="22"/>
  <c r="Q94" i="22" s="1"/>
  <c r="P78" i="22"/>
  <c r="P94" i="22" s="1"/>
  <c r="O78" i="22"/>
  <c r="O94" i="22" s="1"/>
  <c r="N78" i="22"/>
  <c r="N94" i="22" s="1"/>
  <c r="M78" i="22"/>
  <c r="L5" i="22" s="1"/>
  <c r="L78" i="22"/>
  <c r="K5" i="22" s="1"/>
  <c r="K78" i="22"/>
  <c r="K94" i="22" s="1"/>
  <c r="J78" i="22"/>
  <c r="J94" i="22" s="1"/>
  <c r="I78" i="22"/>
  <c r="I94" i="22" s="1"/>
  <c r="H78" i="22"/>
  <c r="H94" i="22" s="1"/>
  <c r="G78" i="22"/>
  <c r="G94" i="22" s="1"/>
  <c r="F78" i="22"/>
  <c r="E5" i="22" s="1"/>
  <c r="E78" i="22"/>
  <c r="D5" i="22" s="1"/>
  <c r="D78" i="22"/>
  <c r="C5" i="22" s="1"/>
  <c r="C78" i="22"/>
  <c r="C94" i="22" s="1"/>
  <c r="B78" i="22"/>
  <c r="B94" i="22" s="1"/>
  <c r="AI77" i="22"/>
  <c r="AH77" i="22"/>
  <c r="AN76" i="22"/>
  <c r="AI76" i="22"/>
  <c r="AH76" i="22"/>
  <c r="AN75" i="22"/>
  <c r="AN77" i="22" s="1"/>
  <c r="AI75" i="22"/>
  <c r="AH75" i="22"/>
  <c r="AI74" i="22"/>
  <c r="AH74" i="22"/>
  <c r="AI73" i="22"/>
  <c r="AH73" i="22"/>
  <c r="AI72" i="22"/>
  <c r="AH72" i="22"/>
  <c r="AI71" i="22"/>
  <c r="AH71" i="22"/>
  <c r="AI70" i="22"/>
  <c r="AH70" i="22"/>
  <c r="AI69" i="22"/>
  <c r="AH69" i="22"/>
  <c r="AI68" i="22"/>
  <c r="AH68" i="22"/>
  <c r="AI67" i="22"/>
  <c r="AH67" i="22"/>
  <c r="AG66" i="22"/>
  <c r="AF66" i="22"/>
  <c r="AE66" i="22"/>
  <c r="AD66" i="22"/>
  <c r="AC66" i="22"/>
  <c r="AB66" i="22"/>
  <c r="AA66" i="22"/>
  <c r="Z66" i="22"/>
  <c r="Y66" i="22"/>
  <c r="W66" i="22"/>
  <c r="V66" i="22"/>
  <c r="U66" i="22"/>
  <c r="T66" i="22"/>
  <c r="S66" i="22"/>
  <c r="R66" i="22"/>
  <c r="Q66" i="22"/>
  <c r="P66" i="22"/>
  <c r="O66" i="22"/>
  <c r="N66" i="22"/>
  <c r="M66" i="22"/>
  <c r="L66" i="22"/>
  <c r="AI65" i="22"/>
  <c r="AH65" i="22"/>
  <c r="AI64" i="22"/>
  <c r="AH64" i="22"/>
  <c r="AI63" i="22"/>
  <c r="AH63" i="22"/>
  <c r="AF62" i="22"/>
  <c r="AE62" i="22"/>
  <c r="AD62" i="22"/>
  <c r="AC62" i="22"/>
  <c r="AB62" i="22"/>
  <c r="AA62" i="22"/>
  <c r="Z62" i="22"/>
  <c r="Y62" i="22"/>
  <c r="W62" i="22"/>
  <c r="V62" i="22"/>
  <c r="U62" i="22"/>
  <c r="T62" i="22"/>
  <c r="S62" i="22"/>
  <c r="R62" i="22"/>
  <c r="Q62" i="22"/>
  <c r="P62" i="22"/>
  <c r="O62" i="22"/>
  <c r="N62" i="22"/>
  <c r="M62" i="22"/>
  <c r="L62" i="22"/>
  <c r="K62" i="22"/>
  <c r="J62" i="22"/>
  <c r="I62" i="22"/>
  <c r="H62" i="22"/>
  <c r="G62" i="22"/>
  <c r="F62" i="22"/>
  <c r="E62" i="22"/>
  <c r="D62" i="22"/>
  <c r="C62" i="22"/>
  <c r="B62" i="22"/>
  <c r="AI61" i="22"/>
  <c r="AH61" i="22"/>
  <c r="AG61" i="22"/>
  <c r="AG62" i="22" s="1"/>
  <c r="AG3" i="22" s="1"/>
  <c r="AI60" i="22"/>
  <c r="AH60" i="22"/>
  <c r="AI59" i="22"/>
  <c r="AH59" i="22"/>
  <c r="AI58" i="22"/>
  <c r="AH58" i="22"/>
  <c r="AI57" i="22"/>
  <c r="AH57" i="22"/>
  <c r="AI56" i="22"/>
  <c r="AH56" i="22"/>
  <c r="AI55" i="22"/>
  <c r="AH55" i="22"/>
  <c r="AI54" i="22"/>
  <c r="AH54" i="22"/>
  <c r="AI53" i="22"/>
  <c r="AH53" i="22"/>
  <c r="AI52" i="22"/>
  <c r="AH52" i="22"/>
  <c r="AI51" i="22"/>
  <c r="AH51" i="22"/>
  <c r="AI50" i="22"/>
  <c r="AH50" i="22"/>
  <c r="AI49" i="22"/>
  <c r="AH49" i="22"/>
  <c r="AG48" i="22"/>
  <c r="AF48" i="22"/>
  <c r="AE48" i="22"/>
  <c r="AD48" i="22"/>
  <c r="AC48" i="22"/>
  <c r="AB48" i="22"/>
  <c r="AA48" i="22"/>
  <c r="Z48" i="22"/>
  <c r="Y48" i="22"/>
  <c r="W48" i="22"/>
  <c r="V48" i="22"/>
  <c r="U48" i="22"/>
  <c r="T48" i="22"/>
  <c r="S48" i="22"/>
  <c r="R48" i="22"/>
  <c r="Q48" i="22"/>
  <c r="P48" i="22"/>
  <c r="O48" i="22"/>
  <c r="N48" i="22"/>
  <c r="M48" i="22"/>
  <c r="L48" i="22"/>
  <c r="K48" i="22"/>
  <c r="J48" i="22"/>
  <c r="I48" i="22"/>
  <c r="H48" i="22"/>
  <c r="G48" i="22"/>
  <c r="F48" i="22"/>
  <c r="E48" i="22"/>
  <c r="D48" i="22"/>
  <c r="C48" i="22"/>
  <c r="B48" i="22"/>
  <c r="AI47" i="22"/>
  <c r="AH47" i="22"/>
  <c r="AI46" i="22"/>
  <c r="AH46" i="22"/>
  <c r="AI45" i="22"/>
  <c r="AH45" i="22"/>
  <c r="AG44" i="22"/>
  <c r="AF44" i="22"/>
  <c r="AE44" i="22"/>
  <c r="AD44" i="22"/>
  <c r="AC44" i="22"/>
  <c r="AB44" i="22"/>
  <c r="AA44" i="22"/>
  <c r="Z44" i="22"/>
  <c r="Y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AI43" i="22"/>
  <c r="AH43" i="22"/>
  <c r="AI42" i="22"/>
  <c r="AH42" i="22"/>
  <c r="AI41" i="22"/>
  <c r="AH41" i="22"/>
  <c r="AI40" i="22"/>
  <c r="AH40" i="22"/>
  <c r="AI39" i="22"/>
  <c r="AH39" i="22"/>
  <c r="AI38" i="22"/>
  <c r="AH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X7" i="22"/>
  <c r="AD5" i="22"/>
  <c r="AB5" i="22"/>
  <c r="W5" i="22"/>
  <c r="U5" i="22"/>
  <c r="AG4" i="22"/>
  <c r="K4" i="22"/>
  <c r="E4" i="22"/>
  <c r="H4" i="22" s="1"/>
  <c r="B4" i="22"/>
  <c r="S239" i="22" s="1"/>
  <c r="AG2" i="22"/>
  <c r="AB107" i="21"/>
  <c r="X78" i="21"/>
  <c r="X66" i="21"/>
  <c r="X62" i="21"/>
  <c r="X44" i="21"/>
  <c r="X48" i="21"/>
  <c r="M83" i="22" l="1"/>
  <c r="M85" i="22" s="1"/>
  <c r="X83" i="21"/>
  <c r="X85" i="21" s="1"/>
  <c r="X86" i="21" s="1"/>
  <c r="I227" i="23"/>
  <c r="G263" i="23"/>
  <c r="I104" i="23"/>
  <c r="J222" i="23"/>
  <c r="AE5" i="22"/>
  <c r="AE83" i="22"/>
  <c r="AE85" i="22" s="1"/>
  <c r="AD83" i="22"/>
  <c r="AD85" i="22" s="1"/>
  <c r="AC83" i="22"/>
  <c r="AC85" i="22" s="1"/>
  <c r="Z5" i="22"/>
  <c r="Y5" i="22"/>
  <c r="X5" i="22"/>
  <c r="V5" i="22"/>
  <c r="V83" i="22"/>
  <c r="V85" i="22" s="1"/>
  <c r="U83" i="22"/>
  <c r="U85" i="22" s="1"/>
  <c r="AB83" i="22"/>
  <c r="AB85" i="22" s="1"/>
  <c r="Y83" i="22"/>
  <c r="Y85" i="22" s="1"/>
  <c r="AG83" i="22"/>
  <c r="B228" i="22"/>
  <c r="W83" i="22"/>
  <c r="W85" i="22" s="1"/>
  <c r="W86" i="22" s="1"/>
  <c r="AF83" i="22"/>
  <c r="AF85" i="22" s="1"/>
  <c r="AX242" i="22" s="1"/>
  <c r="D228" i="22"/>
  <c r="AG6" i="22"/>
  <c r="AA83" i="22"/>
  <c r="AA85" i="22" s="1"/>
  <c r="AG85" i="22"/>
  <c r="T83" i="22"/>
  <c r="T85" i="22" s="1"/>
  <c r="T86" i="22" s="1"/>
  <c r="R5" i="22"/>
  <c r="S83" i="22"/>
  <c r="S85" i="22" s="1"/>
  <c r="AK242" i="22" s="1"/>
  <c r="Q5" i="22"/>
  <c r="R83" i="22"/>
  <c r="R85" i="22" s="1"/>
  <c r="P5" i="22"/>
  <c r="Q83" i="22"/>
  <c r="Q85" i="22" s="1"/>
  <c r="O5" i="22"/>
  <c r="P83" i="22"/>
  <c r="P85" i="22" s="1"/>
  <c r="AH242" i="22" s="1"/>
  <c r="N5" i="22"/>
  <c r="O83" i="22"/>
  <c r="O85" i="22" s="1"/>
  <c r="AG242" i="22" s="1"/>
  <c r="M5" i="22"/>
  <c r="N83" i="22"/>
  <c r="N85" i="22" s="1"/>
  <c r="AI66" i="22"/>
  <c r="L83" i="22"/>
  <c r="L85" i="22" s="1"/>
  <c r="J5" i="22"/>
  <c r="K83" i="22"/>
  <c r="K85" i="22" s="1"/>
  <c r="K7" i="22" s="1"/>
  <c r="I5" i="22"/>
  <c r="J83" i="22"/>
  <c r="J85" i="22" s="1"/>
  <c r="J7" i="22" s="1"/>
  <c r="H5" i="22"/>
  <c r="I83" i="22"/>
  <c r="I85" i="22" s="1"/>
  <c r="AI107" i="22"/>
  <c r="G5" i="22"/>
  <c r="H83" i="22"/>
  <c r="H85" i="22" s="1"/>
  <c r="H86" i="22" s="1"/>
  <c r="F5" i="22"/>
  <c r="G83" i="22"/>
  <c r="G85" i="22" s="1"/>
  <c r="Y242" i="22" s="1"/>
  <c r="F94" i="22"/>
  <c r="F83" i="22"/>
  <c r="F85" i="22" s="1"/>
  <c r="F7" i="22" s="1"/>
  <c r="AH107" i="22"/>
  <c r="E83" i="22"/>
  <c r="E85" i="22" s="1"/>
  <c r="W242" i="22" s="1"/>
  <c r="AI48" i="22"/>
  <c r="D83" i="22"/>
  <c r="D85" i="22" s="1"/>
  <c r="V242" i="22" s="1"/>
  <c r="AI44" i="22"/>
  <c r="B5" i="22"/>
  <c r="C83" i="22"/>
  <c r="C85" i="22" s="1"/>
  <c r="C86" i="22" s="1"/>
  <c r="AF5" i="22"/>
  <c r="B83" i="22"/>
  <c r="B85" i="22" s="1"/>
  <c r="AE242" i="22"/>
  <c r="M86" i="22"/>
  <c r="M7" i="22"/>
  <c r="AW242" i="22"/>
  <c r="AE86" i="22"/>
  <c r="AE7" i="22"/>
  <c r="Y86" i="22"/>
  <c r="Y7" i="22"/>
  <c r="AQ242" i="22"/>
  <c r="AV242" i="22"/>
  <c r="AD86" i="22"/>
  <c r="AD7" i="22"/>
  <c r="AN242" i="22"/>
  <c r="V86" i="22"/>
  <c r="V7" i="22"/>
  <c r="AM242" i="22"/>
  <c r="U86" i="22"/>
  <c r="U7" i="22"/>
  <c r="R7" i="22"/>
  <c r="AJ242" i="22"/>
  <c r="R86" i="22"/>
  <c r="AA7" i="22"/>
  <c r="AS242" i="22"/>
  <c r="AA86" i="22"/>
  <c r="H222" i="22"/>
  <c r="J225" i="22"/>
  <c r="K225" i="22" s="1"/>
  <c r="L225" i="22" s="1"/>
  <c r="M225" i="22" s="1"/>
  <c r="N225" i="22" s="1"/>
  <c r="O225" i="22" s="1"/>
  <c r="P225" i="22" s="1"/>
  <c r="P86" i="22"/>
  <c r="P7" i="22"/>
  <c r="I86" i="22"/>
  <c r="U242" i="22"/>
  <c r="S7" i="22"/>
  <c r="AT242" i="22"/>
  <c r="AB86" i="22"/>
  <c r="AB7" i="22"/>
  <c r="AF242" i="22"/>
  <c r="N86" i="22"/>
  <c r="N7" i="22"/>
  <c r="Q86" i="22"/>
  <c r="Q7" i="22"/>
  <c r="AI242" i="22"/>
  <c r="D7" i="22"/>
  <c r="AD242" i="22"/>
  <c r="L86" i="22"/>
  <c r="L7" i="22"/>
  <c r="AL242" i="22"/>
  <c r="AU242" i="22"/>
  <c r="AC86" i="22"/>
  <c r="AC7" i="22"/>
  <c r="AH78" i="22"/>
  <c r="D94" i="22"/>
  <c r="L94" i="22"/>
  <c r="T94" i="22"/>
  <c r="D239" i="22"/>
  <c r="AH62" i="22"/>
  <c r="AI78" i="22"/>
  <c r="E94" i="22"/>
  <c r="M94" i="22"/>
  <c r="U94" i="22"/>
  <c r="AD94" i="22"/>
  <c r="E227" i="22"/>
  <c r="E228" i="22" s="1"/>
  <c r="AI62" i="22"/>
  <c r="Z83" i="22"/>
  <c r="Z85" i="22" s="1"/>
  <c r="AA5" i="22"/>
  <c r="AH48" i="22"/>
  <c r="AH44" i="22"/>
  <c r="AH66" i="22"/>
  <c r="C7" i="22" l="1"/>
  <c r="O7" i="22"/>
  <c r="AF7" i="22"/>
  <c r="O86" i="22"/>
  <c r="AF86" i="22"/>
  <c r="J227" i="23"/>
  <c r="H263" i="23"/>
  <c r="S86" i="22"/>
  <c r="T7" i="22"/>
  <c r="K222" i="23"/>
  <c r="AO242" i="22"/>
  <c r="W7" i="22"/>
  <c r="F86" i="22"/>
  <c r="D86" i="22"/>
  <c r="K86" i="22"/>
  <c r="AC242" i="22"/>
  <c r="J86" i="22"/>
  <c r="AB242" i="22"/>
  <c r="B237" i="22"/>
  <c r="I7" i="22"/>
  <c r="AA242" i="22"/>
  <c r="H7" i="22"/>
  <c r="Z242" i="22"/>
  <c r="G7" i="22"/>
  <c r="G86" i="22"/>
  <c r="C237" i="22"/>
  <c r="X242" i="22"/>
  <c r="AI94" i="22"/>
  <c r="E7" i="22"/>
  <c r="E86" i="22"/>
  <c r="D263" i="22"/>
  <c r="E104" i="22"/>
  <c r="F227" i="22"/>
  <c r="I222" i="22"/>
  <c r="AI85" i="22"/>
  <c r="AH85" i="22"/>
  <c r="B7" i="22"/>
  <c r="T242" i="22"/>
  <c r="B86" i="22"/>
  <c r="AH94" i="22"/>
  <c r="AH83" i="22"/>
  <c r="Z86" i="22"/>
  <c r="Z7" i="22"/>
  <c r="AR242" i="22"/>
  <c r="AI83" i="22"/>
  <c r="K227" i="23" l="1"/>
  <c r="I263" i="23"/>
  <c r="J104" i="23"/>
  <c r="L222" i="23"/>
  <c r="K104" i="23"/>
  <c r="K6" i="22"/>
  <c r="AI86" i="22"/>
  <c r="AH86" i="22"/>
  <c r="J222" i="22"/>
  <c r="E263" i="22"/>
  <c r="F104" i="22"/>
  <c r="G227" i="22"/>
  <c r="F228" i="22"/>
  <c r="A7" i="22"/>
  <c r="J263" i="23" l="1"/>
  <c r="L227" i="23"/>
  <c r="M222" i="23"/>
  <c r="L104" i="23"/>
  <c r="F263" i="22"/>
  <c r="H227" i="22"/>
  <c r="G104" i="22"/>
  <c r="G228" i="22"/>
  <c r="K222" i="22"/>
  <c r="M227" i="23" l="1"/>
  <c r="K263" i="23"/>
  <c r="N222" i="23"/>
  <c r="M104" i="23"/>
  <c r="L222" i="22"/>
  <c r="G263" i="22"/>
  <c r="I227" i="22"/>
  <c r="H104" i="22"/>
  <c r="H228" i="22"/>
  <c r="L263" i="23" l="1"/>
  <c r="N227" i="23"/>
  <c r="O222" i="23"/>
  <c r="N104" i="23"/>
  <c r="H263" i="22"/>
  <c r="J227" i="22"/>
  <c r="I104" i="22"/>
  <c r="M222" i="22"/>
  <c r="M263" i="23" l="1"/>
  <c r="O227" i="23"/>
  <c r="P222" i="23"/>
  <c r="O104" i="23"/>
  <c r="K227" i="22"/>
  <c r="I263" i="22"/>
  <c r="J104" i="22"/>
  <c r="N222" i="22"/>
  <c r="P227" i="23" l="1"/>
  <c r="O263" i="23" s="1"/>
  <c r="N263" i="23"/>
  <c r="AI104" i="23"/>
  <c r="AH104" i="23"/>
  <c r="O222" i="22"/>
  <c r="J263" i="22"/>
  <c r="L227" i="22"/>
  <c r="K104" i="22"/>
  <c r="K263" i="22" l="1"/>
  <c r="M227" i="22"/>
  <c r="L104" i="22"/>
  <c r="P222" i="22"/>
  <c r="L263" i="22" l="1"/>
  <c r="N227" i="22"/>
  <c r="M104" i="22"/>
  <c r="M263" i="22" l="1"/>
  <c r="O227" i="22"/>
  <c r="N104" i="22"/>
  <c r="N263" i="22" l="1"/>
  <c r="P227" i="22"/>
  <c r="O263" i="22" s="1"/>
  <c r="O104" i="22"/>
  <c r="AI104" i="22" l="1"/>
  <c r="AH104" i="22"/>
  <c r="AF267" i="21" l="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B263" i="21"/>
  <c r="AP242" i="21"/>
  <c r="S23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C228" i="21"/>
  <c r="D227" i="21"/>
  <c r="C263" i="21" s="1"/>
  <c r="B227" i="21"/>
  <c r="AF263" i="21" s="1"/>
  <c r="E226" i="21"/>
  <c r="F226" i="21" s="1"/>
  <c r="G226" i="21" s="1"/>
  <c r="H226" i="21" s="1"/>
  <c r="I226" i="21" s="1"/>
  <c r="J226" i="21" s="1"/>
  <c r="K226" i="21" s="1"/>
  <c r="L226" i="21" s="1"/>
  <c r="M226" i="21" s="1"/>
  <c r="N226" i="21" s="1"/>
  <c r="O226" i="21" s="1"/>
  <c r="P226" i="21" s="1"/>
  <c r="D226" i="21"/>
  <c r="B226" i="21"/>
  <c r="D225" i="21"/>
  <c r="E225" i="21" s="1"/>
  <c r="F225" i="21" s="1"/>
  <c r="G225" i="21" s="1"/>
  <c r="H225" i="21" s="1"/>
  <c r="I225" i="21" s="1"/>
  <c r="B225" i="21"/>
  <c r="D224" i="21"/>
  <c r="E224" i="21" s="1"/>
  <c r="F224" i="21" s="1"/>
  <c r="G224" i="21" s="1"/>
  <c r="H224" i="21" s="1"/>
  <c r="B224" i="21"/>
  <c r="D223" i="21"/>
  <c r="E223" i="21" s="1"/>
  <c r="F223" i="21" s="1"/>
  <c r="G223" i="21" s="1"/>
  <c r="H223" i="21" s="1"/>
  <c r="I223" i="21" s="1"/>
  <c r="J223" i="21" s="1"/>
  <c r="K223" i="21" s="1"/>
  <c r="L223" i="21" s="1"/>
  <c r="M223" i="21" s="1"/>
  <c r="N223" i="21" s="1"/>
  <c r="O223" i="21" s="1"/>
  <c r="P223" i="21" s="1"/>
  <c r="B223" i="21"/>
  <c r="D222" i="21"/>
  <c r="E222" i="21" s="1"/>
  <c r="B222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I113" i="21"/>
  <c r="AH113" i="21"/>
  <c r="AI112" i="21"/>
  <c r="AH112" i="21"/>
  <c r="AI111" i="21"/>
  <c r="AH111" i="21"/>
  <c r="AI110" i="21"/>
  <c r="AH110" i="21"/>
  <c r="AI109" i="21"/>
  <c r="AH109" i="21"/>
  <c r="AI108" i="21"/>
  <c r="AH108" i="21"/>
  <c r="AI107" i="21"/>
  <c r="AH107" i="21"/>
  <c r="AI106" i="21"/>
  <c r="AH106" i="21"/>
  <c r="AI105" i="21"/>
  <c r="AH105" i="21"/>
  <c r="AF104" i="21"/>
  <c r="AE104" i="21"/>
  <c r="AD104" i="21"/>
  <c r="AC104" i="21"/>
  <c r="AB104" i="21"/>
  <c r="AA104" i="21"/>
  <c r="Z104" i="21"/>
  <c r="Y104" i="21"/>
  <c r="W104" i="21"/>
  <c r="V104" i="21"/>
  <c r="U104" i="21"/>
  <c r="T104" i="21"/>
  <c r="S104" i="21"/>
  <c r="R104" i="21"/>
  <c r="Q104" i="21"/>
  <c r="D104" i="21"/>
  <c r="C104" i="21"/>
  <c r="B104" i="21"/>
  <c r="AI103" i="21"/>
  <c r="AH103" i="21"/>
  <c r="AI102" i="21"/>
  <c r="AH102" i="21"/>
  <c r="AI101" i="21"/>
  <c r="AH101" i="21"/>
  <c r="AI100" i="21"/>
  <c r="AH100" i="21"/>
  <c r="AI99" i="21"/>
  <c r="AH99" i="21"/>
  <c r="AI98" i="21"/>
  <c r="AH98" i="21"/>
  <c r="AI97" i="21"/>
  <c r="AH97" i="21"/>
  <c r="AI96" i="21"/>
  <c r="AH96" i="21"/>
  <c r="AI95" i="21"/>
  <c r="AH95" i="21"/>
  <c r="AI93" i="21"/>
  <c r="AH93" i="21"/>
  <c r="AI92" i="21"/>
  <c r="AH92" i="21"/>
  <c r="AI91" i="21"/>
  <c r="AH91" i="21"/>
  <c r="AI90" i="21"/>
  <c r="AH90" i="21"/>
  <c r="AI89" i="21"/>
  <c r="AH89" i="21"/>
  <c r="AI88" i="21"/>
  <c r="AH88" i="21"/>
  <c r="AI87" i="21"/>
  <c r="AH87" i="21"/>
  <c r="AI84" i="21"/>
  <c r="AH84" i="21"/>
  <c r="AI82" i="21"/>
  <c r="AH82" i="21"/>
  <c r="AG82" i="21"/>
  <c r="AI81" i="21"/>
  <c r="AH81" i="21"/>
  <c r="AI80" i="21"/>
  <c r="AH80" i="21"/>
  <c r="AI79" i="21"/>
  <c r="AH79" i="21"/>
  <c r="AN78" i="21"/>
  <c r="AG78" i="21"/>
  <c r="AF78" i="21"/>
  <c r="AF94" i="21" s="1"/>
  <c r="AE78" i="21"/>
  <c r="AE94" i="21" s="1"/>
  <c r="AD78" i="21"/>
  <c r="AD94" i="21" s="1"/>
  <c r="AC78" i="21"/>
  <c r="AC94" i="21" s="1"/>
  <c r="AB78" i="21"/>
  <c r="AB94" i="21" s="1"/>
  <c r="AA78" i="21"/>
  <c r="AA94" i="21" s="1"/>
  <c r="Z78" i="21"/>
  <c r="Z94" i="21" s="1"/>
  <c r="Y78" i="21"/>
  <c r="Y94" i="21" s="1"/>
  <c r="W78" i="21"/>
  <c r="W94" i="21" s="1"/>
  <c r="V78" i="21"/>
  <c r="V94" i="21" s="1"/>
  <c r="U78" i="21"/>
  <c r="U94" i="21" s="1"/>
  <c r="T78" i="21"/>
  <c r="T94" i="21" s="1"/>
  <c r="S78" i="21"/>
  <c r="S94" i="21" s="1"/>
  <c r="R78" i="21"/>
  <c r="R94" i="21" s="1"/>
  <c r="Q78" i="21"/>
  <c r="Q94" i="21" s="1"/>
  <c r="P78" i="21"/>
  <c r="P94" i="21" s="1"/>
  <c r="O78" i="21"/>
  <c r="O94" i="21" s="1"/>
  <c r="N78" i="21"/>
  <c r="N94" i="21" s="1"/>
  <c r="M78" i="21"/>
  <c r="M94" i="21" s="1"/>
  <c r="L78" i="21"/>
  <c r="L94" i="21" s="1"/>
  <c r="K78" i="21"/>
  <c r="K94" i="21" s="1"/>
  <c r="J78" i="21"/>
  <c r="J94" i="21" s="1"/>
  <c r="I78" i="21"/>
  <c r="I94" i="21" s="1"/>
  <c r="H78" i="21"/>
  <c r="H94" i="21" s="1"/>
  <c r="G78" i="21"/>
  <c r="G94" i="21" s="1"/>
  <c r="F78" i="21"/>
  <c r="F94" i="21" s="1"/>
  <c r="E78" i="21"/>
  <c r="E94" i="21" s="1"/>
  <c r="D78" i="21"/>
  <c r="D94" i="21" s="1"/>
  <c r="C78" i="21"/>
  <c r="C94" i="21" s="1"/>
  <c r="B78" i="21"/>
  <c r="B94" i="21" s="1"/>
  <c r="AI77" i="21"/>
  <c r="AH77" i="21"/>
  <c r="AN76" i="21"/>
  <c r="AI76" i="21"/>
  <c r="AH76" i="21"/>
  <c r="AN75" i="21"/>
  <c r="AI75" i="21"/>
  <c r="AH75" i="21"/>
  <c r="AI74" i="21"/>
  <c r="AH74" i="21"/>
  <c r="AI73" i="21"/>
  <c r="AH73" i="21"/>
  <c r="AI72" i="21"/>
  <c r="AH72" i="21"/>
  <c r="AI71" i="21"/>
  <c r="AH71" i="21"/>
  <c r="AI70" i="21"/>
  <c r="AH70" i="21"/>
  <c r="AI69" i="21"/>
  <c r="AH69" i="21"/>
  <c r="AI68" i="21"/>
  <c r="AH68" i="21"/>
  <c r="AI67" i="21"/>
  <c r="AH67" i="21"/>
  <c r="AG66" i="21"/>
  <c r="AF66" i="21"/>
  <c r="AE66" i="21"/>
  <c r="AD66" i="21"/>
  <c r="AC66" i="21"/>
  <c r="AB66" i="21"/>
  <c r="AA66" i="21"/>
  <c r="Z66" i="21"/>
  <c r="Y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AI65" i="21"/>
  <c r="AH65" i="21"/>
  <c r="AI64" i="21"/>
  <c r="AH64" i="21"/>
  <c r="AI63" i="21"/>
  <c r="AH63" i="21"/>
  <c r="AF62" i="21"/>
  <c r="AE62" i="21"/>
  <c r="AD62" i="21"/>
  <c r="AC62" i="21"/>
  <c r="AB62" i="21"/>
  <c r="AA62" i="21"/>
  <c r="Z62" i="21"/>
  <c r="Y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I61" i="21"/>
  <c r="AH61" i="21"/>
  <c r="AG61" i="21"/>
  <c r="AG62" i="21" s="1"/>
  <c r="AG3" i="21" s="1"/>
  <c r="AI60" i="21"/>
  <c r="AH60" i="21"/>
  <c r="AI59" i="21"/>
  <c r="AH59" i="21"/>
  <c r="AI58" i="21"/>
  <c r="AH58" i="21"/>
  <c r="AI57" i="21"/>
  <c r="AH57" i="21"/>
  <c r="AI56" i="21"/>
  <c r="AH56" i="21"/>
  <c r="AI55" i="21"/>
  <c r="AH55" i="21"/>
  <c r="AI54" i="21"/>
  <c r="AH54" i="21"/>
  <c r="AI53" i="21"/>
  <c r="AH53" i="21"/>
  <c r="AI52" i="21"/>
  <c r="AH52" i="21"/>
  <c r="AI51" i="21"/>
  <c r="AH51" i="21"/>
  <c r="AI50" i="21"/>
  <c r="AH50" i="21"/>
  <c r="AI49" i="21"/>
  <c r="AH49" i="21"/>
  <c r="AG48" i="21"/>
  <c r="AF48" i="21"/>
  <c r="AE48" i="21"/>
  <c r="AD48" i="21"/>
  <c r="AC48" i="21"/>
  <c r="AB48" i="21"/>
  <c r="AA48" i="21"/>
  <c r="Z48" i="21"/>
  <c r="Y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I47" i="21"/>
  <c r="AH47" i="21"/>
  <c r="AI46" i="21"/>
  <c r="AH46" i="21"/>
  <c r="AI45" i="21"/>
  <c r="AH45" i="21"/>
  <c r="AG44" i="21"/>
  <c r="AG83" i="21" s="1"/>
  <c r="AF44" i="21"/>
  <c r="AE44" i="21"/>
  <c r="AD44" i="21"/>
  <c r="AC44" i="21"/>
  <c r="AB44" i="21"/>
  <c r="AA44" i="21"/>
  <c r="Z44" i="21"/>
  <c r="Y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J83" i="21" s="1"/>
  <c r="J85" i="21" s="1"/>
  <c r="I44" i="21"/>
  <c r="H44" i="21"/>
  <c r="G44" i="21"/>
  <c r="F44" i="21"/>
  <c r="E44" i="21"/>
  <c r="D44" i="21"/>
  <c r="C44" i="21"/>
  <c r="B44" i="21"/>
  <c r="AI43" i="21"/>
  <c r="AH43" i="21"/>
  <c r="AI42" i="21"/>
  <c r="AH42" i="21"/>
  <c r="AI41" i="21"/>
  <c r="AH41" i="21"/>
  <c r="AI40" i="21"/>
  <c r="AH40" i="21"/>
  <c r="AI39" i="21"/>
  <c r="AH39" i="21"/>
  <c r="AI38" i="21"/>
  <c r="AH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X7" i="21"/>
  <c r="AD5" i="21"/>
  <c r="W5" i="21"/>
  <c r="I5" i="21"/>
  <c r="H5" i="21"/>
  <c r="AG4" i="21"/>
  <c r="K4" i="21"/>
  <c r="E4" i="21"/>
  <c r="H4" i="21" s="1"/>
  <c r="B4" i="21"/>
  <c r="S239" i="21" s="1"/>
  <c r="AG2" i="21"/>
  <c r="AG6" i="21" s="1"/>
  <c r="AB44" i="20"/>
  <c r="AB48" i="20"/>
  <c r="X78" i="20"/>
  <c r="X66" i="20"/>
  <c r="X62" i="20"/>
  <c r="X48" i="20"/>
  <c r="X44" i="20"/>
  <c r="B228" i="21" l="1"/>
  <c r="F222" i="21"/>
  <c r="D228" i="21"/>
  <c r="AN77" i="21"/>
  <c r="E227" i="21"/>
  <c r="E104" i="21" s="1"/>
  <c r="AG85" i="21"/>
  <c r="AE83" i="21"/>
  <c r="AE85" i="21" s="1"/>
  <c r="AE86" i="21" s="1"/>
  <c r="AB5" i="21"/>
  <c r="AC83" i="21"/>
  <c r="AC85" i="21" s="1"/>
  <c r="AC86" i="21" s="1"/>
  <c r="AA5" i="21"/>
  <c r="AB83" i="21"/>
  <c r="AB85" i="21" s="1"/>
  <c r="AT242" i="21" s="1"/>
  <c r="AC5" i="21"/>
  <c r="AD83" i="21"/>
  <c r="AD85" i="21" s="1"/>
  <c r="AV242" i="21" s="1"/>
  <c r="Z5" i="21"/>
  <c r="AA83" i="21"/>
  <c r="AA85" i="21" s="1"/>
  <c r="AA7" i="21" s="1"/>
  <c r="Z83" i="21"/>
  <c r="Z85" i="21" s="1"/>
  <c r="AR242" i="21" s="1"/>
  <c r="Y5" i="21"/>
  <c r="X5" i="21"/>
  <c r="Y83" i="21"/>
  <c r="Y85" i="21" s="1"/>
  <c r="V5" i="21"/>
  <c r="W83" i="21"/>
  <c r="W85" i="21" s="1"/>
  <c r="AO242" i="21" s="1"/>
  <c r="U5" i="21"/>
  <c r="V83" i="21"/>
  <c r="V85" i="21" s="1"/>
  <c r="V86" i="21" s="1"/>
  <c r="T5" i="21"/>
  <c r="U83" i="21"/>
  <c r="U85" i="21" s="1"/>
  <c r="AM242" i="21" s="1"/>
  <c r="S5" i="21"/>
  <c r="R5" i="21"/>
  <c r="S83" i="21"/>
  <c r="S85" i="21" s="1"/>
  <c r="AK242" i="21" s="1"/>
  <c r="Q5" i="21"/>
  <c r="P5" i="21"/>
  <c r="Q83" i="21"/>
  <c r="Q85" i="21" s="1"/>
  <c r="Q86" i="21" s="1"/>
  <c r="AF83" i="21"/>
  <c r="AF85" i="21" s="1"/>
  <c r="AF7" i="21" s="1"/>
  <c r="AE5" i="21"/>
  <c r="O5" i="21"/>
  <c r="P83" i="21"/>
  <c r="P85" i="21" s="1"/>
  <c r="P86" i="21" s="1"/>
  <c r="N5" i="21"/>
  <c r="O83" i="21"/>
  <c r="O85" i="21" s="1"/>
  <c r="AG242" i="21" s="1"/>
  <c r="M5" i="21"/>
  <c r="L5" i="21"/>
  <c r="AI66" i="21"/>
  <c r="M83" i="21"/>
  <c r="M85" i="21" s="1"/>
  <c r="AE242" i="21" s="1"/>
  <c r="H83" i="21"/>
  <c r="H85" i="21" s="1"/>
  <c r="G5" i="21"/>
  <c r="J5" i="21"/>
  <c r="K5" i="21"/>
  <c r="I83" i="21"/>
  <c r="I85" i="21" s="1"/>
  <c r="I7" i="21" s="1"/>
  <c r="L83" i="21"/>
  <c r="L85" i="21" s="1"/>
  <c r="AD242" i="21" s="1"/>
  <c r="K83" i="21"/>
  <c r="K85" i="21" s="1"/>
  <c r="K86" i="21" s="1"/>
  <c r="F5" i="21"/>
  <c r="R83" i="21"/>
  <c r="R85" i="21" s="1"/>
  <c r="R86" i="21" s="1"/>
  <c r="T83" i="21"/>
  <c r="T85" i="21" s="1"/>
  <c r="T7" i="21" s="1"/>
  <c r="N83" i="21"/>
  <c r="N85" i="21" s="1"/>
  <c r="N86" i="21" s="1"/>
  <c r="G83" i="21"/>
  <c r="G85" i="21" s="1"/>
  <c r="Y242" i="21" s="1"/>
  <c r="E5" i="21"/>
  <c r="F83" i="21"/>
  <c r="F85" i="21" s="1"/>
  <c r="X242" i="21" s="1"/>
  <c r="D5" i="21"/>
  <c r="E83" i="21"/>
  <c r="E85" i="21" s="1"/>
  <c r="W242" i="21" s="1"/>
  <c r="AI44" i="21"/>
  <c r="C5" i="21"/>
  <c r="AI62" i="21"/>
  <c r="D83" i="21"/>
  <c r="D85" i="21" s="1"/>
  <c r="D7" i="21" s="1"/>
  <c r="B5" i="21"/>
  <c r="C83" i="21"/>
  <c r="C85" i="21" s="1"/>
  <c r="C7" i="21" s="1"/>
  <c r="AI48" i="21"/>
  <c r="AF5" i="21"/>
  <c r="Z86" i="21"/>
  <c r="Z7" i="21"/>
  <c r="H86" i="21"/>
  <c r="H7" i="21"/>
  <c r="Z242" i="21"/>
  <c r="AI94" i="21"/>
  <c r="AH94" i="21"/>
  <c r="G222" i="21"/>
  <c r="Y86" i="21"/>
  <c r="Y7" i="21"/>
  <c r="AQ242" i="21"/>
  <c r="J7" i="21"/>
  <c r="AB242" i="21"/>
  <c r="J86" i="21"/>
  <c r="E7" i="21"/>
  <c r="K7" i="21"/>
  <c r="J225" i="21"/>
  <c r="K225" i="21" s="1"/>
  <c r="L225" i="21" s="1"/>
  <c r="M225" i="21" s="1"/>
  <c r="N225" i="21" s="1"/>
  <c r="O225" i="21" s="1"/>
  <c r="P225" i="21" s="1"/>
  <c r="AH78" i="21"/>
  <c r="E228" i="21"/>
  <c r="D239" i="21"/>
  <c r="AH62" i="21"/>
  <c r="AI78" i="21"/>
  <c r="B83" i="21"/>
  <c r="AH48" i="21"/>
  <c r="AH44" i="21"/>
  <c r="AH66" i="21"/>
  <c r="X83" i="20"/>
  <c r="X85" i="20" s="1"/>
  <c r="X86" i="20" s="1"/>
  <c r="D263" i="21" l="1"/>
  <c r="F227" i="21"/>
  <c r="AA86" i="21"/>
  <c r="AI242" i="21"/>
  <c r="AS242" i="21"/>
  <c r="Q7" i="21"/>
  <c r="AC242" i="21"/>
  <c r="E86" i="21"/>
  <c r="AF86" i="21"/>
  <c r="AX242" i="21"/>
  <c r="AE7" i="21"/>
  <c r="AW242" i="21"/>
  <c r="AD7" i="21"/>
  <c r="AD86" i="21"/>
  <c r="AU242" i="21"/>
  <c r="AC7" i="21"/>
  <c r="AB7" i="21"/>
  <c r="AB86" i="21"/>
  <c r="W7" i="21"/>
  <c r="W86" i="21"/>
  <c r="V7" i="21"/>
  <c r="AN242" i="21"/>
  <c r="U86" i="21"/>
  <c r="U7" i="21"/>
  <c r="T86" i="21"/>
  <c r="AL242" i="21"/>
  <c r="S86" i="21"/>
  <c r="S7" i="21"/>
  <c r="AJ242" i="21"/>
  <c r="R7" i="21"/>
  <c r="AH242" i="21"/>
  <c r="P7" i="21"/>
  <c r="O7" i="21"/>
  <c r="O86" i="21"/>
  <c r="N7" i="21"/>
  <c r="AF242" i="21"/>
  <c r="M7" i="21"/>
  <c r="M86" i="21"/>
  <c r="I86" i="21"/>
  <c r="B237" i="21"/>
  <c r="L7" i="21"/>
  <c r="L86" i="21"/>
  <c r="AA242" i="21"/>
  <c r="C237" i="21"/>
  <c r="K6" i="21" s="1"/>
  <c r="G7" i="21"/>
  <c r="G86" i="21"/>
  <c r="F7" i="21"/>
  <c r="F86" i="21"/>
  <c r="C86" i="21"/>
  <c r="U242" i="21"/>
  <c r="D86" i="21"/>
  <c r="V242" i="21"/>
  <c r="H222" i="21"/>
  <c r="B85" i="21"/>
  <c r="AI83" i="21"/>
  <c r="AH83" i="21"/>
  <c r="E263" i="21" l="1"/>
  <c r="G227" i="21"/>
  <c r="F104" i="21"/>
  <c r="F228" i="21"/>
  <c r="AI85" i="21"/>
  <c r="AH85" i="21"/>
  <c r="B7" i="21"/>
  <c r="A7" i="21" s="1"/>
  <c r="T242" i="21"/>
  <c r="B86" i="21"/>
  <c r="I222" i="21"/>
  <c r="F263" i="21" l="1"/>
  <c r="H227" i="21"/>
  <c r="G228" i="21"/>
  <c r="G104" i="21"/>
  <c r="J222" i="21"/>
  <c r="AI86" i="21"/>
  <c r="AH86" i="21"/>
  <c r="G263" i="21" l="1"/>
  <c r="I227" i="21"/>
  <c r="H104" i="21"/>
  <c r="H228" i="21"/>
  <c r="K222" i="21"/>
  <c r="H263" i="21" l="1"/>
  <c r="J227" i="21"/>
  <c r="I104" i="21"/>
  <c r="L222" i="21"/>
  <c r="K227" i="21" l="1"/>
  <c r="I263" i="21"/>
  <c r="J104" i="21"/>
  <c r="M222" i="21"/>
  <c r="J263" i="21" l="1"/>
  <c r="L227" i="21"/>
  <c r="K104" i="21"/>
  <c r="N222" i="21"/>
  <c r="M227" i="21" l="1"/>
  <c r="K263" i="21"/>
  <c r="L104" i="21"/>
  <c r="O222" i="21"/>
  <c r="L263" i="21" l="1"/>
  <c r="N227" i="21"/>
  <c r="M104" i="21"/>
  <c r="P222" i="21"/>
  <c r="M263" i="21" l="1"/>
  <c r="O227" i="21"/>
  <c r="N104" i="21"/>
  <c r="N263" i="21" l="1"/>
  <c r="P227" i="21"/>
  <c r="O263" i="21" s="1"/>
  <c r="O104" i="21"/>
  <c r="AI104" i="21" s="1"/>
  <c r="Q107" i="20"/>
  <c r="P107" i="20"/>
  <c r="AH104" i="21" l="1"/>
  <c r="L107" i="20"/>
  <c r="K107" i="20"/>
  <c r="J107" i="20"/>
  <c r="I107" i="20"/>
  <c r="H107" i="20"/>
  <c r="G107" i="20"/>
  <c r="F107" i="20"/>
  <c r="AF267" i="20"/>
  <c r="AE267" i="20"/>
  <c r="AD267" i="20"/>
  <c r="AC267" i="20"/>
  <c r="AB267" i="20"/>
  <c r="AA267" i="20"/>
  <c r="Z267" i="20"/>
  <c r="Y267" i="20"/>
  <c r="X267" i="20"/>
  <c r="W267" i="20"/>
  <c r="V267" i="20"/>
  <c r="U267" i="20"/>
  <c r="T267" i="20"/>
  <c r="S267" i="20"/>
  <c r="R267" i="20"/>
  <c r="Q267" i="20"/>
  <c r="P267" i="20"/>
  <c r="O267" i="20"/>
  <c r="N267" i="20"/>
  <c r="M267" i="20"/>
  <c r="L267" i="20"/>
  <c r="K267" i="20"/>
  <c r="J267" i="20"/>
  <c r="I267" i="20"/>
  <c r="H267" i="20"/>
  <c r="G267" i="20"/>
  <c r="F267" i="20"/>
  <c r="E267" i="20"/>
  <c r="D267" i="20"/>
  <c r="C267" i="20"/>
  <c r="B267" i="20"/>
  <c r="A267" i="20"/>
  <c r="AF266" i="20"/>
  <c r="AE266" i="20"/>
  <c r="AD266" i="20"/>
  <c r="AC266" i="20"/>
  <c r="AB266" i="20"/>
  <c r="AA266" i="20"/>
  <c r="Z266" i="20"/>
  <c r="Y266" i="20"/>
  <c r="X266" i="20"/>
  <c r="W266" i="20"/>
  <c r="V266" i="20"/>
  <c r="U266" i="20"/>
  <c r="T266" i="20"/>
  <c r="S266" i="20"/>
  <c r="R266" i="20"/>
  <c r="Q266" i="20"/>
  <c r="P266" i="20"/>
  <c r="O266" i="20"/>
  <c r="N266" i="20"/>
  <c r="M266" i="20"/>
  <c r="L266" i="20"/>
  <c r="K266" i="20"/>
  <c r="J266" i="20"/>
  <c r="I266" i="20"/>
  <c r="H266" i="20"/>
  <c r="G266" i="20"/>
  <c r="F266" i="20"/>
  <c r="E266" i="20"/>
  <c r="D266" i="20"/>
  <c r="C266" i="20"/>
  <c r="B266" i="20"/>
  <c r="A266" i="20"/>
  <c r="AF265" i="20"/>
  <c r="AE265" i="20"/>
  <c r="AD265" i="20"/>
  <c r="AC265" i="20"/>
  <c r="AB265" i="20"/>
  <c r="AA265" i="20"/>
  <c r="Z265" i="20"/>
  <c r="Y265" i="20"/>
  <c r="X265" i="20"/>
  <c r="W265" i="20"/>
  <c r="V265" i="20"/>
  <c r="U265" i="20"/>
  <c r="T265" i="20"/>
  <c r="S265" i="20"/>
  <c r="R265" i="20"/>
  <c r="Q265" i="20"/>
  <c r="P265" i="20"/>
  <c r="O265" i="20"/>
  <c r="N265" i="20"/>
  <c r="M265" i="20"/>
  <c r="L265" i="20"/>
  <c r="K265" i="20"/>
  <c r="J265" i="20"/>
  <c r="I265" i="20"/>
  <c r="H265" i="20"/>
  <c r="G265" i="20"/>
  <c r="F265" i="20"/>
  <c r="E265" i="20"/>
  <c r="D265" i="20"/>
  <c r="C265" i="20"/>
  <c r="B265" i="20"/>
  <c r="A265" i="20"/>
  <c r="AF264" i="20"/>
  <c r="AE264" i="20"/>
  <c r="AD264" i="20"/>
  <c r="AC264" i="20"/>
  <c r="AB264" i="20"/>
  <c r="AA264" i="20"/>
  <c r="Z264" i="20"/>
  <c r="Y264" i="20"/>
  <c r="X264" i="20"/>
  <c r="W264" i="20"/>
  <c r="V264" i="20"/>
  <c r="U264" i="20"/>
  <c r="T264" i="20"/>
  <c r="S264" i="20"/>
  <c r="R264" i="20"/>
  <c r="Q264" i="20"/>
  <c r="P264" i="20"/>
  <c r="O264" i="20"/>
  <c r="N264" i="20"/>
  <c r="M264" i="20"/>
  <c r="L264" i="20"/>
  <c r="K264" i="20"/>
  <c r="J264" i="20"/>
  <c r="I264" i="20"/>
  <c r="H264" i="20"/>
  <c r="G264" i="20"/>
  <c r="F264" i="20"/>
  <c r="E264" i="20"/>
  <c r="D264" i="20"/>
  <c r="C264" i="20"/>
  <c r="B264" i="20"/>
  <c r="A264" i="20"/>
  <c r="AE263" i="20"/>
  <c r="AD263" i="20"/>
  <c r="AC263" i="20"/>
  <c r="AB263" i="20"/>
  <c r="AA263" i="20"/>
  <c r="Z263" i="20"/>
  <c r="Y263" i="20"/>
  <c r="X263" i="20"/>
  <c r="W263" i="20"/>
  <c r="V263" i="20"/>
  <c r="U263" i="20"/>
  <c r="T263" i="20"/>
  <c r="S263" i="20"/>
  <c r="R263" i="20"/>
  <c r="Q263" i="20"/>
  <c r="P263" i="20"/>
  <c r="B263" i="20"/>
  <c r="AP242" i="20"/>
  <c r="S238" i="20"/>
  <c r="AG228" i="20"/>
  <c r="AF228" i="20"/>
  <c r="AE228" i="20"/>
  <c r="AD228" i="20"/>
  <c r="AC228" i="20"/>
  <c r="AB228" i="20"/>
  <c r="AA228" i="20"/>
  <c r="Z228" i="20"/>
  <c r="Y228" i="20"/>
  <c r="X228" i="20"/>
  <c r="W228" i="20"/>
  <c r="V228" i="20"/>
  <c r="U228" i="20"/>
  <c r="T228" i="20"/>
  <c r="S228" i="20"/>
  <c r="R228" i="20"/>
  <c r="Q228" i="20"/>
  <c r="C228" i="20"/>
  <c r="D227" i="20"/>
  <c r="C263" i="20" s="1"/>
  <c r="B227" i="20"/>
  <c r="AF263" i="20" s="1"/>
  <c r="D226" i="20"/>
  <c r="E226" i="20" s="1"/>
  <c r="F226" i="20" s="1"/>
  <c r="G226" i="20" s="1"/>
  <c r="H226" i="20" s="1"/>
  <c r="I226" i="20" s="1"/>
  <c r="J226" i="20" s="1"/>
  <c r="K226" i="20" s="1"/>
  <c r="L226" i="20" s="1"/>
  <c r="M226" i="20" s="1"/>
  <c r="N226" i="20" s="1"/>
  <c r="O226" i="20" s="1"/>
  <c r="P226" i="20" s="1"/>
  <c r="B226" i="20"/>
  <c r="D225" i="20"/>
  <c r="E225" i="20" s="1"/>
  <c r="F225" i="20" s="1"/>
  <c r="G225" i="20" s="1"/>
  <c r="H225" i="20" s="1"/>
  <c r="I225" i="20" s="1"/>
  <c r="B225" i="20"/>
  <c r="E224" i="20"/>
  <c r="F224" i="20" s="1"/>
  <c r="G224" i="20" s="1"/>
  <c r="H224" i="20" s="1"/>
  <c r="D224" i="20"/>
  <c r="B224" i="20"/>
  <c r="D223" i="20"/>
  <c r="E223" i="20" s="1"/>
  <c r="F223" i="20" s="1"/>
  <c r="G223" i="20" s="1"/>
  <c r="H223" i="20" s="1"/>
  <c r="I223" i="20" s="1"/>
  <c r="J223" i="20" s="1"/>
  <c r="K223" i="20" s="1"/>
  <c r="L223" i="20" s="1"/>
  <c r="M223" i="20" s="1"/>
  <c r="N223" i="20" s="1"/>
  <c r="O223" i="20" s="1"/>
  <c r="P223" i="20" s="1"/>
  <c r="B223" i="20"/>
  <c r="D222" i="20"/>
  <c r="B222" i="20"/>
  <c r="AG220" i="20"/>
  <c r="AF220" i="20"/>
  <c r="AE220" i="20"/>
  <c r="AD220" i="20"/>
  <c r="AC220" i="20"/>
  <c r="AB220" i="20"/>
  <c r="AA220" i="20"/>
  <c r="Z220" i="20"/>
  <c r="Y220" i="20"/>
  <c r="X220" i="20"/>
  <c r="W220" i="20"/>
  <c r="V220" i="20"/>
  <c r="U220" i="20"/>
  <c r="T220" i="20"/>
  <c r="S220" i="20"/>
  <c r="R220" i="20"/>
  <c r="Q220" i="20"/>
  <c r="P220" i="20"/>
  <c r="O220" i="20"/>
  <c r="N220" i="20"/>
  <c r="M220" i="20"/>
  <c r="L220" i="20"/>
  <c r="K220" i="20"/>
  <c r="J220" i="20"/>
  <c r="I220" i="20"/>
  <c r="H220" i="20"/>
  <c r="G220" i="20"/>
  <c r="F220" i="20"/>
  <c r="E220" i="20"/>
  <c r="D220" i="20"/>
  <c r="C220" i="20"/>
  <c r="B220" i="20"/>
  <c r="AI113" i="20"/>
  <c r="AH113" i="20"/>
  <c r="AI112" i="20"/>
  <c r="AH112" i="20"/>
  <c r="AI111" i="20"/>
  <c r="AH111" i="20"/>
  <c r="AI110" i="20"/>
  <c r="AH110" i="20"/>
  <c r="AI109" i="20"/>
  <c r="AH109" i="20"/>
  <c r="AI108" i="20"/>
  <c r="AH108" i="20"/>
  <c r="AI106" i="20"/>
  <c r="AH106" i="20"/>
  <c r="AI105" i="20"/>
  <c r="AH105" i="20"/>
  <c r="AF104" i="20"/>
  <c r="AE104" i="20"/>
  <c r="AD104" i="20"/>
  <c r="AC104" i="20"/>
  <c r="AB104" i="20"/>
  <c r="AA104" i="20"/>
  <c r="Z104" i="20"/>
  <c r="Y104" i="20"/>
  <c r="W104" i="20"/>
  <c r="V104" i="20"/>
  <c r="U104" i="20"/>
  <c r="T104" i="20"/>
  <c r="S104" i="20"/>
  <c r="R104" i="20"/>
  <c r="Q104" i="20"/>
  <c r="C104" i="20"/>
  <c r="AI103" i="20"/>
  <c r="AH103" i="20"/>
  <c r="AI102" i="20"/>
  <c r="AH102" i="20"/>
  <c r="AI101" i="20"/>
  <c r="AH101" i="20"/>
  <c r="AI100" i="20"/>
  <c r="AH100" i="20"/>
  <c r="AI99" i="20"/>
  <c r="AH99" i="20"/>
  <c r="AI98" i="20"/>
  <c r="AH98" i="20"/>
  <c r="AI97" i="20"/>
  <c r="AH97" i="20"/>
  <c r="AI96" i="20"/>
  <c r="AH96" i="20"/>
  <c r="AI95" i="20"/>
  <c r="AH95" i="20"/>
  <c r="AI93" i="20"/>
  <c r="AH93" i="20"/>
  <c r="AI92" i="20"/>
  <c r="AH92" i="20"/>
  <c r="AI91" i="20"/>
  <c r="AH91" i="20"/>
  <c r="AI90" i="20"/>
  <c r="AH90" i="20"/>
  <c r="AI89" i="20"/>
  <c r="AH89" i="20"/>
  <c r="AI88" i="20"/>
  <c r="AH88" i="20"/>
  <c r="AI87" i="20"/>
  <c r="AH87" i="20"/>
  <c r="AI84" i="20"/>
  <c r="AH84" i="20"/>
  <c r="AI82" i="20"/>
  <c r="AH82" i="20"/>
  <c r="AG82" i="20"/>
  <c r="AI81" i="20"/>
  <c r="AH81" i="20"/>
  <c r="AI80" i="20"/>
  <c r="AH80" i="20"/>
  <c r="AI79" i="20"/>
  <c r="AH79" i="20"/>
  <c r="AN78" i="20"/>
  <c r="AG78" i="20"/>
  <c r="AF78" i="20"/>
  <c r="AF94" i="20" s="1"/>
  <c r="AE78" i="20"/>
  <c r="AE94" i="20" s="1"/>
  <c r="AD78" i="20"/>
  <c r="AD94" i="20" s="1"/>
  <c r="AC78" i="20"/>
  <c r="AC94" i="20" s="1"/>
  <c r="AB78" i="20"/>
  <c r="AB94" i="20" s="1"/>
  <c r="AA78" i="20"/>
  <c r="AA94" i="20" s="1"/>
  <c r="Z78" i="20"/>
  <c r="Z94" i="20" s="1"/>
  <c r="Y78" i="20"/>
  <c r="Y94" i="20" s="1"/>
  <c r="W78" i="20"/>
  <c r="W94" i="20" s="1"/>
  <c r="V78" i="20"/>
  <c r="V94" i="20" s="1"/>
  <c r="U78" i="20"/>
  <c r="U94" i="20" s="1"/>
  <c r="T78" i="20"/>
  <c r="T94" i="20" s="1"/>
  <c r="S78" i="20"/>
  <c r="S94" i="20" s="1"/>
  <c r="R78" i="20"/>
  <c r="R94" i="20" s="1"/>
  <c r="Q78" i="20"/>
  <c r="Q94" i="20" s="1"/>
  <c r="P78" i="20"/>
  <c r="P94" i="20" s="1"/>
  <c r="O78" i="20"/>
  <c r="O94" i="20" s="1"/>
  <c r="N78" i="20"/>
  <c r="N94" i="20" s="1"/>
  <c r="M78" i="20"/>
  <c r="L5" i="20" s="1"/>
  <c r="L78" i="20"/>
  <c r="L94" i="20" s="1"/>
  <c r="K78" i="20"/>
  <c r="K94" i="20" s="1"/>
  <c r="J78" i="20"/>
  <c r="J94" i="20" s="1"/>
  <c r="I78" i="20"/>
  <c r="I94" i="20" s="1"/>
  <c r="H78" i="20"/>
  <c r="H94" i="20" s="1"/>
  <c r="G78" i="20"/>
  <c r="G94" i="20" s="1"/>
  <c r="F78" i="20"/>
  <c r="F94" i="20" s="1"/>
  <c r="E78" i="20"/>
  <c r="D5" i="20" s="1"/>
  <c r="D78" i="20"/>
  <c r="D94" i="20" s="1"/>
  <c r="C78" i="20"/>
  <c r="C94" i="20" s="1"/>
  <c r="B78" i="20"/>
  <c r="B94" i="20" s="1"/>
  <c r="AI77" i="20"/>
  <c r="AH77" i="20"/>
  <c r="AN76" i="20"/>
  <c r="AI76" i="20"/>
  <c r="AH76" i="20"/>
  <c r="AN75" i="20"/>
  <c r="AI75" i="20"/>
  <c r="AH75" i="20"/>
  <c r="AI74" i="20"/>
  <c r="AH74" i="20"/>
  <c r="AI73" i="20"/>
  <c r="AH73" i="20"/>
  <c r="AI72" i="20"/>
  <c r="AH72" i="20"/>
  <c r="AI71" i="20"/>
  <c r="AH71" i="20"/>
  <c r="AI70" i="20"/>
  <c r="AH70" i="20"/>
  <c r="AI69" i="20"/>
  <c r="AH69" i="20"/>
  <c r="AI68" i="20"/>
  <c r="AH68" i="20"/>
  <c r="AI67" i="20"/>
  <c r="AH67" i="20"/>
  <c r="AG66" i="20"/>
  <c r="AF66" i="20"/>
  <c r="AE66" i="20"/>
  <c r="AD66" i="20"/>
  <c r="AC66" i="20"/>
  <c r="AB66" i="20"/>
  <c r="AA66" i="20"/>
  <c r="Z66" i="20"/>
  <c r="Y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AI65" i="20"/>
  <c r="AH65" i="20"/>
  <c r="AI64" i="20"/>
  <c r="AH64" i="20"/>
  <c r="AI63" i="20"/>
  <c r="AH63" i="20"/>
  <c r="AF62" i="20"/>
  <c r="AE62" i="20"/>
  <c r="AD62" i="20"/>
  <c r="AC62" i="20"/>
  <c r="AB62" i="20"/>
  <c r="AA62" i="20"/>
  <c r="Z62" i="20"/>
  <c r="Y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B62" i="20"/>
  <c r="AI61" i="20"/>
  <c r="AH61" i="20"/>
  <c r="AG61" i="20"/>
  <c r="AG62" i="20" s="1"/>
  <c r="AG3" i="20" s="1"/>
  <c r="AI60" i="20"/>
  <c r="AH60" i="20"/>
  <c r="AI59" i="20"/>
  <c r="AH59" i="20"/>
  <c r="AI58" i="20"/>
  <c r="AH58" i="20"/>
  <c r="AI57" i="20"/>
  <c r="AH57" i="20"/>
  <c r="AI56" i="20"/>
  <c r="AH56" i="20"/>
  <c r="AI55" i="20"/>
  <c r="AH55" i="20"/>
  <c r="AI54" i="20"/>
  <c r="AH54" i="20"/>
  <c r="AI53" i="20"/>
  <c r="AH53" i="20"/>
  <c r="AI52" i="20"/>
  <c r="AH52" i="20"/>
  <c r="AI51" i="20"/>
  <c r="AH51" i="20"/>
  <c r="AI50" i="20"/>
  <c r="AH50" i="20"/>
  <c r="AI49" i="20"/>
  <c r="AH49" i="20"/>
  <c r="AG48" i="20"/>
  <c r="AF48" i="20"/>
  <c r="AE48" i="20"/>
  <c r="AD48" i="20"/>
  <c r="AC48" i="20"/>
  <c r="AA48" i="20"/>
  <c r="Z48" i="20"/>
  <c r="Y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AI47" i="20"/>
  <c r="AH47" i="20"/>
  <c r="AI46" i="20"/>
  <c r="AH46" i="20"/>
  <c r="AI45" i="20"/>
  <c r="AH45" i="20"/>
  <c r="AG44" i="20"/>
  <c r="AG2" i="20" s="1"/>
  <c r="AG6" i="20" s="1"/>
  <c r="AF44" i="20"/>
  <c r="AE44" i="20"/>
  <c r="AD44" i="20"/>
  <c r="AC44" i="20"/>
  <c r="AA44" i="20"/>
  <c r="Z44" i="20"/>
  <c r="Y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AI43" i="20"/>
  <c r="AH43" i="20"/>
  <c r="AI42" i="20"/>
  <c r="AH42" i="20"/>
  <c r="AI41" i="20"/>
  <c r="AH41" i="20"/>
  <c r="AI40" i="20"/>
  <c r="AH40" i="20"/>
  <c r="AI39" i="20"/>
  <c r="AH39" i="20"/>
  <c r="AI38" i="20"/>
  <c r="AH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X7" i="20"/>
  <c r="AB5" i="20"/>
  <c r="W5" i="20"/>
  <c r="AG4" i="20"/>
  <c r="K4" i="20"/>
  <c r="E4" i="20"/>
  <c r="H4" i="20" s="1"/>
  <c r="B4" i="20"/>
  <c r="D239" i="20" s="1"/>
  <c r="AC44" i="19"/>
  <c r="AC48" i="19"/>
  <c r="AB107" i="19"/>
  <c r="D107" i="19"/>
  <c r="B62" i="19"/>
  <c r="B48" i="19"/>
  <c r="B44" i="19"/>
  <c r="B83" i="19" s="1"/>
  <c r="B107" i="19"/>
  <c r="AF267" i="19"/>
  <c r="AE267" i="19"/>
  <c r="AD267" i="19"/>
  <c r="AC267" i="19"/>
  <c r="AB267" i="19"/>
  <c r="AA267" i="19"/>
  <c r="Z267" i="19"/>
  <c r="Y267" i="19"/>
  <c r="X267" i="19"/>
  <c r="W267" i="19"/>
  <c r="V267" i="19"/>
  <c r="U267" i="19"/>
  <c r="T267" i="19"/>
  <c r="S267" i="19"/>
  <c r="R267" i="19"/>
  <c r="Q267" i="19"/>
  <c r="P267" i="19"/>
  <c r="O267" i="19"/>
  <c r="N267" i="19"/>
  <c r="M267" i="19"/>
  <c r="L267" i="19"/>
  <c r="K267" i="19"/>
  <c r="J267" i="19"/>
  <c r="I267" i="19"/>
  <c r="H267" i="19"/>
  <c r="G267" i="19"/>
  <c r="F267" i="19"/>
  <c r="E267" i="19"/>
  <c r="D267" i="19"/>
  <c r="C267" i="19"/>
  <c r="B267" i="19"/>
  <c r="A267" i="19"/>
  <c r="AF266" i="19"/>
  <c r="AE266" i="19"/>
  <c r="AD266" i="19"/>
  <c r="AC266" i="19"/>
  <c r="AB266" i="19"/>
  <c r="AA266" i="19"/>
  <c r="Z266" i="19"/>
  <c r="Y266" i="19"/>
  <c r="X266" i="19"/>
  <c r="W266" i="19"/>
  <c r="V266" i="19"/>
  <c r="U266" i="19"/>
  <c r="T266" i="19"/>
  <c r="S266" i="19"/>
  <c r="R266" i="19"/>
  <c r="Q266" i="19"/>
  <c r="P266" i="19"/>
  <c r="O266" i="19"/>
  <c r="N266" i="19"/>
  <c r="M266" i="19"/>
  <c r="L266" i="19"/>
  <c r="K266" i="19"/>
  <c r="J266" i="19"/>
  <c r="I266" i="19"/>
  <c r="H266" i="19"/>
  <c r="G266" i="19"/>
  <c r="F266" i="19"/>
  <c r="E266" i="19"/>
  <c r="D266" i="19"/>
  <c r="C266" i="19"/>
  <c r="B266" i="19"/>
  <c r="A266" i="19"/>
  <c r="AF265" i="19"/>
  <c r="AE265" i="19"/>
  <c r="AD265" i="19"/>
  <c r="AC265" i="19"/>
  <c r="AB265" i="19"/>
  <c r="AA265" i="19"/>
  <c r="Z265" i="19"/>
  <c r="Y265" i="19"/>
  <c r="X265" i="19"/>
  <c r="W265" i="19"/>
  <c r="V265" i="19"/>
  <c r="U265" i="19"/>
  <c r="T265" i="19"/>
  <c r="S265" i="19"/>
  <c r="R265" i="19"/>
  <c r="Q265" i="19"/>
  <c r="P265" i="19"/>
  <c r="O265" i="19"/>
  <c r="N265" i="19"/>
  <c r="M265" i="19"/>
  <c r="L265" i="19"/>
  <c r="K265" i="19"/>
  <c r="J265" i="19"/>
  <c r="I265" i="19"/>
  <c r="H265" i="19"/>
  <c r="G265" i="19"/>
  <c r="F265" i="19"/>
  <c r="E265" i="19"/>
  <c r="D265" i="19"/>
  <c r="C265" i="19"/>
  <c r="B265" i="19"/>
  <c r="A265" i="19"/>
  <c r="AF264" i="19"/>
  <c r="AE264" i="19"/>
  <c r="AD264" i="19"/>
  <c r="AC264" i="19"/>
  <c r="AB264" i="19"/>
  <c r="AA264" i="19"/>
  <c r="Z264" i="19"/>
  <c r="Y264" i="19"/>
  <c r="X264" i="19"/>
  <c r="W264" i="19"/>
  <c r="V264" i="19"/>
  <c r="U264" i="19"/>
  <c r="T264" i="19"/>
  <c r="S264" i="19"/>
  <c r="R264" i="19"/>
  <c r="Q264" i="19"/>
  <c r="P264" i="19"/>
  <c r="O264" i="19"/>
  <c r="N264" i="19"/>
  <c r="M264" i="19"/>
  <c r="L264" i="19"/>
  <c r="K264" i="19"/>
  <c r="J264" i="19"/>
  <c r="I264" i="19"/>
  <c r="H264" i="19"/>
  <c r="G264" i="19"/>
  <c r="F264" i="19"/>
  <c r="E264" i="19"/>
  <c r="D264" i="19"/>
  <c r="C264" i="19"/>
  <c r="B264" i="19"/>
  <c r="A264" i="19"/>
  <c r="AE263" i="19"/>
  <c r="AD263" i="19"/>
  <c r="AC263" i="19"/>
  <c r="AB263" i="19"/>
  <c r="AA263" i="19"/>
  <c r="Z263" i="19"/>
  <c r="Y263" i="19"/>
  <c r="X263" i="19"/>
  <c r="W263" i="19"/>
  <c r="V263" i="19"/>
  <c r="U263" i="19"/>
  <c r="T263" i="19"/>
  <c r="S263" i="19"/>
  <c r="R263" i="19"/>
  <c r="Q263" i="19"/>
  <c r="P263" i="19"/>
  <c r="B263" i="19"/>
  <c r="AP242" i="19"/>
  <c r="S238" i="19"/>
  <c r="AG228" i="19"/>
  <c r="AF228" i="19"/>
  <c r="AE228" i="19"/>
  <c r="AD228" i="19"/>
  <c r="AC228" i="19"/>
  <c r="AB228" i="19"/>
  <c r="AA228" i="19"/>
  <c r="Z228" i="19"/>
  <c r="Y228" i="19"/>
  <c r="X228" i="19"/>
  <c r="W228" i="19"/>
  <c r="V228" i="19"/>
  <c r="U228" i="19"/>
  <c r="T228" i="19"/>
  <c r="S228" i="19"/>
  <c r="R228" i="19"/>
  <c r="Q228" i="19"/>
  <c r="C228" i="19"/>
  <c r="E227" i="19"/>
  <c r="D263" i="19" s="1"/>
  <c r="D227" i="19"/>
  <c r="C263" i="19" s="1"/>
  <c r="B227" i="19"/>
  <c r="AF263" i="19" s="1"/>
  <c r="E226" i="19"/>
  <c r="F226" i="19" s="1"/>
  <c r="G226" i="19" s="1"/>
  <c r="H226" i="19" s="1"/>
  <c r="I226" i="19" s="1"/>
  <c r="J226" i="19" s="1"/>
  <c r="K226" i="19" s="1"/>
  <c r="L226" i="19" s="1"/>
  <c r="M226" i="19" s="1"/>
  <c r="N226" i="19" s="1"/>
  <c r="O226" i="19" s="1"/>
  <c r="P226" i="19" s="1"/>
  <c r="D226" i="19"/>
  <c r="B226" i="19"/>
  <c r="E225" i="19"/>
  <c r="F225" i="19" s="1"/>
  <c r="G225" i="19" s="1"/>
  <c r="H225" i="19" s="1"/>
  <c r="I225" i="19" s="1"/>
  <c r="D225" i="19"/>
  <c r="B225" i="19"/>
  <c r="E224" i="19"/>
  <c r="F224" i="19" s="1"/>
  <c r="G224" i="19" s="1"/>
  <c r="H224" i="19" s="1"/>
  <c r="D224" i="19"/>
  <c r="B224" i="19"/>
  <c r="E223" i="19"/>
  <c r="F223" i="19" s="1"/>
  <c r="G223" i="19" s="1"/>
  <c r="H223" i="19" s="1"/>
  <c r="I223" i="19" s="1"/>
  <c r="J223" i="19" s="1"/>
  <c r="K223" i="19" s="1"/>
  <c r="L223" i="19" s="1"/>
  <c r="M223" i="19" s="1"/>
  <c r="N223" i="19" s="1"/>
  <c r="O223" i="19" s="1"/>
  <c r="P223" i="19" s="1"/>
  <c r="D223" i="19"/>
  <c r="B223" i="19"/>
  <c r="D222" i="19"/>
  <c r="D228" i="19" s="1"/>
  <c r="B222" i="19"/>
  <c r="AG220" i="19"/>
  <c r="AF220" i="19"/>
  <c r="AE220" i="19"/>
  <c r="AD220" i="19"/>
  <c r="AC220" i="19"/>
  <c r="AB220" i="19"/>
  <c r="AA220" i="19"/>
  <c r="Z220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AI113" i="19"/>
  <c r="AH113" i="19"/>
  <c r="AI112" i="19"/>
  <c r="AH112" i="19"/>
  <c r="AI111" i="19"/>
  <c r="AH111" i="19"/>
  <c r="AI110" i="19"/>
  <c r="AH110" i="19"/>
  <c r="AI109" i="19"/>
  <c r="AH109" i="19"/>
  <c r="AI108" i="19"/>
  <c r="AH108" i="19"/>
  <c r="AI107" i="19"/>
  <c r="AH107" i="19"/>
  <c r="AI106" i="19"/>
  <c r="AH106" i="19"/>
  <c r="AI105" i="19"/>
  <c r="AH105" i="19"/>
  <c r="AF104" i="19"/>
  <c r="AE104" i="19"/>
  <c r="AD104" i="19"/>
  <c r="AC104" i="19"/>
  <c r="AB104" i="19"/>
  <c r="AA104" i="19"/>
  <c r="Z104" i="19"/>
  <c r="Y104" i="19"/>
  <c r="W104" i="19"/>
  <c r="V104" i="19"/>
  <c r="U104" i="19"/>
  <c r="T104" i="19"/>
  <c r="S104" i="19"/>
  <c r="R104" i="19"/>
  <c r="Q104" i="19"/>
  <c r="D104" i="19"/>
  <c r="C104" i="19"/>
  <c r="AI103" i="19"/>
  <c r="AH103" i="19"/>
  <c r="AI102" i="19"/>
  <c r="AH102" i="19"/>
  <c r="AI101" i="19"/>
  <c r="AH101" i="19"/>
  <c r="AI100" i="19"/>
  <c r="AH100" i="19"/>
  <c r="AI99" i="19"/>
  <c r="AH99" i="19"/>
  <c r="AI98" i="19"/>
  <c r="AH98" i="19"/>
  <c r="AI97" i="19"/>
  <c r="AH97" i="19"/>
  <c r="AI96" i="19"/>
  <c r="AH96" i="19"/>
  <c r="AI95" i="19"/>
  <c r="AH95" i="19"/>
  <c r="AI93" i="19"/>
  <c r="AH93" i="19"/>
  <c r="AI92" i="19"/>
  <c r="AH92" i="19"/>
  <c r="AI91" i="19"/>
  <c r="AH91" i="19"/>
  <c r="AI90" i="19"/>
  <c r="AH90" i="19"/>
  <c r="AI89" i="19"/>
  <c r="AH89" i="19"/>
  <c r="AI88" i="19"/>
  <c r="AH88" i="19"/>
  <c r="AI87" i="19"/>
  <c r="AH87" i="19"/>
  <c r="AI84" i="19"/>
  <c r="AH84" i="19"/>
  <c r="AI82" i="19"/>
  <c r="AH82" i="19"/>
  <c r="AG82" i="19"/>
  <c r="AI81" i="19"/>
  <c r="AH81" i="19"/>
  <c r="AI80" i="19"/>
  <c r="AH80" i="19"/>
  <c r="AI79" i="19"/>
  <c r="AH79" i="19"/>
  <c r="AN78" i="19"/>
  <c r="AG78" i="19"/>
  <c r="AF78" i="19"/>
  <c r="AF94" i="19" s="1"/>
  <c r="AE78" i="19"/>
  <c r="AE94" i="19" s="1"/>
  <c r="AD78" i="19"/>
  <c r="AD94" i="19" s="1"/>
  <c r="AC78" i="19"/>
  <c r="AC94" i="19" s="1"/>
  <c r="AB78" i="19"/>
  <c r="AB94" i="19" s="1"/>
  <c r="AA78" i="19"/>
  <c r="AA94" i="19" s="1"/>
  <c r="Z78" i="19"/>
  <c r="Z94" i="19" s="1"/>
  <c r="Y78" i="19"/>
  <c r="Y94" i="19" s="1"/>
  <c r="W78" i="19"/>
  <c r="W94" i="19" s="1"/>
  <c r="V78" i="19"/>
  <c r="V94" i="19" s="1"/>
  <c r="U78" i="19"/>
  <c r="U94" i="19" s="1"/>
  <c r="T78" i="19"/>
  <c r="T94" i="19" s="1"/>
  <c r="S78" i="19"/>
  <c r="S94" i="19" s="1"/>
  <c r="R78" i="19"/>
  <c r="R94" i="19" s="1"/>
  <c r="Q78" i="19"/>
  <c r="Q94" i="19" s="1"/>
  <c r="P78" i="19"/>
  <c r="P94" i="19" s="1"/>
  <c r="O78" i="19"/>
  <c r="O94" i="19" s="1"/>
  <c r="N78" i="19"/>
  <c r="N94" i="19" s="1"/>
  <c r="M78" i="19"/>
  <c r="L5" i="19" s="1"/>
  <c r="L78" i="19"/>
  <c r="L94" i="19" s="1"/>
  <c r="K78" i="19"/>
  <c r="K94" i="19" s="1"/>
  <c r="J78" i="19"/>
  <c r="J94" i="19" s="1"/>
  <c r="I78" i="19"/>
  <c r="I94" i="19" s="1"/>
  <c r="H78" i="19"/>
  <c r="H94" i="19" s="1"/>
  <c r="G78" i="19"/>
  <c r="G94" i="19" s="1"/>
  <c r="F78" i="19"/>
  <c r="F94" i="19" s="1"/>
  <c r="E78" i="19"/>
  <c r="D5" i="19" s="1"/>
  <c r="D78" i="19"/>
  <c r="D94" i="19" s="1"/>
  <c r="C78" i="19"/>
  <c r="C94" i="19" s="1"/>
  <c r="AI77" i="19"/>
  <c r="AH77" i="19"/>
  <c r="AN76" i="19"/>
  <c r="AI76" i="19"/>
  <c r="AH76" i="19"/>
  <c r="AN75" i="19"/>
  <c r="AN77" i="19" s="1"/>
  <c r="AI75" i="19"/>
  <c r="AH75" i="19"/>
  <c r="AI74" i="19"/>
  <c r="AH74" i="19"/>
  <c r="AI73" i="19"/>
  <c r="AH73" i="19"/>
  <c r="AI72" i="19"/>
  <c r="AH72" i="19"/>
  <c r="AI71" i="19"/>
  <c r="AH71" i="19"/>
  <c r="AI70" i="19"/>
  <c r="AH70" i="19"/>
  <c r="AI69" i="19"/>
  <c r="AH69" i="19"/>
  <c r="AI68" i="19"/>
  <c r="AH68" i="19"/>
  <c r="AI67" i="19"/>
  <c r="AH67" i="19"/>
  <c r="AG66" i="19"/>
  <c r="AF66" i="19"/>
  <c r="AE66" i="19"/>
  <c r="AD66" i="19"/>
  <c r="AC66" i="19"/>
  <c r="AB66" i="19"/>
  <c r="AA66" i="19"/>
  <c r="Z66" i="19"/>
  <c r="Y66" i="19"/>
  <c r="W66" i="19"/>
  <c r="V66" i="19"/>
  <c r="U66" i="19"/>
  <c r="T66" i="19"/>
  <c r="S66" i="19"/>
  <c r="R66" i="19"/>
  <c r="Q66" i="19"/>
  <c r="P66" i="19"/>
  <c r="O66" i="19"/>
  <c r="N66" i="19"/>
  <c r="M66" i="19"/>
  <c r="L66" i="19"/>
  <c r="AI65" i="19"/>
  <c r="AH65" i="19"/>
  <c r="AI64" i="19"/>
  <c r="AH64" i="19"/>
  <c r="AI63" i="19"/>
  <c r="AH63" i="19"/>
  <c r="AF62" i="19"/>
  <c r="AE62" i="19"/>
  <c r="AD62" i="19"/>
  <c r="AC62" i="19"/>
  <c r="AB62" i="19"/>
  <c r="AA62" i="19"/>
  <c r="Z62" i="19"/>
  <c r="Y62" i="19"/>
  <c r="W62" i="19"/>
  <c r="V62" i="19"/>
  <c r="U62" i="19"/>
  <c r="T62" i="19"/>
  <c r="S62" i="19"/>
  <c r="Q62" i="19"/>
  <c r="P62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C62" i="19"/>
  <c r="AI61" i="19"/>
  <c r="AH61" i="19"/>
  <c r="AG61" i="19"/>
  <c r="AG62" i="19" s="1"/>
  <c r="AG3" i="19" s="1"/>
  <c r="AI60" i="19"/>
  <c r="AH60" i="19"/>
  <c r="AI59" i="19"/>
  <c r="AH59" i="19"/>
  <c r="AI58" i="19"/>
  <c r="AH58" i="19"/>
  <c r="AI57" i="19"/>
  <c r="AH57" i="19"/>
  <c r="AI56" i="19"/>
  <c r="AH56" i="19"/>
  <c r="AI55" i="19"/>
  <c r="AH55" i="19"/>
  <c r="AI54" i="19"/>
  <c r="AH54" i="19"/>
  <c r="AI53" i="19"/>
  <c r="AH53" i="19"/>
  <c r="AI52" i="19"/>
  <c r="AH52" i="19"/>
  <c r="AI51" i="19"/>
  <c r="AH51" i="19"/>
  <c r="AI50" i="19"/>
  <c r="AH50" i="19"/>
  <c r="AI49" i="19"/>
  <c r="AH49" i="19"/>
  <c r="AG48" i="19"/>
  <c r="AF48" i="19"/>
  <c r="AE48" i="19"/>
  <c r="AD48" i="19"/>
  <c r="AB48" i="19"/>
  <c r="AA48" i="19"/>
  <c r="Z48" i="19"/>
  <c r="Y48" i="19"/>
  <c r="W48" i="19"/>
  <c r="V48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I48" i="19"/>
  <c r="H48" i="19"/>
  <c r="G48" i="19"/>
  <c r="F48" i="19"/>
  <c r="E48" i="19"/>
  <c r="D48" i="19"/>
  <c r="C48" i="19"/>
  <c r="AI47" i="19"/>
  <c r="AH47" i="19"/>
  <c r="AI46" i="19"/>
  <c r="AH46" i="19"/>
  <c r="AI45" i="19"/>
  <c r="AH45" i="19"/>
  <c r="AG44" i="19"/>
  <c r="AF44" i="19"/>
  <c r="AE44" i="19"/>
  <c r="AD44" i="19"/>
  <c r="AB44" i="19"/>
  <c r="AA44" i="19"/>
  <c r="Z44" i="19"/>
  <c r="Y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AI43" i="19"/>
  <c r="AH43" i="19"/>
  <c r="AI42" i="19"/>
  <c r="AH42" i="19"/>
  <c r="AI41" i="19"/>
  <c r="AH41" i="19"/>
  <c r="AI40" i="19"/>
  <c r="AH40" i="19"/>
  <c r="AI39" i="19"/>
  <c r="AH39" i="19"/>
  <c r="AI38" i="19"/>
  <c r="AH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X7" i="19"/>
  <c r="W5" i="19"/>
  <c r="AG4" i="19"/>
  <c r="K4" i="19"/>
  <c r="E4" i="19"/>
  <c r="H4" i="19" s="1"/>
  <c r="B4" i="19"/>
  <c r="S239" i="19" s="1"/>
  <c r="AG2" i="19"/>
  <c r="AC107" i="18"/>
  <c r="AB107" i="18"/>
  <c r="AA107" i="18"/>
  <c r="Z107" i="18"/>
  <c r="Y107" i="18"/>
  <c r="W107" i="18"/>
  <c r="V107" i="18"/>
  <c r="U107" i="18"/>
  <c r="AG6" i="19" l="1"/>
  <c r="D104" i="20"/>
  <c r="B228" i="20"/>
  <c r="E227" i="20"/>
  <c r="D263" i="20" s="1"/>
  <c r="AG85" i="19"/>
  <c r="B228" i="19"/>
  <c r="AC5" i="20"/>
  <c r="D228" i="20"/>
  <c r="E222" i="19"/>
  <c r="F222" i="19" s="1"/>
  <c r="M5" i="19"/>
  <c r="AG83" i="19"/>
  <c r="AN77" i="20"/>
  <c r="AE5" i="20"/>
  <c r="AF83" i="20"/>
  <c r="AF85" i="20" s="1"/>
  <c r="AD5" i="20"/>
  <c r="AE83" i="20"/>
  <c r="AE85" i="20" s="1"/>
  <c r="AW242" i="20" s="1"/>
  <c r="AG83" i="20"/>
  <c r="AD83" i="20"/>
  <c r="AD85" i="20" s="1"/>
  <c r="AC83" i="20"/>
  <c r="AC85" i="20" s="1"/>
  <c r="AB83" i="20"/>
  <c r="AB85" i="20" s="1"/>
  <c r="AA83" i="20"/>
  <c r="AA85" i="20" s="1"/>
  <c r="Y5" i="20"/>
  <c r="Z83" i="20"/>
  <c r="Z85" i="20" s="1"/>
  <c r="Z86" i="20" s="1"/>
  <c r="X5" i="20"/>
  <c r="Y83" i="20"/>
  <c r="Y85" i="20" s="1"/>
  <c r="Y7" i="20" s="1"/>
  <c r="V5" i="20"/>
  <c r="W83" i="20"/>
  <c r="W85" i="20" s="1"/>
  <c r="W86" i="20" s="1"/>
  <c r="U5" i="20"/>
  <c r="V83" i="20"/>
  <c r="V85" i="20" s="1"/>
  <c r="V86" i="20" s="1"/>
  <c r="T5" i="20"/>
  <c r="U83" i="20"/>
  <c r="U85" i="20" s="1"/>
  <c r="S5" i="20"/>
  <c r="T83" i="20"/>
  <c r="T85" i="20" s="1"/>
  <c r="T86" i="20" s="1"/>
  <c r="S83" i="20"/>
  <c r="S85" i="20" s="1"/>
  <c r="S7" i="20" s="1"/>
  <c r="R83" i="20"/>
  <c r="R85" i="20" s="1"/>
  <c r="R7" i="20" s="1"/>
  <c r="Q83" i="20"/>
  <c r="Q85" i="20" s="1"/>
  <c r="Q7" i="20" s="1"/>
  <c r="P5" i="20"/>
  <c r="O5" i="20"/>
  <c r="P83" i="20"/>
  <c r="P85" i="20" s="1"/>
  <c r="AH242" i="20" s="1"/>
  <c r="N5" i="20"/>
  <c r="O83" i="20"/>
  <c r="O85" i="20" s="1"/>
  <c r="AG242" i="20" s="1"/>
  <c r="M5" i="20"/>
  <c r="N83" i="20"/>
  <c r="N85" i="20" s="1"/>
  <c r="M94" i="20"/>
  <c r="AI66" i="20"/>
  <c r="M83" i="20"/>
  <c r="M85" i="20" s="1"/>
  <c r="AE242" i="20" s="1"/>
  <c r="K5" i="20"/>
  <c r="AI107" i="20"/>
  <c r="H5" i="20"/>
  <c r="G5" i="20"/>
  <c r="H83" i="20"/>
  <c r="H85" i="20" s="1"/>
  <c r="H7" i="20" s="1"/>
  <c r="F5" i="20"/>
  <c r="AH107" i="20"/>
  <c r="E94" i="20"/>
  <c r="E5" i="20"/>
  <c r="E83" i="20"/>
  <c r="E85" i="20" s="1"/>
  <c r="E7" i="20" s="1"/>
  <c r="F83" i="20"/>
  <c r="F85" i="20" s="1"/>
  <c r="F86" i="20" s="1"/>
  <c r="J83" i="20"/>
  <c r="J85" i="20" s="1"/>
  <c r="G83" i="20"/>
  <c r="G85" i="20" s="1"/>
  <c r="Y242" i="20" s="1"/>
  <c r="K83" i="20"/>
  <c r="K85" i="20" s="1"/>
  <c r="K7" i="20" s="1"/>
  <c r="I83" i="20"/>
  <c r="I85" i="20" s="1"/>
  <c r="I86" i="20" s="1"/>
  <c r="L83" i="20"/>
  <c r="L85" i="20" s="1"/>
  <c r="L86" i="20" s="1"/>
  <c r="C5" i="20"/>
  <c r="D83" i="20"/>
  <c r="D85" i="20" s="1"/>
  <c r="D7" i="20" s="1"/>
  <c r="AI62" i="20"/>
  <c r="C83" i="20"/>
  <c r="C85" i="20" s="1"/>
  <c r="C7" i="20" s="1"/>
  <c r="AI48" i="20"/>
  <c r="AI44" i="20"/>
  <c r="AH62" i="20"/>
  <c r="S239" i="20"/>
  <c r="AJ242" i="20"/>
  <c r="R86" i="20"/>
  <c r="AF86" i="20"/>
  <c r="AF7" i="20"/>
  <c r="AX242" i="20"/>
  <c r="Q86" i="20"/>
  <c r="Y86" i="20"/>
  <c r="AA7" i="20"/>
  <c r="AS242" i="20"/>
  <c r="AA86" i="20"/>
  <c r="AT242" i="20"/>
  <c r="AB86" i="20"/>
  <c r="AB7" i="20"/>
  <c r="J225" i="20"/>
  <c r="K225" i="20" s="1"/>
  <c r="L225" i="20" s="1"/>
  <c r="M225" i="20" s="1"/>
  <c r="N225" i="20" s="1"/>
  <c r="O225" i="20" s="1"/>
  <c r="P225" i="20" s="1"/>
  <c r="AO242" i="20"/>
  <c r="AR242" i="20"/>
  <c r="Z7" i="20"/>
  <c r="J7" i="20"/>
  <c r="AB242" i="20"/>
  <c r="J86" i="20"/>
  <c r="AI94" i="20"/>
  <c r="AH94" i="20"/>
  <c r="AC7" i="20"/>
  <c r="AU242" i="20"/>
  <c r="AC86" i="20"/>
  <c r="AM242" i="20"/>
  <c r="U86" i="20"/>
  <c r="U7" i="20"/>
  <c r="AV242" i="20"/>
  <c r="AD7" i="20"/>
  <c r="AD86" i="20"/>
  <c r="H86" i="20"/>
  <c r="X242" i="20"/>
  <c r="AF242" i="20"/>
  <c r="N86" i="20"/>
  <c r="N7" i="20"/>
  <c r="V7" i="20"/>
  <c r="AN242" i="20"/>
  <c r="P86" i="20"/>
  <c r="P7" i="20"/>
  <c r="AH78" i="20"/>
  <c r="B104" i="20"/>
  <c r="F227" i="20"/>
  <c r="I5" i="20"/>
  <c r="Q5" i="20"/>
  <c r="E222" i="20"/>
  <c r="AI78" i="20"/>
  <c r="AF5" i="20"/>
  <c r="B5" i="20"/>
  <c r="J5" i="20"/>
  <c r="R5" i="20"/>
  <c r="Z5" i="20"/>
  <c r="B83" i="20"/>
  <c r="AA5" i="20"/>
  <c r="AH48" i="20"/>
  <c r="AG85" i="20"/>
  <c r="AH44" i="20"/>
  <c r="AH66" i="20"/>
  <c r="AE5" i="19"/>
  <c r="AF83" i="19"/>
  <c r="AF85" i="19" s="1"/>
  <c r="AF86" i="19" s="1"/>
  <c r="AD5" i="19"/>
  <c r="AE83" i="19"/>
  <c r="AE85" i="19" s="1"/>
  <c r="AE7" i="19" s="1"/>
  <c r="AC5" i="19"/>
  <c r="AD83" i="19"/>
  <c r="AD85" i="19" s="1"/>
  <c r="AD7" i="19" s="1"/>
  <c r="AB5" i="19"/>
  <c r="AC83" i="19"/>
  <c r="AC85" i="19" s="1"/>
  <c r="AC7" i="19" s="1"/>
  <c r="AA5" i="19"/>
  <c r="AB83" i="19"/>
  <c r="AB85" i="19" s="1"/>
  <c r="AB7" i="19" s="1"/>
  <c r="AA83" i="19"/>
  <c r="AA85" i="19" s="1"/>
  <c r="AS242" i="19" s="1"/>
  <c r="Y5" i="19"/>
  <c r="Z83" i="19"/>
  <c r="Z85" i="19" s="1"/>
  <c r="Z86" i="19" s="1"/>
  <c r="X5" i="19"/>
  <c r="Y83" i="19"/>
  <c r="Y85" i="19" s="1"/>
  <c r="Y86" i="19" s="1"/>
  <c r="V5" i="19"/>
  <c r="W83" i="19"/>
  <c r="W85" i="19" s="1"/>
  <c r="U5" i="19"/>
  <c r="V83" i="19"/>
  <c r="V85" i="19" s="1"/>
  <c r="AN242" i="19" s="1"/>
  <c r="T5" i="19"/>
  <c r="U83" i="19"/>
  <c r="U85" i="19" s="1"/>
  <c r="S5" i="19"/>
  <c r="T83" i="19"/>
  <c r="T85" i="19" s="1"/>
  <c r="T7" i="19" s="1"/>
  <c r="R5" i="19"/>
  <c r="S83" i="19"/>
  <c r="S85" i="19" s="1"/>
  <c r="R83" i="19"/>
  <c r="R85" i="19" s="1"/>
  <c r="P5" i="19"/>
  <c r="Q83" i="19"/>
  <c r="Q85" i="19" s="1"/>
  <c r="O5" i="19"/>
  <c r="P83" i="19"/>
  <c r="P85" i="19" s="1"/>
  <c r="N5" i="19"/>
  <c r="O83" i="19"/>
  <c r="O85" i="19" s="1"/>
  <c r="AG242" i="19" s="1"/>
  <c r="N83" i="19"/>
  <c r="N85" i="19" s="1"/>
  <c r="AF242" i="19" s="1"/>
  <c r="M94" i="19"/>
  <c r="AI66" i="19"/>
  <c r="M83" i="19"/>
  <c r="M85" i="19" s="1"/>
  <c r="M86" i="19" s="1"/>
  <c r="K5" i="19"/>
  <c r="L83" i="19"/>
  <c r="L85" i="19" s="1"/>
  <c r="L7" i="19" s="1"/>
  <c r="J83" i="19"/>
  <c r="J85" i="19" s="1"/>
  <c r="J7" i="19" s="1"/>
  <c r="J5" i="19"/>
  <c r="K83" i="19"/>
  <c r="K85" i="19" s="1"/>
  <c r="K86" i="19" s="1"/>
  <c r="I83" i="19"/>
  <c r="I85" i="19" s="1"/>
  <c r="H5" i="19"/>
  <c r="H83" i="19"/>
  <c r="H85" i="19" s="1"/>
  <c r="G5" i="19"/>
  <c r="F5" i="19"/>
  <c r="AI48" i="19"/>
  <c r="G83" i="19"/>
  <c r="G85" i="19" s="1"/>
  <c r="E5" i="19"/>
  <c r="F83" i="19"/>
  <c r="F85" i="19" s="1"/>
  <c r="E94" i="19"/>
  <c r="C5" i="19"/>
  <c r="D83" i="19"/>
  <c r="D85" i="19" s="1"/>
  <c r="V242" i="19" s="1"/>
  <c r="E83" i="19"/>
  <c r="E85" i="19" s="1"/>
  <c r="W242" i="19" s="1"/>
  <c r="AI62" i="19"/>
  <c r="B5" i="19"/>
  <c r="AI78" i="19"/>
  <c r="AH62" i="19"/>
  <c r="C83" i="19"/>
  <c r="C85" i="19" s="1"/>
  <c r="C86" i="19" s="1"/>
  <c r="AI44" i="19"/>
  <c r="Y7" i="19"/>
  <c r="AQ242" i="19"/>
  <c r="R7" i="19"/>
  <c r="AJ242" i="19"/>
  <c r="R86" i="19"/>
  <c r="AA7" i="19"/>
  <c r="G222" i="19"/>
  <c r="F104" i="19"/>
  <c r="F228" i="19"/>
  <c r="H86" i="19"/>
  <c r="H7" i="19"/>
  <c r="Z242" i="19"/>
  <c r="Q86" i="19"/>
  <c r="Q7" i="19"/>
  <c r="AI242" i="19"/>
  <c r="S7" i="19"/>
  <c r="AK242" i="19"/>
  <c r="S86" i="19"/>
  <c r="J225" i="19"/>
  <c r="K225" i="19" s="1"/>
  <c r="L225" i="19" s="1"/>
  <c r="M225" i="19" s="1"/>
  <c r="N225" i="19" s="1"/>
  <c r="O225" i="19" s="1"/>
  <c r="P225" i="19" s="1"/>
  <c r="L86" i="19"/>
  <c r="T86" i="19"/>
  <c r="O7" i="19"/>
  <c r="M7" i="19"/>
  <c r="AE242" i="19"/>
  <c r="U7" i="19"/>
  <c r="AM242" i="19"/>
  <c r="U86" i="19"/>
  <c r="AO242" i="19"/>
  <c r="W86" i="19"/>
  <c r="W7" i="19"/>
  <c r="P86" i="19"/>
  <c r="P7" i="19"/>
  <c r="AH242" i="19"/>
  <c r="K7" i="19"/>
  <c r="AW242" i="19"/>
  <c r="I86" i="19"/>
  <c r="I7" i="19"/>
  <c r="AA242" i="19"/>
  <c r="X242" i="19"/>
  <c r="F86" i="19"/>
  <c r="F7" i="19"/>
  <c r="AH78" i="19"/>
  <c r="B104" i="19"/>
  <c r="E228" i="19"/>
  <c r="D239" i="19"/>
  <c r="AF5" i="19"/>
  <c r="F227" i="19"/>
  <c r="I5" i="19"/>
  <c r="Q5" i="19"/>
  <c r="E104" i="19"/>
  <c r="Z5" i="19"/>
  <c r="AH48" i="19"/>
  <c r="AH44" i="19"/>
  <c r="AH66" i="19"/>
  <c r="B94" i="19"/>
  <c r="AL242" i="19" l="1"/>
  <c r="D86" i="20"/>
  <c r="V242" i="20"/>
  <c r="V86" i="19"/>
  <c r="O86" i="19"/>
  <c r="E86" i="20"/>
  <c r="V7" i="19"/>
  <c r="W242" i="20"/>
  <c r="N7" i="19"/>
  <c r="AE7" i="20"/>
  <c r="AE86" i="20"/>
  <c r="AQ242" i="20"/>
  <c r="W7" i="20"/>
  <c r="AL242" i="20"/>
  <c r="AK242" i="20"/>
  <c r="S86" i="20"/>
  <c r="T7" i="20"/>
  <c r="AI242" i="20"/>
  <c r="O7" i="20"/>
  <c r="O86" i="20"/>
  <c r="M7" i="20"/>
  <c r="M86" i="20"/>
  <c r="L7" i="20"/>
  <c r="AC242" i="20"/>
  <c r="K86" i="20"/>
  <c r="I7" i="20"/>
  <c r="AA242" i="20"/>
  <c r="Z242" i="20"/>
  <c r="G86" i="20"/>
  <c r="C237" i="20"/>
  <c r="K6" i="20" s="1"/>
  <c r="G7" i="20"/>
  <c r="F7" i="20"/>
  <c r="AD242" i="20"/>
  <c r="B237" i="20"/>
  <c r="C86" i="20"/>
  <c r="U242" i="20"/>
  <c r="B85" i="20"/>
  <c r="AI83" i="20"/>
  <c r="AH83" i="20"/>
  <c r="E263" i="20"/>
  <c r="G227" i="20"/>
  <c r="F222" i="20"/>
  <c r="E104" i="20"/>
  <c r="E228" i="20"/>
  <c r="AE86" i="19"/>
  <c r="AX242" i="19"/>
  <c r="AF7" i="19"/>
  <c r="AD86" i="19"/>
  <c r="AV242" i="19"/>
  <c r="AC86" i="19"/>
  <c r="AU242" i="19"/>
  <c r="AT242" i="19"/>
  <c r="AB86" i="19"/>
  <c r="AA86" i="19"/>
  <c r="AR242" i="19"/>
  <c r="Z7" i="19"/>
  <c r="N86" i="19"/>
  <c r="AD242" i="19"/>
  <c r="J86" i="19"/>
  <c r="AB242" i="19"/>
  <c r="AC242" i="19"/>
  <c r="C237" i="19"/>
  <c r="K6" i="19" s="1"/>
  <c r="G7" i="19"/>
  <c r="G86" i="19"/>
  <c r="Y242" i="19"/>
  <c r="B237" i="19"/>
  <c r="D7" i="19"/>
  <c r="D86" i="19"/>
  <c r="E7" i="19"/>
  <c r="E86" i="19"/>
  <c r="U242" i="19"/>
  <c r="C7" i="19"/>
  <c r="AI94" i="19"/>
  <c r="AH94" i="19"/>
  <c r="H222" i="19"/>
  <c r="E263" i="19"/>
  <c r="G227" i="19"/>
  <c r="G104" i="19" s="1"/>
  <c r="B85" i="19"/>
  <c r="AI83" i="19"/>
  <c r="AH83" i="19"/>
  <c r="F263" i="20" l="1"/>
  <c r="H227" i="20"/>
  <c r="G222" i="20"/>
  <c r="F104" i="20"/>
  <c r="F228" i="20"/>
  <c r="AI85" i="20"/>
  <c r="T242" i="20"/>
  <c r="AH85" i="20"/>
  <c r="B7" i="20"/>
  <c r="A7" i="20" s="1"/>
  <c r="B86" i="20"/>
  <c r="F263" i="19"/>
  <c r="H227" i="19"/>
  <c r="G228" i="19"/>
  <c r="AI85" i="19"/>
  <c r="AH85" i="19"/>
  <c r="B7" i="19"/>
  <c r="A7" i="19" s="1"/>
  <c r="T242" i="19"/>
  <c r="B86" i="19"/>
  <c r="I222" i="19"/>
  <c r="H104" i="19"/>
  <c r="H228" i="19"/>
  <c r="G263" i="20" l="1"/>
  <c r="I227" i="20"/>
  <c r="AI86" i="20"/>
  <c r="AH86" i="20"/>
  <c r="H222" i="20"/>
  <c r="G104" i="20"/>
  <c r="G228" i="20"/>
  <c r="J222" i="19"/>
  <c r="G263" i="19"/>
  <c r="I227" i="19"/>
  <c r="AI86" i="19"/>
  <c r="AH86" i="19"/>
  <c r="I222" i="20" l="1"/>
  <c r="H104" i="20"/>
  <c r="H228" i="20"/>
  <c r="H263" i="20"/>
  <c r="J227" i="20"/>
  <c r="H263" i="19"/>
  <c r="J227" i="19"/>
  <c r="J104" i="19" s="1"/>
  <c r="K222" i="19"/>
  <c r="I104" i="19"/>
  <c r="K227" i="20" l="1"/>
  <c r="I263" i="20"/>
  <c r="I104" i="20"/>
  <c r="J222" i="20"/>
  <c r="K104" i="19"/>
  <c r="L222" i="19"/>
  <c r="K227" i="19"/>
  <c r="I263" i="19"/>
  <c r="K222" i="20" l="1"/>
  <c r="J104" i="20"/>
  <c r="J263" i="20"/>
  <c r="L227" i="20"/>
  <c r="M222" i="19"/>
  <c r="L104" i="19"/>
  <c r="J263" i="19"/>
  <c r="L227" i="19"/>
  <c r="K263" i="20" l="1"/>
  <c r="M227" i="20"/>
  <c r="K104" i="20"/>
  <c r="L222" i="20"/>
  <c r="M227" i="19"/>
  <c r="K263" i="19"/>
  <c r="N222" i="19"/>
  <c r="M104" i="19"/>
  <c r="L104" i="20" l="1"/>
  <c r="M222" i="20"/>
  <c r="N227" i="20"/>
  <c r="L263" i="20"/>
  <c r="O222" i="19"/>
  <c r="N104" i="19"/>
  <c r="L263" i="19"/>
  <c r="N227" i="19"/>
  <c r="M263" i="20" l="1"/>
  <c r="O227" i="20"/>
  <c r="N222" i="20"/>
  <c r="M104" i="20"/>
  <c r="M263" i="19"/>
  <c r="O227" i="19"/>
  <c r="P222" i="19"/>
  <c r="O104" i="19"/>
  <c r="O222" i="20" l="1"/>
  <c r="N104" i="20"/>
  <c r="N263" i="20"/>
  <c r="P227" i="20"/>
  <c r="O263" i="20" s="1"/>
  <c r="AH104" i="19"/>
  <c r="AI104" i="19"/>
  <c r="N263" i="19"/>
  <c r="P227" i="19"/>
  <c r="O263" i="19" s="1"/>
  <c r="P222" i="20" l="1"/>
  <c r="O104" i="20"/>
  <c r="T107" i="18"/>
  <c r="S107" i="18"/>
  <c r="Q44" i="18"/>
  <c r="Q48" i="18"/>
  <c r="AF267" i="18"/>
  <c r="AE267" i="18"/>
  <c r="AD267" i="18"/>
  <c r="AC267" i="18"/>
  <c r="AB267" i="18"/>
  <c r="AA267" i="18"/>
  <c r="Z267" i="18"/>
  <c r="Y267" i="18"/>
  <c r="X267" i="18"/>
  <c r="W267" i="18"/>
  <c r="V267" i="18"/>
  <c r="U267" i="18"/>
  <c r="T267" i="18"/>
  <c r="S267" i="18"/>
  <c r="R267" i="18"/>
  <c r="Q267" i="18"/>
  <c r="P267" i="18"/>
  <c r="O267" i="18"/>
  <c r="N267" i="18"/>
  <c r="M267" i="18"/>
  <c r="L267" i="18"/>
  <c r="K267" i="18"/>
  <c r="J267" i="18"/>
  <c r="I267" i="18"/>
  <c r="H267" i="18"/>
  <c r="G267" i="18"/>
  <c r="F267" i="18"/>
  <c r="E267" i="18"/>
  <c r="D267" i="18"/>
  <c r="C267" i="18"/>
  <c r="B267" i="18"/>
  <c r="A267" i="18"/>
  <c r="AF266" i="18"/>
  <c r="AE266" i="18"/>
  <c r="AD266" i="18"/>
  <c r="AC266" i="18"/>
  <c r="AB266" i="18"/>
  <c r="AA266" i="18"/>
  <c r="Z266" i="18"/>
  <c r="Y266" i="18"/>
  <c r="X266" i="18"/>
  <c r="W266" i="18"/>
  <c r="V266" i="18"/>
  <c r="U266" i="18"/>
  <c r="T266" i="18"/>
  <c r="S266" i="18"/>
  <c r="R266" i="18"/>
  <c r="Q266" i="18"/>
  <c r="P266" i="18"/>
  <c r="O266" i="18"/>
  <c r="N266" i="18"/>
  <c r="M266" i="18"/>
  <c r="L266" i="18"/>
  <c r="K266" i="18"/>
  <c r="J266" i="18"/>
  <c r="I266" i="18"/>
  <c r="H266" i="18"/>
  <c r="G266" i="18"/>
  <c r="F266" i="18"/>
  <c r="E266" i="18"/>
  <c r="D266" i="18"/>
  <c r="C266" i="18"/>
  <c r="B266" i="18"/>
  <c r="A266" i="18"/>
  <c r="AF265" i="18"/>
  <c r="AE265" i="18"/>
  <c r="AD265" i="18"/>
  <c r="AC265" i="18"/>
  <c r="AB265" i="18"/>
  <c r="AA265" i="18"/>
  <c r="Z265" i="18"/>
  <c r="Y265" i="18"/>
  <c r="X265" i="18"/>
  <c r="W265" i="18"/>
  <c r="V265" i="18"/>
  <c r="U265" i="18"/>
  <c r="T265" i="18"/>
  <c r="S265" i="18"/>
  <c r="R265" i="18"/>
  <c r="Q265" i="18"/>
  <c r="P265" i="18"/>
  <c r="O265" i="18"/>
  <c r="N265" i="18"/>
  <c r="M265" i="18"/>
  <c r="L265" i="18"/>
  <c r="K265" i="18"/>
  <c r="J265" i="18"/>
  <c r="I265" i="18"/>
  <c r="H265" i="18"/>
  <c r="G265" i="18"/>
  <c r="F265" i="18"/>
  <c r="E265" i="18"/>
  <c r="D265" i="18"/>
  <c r="C265" i="18"/>
  <c r="B265" i="18"/>
  <c r="A265" i="18"/>
  <c r="AF264" i="18"/>
  <c r="AE264" i="18"/>
  <c r="AD264" i="18"/>
  <c r="AC264" i="18"/>
  <c r="AB264" i="18"/>
  <c r="AA264" i="18"/>
  <c r="Z264" i="18"/>
  <c r="Y264" i="18"/>
  <c r="X264" i="18"/>
  <c r="W264" i="18"/>
  <c r="V264" i="18"/>
  <c r="U264" i="18"/>
  <c r="T264" i="18"/>
  <c r="S264" i="18"/>
  <c r="R264" i="18"/>
  <c r="Q264" i="18"/>
  <c r="P264" i="18"/>
  <c r="O264" i="18"/>
  <c r="N264" i="18"/>
  <c r="M264" i="18"/>
  <c r="L264" i="18"/>
  <c r="K264" i="18"/>
  <c r="J264" i="18"/>
  <c r="I264" i="18"/>
  <c r="H264" i="18"/>
  <c r="G264" i="18"/>
  <c r="F264" i="18"/>
  <c r="E264" i="18"/>
  <c r="D264" i="18"/>
  <c r="C264" i="18"/>
  <c r="B264" i="18"/>
  <c r="A264" i="18"/>
  <c r="AE263" i="18"/>
  <c r="AD263" i="18"/>
  <c r="AC263" i="18"/>
  <c r="AB263" i="18"/>
  <c r="AA263" i="18"/>
  <c r="Z263" i="18"/>
  <c r="Y263" i="18"/>
  <c r="X263" i="18"/>
  <c r="W263" i="18"/>
  <c r="V263" i="18"/>
  <c r="U263" i="18"/>
  <c r="T263" i="18"/>
  <c r="S263" i="18"/>
  <c r="R263" i="18"/>
  <c r="Q263" i="18"/>
  <c r="P263" i="18"/>
  <c r="B263" i="18"/>
  <c r="AP242" i="18"/>
  <c r="S238" i="18"/>
  <c r="AG228" i="18"/>
  <c r="AF228" i="18"/>
  <c r="AE228" i="18"/>
  <c r="AD228" i="18"/>
  <c r="AC228" i="18"/>
  <c r="AB228" i="18"/>
  <c r="AA228" i="18"/>
  <c r="Z228" i="18"/>
  <c r="Y228" i="18"/>
  <c r="X228" i="18"/>
  <c r="W228" i="18"/>
  <c r="V228" i="18"/>
  <c r="U228" i="18"/>
  <c r="T228" i="18"/>
  <c r="S228" i="18"/>
  <c r="R228" i="18"/>
  <c r="Q228" i="18"/>
  <c r="C228" i="18"/>
  <c r="E227" i="18"/>
  <c r="D263" i="18" s="1"/>
  <c r="D227" i="18"/>
  <c r="C263" i="18" s="1"/>
  <c r="B227" i="18"/>
  <c r="AF263" i="18" s="1"/>
  <c r="F226" i="18"/>
  <c r="G226" i="18" s="1"/>
  <c r="H226" i="18" s="1"/>
  <c r="I226" i="18" s="1"/>
  <c r="J226" i="18" s="1"/>
  <c r="K226" i="18" s="1"/>
  <c r="L226" i="18" s="1"/>
  <c r="M226" i="18" s="1"/>
  <c r="N226" i="18" s="1"/>
  <c r="O226" i="18" s="1"/>
  <c r="P226" i="18" s="1"/>
  <c r="E226" i="18"/>
  <c r="D226" i="18"/>
  <c r="B226" i="18"/>
  <c r="D225" i="18"/>
  <c r="E225" i="18" s="1"/>
  <c r="F225" i="18" s="1"/>
  <c r="G225" i="18" s="1"/>
  <c r="H225" i="18" s="1"/>
  <c r="I225" i="18" s="1"/>
  <c r="B225" i="18"/>
  <c r="E224" i="18"/>
  <c r="F224" i="18" s="1"/>
  <c r="G224" i="18" s="1"/>
  <c r="H224" i="18" s="1"/>
  <c r="D224" i="18"/>
  <c r="B224" i="18"/>
  <c r="E223" i="18"/>
  <c r="F223" i="18" s="1"/>
  <c r="D223" i="18"/>
  <c r="B223" i="18"/>
  <c r="E222" i="18"/>
  <c r="F222" i="18" s="1"/>
  <c r="G222" i="18" s="1"/>
  <c r="D222" i="18"/>
  <c r="D228" i="18" s="1"/>
  <c r="B222" i="18"/>
  <c r="AG220" i="18"/>
  <c r="AF220" i="18"/>
  <c r="AE220" i="18"/>
  <c r="AD220" i="18"/>
  <c r="AC220" i="18"/>
  <c r="AB220" i="18"/>
  <c r="AA220" i="18"/>
  <c r="Z220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AI113" i="18"/>
  <c r="AH113" i="18"/>
  <c r="AI112" i="18"/>
  <c r="AH112" i="18"/>
  <c r="AI111" i="18"/>
  <c r="AH111" i="18"/>
  <c r="AI110" i="18"/>
  <c r="AH110" i="18"/>
  <c r="AI109" i="18"/>
  <c r="AH109" i="18"/>
  <c r="AI108" i="18"/>
  <c r="AH108" i="18"/>
  <c r="AI107" i="18"/>
  <c r="AH107" i="18"/>
  <c r="AI106" i="18"/>
  <c r="AH106" i="18"/>
  <c r="AI105" i="18"/>
  <c r="AH105" i="18"/>
  <c r="AF104" i="18"/>
  <c r="AE104" i="18"/>
  <c r="AD104" i="18"/>
  <c r="AC104" i="18"/>
  <c r="AB104" i="18"/>
  <c r="AA104" i="18"/>
  <c r="Z104" i="18"/>
  <c r="Y104" i="18"/>
  <c r="W104" i="18"/>
  <c r="V104" i="18"/>
  <c r="U104" i="18"/>
  <c r="T104" i="18"/>
  <c r="S104" i="18"/>
  <c r="R104" i="18"/>
  <c r="Q104" i="18"/>
  <c r="D104" i="18"/>
  <c r="C104" i="18"/>
  <c r="AI103" i="18"/>
  <c r="AH103" i="18"/>
  <c r="AI102" i="18"/>
  <c r="AH102" i="18"/>
  <c r="AI101" i="18"/>
  <c r="AH101" i="18"/>
  <c r="AI100" i="18"/>
  <c r="AH100" i="18"/>
  <c r="AI99" i="18"/>
  <c r="AH99" i="18"/>
  <c r="AI98" i="18"/>
  <c r="AH98" i="18"/>
  <c r="AI97" i="18"/>
  <c r="AH97" i="18"/>
  <c r="AI96" i="18"/>
  <c r="AH96" i="18"/>
  <c r="AI95" i="18"/>
  <c r="AH95" i="18"/>
  <c r="AI93" i="18"/>
  <c r="AH93" i="18"/>
  <c r="AI92" i="18"/>
  <c r="AH92" i="18"/>
  <c r="AI91" i="18"/>
  <c r="AH91" i="18"/>
  <c r="AI90" i="18"/>
  <c r="AH90" i="18"/>
  <c r="AI89" i="18"/>
  <c r="AH89" i="18"/>
  <c r="AI88" i="18"/>
  <c r="AH88" i="18"/>
  <c r="AI87" i="18"/>
  <c r="AH87" i="18"/>
  <c r="AI84" i="18"/>
  <c r="AH84" i="18"/>
  <c r="AI82" i="18"/>
  <c r="AH82" i="18"/>
  <c r="AG82" i="18"/>
  <c r="AI81" i="18"/>
  <c r="AH81" i="18"/>
  <c r="AI80" i="18"/>
  <c r="AH80" i="18"/>
  <c r="AI79" i="18"/>
  <c r="AH79" i="18"/>
  <c r="AN78" i="18"/>
  <c r="AG78" i="18"/>
  <c r="AF78" i="18"/>
  <c r="AF94" i="18" s="1"/>
  <c r="AE78" i="18"/>
  <c r="AE94" i="18" s="1"/>
  <c r="AD78" i="18"/>
  <c r="AD94" i="18" s="1"/>
  <c r="AC78" i="18"/>
  <c r="AC94" i="18" s="1"/>
  <c r="AB78" i="18"/>
  <c r="AB94" i="18" s="1"/>
  <c r="AA78" i="18"/>
  <c r="AA94" i="18" s="1"/>
  <c r="Z78" i="18"/>
  <c r="Z94" i="18" s="1"/>
  <c r="Y78" i="18"/>
  <c r="Y94" i="18" s="1"/>
  <c r="W78" i="18"/>
  <c r="W94" i="18" s="1"/>
  <c r="V78" i="18"/>
  <c r="V94" i="18" s="1"/>
  <c r="U78" i="18"/>
  <c r="U94" i="18" s="1"/>
  <c r="T78" i="18"/>
  <c r="T94" i="18" s="1"/>
  <c r="S78" i="18"/>
  <c r="S94" i="18" s="1"/>
  <c r="R78" i="18"/>
  <c r="R94" i="18" s="1"/>
  <c r="Q78" i="18"/>
  <c r="Q94" i="18" s="1"/>
  <c r="P78" i="18"/>
  <c r="P94" i="18" s="1"/>
  <c r="O78" i="18"/>
  <c r="O94" i="18" s="1"/>
  <c r="N78" i="18"/>
  <c r="N94" i="18" s="1"/>
  <c r="M78" i="18"/>
  <c r="M94" i="18" s="1"/>
  <c r="L78" i="18"/>
  <c r="L94" i="18" s="1"/>
  <c r="K78" i="18"/>
  <c r="K94" i="18" s="1"/>
  <c r="J78" i="18"/>
  <c r="J94" i="18" s="1"/>
  <c r="I78" i="18"/>
  <c r="I94" i="18" s="1"/>
  <c r="H78" i="18"/>
  <c r="H94" i="18" s="1"/>
  <c r="G78" i="18"/>
  <c r="G94" i="18" s="1"/>
  <c r="F78" i="18"/>
  <c r="F94" i="18" s="1"/>
  <c r="E78" i="18"/>
  <c r="E94" i="18" s="1"/>
  <c r="D78" i="18"/>
  <c r="D94" i="18" s="1"/>
  <c r="C78" i="18"/>
  <c r="C94" i="18" s="1"/>
  <c r="B78" i="18"/>
  <c r="AI77" i="18"/>
  <c r="AH77" i="18"/>
  <c r="AN76" i="18"/>
  <c r="AI76" i="18"/>
  <c r="AH76" i="18"/>
  <c r="AN75" i="18"/>
  <c r="AI75" i="18"/>
  <c r="AH75" i="18"/>
  <c r="AI74" i="18"/>
  <c r="AH74" i="18"/>
  <c r="AI73" i="18"/>
  <c r="AH73" i="18"/>
  <c r="AI72" i="18"/>
  <c r="AH72" i="18"/>
  <c r="AI71" i="18"/>
  <c r="AH71" i="18"/>
  <c r="AI70" i="18"/>
  <c r="AH70" i="18"/>
  <c r="AI69" i="18"/>
  <c r="AH69" i="18"/>
  <c r="AI68" i="18"/>
  <c r="AH68" i="18"/>
  <c r="AI67" i="18"/>
  <c r="AH67" i="18"/>
  <c r="AG66" i="18"/>
  <c r="AF66" i="18"/>
  <c r="AE66" i="18"/>
  <c r="AD66" i="18"/>
  <c r="AC66" i="18"/>
  <c r="AB66" i="18"/>
  <c r="AA66" i="18"/>
  <c r="Z66" i="18"/>
  <c r="Y66" i="18"/>
  <c r="W66" i="18"/>
  <c r="V66" i="18"/>
  <c r="U66" i="18"/>
  <c r="T66" i="18"/>
  <c r="S66" i="18"/>
  <c r="R66" i="18"/>
  <c r="Q66" i="18"/>
  <c r="P66" i="18"/>
  <c r="O66" i="18"/>
  <c r="N66" i="18"/>
  <c r="M66" i="18"/>
  <c r="L66" i="18"/>
  <c r="AI65" i="18"/>
  <c r="AH65" i="18"/>
  <c r="AI64" i="18"/>
  <c r="AH64" i="18"/>
  <c r="AI63" i="18"/>
  <c r="AH63" i="18"/>
  <c r="AF62" i="18"/>
  <c r="AE62" i="18"/>
  <c r="AD62" i="18"/>
  <c r="AC62" i="18"/>
  <c r="AB62" i="18"/>
  <c r="AA62" i="18"/>
  <c r="Z62" i="18"/>
  <c r="Y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I61" i="18"/>
  <c r="AH61" i="18"/>
  <c r="AG61" i="18"/>
  <c r="AG62" i="18" s="1"/>
  <c r="AG3" i="18" s="1"/>
  <c r="AI60" i="18"/>
  <c r="AH60" i="18"/>
  <c r="AI59" i="18"/>
  <c r="AH59" i="18"/>
  <c r="AI58" i="18"/>
  <c r="AH58" i="18"/>
  <c r="AI57" i="18"/>
  <c r="AH57" i="18"/>
  <c r="AI56" i="18"/>
  <c r="AH56" i="18"/>
  <c r="AI55" i="18"/>
  <c r="AH55" i="18"/>
  <c r="AI54" i="18"/>
  <c r="AH54" i="18"/>
  <c r="AI53" i="18"/>
  <c r="AH53" i="18"/>
  <c r="AI52" i="18"/>
  <c r="AH52" i="18"/>
  <c r="AI51" i="18"/>
  <c r="AH51" i="18"/>
  <c r="AI50" i="18"/>
  <c r="AH50" i="18"/>
  <c r="AI49" i="18"/>
  <c r="AH49" i="18"/>
  <c r="AG48" i="18"/>
  <c r="AF48" i="18"/>
  <c r="AE48" i="18"/>
  <c r="AD48" i="18"/>
  <c r="AC48" i="18"/>
  <c r="AB48" i="18"/>
  <c r="AA48" i="18"/>
  <c r="Z48" i="18"/>
  <c r="Y48" i="18"/>
  <c r="W48" i="18"/>
  <c r="V48" i="18"/>
  <c r="U48" i="18"/>
  <c r="T48" i="18"/>
  <c r="S48" i="18"/>
  <c r="R48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B48" i="18"/>
  <c r="AI47" i="18"/>
  <c r="AH47" i="18"/>
  <c r="AI46" i="18"/>
  <c r="AH46" i="18"/>
  <c r="AI45" i="18"/>
  <c r="AH45" i="18"/>
  <c r="AG44" i="18"/>
  <c r="AG83" i="18" s="1"/>
  <c r="AF44" i="18"/>
  <c r="AE44" i="18"/>
  <c r="AD44" i="18"/>
  <c r="AC44" i="18"/>
  <c r="AB44" i="18"/>
  <c r="AA44" i="18"/>
  <c r="Z44" i="18"/>
  <c r="Y44" i="18"/>
  <c r="W44" i="18"/>
  <c r="V44" i="18"/>
  <c r="U44" i="18"/>
  <c r="T44" i="18"/>
  <c r="S44" i="18"/>
  <c r="R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AI43" i="18"/>
  <c r="AH43" i="18"/>
  <c r="AI42" i="18"/>
  <c r="AH42" i="18"/>
  <c r="AI41" i="18"/>
  <c r="AH41" i="18"/>
  <c r="AI40" i="18"/>
  <c r="AH40" i="18"/>
  <c r="AI39" i="18"/>
  <c r="AH39" i="18"/>
  <c r="AI38" i="18"/>
  <c r="AH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X7" i="18"/>
  <c r="Y5" i="18"/>
  <c r="W5" i="18"/>
  <c r="T5" i="18"/>
  <c r="S5" i="18"/>
  <c r="O5" i="18"/>
  <c r="AG4" i="18"/>
  <c r="K4" i="18"/>
  <c r="E4" i="18"/>
  <c r="H4" i="18" s="1"/>
  <c r="B4" i="18"/>
  <c r="D239" i="18" s="1"/>
  <c r="AG2" i="18"/>
  <c r="AG6" i="18" s="1"/>
  <c r="AA107" i="17"/>
  <c r="Z107" i="17"/>
  <c r="Y107" i="17"/>
  <c r="X107" i="17"/>
  <c r="B228" i="18" l="1"/>
  <c r="AN77" i="18"/>
  <c r="AI104" i="20"/>
  <c r="AH104" i="20"/>
  <c r="AE5" i="18"/>
  <c r="AF83" i="18"/>
  <c r="AF85" i="18" s="1"/>
  <c r="AD5" i="18"/>
  <c r="AE83" i="18"/>
  <c r="AE85" i="18" s="1"/>
  <c r="AE86" i="18" s="1"/>
  <c r="AC5" i="18"/>
  <c r="AD83" i="18"/>
  <c r="AD85" i="18" s="1"/>
  <c r="AB5" i="18"/>
  <c r="AC83" i="18"/>
  <c r="AC85" i="18" s="1"/>
  <c r="AA5" i="18"/>
  <c r="AB83" i="18"/>
  <c r="AB85" i="18" s="1"/>
  <c r="AB7" i="18" s="1"/>
  <c r="AA83" i="18"/>
  <c r="AA85" i="18" s="1"/>
  <c r="Z83" i="18"/>
  <c r="Z85" i="18" s="1"/>
  <c r="Z86" i="18" s="1"/>
  <c r="X5" i="18"/>
  <c r="Y83" i="18"/>
  <c r="Y85" i="18" s="1"/>
  <c r="W83" i="18"/>
  <c r="W85" i="18" s="1"/>
  <c r="AO242" i="18" s="1"/>
  <c r="V5" i="18"/>
  <c r="U5" i="18"/>
  <c r="V83" i="18"/>
  <c r="V85" i="18" s="1"/>
  <c r="V86" i="18" s="1"/>
  <c r="U83" i="18"/>
  <c r="U85" i="18" s="1"/>
  <c r="AM242" i="18" s="1"/>
  <c r="T83" i="18"/>
  <c r="T85" i="18" s="1"/>
  <c r="AL242" i="18" s="1"/>
  <c r="R5" i="18"/>
  <c r="S83" i="18"/>
  <c r="S85" i="18" s="1"/>
  <c r="R83" i="18"/>
  <c r="R85" i="18" s="1"/>
  <c r="P5" i="18"/>
  <c r="Q83" i="18"/>
  <c r="Q85" i="18" s="1"/>
  <c r="Q86" i="18" s="1"/>
  <c r="P83" i="18"/>
  <c r="P85" i="18" s="1"/>
  <c r="P86" i="18" s="1"/>
  <c r="L5" i="18"/>
  <c r="N5" i="18"/>
  <c r="O83" i="18"/>
  <c r="O85" i="18" s="1"/>
  <c r="M5" i="18"/>
  <c r="N83" i="18"/>
  <c r="N85" i="18" s="1"/>
  <c r="M83" i="18"/>
  <c r="M85" i="18" s="1"/>
  <c r="M86" i="18" s="1"/>
  <c r="AI66" i="18"/>
  <c r="J5" i="18"/>
  <c r="K83" i="18"/>
  <c r="K85" i="18" s="1"/>
  <c r="K7" i="18" s="1"/>
  <c r="J83" i="18"/>
  <c r="J85" i="18" s="1"/>
  <c r="J7" i="18" s="1"/>
  <c r="K5" i="18"/>
  <c r="L83" i="18"/>
  <c r="L85" i="18" s="1"/>
  <c r="AD242" i="18" s="1"/>
  <c r="H5" i="18"/>
  <c r="I83" i="18"/>
  <c r="I85" i="18" s="1"/>
  <c r="AA242" i="18" s="1"/>
  <c r="G5" i="18"/>
  <c r="H83" i="18"/>
  <c r="H85" i="18" s="1"/>
  <c r="H7" i="18" s="1"/>
  <c r="F5" i="18"/>
  <c r="G83" i="18"/>
  <c r="G85" i="18" s="1"/>
  <c r="G86" i="18" s="1"/>
  <c r="E5" i="18"/>
  <c r="F83" i="18"/>
  <c r="F85" i="18" s="1"/>
  <c r="X242" i="18" s="1"/>
  <c r="D5" i="18"/>
  <c r="E83" i="18"/>
  <c r="E85" i="18" s="1"/>
  <c r="E86" i="18" s="1"/>
  <c r="C5" i="18"/>
  <c r="AI62" i="18"/>
  <c r="D83" i="18"/>
  <c r="D85" i="18" s="1"/>
  <c r="D86" i="18" s="1"/>
  <c r="AI78" i="18"/>
  <c r="B5" i="18"/>
  <c r="C83" i="18"/>
  <c r="C85" i="18" s="1"/>
  <c r="U242" i="18" s="1"/>
  <c r="AI48" i="18"/>
  <c r="AI44" i="18"/>
  <c r="AH62" i="18"/>
  <c r="S239" i="18"/>
  <c r="AT242" i="18"/>
  <c r="AB86" i="18"/>
  <c r="R7" i="18"/>
  <c r="AJ242" i="18"/>
  <c r="R86" i="18"/>
  <c r="AA7" i="18"/>
  <c r="AS242" i="18"/>
  <c r="AA86" i="18"/>
  <c r="E228" i="18"/>
  <c r="H222" i="18"/>
  <c r="AC7" i="18"/>
  <c r="AU242" i="18"/>
  <c r="AC86" i="18"/>
  <c r="AG242" i="18"/>
  <c r="O86" i="18"/>
  <c r="O7" i="18"/>
  <c r="U86" i="18"/>
  <c r="U7" i="18"/>
  <c r="AV242" i="18"/>
  <c r="AD86" i="18"/>
  <c r="AD7" i="18"/>
  <c r="W86" i="18"/>
  <c r="W7" i="18"/>
  <c r="J225" i="18"/>
  <c r="K225" i="18" s="1"/>
  <c r="L225" i="18" s="1"/>
  <c r="M225" i="18" s="1"/>
  <c r="N225" i="18" s="1"/>
  <c r="O225" i="18" s="1"/>
  <c r="P225" i="18" s="1"/>
  <c r="AF242" i="18"/>
  <c r="N86" i="18"/>
  <c r="N7" i="18"/>
  <c r="AN242" i="18"/>
  <c r="V7" i="18"/>
  <c r="AE7" i="18"/>
  <c r="AF86" i="18"/>
  <c r="AF7" i="18"/>
  <c r="AX242" i="18"/>
  <c r="G223" i="18"/>
  <c r="H223" i="18" s="1"/>
  <c r="I223" i="18" s="1"/>
  <c r="J223" i="18" s="1"/>
  <c r="K223" i="18" s="1"/>
  <c r="L223" i="18" s="1"/>
  <c r="M223" i="18" s="1"/>
  <c r="N223" i="18" s="1"/>
  <c r="O223" i="18" s="1"/>
  <c r="P223" i="18" s="1"/>
  <c r="C7" i="18"/>
  <c r="P7" i="18"/>
  <c r="AH242" i="18"/>
  <c r="AG85" i="18"/>
  <c r="S7" i="18"/>
  <c r="AK242" i="18"/>
  <c r="S86" i="18"/>
  <c r="Y86" i="18"/>
  <c r="Y7" i="18"/>
  <c r="AQ242" i="18"/>
  <c r="I86" i="18"/>
  <c r="Q7" i="18"/>
  <c r="AH78" i="18"/>
  <c r="B104" i="18"/>
  <c r="AF5" i="18"/>
  <c r="F227" i="18"/>
  <c r="I5" i="18"/>
  <c r="Q5" i="18"/>
  <c r="E104" i="18"/>
  <c r="Z5" i="18"/>
  <c r="B83" i="18"/>
  <c r="AH48" i="18"/>
  <c r="AH44" i="18"/>
  <c r="AH66" i="18"/>
  <c r="B94" i="18"/>
  <c r="Y44" i="17"/>
  <c r="Y48" i="17"/>
  <c r="Y62" i="17"/>
  <c r="Y66" i="17"/>
  <c r="Y78" i="17"/>
  <c r="Y94" i="17" s="1"/>
  <c r="Y104" i="17"/>
  <c r="V107" i="17"/>
  <c r="U107" i="17"/>
  <c r="R107" i="17"/>
  <c r="Q107" i="17"/>
  <c r="AI242" i="18" l="1"/>
  <c r="T7" i="18"/>
  <c r="AR242" i="18"/>
  <c r="AW242" i="18"/>
  <c r="T86" i="18"/>
  <c r="Z7" i="18"/>
  <c r="AE242" i="18"/>
  <c r="M7" i="18"/>
  <c r="L7" i="18"/>
  <c r="L86" i="18"/>
  <c r="AC242" i="18"/>
  <c r="K86" i="18"/>
  <c r="J86" i="18"/>
  <c r="AB242" i="18"/>
  <c r="I7" i="18"/>
  <c r="H86" i="18"/>
  <c r="Z242" i="18"/>
  <c r="Y242" i="18"/>
  <c r="G7" i="18"/>
  <c r="B237" i="18"/>
  <c r="C237" i="18"/>
  <c r="K6" i="18" s="1"/>
  <c r="F7" i="18"/>
  <c r="F86" i="18"/>
  <c r="E7" i="18"/>
  <c r="W242" i="18"/>
  <c r="D7" i="18"/>
  <c r="V242" i="18"/>
  <c r="C86" i="18"/>
  <c r="AI94" i="18"/>
  <c r="AH94" i="18"/>
  <c r="E263" i="18"/>
  <c r="F104" i="18"/>
  <c r="G227" i="18"/>
  <c r="I222" i="18"/>
  <c r="F228" i="18"/>
  <c r="B85" i="18"/>
  <c r="AI83" i="18"/>
  <c r="AH83" i="18"/>
  <c r="Y83" i="17"/>
  <c r="Y85" i="17" s="1"/>
  <c r="Y86" i="17" s="1"/>
  <c r="P107" i="17"/>
  <c r="J222" i="18" l="1"/>
  <c r="F263" i="18"/>
  <c r="H227" i="18"/>
  <c r="G104" i="18"/>
  <c r="G228" i="18"/>
  <c r="AI85" i="18"/>
  <c r="AH85" i="18"/>
  <c r="B7" i="18"/>
  <c r="A7" i="18" s="1"/>
  <c r="T242" i="18"/>
  <c r="B86" i="18"/>
  <c r="O107" i="17"/>
  <c r="N107" i="17"/>
  <c r="L107" i="17"/>
  <c r="K107" i="17"/>
  <c r="I66" i="16"/>
  <c r="J66" i="16"/>
  <c r="K66" i="16"/>
  <c r="B66" i="17"/>
  <c r="C66" i="17"/>
  <c r="D66" i="17"/>
  <c r="E66" i="17"/>
  <c r="F66" i="17"/>
  <c r="G66" i="17"/>
  <c r="H66" i="17"/>
  <c r="I66" i="17"/>
  <c r="J66" i="17"/>
  <c r="K66" i="17"/>
  <c r="L66" i="17"/>
  <c r="J107" i="17"/>
  <c r="I107" i="17"/>
  <c r="H107" i="17"/>
  <c r="G107" i="17"/>
  <c r="AH107" i="17" s="1"/>
  <c r="U220" i="17"/>
  <c r="F107" i="17"/>
  <c r="AF267" i="17"/>
  <c r="AE267" i="17"/>
  <c r="AD267" i="17"/>
  <c r="AC267" i="17"/>
  <c r="AB267" i="17"/>
  <c r="AA267" i="17"/>
  <c r="Z267" i="17"/>
  <c r="Y267" i="17"/>
  <c r="X267" i="17"/>
  <c r="W267" i="17"/>
  <c r="V267" i="17"/>
  <c r="U267" i="17"/>
  <c r="T267" i="17"/>
  <c r="S267" i="17"/>
  <c r="R267" i="17"/>
  <c r="Q267" i="17"/>
  <c r="P267" i="17"/>
  <c r="O267" i="17"/>
  <c r="N267" i="17"/>
  <c r="M267" i="17"/>
  <c r="L267" i="17"/>
  <c r="K267" i="17"/>
  <c r="J267" i="17"/>
  <c r="I267" i="17"/>
  <c r="H267" i="17"/>
  <c r="G267" i="17"/>
  <c r="F267" i="17"/>
  <c r="E267" i="17"/>
  <c r="D267" i="17"/>
  <c r="C267" i="17"/>
  <c r="B267" i="17"/>
  <c r="A267" i="17"/>
  <c r="AF266" i="17"/>
  <c r="AE266" i="17"/>
  <c r="AD266" i="17"/>
  <c r="AC266" i="17"/>
  <c r="AB266" i="17"/>
  <c r="AA266" i="17"/>
  <c r="Z266" i="17"/>
  <c r="Y266" i="17"/>
  <c r="X266" i="17"/>
  <c r="W266" i="17"/>
  <c r="V266" i="17"/>
  <c r="U266" i="17"/>
  <c r="T266" i="17"/>
  <c r="S266" i="17"/>
  <c r="R266" i="17"/>
  <c r="Q266" i="17"/>
  <c r="P266" i="17"/>
  <c r="O266" i="17"/>
  <c r="N266" i="17"/>
  <c r="M266" i="17"/>
  <c r="L266" i="17"/>
  <c r="K266" i="17"/>
  <c r="J266" i="17"/>
  <c r="I266" i="17"/>
  <c r="H266" i="17"/>
  <c r="G266" i="17"/>
  <c r="F266" i="17"/>
  <c r="E266" i="17"/>
  <c r="D266" i="17"/>
  <c r="C266" i="17"/>
  <c r="B266" i="17"/>
  <c r="A266" i="17"/>
  <c r="AF265" i="17"/>
  <c r="AE265" i="17"/>
  <c r="AD265" i="17"/>
  <c r="AC265" i="17"/>
  <c r="AB265" i="17"/>
  <c r="AA265" i="17"/>
  <c r="Z265" i="17"/>
  <c r="Y265" i="17"/>
  <c r="X265" i="17"/>
  <c r="W265" i="17"/>
  <c r="V265" i="17"/>
  <c r="U265" i="17"/>
  <c r="T265" i="17"/>
  <c r="S265" i="17"/>
  <c r="R265" i="17"/>
  <c r="Q265" i="17"/>
  <c r="P265" i="17"/>
  <c r="O265" i="17"/>
  <c r="N265" i="17"/>
  <c r="M265" i="17"/>
  <c r="L265" i="17"/>
  <c r="K265" i="17"/>
  <c r="J265" i="17"/>
  <c r="I265" i="17"/>
  <c r="H265" i="17"/>
  <c r="G265" i="17"/>
  <c r="F265" i="17"/>
  <c r="E265" i="17"/>
  <c r="D265" i="17"/>
  <c r="C265" i="17"/>
  <c r="B265" i="17"/>
  <c r="A265" i="17"/>
  <c r="AF264" i="17"/>
  <c r="AE264" i="17"/>
  <c r="AD264" i="17"/>
  <c r="AC264" i="17"/>
  <c r="AB264" i="17"/>
  <c r="AA264" i="17"/>
  <c r="Z264" i="17"/>
  <c r="Y264" i="17"/>
  <c r="X264" i="17"/>
  <c r="W264" i="17"/>
  <c r="V264" i="17"/>
  <c r="U264" i="17"/>
  <c r="T264" i="17"/>
  <c r="S264" i="17"/>
  <c r="R264" i="17"/>
  <c r="Q264" i="17"/>
  <c r="P264" i="17"/>
  <c r="O264" i="17"/>
  <c r="N264" i="17"/>
  <c r="M264" i="17"/>
  <c r="L264" i="17"/>
  <c r="K264" i="17"/>
  <c r="J264" i="17"/>
  <c r="I264" i="17"/>
  <c r="H264" i="17"/>
  <c r="G264" i="17"/>
  <c r="F264" i="17"/>
  <c r="E264" i="17"/>
  <c r="D264" i="17"/>
  <c r="C264" i="17"/>
  <c r="B264" i="17"/>
  <c r="A264" i="17"/>
  <c r="AE263" i="17"/>
  <c r="AD263" i="17"/>
  <c r="AC263" i="17"/>
  <c r="AB263" i="17"/>
  <c r="AA263" i="17"/>
  <c r="Z263" i="17"/>
  <c r="Y263" i="17"/>
  <c r="X263" i="17"/>
  <c r="W263" i="17"/>
  <c r="V263" i="17"/>
  <c r="U263" i="17"/>
  <c r="T263" i="17"/>
  <c r="S263" i="17"/>
  <c r="R263" i="17"/>
  <c r="Q263" i="17"/>
  <c r="P263" i="17"/>
  <c r="B263" i="17"/>
  <c r="AP242" i="17"/>
  <c r="S238" i="17"/>
  <c r="AG228" i="17"/>
  <c r="AG61" i="17" s="1"/>
  <c r="AG62" i="17" s="1"/>
  <c r="AG3" i="17" s="1"/>
  <c r="AF228" i="17"/>
  <c r="AE228" i="17"/>
  <c r="AD228" i="17"/>
  <c r="AC228" i="17"/>
  <c r="AB228" i="17"/>
  <c r="AA228" i="17"/>
  <c r="Z228" i="17"/>
  <c r="Y228" i="17"/>
  <c r="X228" i="17"/>
  <c r="W228" i="17"/>
  <c r="V228" i="17"/>
  <c r="U228" i="17"/>
  <c r="T228" i="17"/>
  <c r="S228" i="17"/>
  <c r="R228" i="17"/>
  <c r="Q228" i="17"/>
  <c r="C228" i="17"/>
  <c r="D227" i="17"/>
  <c r="E227" i="17" s="1"/>
  <c r="B227" i="17"/>
  <c r="AF263" i="17" s="1"/>
  <c r="D226" i="17"/>
  <c r="E226" i="17" s="1"/>
  <c r="F226" i="17" s="1"/>
  <c r="G226" i="17" s="1"/>
  <c r="H226" i="17" s="1"/>
  <c r="I226" i="17" s="1"/>
  <c r="J226" i="17" s="1"/>
  <c r="K226" i="17" s="1"/>
  <c r="L226" i="17" s="1"/>
  <c r="M226" i="17" s="1"/>
  <c r="N226" i="17" s="1"/>
  <c r="O226" i="17" s="1"/>
  <c r="P226" i="17" s="1"/>
  <c r="B226" i="17"/>
  <c r="D225" i="17"/>
  <c r="E225" i="17" s="1"/>
  <c r="F225" i="17" s="1"/>
  <c r="G225" i="17" s="1"/>
  <c r="H225" i="17" s="1"/>
  <c r="I225" i="17" s="1"/>
  <c r="B225" i="17"/>
  <c r="D224" i="17"/>
  <c r="E224" i="17" s="1"/>
  <c r="F224" i="17" s="1"/>
  <c r="G224" i="17" s="1"/>
  <c r="H224" i="17" s="1"/>
  <c r="B224" i="17"/>
  <c r="D223" i="17"/>
  <c r="E223" i="17" s="1"/>
  <c r="F223" i="17" s="1"/>
  <c r="G223" i="17" s="1"/>
  <c r="H223" i="17" s="1"/>
  <c r="I223" i="17" s="1"/>
  <c r="J223" i="17" s="1"/>
  <c r="K223" i="17" s="1"/>
  <c r="L223" i="17" s="1"/>
  <c r="M223" i="17" s="1"/>
  <c r="N223" i="17" s="1"/>
  <c r="O223" i="17" s="1"/>
  <c r="P223" i="17" s="1"/>
  <c r="B223" i="17"/>
  <c r="D222" i="17"/>
  <c r="B222" i="17"/>
  <c r="AG220" i="17"/>
  <c r="AF220" i="17"/>
  <c r="AE220" i="17"/>
  <c r="AD220" i="17"/>
  <c r="AC220" i="17"/>
  <c r="AB220" i="17"/>
  <c r="AA220" i="17"/>
  <c r="Z220" i="17"/>
  <c r="Y220" i="17"/>
  <c r="X220" i="17"/>
  <c r="W220" i="17"/>
  <c r="V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AI113" i="17"/>
  <c r="AH113" i="17"/>
  <c r="AI112" i="17"/>
  <c r="AH112" i="17"/>
  <c r="AI111" i="17"/>
  <c r="AH111" i="17"/>
  <c r="AI110" i="17"/>
  <c r="AH110" i="17"/>
  <c r="AI109" i="17"/>
  <c r="AH109" i="17"/>
  <c r="AI108" i="17"/>
  <c r="AH108" i="17"/>
  <c r="AI107" i="17"/>
  <c r="AI106" i="17"/>
  <c r="AH106" i="17"/>
  <c r="AI105" i="17"/>
  <c r="AH105" i="17"/>
  <c r="AF104" i="17"/>
  <c r="AE104" i="17"/>
  <c r="AD104" i="17"/>
  <c r="AC104" i="17"/>
  <c r="AB104" i="17"/>
  <c r="AA104" i="17"/>
  <c r="Z104" i="17"/>
  <c r="W104" i="17"/>
  <c r="V104" i="17"/>
  <c r="U104" i="17"/>
  <c r="T104" i="17"/>
  <c r="S104" i="17"/>
  <c r="R104" i="17"/>
  <c r="Q104" i="17"/>
  <c r="C104" i="17"/>
  <c r="AI103" i="17"/>
  <c r="AH103" i="17"/>
  <c r="AI102" i="17"/>
  <c r="AH102" i="17"/>
  <c r="AI101" i="17"/>
  <c r="AH101" i="17"/>
  <c r="AI100" i="17"/>
  <c r="AH100" i="17"/>
  <c r="AI99" i="17"/>
  <c r="AH99" i="17"/>
  <c r="AI98" i="17"/>
  <c r="AH98" i="17"/>
  <c r="AI97" i="17"/>
  <c r="AH97" i="17"/>
  <c r="AI96" i="17"/>
  <c r="AH96" i="17"/>
  <c r="AI95" i="17"/>
  <c r="AH95" i="17"/>
  <c r="AI93" i="17"/>
  <c r="AH93" i="17"/>
  <c r="AI92" i="17"/>
  <c r="AH92" i="17"/>
  <c r="AI91" i="17"/>
  <c r="AH91" i="17"/>
  <c r="AI90" i="17"/>
  <c r="AH90" i="17"/>
  <c r="AI89" i="17"/>
  <c r="AH89" i="17"/>
  <c r="AI88" i="17"/>
  <c r="AH88" i="17"/>
  <c r="AI87" i="17"/>
  <c r="AH87" i="17"/>
  <c r="AI84" i="17"/>
  <c r="AH84" i="17"/>
  <c r="AI82" i="17"/>
  <c r="AH82" i="17"/>
  <c r="AG82" i="17"/>
  <c r="AI81" i="17"/>
  <c r="AH81" i="17"/>
  <c r="AI80" i="17"/>
  <c r="AH80" i="17"/>
  <c r="AI79" i="17"/>
  <c r="AH79" i="17"/>
  <c r="AN78" i="17"/>
  <c r="AG78" i="17"/>
  <c r="AF78" i="17"/>
  <c r="AF94" i="17" s="1"/>
  <c r="AE78" i="17"/>
  <c r="AD5" i="17" s="1"/>
  <c r="AD78" i="17"/>
  <c r="AC5" i="17" s="1"/>
  <c r="AC78" i="17"/>
  <c r="AC94" i="17" s="1"/>
  <c r="AB78" i="17"/>
  <c r="AB94" i="17" s="1"/>
  <c r="AA78" i="17"/>
  <c r="AA94" i="17" s="1"/>
  <c r="Z78" i="17"/>
  <c r="Z94" i="17" s="1"/>
  <c r="W78" i="17"/>
  <c r="W94" i="17" s="1"/>
  <c r="V78" i="17"/>
  <c r="U5" i="17" s="1"/>
  <c r="U78" i="17"/>
  <c r="T5" i="17" s="1"/>
  <c r="T78" i="17"/>
  <c r="T94" i="17" s="1"/>
  <c r="S78" i="17"/>
  <c r="S94" i="17" s="1"/>
  <c r="R78" i="17"/>
  <c r="R94" i="17" s="1"/>
  <c r="Q78" i="17"/>
  <c r="Q94" i="17" s="1"/>
  <c r="P78" i="17"/>
  <c r="O5" i="17" s="1"/>
  <c r="O78" i="17"/>
  <c r="O94" i="17" s="1"/>
  <c r="N78" i="17"/>
  <c r="N94" i="17" s="1"/>
  <c r="M78" i="17"/>
  <c r="L5" i="17" s="1"/>
  <c r="L78" i="17"/>
  <c r="L94" i="17" s="1"/>
  <c r="K78" i="17"/>
  <c r="K94" i="17" s="1"/>
  <c r="J78" i="17"/>
  <c r="J94" i="17" s="1"/>
  <c r="I78" i="17"/>
  <c r="I94" i="17" s="1"/>
  <c r="H78" i="17"/>
  <c r="H94" i="17" s="1"/>
  <c r="G78" i="17"/>
  <c r="G94" i="17" s="1"/>
  <c r="F78" i="17"/>
  <c r="E5" i="17" s="1"/>
  <c r="E78" i="17"/>
  <c r="D5" i="17" s="1"/>
  <c r="D78" i="17"/>
  <c r="D94" i="17" s="1"/>
  <c r="C78" i="17"/>
  <c r="C94" i="17" s="1"/>
  <c r="B78" i="17"/>
  <c r="B94" i="17" s="1"/>
  <c r="AI77" i="17"/>
  <c r="AH77" i="17"/>
  <c r="AN76" i="17"/>
  <c r="AI76" i="17"/>
  <c r="AH76" i="17"/>
  <c r="AN75" i="17"/>
  <c r="AN77" i="17" s="1"/>
  <c r="AI75" i="17"/>
  <c r="AH75" i="17"/>
  <c r="AI74" i="17"/>
  <c r="AH74" i="17"/>
  <c r="AI73" i="17"/>
  <c r="AH73" i="17"/>
  <c r="AI72" i="17"/>
  <c r="AH72" i="17"/>
  <c r="AI71" i="17"/>
  <c r="AH71" i="17"/>
  <c r="AI70" i="17"/>
  <c r="AH70" i="17"/>
  <c r="AI69" i="17"/>
  <c r="AH69" i="17"/>
  <c r="AI68" i="17"/>
  <c r="AH68" i="17"/>
  <c r="AI67" i="17"/>
  <c r="AH67" i="17"/>
  <c r="AG66" i="17"/>
  <c r="AF66" i="17"/>
  <c r="AE66" i="17"/>
  <c r="AD66" i="17"/>
  <c r="AC66" i="17"/>
  <c r="AB66" i="17"/>
  <c r="AA66" i="17"/>
  <c r="Z66" i="17"/>
  <c r="W66" i="17"/>
  <c r="V66" i="17"/>
  <c r="U66" i="17"/>
  <c r="T66" i="17"/>
  <c r="S66" i="17"/>
  <c r="R66" i="17"/>
  <c r="Q66" i="17"/>
  <c r="P66" i="17"/>
  <c r="O66" i="17"/>
  <c r="N66" i="17"/>
  <c r="M66" i="17"/>
  <c r="AI65" i="17"/>
  <c r="AH65" i="17"/>
  <c r="AI64" i="17"/>
  <c r="AH64" i="17"/>
  <c r="AI63" i="17"/>
  <c r="AH63" i="17"/>
  <c r="AF62" i="17"/>
  <c r="AE62" i="17"/>
  <c r="AD62" i="17"/>
  <c r="AC62" i="17"/>
  <c r="AB62" i="17"/>
  <c r="AA62" i="17"/>
  <c r="Z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I61" i="17"/>
  <c r="AH61" i="17"/>
  <c r="AI60" i="17"/>
  <c r="AH60" i="17"/>
  <c r="AI59" i="17"/>
  <c r="AH59" i="17"/>
  <c r="AI58" i="17"/>
  <c r="AH58" i="17"/>
  <c r="AI57" i="17"/>
  <c r="AH57" i="17"/>
  <c r="AI56" i="17"/>
  <c r="AH56" i="17"/>
  <c r="AI55" i="17"/>
  <c r="AH55" i="17"/>
  <c r="AI54" i="17"/>
  <c r="AH54" i="17"/>
  <c r="AI53" i="17"/>
  <c r="AH53" i="17"/>
  <c r="AI52" i="17"/>
  <c r="AH52" i="17"/>
  <c r="AI51" i="17"/>
  <c r="AH51" i="17"/>
  <c r="AI50" i="17"/>
  <c r="AH50" i="17"/>
  <c r="AI49" i="17"/>
  <c r="AH49" i="17"/>
  <c r="AG48" i="17"/>
  <c r="AF48" i="17"/>
  <c r="AE48" i="17"/>
  <c r="AD48" i="17"/>
  <c r="AC48" i="17"/>
  <c r="AB48" i="17"/>
  <c r="AA48" i="17"/>
  <c r="Z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I47" i="17"/>
  <c r="AH47" i="17"/>
  <c r="AI46" i="17"/>
  <c r="AH46" i="17"/>
  <c r="AI45" i="17"/>
  <c r="AH45" i="17"/>
  <c r="AG44" i="17"/>
  <c r="AF44" i="17"/>
  <c r="AE44" i="17"/>
  <c r="AD44" i="17"/>
  <c r="AC44" i="17"/>
  <c r="AB44" i="17"/>
  <c r="AA44" i="17"/>
  <c r="Z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I43" i="17"/>
  <c r="AH43" i="17"/>
  <c r="AI42" i="17"/>
  <c r="AH42" i="17"/>
  <c r="AI41" i="17"/>
  <c r="AH41" i="17"/>
  <c r="AI40" i="17"/>
  <c r="AH40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X7" i="17"/>
  <c r="AE5" i="17"/>
  <c r="X5" i="17"/>
  <c r="W5" i="17"/>
  <c r="AG4" i="17"/>
  <c r="K4" i="17"/>
  <c r="E4" i="17"/>
  <c r="H4" i="17" s="1"/>
  <c r="B4" i="17"/>
  <c r="S239" i="17" s="1"/>
  <c r="AG2" i="17"/>
  <c r="AA43" i="16"/>
  <c r="Z43" i="16"/>
  <c r="X78" i="16"/>
  <c r="X48" i="16"/>
  <c r="Y48" i="16"/>
  <c r="X44" i="16"/>
  <c r="X83" i="16" s="1"/>
  <c r="X85" i="16" s="1"/>
  <c r="Y43" i="16"/>
  <c r="W43" i="16"/>
  <c r="V43" i="16"/>
  <c r="T43" i="16"/>
  <c r="R107" i="16"/>
  <c r="R43" i="16"/>
  <c r="Q107" i="16"/>
  <c r="Q43" i="16"/>
  <c r="P107" i="16"/>
  <c r="P43" i="16"/>
  <c r="O107" i="16"/>
  <c r="O43" i="16"/>
  <c r="N107" i="16"/>
  <c r="N43" i="16"/>
  <c r="M107" i="16"/>
  <c r="M43" i="16"/>
  <c r="C43" i="16"/>
  <c r="B43" i="16"/>
  <c r="AF267" i="16"/>
  <c r="AE267" i="16"/>
  <c r="AD267" i="16"/>
  <c r="AC267" i="16"/>
  <c r="AB267" i="16"/>
  <c r="AA267" i="16"/>
  <c r="Z267" i="16"/>
  <c r="Y267" i="16"/>
  <c r="X267" i="16"/>
  <c r="W267" i="16"/>
  <c r="V267" i="16"/>
  <c r="U267" i="16"/>
  <c r="T267" i="16"/>
  <c r="S267" i="16"/>
  <c r="R267" i="16"/>
  <c r="Q267" i="16"/>
  <c r="P267" i="16"/>
  <c r="O267" i="16"/>
  <c r="N267" i="16"/>
  <c r="M267" i="16"/>
  <c r="L267" i="16"/>
  <c r="K267" i="16"/>
  <c r="J267" i="16"/>
  <c r="I267" i="16"/>
  <c r="H267" i="16"/>
  <c r="G267" i="16"/>
  <c r="F267" i="16"/>
  <c r="E267" i="16"/>
  <c r="D267" i="16"/>
  <c r="C267" i="16"/>
  <c r="B267" i="16"/>
  <c r="A267" i="16"/>
  <c r="AF266" i="16"/>
  <c r="AE266" i="16"/>
  <c r="AD266" i="16"/>
  <c r="AC266" i="16"/>
  <c r="AB266" i="16"/>
  <c r="AA266" i="16"/>
  <c r="Z266" i="16"/>
  <c r="Y266" i="16"/>
  <c r="X266" i="16"/>
  <c r="W266" i="16"/>
  <c r="V266" i="16"/>
  <c r="U266" i="16"/>
  <c r="T266" i="16"/>
  <c r="S266" i="16"/>
  <c r="R266" i="16"/>
  <c r="Q266" i="16"/>
  <c r="P266" i="16"/>
  <c r="O266" i="16"/>
  <c r="N266" i="16"/>
  <c r="M266" i="16"/>
  <c r="L266" i="16"/>
  <c r="K266" i="16"/>
  <c r="J266" i="16"/>
  <c r="I266" i="16"/>
  <c r="H266" i="16"/>
  <c r="G266" i="16"/>
  <c r="F266" i="16"/>
  <c r="E266" i="16"/>
  <c r="D266" i="16"/>
  <c r="C266" i="16"/>
  <c r="B266" i="16"/>
  <c r="A266" i="16"/>
  <c r="AF265" i="16"/>
  <c r="AE265" i="16"/>
  <c r="AD265" i="16"/>
  <c r="AC265" i="16"/>
  <c r="AB265" i="16"/>
  <c r="AA265" i="16"/>
  <c r="Z265" i="16"/>
  <c r="Y265" i="16"/>
  <c r="X265" i="16"/>
  <c r="W265" i="16"/>
  <c r="V265" i="16"/>
  <c r="U265" i="16"/>
  <c r="T265" i="16"/>
  <c r="S265" i="16"/>
  <c r="R265" i="16"/>
  <c r="Q265" i="16"/>
  <c r="P265" i="16"/>
  <c r="O265" i="16"/>
  <c r="N265" i="16"/>
  <c r="M265" i="16"/>
  <c r="L265" i="16"/>
  <c r="K265" i="16"/>
  <c r="J265" i="16"/>
  <c r="I265" i="16"/>
  <c r="H265" i="16"/>
  <c r="G265" i="16"/>
  <c r="F265" i="16"/>
  <c r="E265" i="16"/>
  <c r="D265" i="16"/>
  <c r="C265" i="16"/>
  <c r="B265" i="16"/>
  <c r="A265" i="16"/>
  <c r="AF264" i="16"/>
  <c r="AE264" i="16"/>
  <c r="AD264" i="16"/>
  <c r="AC264" i="16"/>
  <c r="AB264" i="16"/>
  <c r="AA264" i="16"/>
  <c r="Z264" i="16"/>
  <c r="Y264" i="16"/>
  <c r="X264" i="16"/>
  <c r="W264" i="16"/>
  <c r="V264" i="16"/>
  <c r="U264" i="16"/>
  <c r="T264" i="16"/>
  <c r="S264" i="16"/>
  <c r="R264" i="16"/>
  <c r="Q264" i="16"/>
  <c r="P264" i="16"/>
  <c r="O264" i="16"/>
  <c r="N264" i="16"/>
  <c r="M264" i="16"/>
  <c r="L264" i="16"/>
  <c r="K264" i="16"/>
  <c r="J264" i="16"/>
  <c r="I264" i="16"/>
  <c r="H264" i="16"/>
  <c r="G264" i="16"/>
  <c r="F264" i="16"/>
  <c r="E264" i="16"/>
  <c r="D264" i="16"/>
  <c r="C264" i="16"/>
  <c r="B264" i="16"/>
  <c r="A264" i="16"/>
  <c r="AE263" i="16"/>
  <c r="AD263" i="16"/>
  <c r="AC263" i="16"/>
  <c r="AB263" i="16"/>
  <c r="AA263" i="16"/>
  <c r="Z263" i="16"/>
  <c r="Y263" i="16"/>
  <c r="X263" i="16"/>
  <c r="W263" i="16"/>
  <c r="V263" i="16"/>
  <c r="U263" i="16"/>
  <c r="T263" i="16"/>
  <c r="S263" i="16"/>
  <c r="R263" i="16"/>
  <c r="Q263" i="16"/>
  <c r="P263" i="16"/>
  <c r="C263" i="16"/>
  <c r="B263" i="16"/>
  <c r="S238" i="16"/>
  <c r="AG228" i="16"/>
  <c r="AF228" i="16"/>
  <c r="AE228" i="16"/>
  <c r="AD228" i="16"/>
  <c r="AC228" i="16"/>
  <c r="AB228" i="16"/>
  <c r="AA228" i="16"/>
  <c r="Z228" i="16"/>
  <c r="Y228" i="16"/>
  <c r="X228" i="16"/>
  <c r="W228" i="16"/>
  <c r="V228" i="16"/>
  <c r="U228" i="16"/>
  <c r="T228" i="16"/>
  <c r="S228" i="16"/>
  <c r="R228" i="16"/>
  <c r="Q228" i="16"/>
  <c r="C228" i="16"/>
  <c r="E227" i="16"/>
  <c r="F227" i="16" s="1"/>
  <c r="D227" i="16"/>
  <c r="B227" i="16"/>
  <c r="AF263" i="16" s="1"/>
  <c r="D226" i="16"/>
  <c r="E226" i="16" s="1"/>
  <c r="F226" i="16" s="1"/>
  <c r="G226" i="16" s="1"/>
  <c r="H226" i="16" s="1"/>
  <c r="I226" i="16" s="1"/>
  <c r="J226" i="16" s="1"/>
  <c r="K226" i="16" s="1"/>
  <c r="L226" i="16" s="1"/>
  <c r="M226" i="16" s="1"/>
  <c r="N226" i="16" s="1"/>
  <c r="O226" i="16" s="1"/>
  <c r="P226" i="16" s="1"/>
  <c r="B226" i="16"/>
  <c r="D225" i="16"/>
  <c r="E225" i="16" s="1"/>
  <c r="F225" i="16" s="1"/>
  <c r="G225" i="16" s="1"/>
  <c r="H225" i="16" s="1"/>
  <c r="I225" i="16" s="1"/>
  <c r="B225" i="16"/>
  <c r="D224" i="16"/>
  <c r="E224" i="16" s="1"/>
  <c r="F224" i="16" s="1"/>
  <c r="G224" i="16" s="1"/>
  <c r="H224" i="16" s="1"/>
  <c r="B224" i="16"/>
  <c r="D223" i="16"/>
  <c r="E223" i="16" s="1"/>
  <c r="F223" i="16" s="1"/>
  <c r="G223" i="16" s="1"/>
  <c r="H223" i="16" s="1"/>
  <c r="I223" i="16" s="1"/>
  <c r="J223" i="16" s="1"/>
  <c r="K223" i="16" s="1"/>
  <c r="L223" i="16" s="1"/>
  <c r="M223" i="16" s="1"/>
  <c r="N223" i="16" s="1"/>
  <c r="O223" i="16" s="1"/>
  <c r="P223" i="16" s="1"/>
  <c r="B223" i="16"/>
  <c r="D222" i="16"/>
  <c r="B222" i="16"/>
  <c r="B228" i="16" s="1"/>
  <c r="AG220" i="16"/>
  <c r="AF220" i="16"/>
  <c r="AE220" i="16"/>
  <c r="AD220" i="16"/>
  <c r="AC220" i="16"/>
  <c r="AB220" i="16"/>
  <c r="AA220" i="16"/>
  <c r="Z220" i="16"/>
  <c r="Y220" i="16"/>
  <c r="X220" i="16"/>
  <c r="W220" i="16"/>
  <c r="V220" i="16"/>
  <c r="U220" i="16"/>
  <c r="T220" i="16"/>
  <c r="S220" i="16"/>
  <c r="R220" i="16"/>
  <c r="Q220" i="16"/>
  <c r="P220" i="16"/>
  <c r="O220" i="16"/>
  <c r="N220" i="16"/>
  <c r="M220" i="16"/>
  <c r="L220" i="16"/>
  <c r="K220" i="16"/>
  <c r="J220" i="16"/>
  <c r="I220" i="16"/>
  <c r="H220" i="16"/>
  <c r="G220" i="16"/>
  <c r="F220" i="16"/>
  <c r="E220" i="16"/>
  <c r="D220" i="16"/>
  <c r="C220" i="16"/>
  <c r="B220" i="16"/>
  <c r="AI113" i="16"/>
  <c r="AH113" i="16"/>
  <c r="AI112" i="16"/>
  <c r="AH112" i="16"/>
  <c r="AI111" i="16"/>
  <c r="AH111" i="16"/>
  <c r="AI110" i="16"/>
  <c r="AH110" i="16"/>
  <c r="AI109" i="16"/>
  <c r="AH109" i="16"/>
  <c r="AI108" i="16"/>
  <c r="AH108" i="16"/>
  <c r="AI106" i="16"/>
  <c r="AH106" i="16"/>
  <c r="AI105" i="16"/>
  <c r="AH105" i="16"/>
  <c r="AF104" i="16"/>
  <c r="AE104" i="16"/>
  <c r="AD104" i="16"/>
  <c r="AC104" i="16"/>
  <c r="AB104" i="16"/>
  <c r="AA104" i="16"/>
  <c r="Z104" i="16"/>
  <c r="Y104" i="16"/>
  <c r="W104" i="16"/>
  <c r="V104" i="16"/>
  <c r="U104" i="16"/>
  <c r="T104" i="16"/>
  <c r="S104" i="16"/>
  <c r="R104" i="16"/>
  <c r="Q104" i="16"/>
  <c r="D104" i="16"/>
  <c r="C104" i="16"/>
  <c r="AI103" i="16"/>
  <c r="AH103" i="16"/>
  <c r="AI102" i="16"/>
  <c r="AH102" i="16"/>
  <c r="AI101" i="16"/>
  <c r="AH101" i="16"/>
  <c r="AI100" i="16"/>
  <c r="AH100" i="16"/>
  <c r="AI99" i="16"/>
  <c r="AH99" i="16"/>
  <c r="AI98" i="16"/>
  <c r="AH98" i="16"/>
  <c r="AI97" i="16"/>
  <c r="AH97" i="16"/>
  <c r="AI96" i="16"/>
  <c r="AH96" i="16"/>
  <c r="AI95" i="16"/>
  <c r="AH95" i="16"/>
  <c r="AI93" i="16"/>
  <c r="AH93" i="16"/>
  <c r="AI92" i="16"/>
  <c r="AH92" i="16"/>
  <c r="AI91" i="16"/>
  <c r="AH91" i="16"/>
  <c r="AI90" i="16"/>
  <c r="AH90" i="16"/>
  <c r="AI89" i="16"/>
  <c r="AH89" i="16"/>
  <c r="AI88" i="16"/>
  <c r="AH88" i="16"/>
  <c r="AI87" i="16"/>
  <c r="AH87" i="16"/>
  <c r="AI84" i="16"/>
  <c r="AH84" i="16"/>
  <c r="AI82" i="16"/>
  <c r="AH82" i="16"/>
  <c r="AG82" i="16"/>
  <c r="AI81" i="16"/>
  <c r="AH81" i="16"/>
  <c r="AI80" i="16"/>
  <c r="AH80" i="16"/>
  <c r="AI79" i="16"/>
  <c r="AH79" i="16"/>
  <c r="AN78" i="16"/>
  <c r="AG78" i="16"/>
  <c r="AF78" i="16"/>
  <c r="AF94" i="16" s="1"/>
  <c r="AE78" i="16"/>
  <c r="AE94" i="16" s="1"/>
  <c r="AD78" i="16"/>
  <c r="AD94" i="16" s="1"/>
  <c r="AC78" i="16"/>
  <c r="AC94" i="16" s="1"/>
  <c r="AB78" i="16"/>
  <c r="AB94" i="16" s="1"/>
  <c r="AA78" i="16"/>
  <c r="AA94" i="16" s="1"/>
  <c r="Z78" i="16"/>
  <c r="Z94" i="16" s="1"/>
  <c r="Y78" i="16"/>
  <c r="Y94" i="16" s="1"/>
  <c r="W78" i="16"/>
  <c r="W94" i="16" s="1"/>
  <c r="V78" i="16"/>
  <c r="U5" i="16" s="1"/>
  <c r="U78" i="16"/>
  <c r="T5" i="16" s="1"/>
  <c r="T78" i="16"/>
  <c r="T94" i="16" s="1"/>
  <c r="S78" i="16"/>
  <c r="S94" i="16" s="1"/>
  <c r="R78" i="16"/>
  <c r="R94" i="16" s="1"/>
  <c r="Q78" i="16"/>
  <c r="Q94" i="16" s="1"/>
  <c r="P78" i="16"/>
  <c r="P94" i="16" s="1"/>
  <c r="O78" i="16"/>
  <c r="O94" i="16" s="1"/>
  <c r="N78" i="16"/>
  <c r="N94" i="16" s="1"/>
  <c r="M78" i="16"/>
  <c r="M94" i="16" s="1"/>
  <c r="L78" i="16"/>
  <c r="L94" i="16" s="1"/>
  <c r="K78" i="16"/>
  <c r="K94" i="16" s="1"/>
  <c r="J78" i="16"/>
  <c r="J94" i="16" s="1"/>
  <c r="I78" i="16"/>
  <c r="I94" i="16" s="1"/>
  <c r="H78" i="16"/>
  <c r="H94" i="16" s="1"/>
  <c r="G78" i="16"/>
  <c r="G94" i="16" s="1"/>
  <c r="F78" i="16"/>
  <c r="F94" i="16" s="1"/>
  <c r="E78" i="16"/>
  <c r="E94" i="16" s="1"/>
  <c r="D78" i="16"/>
  <c r="D94" i="16" s="1"/>
  <c r="C78" i="16"/>
  <c r="C94" i="16" s="1"/>
  <c r="B78" i="16"/>
  <c r="B94" i="16" s="1"/>
  <c r="AI77" i="16"/>
  <c r="AH77" i="16"/>
  <c r="AN76" i="16"/>
  <c r="AI76" i="16"/>
  <c r="AH76" i="16"/>
  <c r="AN75" i="16"/>
  <c r="AI75" i="16"/>
  <c r="AH75" i="16"/>
  <c r="AI74" i="16"/>
  <c r="AH74" i="16"/>
  <c r="AI73" i="16"/>
  <c r="AH73" i="16"/>
  <c r="AI72" i="16"/>
  <c r="AH72" i="16"/>
  <c r="AI71" i="16"/>
  <c r="AH71" i="16"/>
  <c r="AI70" i="16"/>
  <c r="AH70" i="16"/>
  <c r="AI69" i="16"/>
  <c r="AH69" i="16"/>
  <c r="AI68" i="16"/>
  <c r="AH68" i="16"/>
  <c r="AI67" i="16"/>
  <c r="AH67" i="16"/>
  <c r="AG66" i="16"/>
  <c r="AF66" i="16"/>
  <c r="AE66" i="16"/>
  <c r="AD66" i="16"/>
  <c r="AC66" i="16"/>
  <c r="AB66" i="16"/>
  <c r="AA66" i="16"/>
  <c r="Z66" i="16"/>
  <c r="Y66" i="16"/>
  <c r="W66" i="16"/>
  <c r="V66" i="16"/>
  <c r="U66" i="16"/>
  <c r="T66" i="16"/>
  <c r="S66" i="16"/>
  <c r="R66" i="16"/>
  <c r="Q66" i="16"/>
  <c r="P66" i="16"/>
  <c r="O66" i="16"/>
  <c r="N66" i="16"/>
  <c r="M66" i="16"/>
  <c r="L66" i="16"/>
  <c r="AI65" i="16"/>
  <c r="AH65" i="16"/>
  <c r="AI64" i="16"/>
  <c r="AH64" i="16"/>
  <c r="AI63" i="16"/>
  <c r="AH63" i="16"/>
  <c r="AF62" i="16"/>
  <c r="AE62" i="16"/>
  <c r="AD62" i="16"/>
  <c r="AC62" i="16"/>
  <c r="AB62" i="16"/>
  <c r="AA62" i="16"/>
  <c r="Z62" i="16"/>
  <c r="Y62" i="16"/>
  <c r="W62" i="16"/>
  <c r="V62" i="16"/>
  <c r="U62" i="16"/>
  <c r="T62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B62" i="16"/>
  <c r="AI61" i="16"/>
  <c r="AH61" i="16"/>
  <c r="AG61" i="16"/>
  <c r="AG62" i="16" s="1"/>
  <c r="AI60" i="16"/>
  <c r="AH60" i="16"/>
  <c r="AI59" i="16"/>
  <c r="AH59" i="16"/>
  <c r="AI58" i="16"/>
  <c r="AH58" i="16"/>
  <c r="AI57" i="16"/>
  <c r="AH57" i="16"/>
  <c r="AI56" i="16"/>
  <c r="AH56" i="16"/>
  <c r="AI55" i="16"/>
  <c r="AH55" i="16"/>
  <c r="AI54" i="16"/>
  <c r="AH54" i="16"/>
  <c r="AI53" i="16"/>
  <c r="AH53" i="16"/>
  <c r="AI52" i="16"/>
  <c r="AH52" i="16"/>
  <c r="AI51" i="16"/>
  <c r="AH51" i="16"/>
  <c r="AI50" i="16"/>
  <c r="AH50" i="16"/>
  <c r="AI49" i="16"/>
  <c r="AH49" i="16"/>
  <c r="AG48" i="16"/>
  <c r="AF48" i="16"/>
  <c r="AE48" i="16"/>
  <c r="AD48" i="16"/>
  <c r="AC48" i="16"/>
  <c r="AB48" i="16"/>
  <c r="AA48" i="16"/>
  <c r="Z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B48" i="16"/>
  <c r="AI47" i="16"/>
  <c r="AH47" i="16"/>
  <c r="AI46" i="16"/>
  <c r="AH46" i="16"/>
  <c r="AI45" i="16"/>
  <c r="AH45" i="16"/>
  <c r="AG44" i="16"/>
  <c r="AF44" i="16"/>
  <c r="AE44" i="16"/>
  <c r="AD44" i="16"/>
  <c r="AC44" i="16"/>
  <c r="AB44" i="16"/>
  <c r="AA44" i="16"/>
  <c r="Z44" i="16"/>
  <c r="Y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W5" i="16"/>
  <c r="S5" i="16"/>
  <c r="C5" i="16"/>
  <c r="AG4" i="16"/>
  <c r="K4" i="16"/>
  <c r="E4" i="16"/>
  <c r="H4" i="16" s="1"/>
  <c r="B4" i="16"/>
  <c r="D239" i="16" s="1"/>
  <c r="AG2" i="16"/>
  <c r="AI107" i="15"/>
  <c r="Z104" i="15"/>
  <c r="AF267" i="15"/>
  <c r="AE267" i="15"/>
  <c r="AD267" i="15"/>
  <c r="AC267" i="15"/>
  <c r="AB267" i="15"/>
  <c r="AA267" i="15"/>
  <c r="Z267" i="15"/>
  <c r="Y267" i="15"/>
  <c r="X267" i="15"/>
  <c r="W267" i="15"/>
  <c r="V267" i="15"/>
  <c r="U267" i="15"/>
  <c r="T267" i="15"/>
  <c r="S267" i="15"/>
  <c r="R267" i="15"/>
  <c r="Q267" i="15"/>
  <c r="P267" i="15"/>
  <c r="O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AF266" i="15"/>
  <c r="AE266" i="15"/>
  <c r="AD266" i="15"/>
  <c r="AC266" i="15"/>
  <c r="AB266" i="15"/>
  <c r="AA266" i="15"/>
  <c r="Z266" i="15"/>
  <c r="Y266" i="15"/>
  <c r="X266" i="15"/>
  <c r="W266" i="15"/>
  <c r="V266" i="15"/>
  <c r="U266" i="15"/>
  <c r="T266" i="15"/>
  <c r="S266" i="15"/>
  <c r="R266" i="15"/>
  <c r="Q266" i="15"/>
  <c r="P266" i="15"/>
  <c r="O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AF265" i="15"/>
  <c r="AE265" i="15"/>
  <c r="AD265" i="15"/>
  <c r="AC265" i="15"/>
  <c r="AB265" i="15"/>
  <c r="AA265" i="15"/>
  <c r="Z265" i="15"/>
  <c r="Y265" i="15"/>
  <c r="X265" i="15"/>
  <c r="W265" i="15"/>
  <c r="V265" i="15"/>
  <c r="U265" i="15"/>
  <c r="T265" i="15"/>
  <c r="S265" i="15"/>
  <c r="R265" i="15"/>
  <c r="Q265" i="15"/>
  <c r="P265" i="15"/>
  <c r="O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AF264" i="15"/>
  <c r="AE264" i="15"/>
  <c r="AD264" i="15"/>
  <c r="AC264" i="15"/>
  <c r="AB264" i="15"/>
  <c r="AA264" i="15"/>
  <c r="Z264" i="15"/>
  <c r="Y264" i="15"/>
  <c r="X264" i="15"/>
  <c r="W264" i="15"/>
  <c r="V264" i="15"/>
  <c r="U264" i="15"/>
  <c r="T264" i="15"/>
  <c r="S264" i="15"/>
  <c r="R264" i="15"/>
  <c r="Q264" i="15"/>
  <c r="P264" i="15"/>
  <c r="O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AE263" i="15"/>
  <c r="AD263" i="15"/>
  <c r="AC263" i="15"/>
  <c r="AB263" i="15"/>
  <c r="AA263" i="15"/>
  <c r="Z263" i="15"/>
  <c r="Y263" i="15"/>
  <c r="X263" i="15"/>
  <c r="W263" i="15"/>
  <c r="V263" i="15"/>
  <c r="U263" i="15"/>
  <c r="T263" i="15"/>
  <c r="S263" i="15"/>
  <c r="R263" i="15"/>
  <c r="Q263" i="15"/>
  <c r="P263" i="15"/>
  <c r="B263" i="15"/>
  <c r="AP242" i="15"/>
  <c r="S238" i="15"/>
  <c r="AG228" i="15"/>
  <c r="AG61" i="15" s="1"/>
  <c r="AG62" i="15" s="1"/>
  <c r="AG3" i="15" s="1"/>
  <c r="AF228" i="15"/>
  <c r="AE228" i="15"/>
  <c r="AD228" i="15"/>
  <c r="AC228" i="15"/>
  <c r="AB228" i="15"/>
  <c r="AA228" i="15"/>
  <c r="Z228" i="15"/>
  <c r="Y228" i="15"/>
  <c r="X228" i="15"/>
  <c r="W228" i="15"/>
  <c r="V228" i="15"/>
  <c r="U228" i="15"/>
  <c r="T228" i="15"/>
  <c r="S228" i="15"/>
  <c r="R228" i="15"/>
  <c r="Q228" i="15"/>
  <c r="C228" i="15"/>
  <c r="E227" i="15"/>
  <c r="D263" i="15" s="1"/>
  <c r="D227" i="15"/>
  <c r="C263" i="15" s="1"/>
  <c r="B227" i="15"/>
  <c r="AF263" i="15" s="1"/>
  <c r="D226" i="15"/>
  <c r="E226" i="15" s="1"/>
  <c r="F226" i="15" s="1"/>
  <c r="G226" i="15" s="1"/>
  <c r="H226" i="15" s="1"/>
  <c r="I226" i="15" s="1"/>
  <c r="J226" i="15" s="1"/>
  <c r="K226" i="15" s="1"/>
  <c r="L226" i="15" s="1"/>
  <c r="M226" i="15" s="1"/>
  <c r="N226" i="15" s="1"/>
  <c r="O226" i="15" s="1"/>
  <c r="P226" i="15" s="1"/>
  <c r="B226" i="15"/>
  <c r="D225" i="15"/>
  <c r="E225" i="15" s="1"/>
  <c r="F225" i="15" s="1"/>
  <c r="G225" i="15" s="1"/>
  <c r="H225" i="15" s="1"/>
  <c r="I225" i="15" s="1"/>
  <c r="B225" i="15"/>
  <c r="D224" i="15"/>
  <c r="E224" i="15" s="1"/>
  <c r="F224" i="15" s="1"/>
  <c r="G224" i="15" s="1"/>
  <c r="H224" i="15" s="1"/>
  <c r="B224" i="15"/>
  <c r="D223" i="15"/>
  <c r="E223" i="15" s="1"/>
  <c r="F223" i="15" s="1"/>
  <c r="G223" i="15" s="1"/>
  <c r="H223" i="15" s="1"/>
  <c r="I223" i="15" s="1"/>
  <c r="J223" i="15" s="1"/>
  <c r="K223" i="15" s="1"/>
  <c r="L223" i="15" s="1"/>
  <c r="M223" i="15" s="1"/>
  <c r="N223" i="15" s="1"/>
  <c r="O223" i="15" s="1"/>
  <c r="P223" i="15" s="1"/>
  <c r="B223" i="15"/>
  <c r="E222" i="15"/>
  <c r="F222" i="15" s="1"/>
  <c r="D222" i="15"/>
  <c r="D228" i="15" s="1"/>
  <c r="B222" i="15"/>
  <c r="AG220" i="15"/>
  <c r="AF220" i="15"/>
  <c r="AE220" i="15"/>
  <c r="AD220" i="15"/>
  <c r="AC220" i="15"/>
  <c r="AB220" i="15"/>
  <c r="AA220" i="15"/>
  <c r="Z220" i="15"/>
  <c r="Y220" i="15"/>
  <c r="X220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I113" i="15"/>
  <c r="AH113" i="15"/>
  <c r="AI112" i="15"/>
  <c r="AH112" i="15"/>
  <c r="AI111" i="15"/>
  <c r="AH111" i="15"/>
  <c r="AI110" i="15"/>
  <c r="AH110" i="15"/>
  <c r="AI109" i="15"/>
  <c r="AH109" i="15"/>
  <c r="AI108" i="15"/>
  <c r="AH108" i="15"/>
  <c r="W104" i="15"/>
  <c r="AI106" i="15"/>
  <c r="AH106" i="15"/>
  <c r="AI105" i="15"/>
  <c r="AH105" i="15"/>
  <c r="AF104" i="15"/>
  <c r="AE104" i="15"/>
  <c r="AD104" i="15"/>
  <c r="AC104" i="15"/>
  <c r="AB104" i="15"/>
  <c r="AA104" i="15"/>
  <c r="Y104" i="15"/>
  <c r="V104" i="15"/>
  <c r="U104" i="15"/>
  <c r="T104" i="15"/>
  <c r="S104" i="15"/>
  <c r="R104" i="15"/>
  <c r="Q104" i="15"/>
  <c r="D104" i="15"/>
  <c r="C104" i="15"/>
  <c r="AI103" i="15"/>
  <c r="AH103" i="15"/>
  <c r="AI102" i="15"/>
  <c r="AH102" i="15"/>
  <c r="AI101" i="15"/>
  <c r="AH101" i="15"/>
  <c r="AI100" i="15"/>
  <c r="AH100" i="15"/>
  <c r="AI99" i="15"/>
  <c r="AH99" i="15"/>
  <c r="AI98" i="15"/>
  <c r="AH98" i="15"/>
  <c r="AI97" i="15"/>
  <c r="AH97" i="15"/>
  <c r="AI96" i="15"/>
  <c r="AH96" i="15"/>
  <c r="AI95" i="15"/>
  <c r="AH95" i="15"/>
  <c r="AI93" i="15"/>
  <c r="AH93" i="15"/>
  <c r="AI92" i="15"/>
  <c r="AH92" i="15"/>
  <c r="AI91" i="15"/>
  <c r="AH91" i="15"/>
  <c r="AI90" i="15"/>
  <c r="AH90" i="15"/>
  <c r="AI89" i="15"/>
  <c r="AH89" i="15"/>
  <c r="AI88" i="15"/>
  <c r="AH88" i="15"/>
  <c r="AI87" i="15"/>
  <c r="AH87" i="15"/>
  <c r="AI84" i="15"/>
  <c r="AH84" i="15"/>
  <c r="AI82" i="15"/>
  <c r="AH82" i="15"/>
  <c r="AG82" i="15"/>
  <c r="AI81" i="15"/>
  <c r="AH81" i="15"/>
  <c r="AI80" i="15"/>
  <c r="AH80" i="15"/>
  <c r="AI79" i="15"/>
  <c r="AH79" i="15"/>
  <c r="AN78" i="15"/>
  <c r="AG78" i="15"/>
  <c r="AF78" i="15"/>
  <c r="AF94" i="15" s="1"/>
  <c r="AE78" i="15"/>
  <c r="AE94" i="15" s="1"/>
  <c r="AD78" i="15"/>
  <c r="AD94" i="15" s="1"/>
  <c r="AC78" i="15"/>
  <c r="AC94" i="15" s="1"/>
  <c r="AB78" i="15"/>
  <c r="AB94" i="15" s="1"/>
  <c r="AA78" i="15"/>
  <c r="AA94" i="15" s="1"/>
  <c r="Z78" i="15"/>
  <c r="Z94" i="15" s="1"/>
  <c r="Y78" i="15"/>
  <c r="Y94" i="15" s="1"/>
  <c r="W78" i="15"/>
  <c r="W94" i="15" s="1"/>
  <c r="V78" i="15"/>
  <c r="V94" i="15" s="1"/>
  <c r="U78" i="15"/>
  <c r="U94" i="15" s="1"/>
  <c r="T78" i="15"/>
  <c r="T94" i="15" s="1"/>
  <c r="S78" i="15"/>
  <c r="S94" i="15" s="1"/>
  <c r="R78" i="15"/>
  <c r="R94" i="15" s="1"/>
  <c r="Q78" i="15"/>
  <c r="Q94" i="15" s="1"/>
  <c r="P78" i="15"/>
  <c r="P94" i="15" s="1"/>
  <c r="O78" i="15"/>
  <c r="O94" i="15" s="1"/>
  <c r="N78" i="15"/>
  <c r="N94" i="15" s="1"/>
  <c r="M78" i="15"/>
  <c r="M94" i="15" s="1"/>
  <c r="L78" i="15"/>
  <c r="L94" i="15" s="1"/>
  <c r="K78" i="15"/>
  <c r="K94" i="15" s="1"/>
  <c r="J78" i="15"/>
  <c r="J94" i="15" s="1"/>
  <c r="I78" i="15"/>
  <c r="I94" i="15" s="1"/>
  <c r="H78" i="15"/>
  <c r="H94" i="15" s="1"/>
  <c r="G78" i="15"/>
  <c r="G94" i="15" s="1"/>
  <c r="F78" i="15"/>
  <c r="F94" i="15" s="1"/>
  <c r="E78" i="15"/>
  <c r="E94" i="15" s="1"/>
  <c r="D78" i="15"/>
  <c r="D94" i="15" s="1"/>
  <c r="C78" i="15"/>
  <c r="C94" i="15" s="1"/>
  <c r="B78" i="15"/>
  <c r="B94" i="15" s="1"/>
  <c r="AI77" i="15"/>
  <c r="AH77" i="15"/>
  <c r="AN76" i="15"/>
  <c r="AI76" i="15"/>
  <c r="AH76" i="15"/>
  <c r="AN75" i="15"/>
  <c r="AN77" i="15" s="1"/>
  <c r="AI75" i="15"/>
  <c r="AH75" i="15"/>
  <c r="AI74" i="15"/>
  <c r="AH74" i="15"/>
  <c r="AI73" i="15"/>
  <c r="AH73" i="15"/>
  <c r="AI72" i="15"/>
  <c r="AH72" i="15"/>
  <c r="AI71" i="15"/>
  <c r="AH71" i="15"/>
  <c r="AI70" i="15"/>
  <c r="AH70" i="15"/>
  <c r="AI69" i="15"/>
  <c r="AH69" i="15"/>
  <c r="AI68" i="15"/>
  <c r="AH68" i="15"/>
  <c r="AI67" i="15"/>
  <c r="AH67" i="15"/>
  <c r="AG66" i="15"/>
  <c r="AF66" i="15"/>
  <c r="AE66" i="15"/>
  <c r="AD66" i="15"/>
  <c r="AC66" i="15"/>
  <c r="AB66" i="15"/>
  <c r="AA66" i="15"/>
  <c r="Z66" i="15"/>
  <c r="Y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AI65" i="15"/>
  <c r="AH65" i="15"/>
  <c r="AI64" i="15"/>
  <c r="AH64" i="15"/>
  <c r="AI63" i="15"/>
  <c r="AH63" i="15"/>
  <c r="AF62" i="15"/>
  <c r="AE62" i="15"/>
  <c r="AD62" i="15"/>
  <c r="AC62" i="15"/>
  <c r="AB62" i="15"/>
  <c r="AA62" i="15"/>
  <c r="Z62" i="15"/>
  <c r="Y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I61" i="15"/>
  <c r="AH61" i="15"/>
  <c r="AI60" i="15"/>
  <c r="AH60" i="15"/>
  <c r="AI59" i="15"/>
  <c r="AH59" i="15"/>
  <c r="AI58" i="15"/>
  <c r="AH58" i="15"/>
  <c r="AI57" i="15"/>
  <c r="AH57" i="15"/>
  <c r="AI56" i="15"/>
  <c r="AH56" i="15"/>
  <c r="AI55" i="15"/>
  <c r="AH55" i="15"/>
  <c r="AI54" i="15"/>
  <c r="AH54" i="15"/>
  <c r="AI53" i="15"/>
  <c r="AH53" i="15"/>
  <c r="AI52" i="15"/>
  <c r="AH52" i="15"/>
  <c r="AI51" i="15"/>
  <c r="AH51" i="15"/>
  <c r="AI50" i="15"/>
  <c r="AH50" i="15"/>
  <c r="AI49" i="15"/>
  <c r="AH49" i="15"/>
  <c r="AG48" i="15"/>
  <c r="AF48" i="15"/>
  <c r="AE48" i="15"/>
  <c r="AD48" i="15"/>
  <c r="AC48" i="15"/>
  <c r="AB48" i="15"/>
  <c r="AA48" i="15"/>
  <c r="Z48" i="15"/>
  <c r="Y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I47" i="15"/>
  <c r="AH47" i="15"/>
  <c r="AI46" i="15"/>
  <c r="AH46" i="15"/>
  <c r="AI45" i="15"/>
  <c r="AH45" i="15"/>
  <c r="AG44" i="15"/>
  <c r="AF44" i="15"/>
  <c r="AE44" i="15"/>
  <c r="AD44" i="15"/>
  <c r="AC44" i="15"/>
  <c r="AC83" i="15" s="1"/>
  <c r="AC85" i="15" s="1"/>
  <c r="AB44" i="15"/>
  <c r="AA44" i="15"/>
  <c r="Z44" i="15"/>
  <c r="Y44" i="15"/>
  <c r="W44" i="15"/>
  <c r="V44" i="15"/>
  <c r="U44" i="15"/>
  <c r="T44" i="15"/>
  <c r="T83" i="15" s="1"/>
  <c r="T85" i="15" s="1"/>
  <c r="S44" i="15"/>
  <c r="R44" i="15"/>
  <c r="Q44" i="15"/>
  <c r="P44" i="15"/>
  <c r="O44" i="15"/>
  <c r="N44" i="15"/>
  <c r="M44" i="15"/>
  <c r="L44" i="15"/>
  <c r="L83" i="15" s="1"/>
  <c r="L85" i="15" s="1"/>
  <c r="K44" i="15"/>
  <c r="J44" i="15"/>
  <c r="I44" i="15"/>
  <c r="H44" i="15"/>
  <c r="G44" i="15"/>
  <c r="F44" i="15"/>
  <c r="F83" i="15" s="1"/>
  <c r="F85" i="15" s="1"/>
  <c r="E44" i="15"/>
  <c r="D44" i="15"/>
  <c r="D83" i="15" s="1"/>
  <c r="D85" i="15" s="1"/>
  <c r="C44" i="15"/>
  <c r="B44" i="15"/>
  <c r="AI43" i="15"/>
  <c r="AI42" i="15"/>
  <c r="AH42" i="15"/>
  <c r="AI41" i="15"/>
  <c r="AH41" i="15"/>
  <c r="AI40" i="15"/>
  <c r="AH40" i="15"/>
  <c r="AI39" i="15"/>
  <c r="AH39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X7" i="15"/>
  <c r="AE5" i="15"/>
  <c r="AD5" i="15"/>
  <c r="AC5" i="15"/>
  <c r="AB5" i="15"/>
  <c r="AA5" i="15"/>
  <c r="Y5" i="15"/>
  <c r="X5" i="15"/>
  <c r="W5" i="15"/>
  <c r="V5" i="15"/>
  <c r="U5" i="15"/>
  <c r="T5" i="15"/>
  <c r="S5" i="15"/>
  <c r="R5" i="15"/>
  <c r="P5" i="15"/>
  <c r="M5" i="15"/>
  <c r="J5" i="15"/>
  <c r="H5" i="15"/>
  <c r="E5" i="15"/>
  <c r="B5" i="15"/>
  <c r="AG4" i="15"/>
  <c r="K4" i="15"/>
  <c r="E4" i="15"/>
  <c r="H4" i="15" s="1"/>
  <c r="B4" i="15"/>
  <c r="D239" i="15" s="1"/>
  <c r="AG2" i="15"/>
  <c r="AF43" i="14"/>
  <c r="AE43" i="14"/>
  <c r="AA107" i="14"/>
  <c r="AA43" i="14"/>
  <c r="Z107" i="14"/>
  <c r="Z43" i="14"/>
  <c r="Y107" i="14"/>
  <c r="Y43" i="14"/>
  <c r="W107" i="14"/>
  <c r="W43" i="14"/>
  <c r="V107" i="14"/>
  <c r="V104" i="14" s="1"/>
  <c r="V43" i="14"/>
  <c r="U107" i="14"/>
  <c r="U43" i="14"/>
  <c r="T107" i="14"/>
  <c r="T43" i="14"/>
  <c r="S43" i="14"/>
  <c r="R43" i="14"/>
  <c r="O43" i="14"/>
  <c r="N43" i="14"/>
  <c r="M43" i="14"/>
  <c r="L107" i="14"/>
  <c r="K107" i="14"/>
  <c r="J107" i="14"/>
  <c r="I107" i="14"/>
  <c r="H107" i="14"/>
  <c r="G107" i="14"/>
  <c r="F43" i="14"/>
  <c r="F107" i="14"/>
  <c r="E107" i="14"/>
  <c r="AF267" i="14"/>
  <c r="AE267" i="14"/>
  <c r="AD267" i="14"/>
  <c r="AC267" i="14"/>
  <c r="AB267" i="14"/>
  <c r="AA267" i="14"/>
  <c r="Z267" i="14"/>
  <c r="Y267" i="14"/>
  <c r="X267" i="14"/>
  <c r="W267" i="14"/>
  <c r="V267" i="14"/>
  <c r="U267" i="14"/>
  <c r="T267" i="14"/>
  <c r="S267" i="14"/>
  <c r="R267" i="14"/>
  <c r="Q267" i="14"/>
  <c r="P267" i="14"/>
  <c r="O267" i="14"/>
  <c r="N267" i="14"/>
  <c r="M267" i="14"/>
  <c r="L267" i="14"/>
  <c r="K267" i="14"/>
  <c r="J267" i="14"/>
  <c r="I267" i="14"/>
  <c r="H267" i="14"/>
  <c r="G267" i="14"/>
  <c r="F267" i="14"/>
  <c r="E267" i="14"/>
  <c r="D267" i="14"/>
  <c r="C267" i="14"/>
  <c r="B267" i="14"/>
  <c r="A267" i="14"/>
  <c r="AF266" i="14"/>
  <c r="AE266" i="14"/>
  <c r="AD266" i="14"/>
  <c r="AC266" i="14"/>
  <c r="AB266" i="14"/>
  <c r="AA266" i="14"/>
  <c r="Z266" i="14"/>
  <c r="Y266" i="14"/>
  <c r="X266" i="14"/>
  <c r="W266" i="14"/>
  <c r="V266" i="14"/>
  <c r="U266" i="14"/>
  <c r="T266" i="14"/>
  <c r="S266" i="14"/>
  <c r="R266" i="14"/>
  <c r="Q266" i="14"/>
  <c r="P266" i="14"/>
  <c r="O266" i="14"/>
  <c r="N266" i="14"/>
  <c r="M266" i="14"/>
  <c r="L266" i="14"/>
  <c r="K266" i="14"/>
  <c r="J266" i="14"/>
  <c r="I266" i="14"/>
  <c r="H266" i="14"/>
  <c r="G266" i="14"/>
  <c r="F266" i="14"/>
  <c r="E266" i="14"/>
  <c r="D266" i="14"/>
  <c r="C266" i="14"/>
  <c r="B266" i="14"/>
  <c r="A266" i="14"/>
  <c r="AF265" i="14"/>
  <c r="AE265" i="14"/>
  <c r="AD265" i="14"/>
  <c r="AC265" i="14"/>
  <c r="AB265" i="14"/>
  <c r="AA265" i="14"/>
  <c r="Z265" i="14"/>
  <c r="Y265" i="14"/>
  <c r="X265" i="14"/>
  <c r="W265" i="14"/>
  <c r="V265" i="14"/>
  <c r="U265" i="14"/>
  <c r="T265" i="14"/>
  <c r="S265" i="14"/>
  <c r="R265" i="14"/>
  <c r="Q265" i="14"/>
  <c r="P265" i="14"/>
  <c r="O265" i="14"/>
  <c r="N265" i="14"/>
  <c r="M265" i="14"/>
  <c r="L265" i="14"/>
  <c r="K265" i="14"/>
  <c r="J265" i="14"/>
  <c r="I265" i="14"/>
  <c r="H265" i="14"/>
  <c r="G265" i="14"/>
  <c r="F265" i="14"/>
  <c r="E265" i="14"/>
  <c r="D265" i="14"/>
  <c r="C265" i="14"/>
  <c r="B265" i="14"/>
  <c r="A265" i="14"/>
  <c r="AF264" i="14"/>
  <c r="AE264" i="14"/>
  <c r="AD264" i="14"/>
  <c r="AC264" i="14"/>
  <c r="AB264" i="14"/>
  <c r="AA264" i="14"/>
  <c r="Z264" i="14"/>
  <c r="Y264" i="14"/>
  <c r="X264" i="14"/>
  <c r="W264" i="14"/>
  <c r="V264" i="14"/>
  <c r="U264" i="14"/>
  <c r="T264" i="14"/>
  <c r="S264" i="14"/>
  <c r="R264" i="14"/>
  <c r="Q264" i="14"/>
  <c r="P264" i="14"/>
  <c r="O264" i="14"/>
  <c r="N264" i="14"/>
  <c r="M264" i="14"/>
  <c r="L264" i="14"/>
  <c r="K264" i="14"/>
  <c r="J264" i="14"/>
  <c r="I264" i="14"/>
  <c r="H264" i="14"/>
  <c r="G264" i="14"/>
  <c r="F264" i="14"/>
  <c r="E264" i="14"/>
  <c r="D264" i="14"/>
  <c r="C264" i="14"/>
  <c r="B264" i="14"/>
  <c r="A264" i="14"/>
  <c r="AE263" i="14"/>
  <c r="AD263" i="14"/>
  <c r="AC263" i="14"/>
  <c r="AB263" i="14"/>
  <c r="AA263" i="14"/>
  <c r="Z263" i="14"/>
  <c r="Y263" i="14"/>
  <c r="X263" i="14"/>
  <c r="W263" i="14"/>
  <c r="V263" i="14"/>
  <c r="U263" i="14"/>
  <c r="T263" i="14"/>
  <c r="S263" i="14"/>
  <c r="R263" i="14"/>
  <c r="Q263" i="14"/>
  <c r="P263" i="14"/>
  <c r="B263" i="14"/>
  <c r="S238" i="14"/>
  <c r="AG228" i="14"/>
  <c r="AG61" i="14" s="1"/>
  <c r="AG62" i="14" s="1"/>
  <c r="AG3" i="14" s="1"/>
  <c r="AF228" i="14"/>
  <c r="AE228" i="14"/>
  <c r="AD228" i="14"/>
  <c r="AC228" i="14"/>
  <c r="AB228" i="14"/>
  <c r="AA228" i="14"/>
  <c r="Z228" i="14"/>
  <c r="Y228" i="14"/>
  <c r="X228" i="14"/>
  <c r="W228" i="14"/>
  <c r="V228" i="14"/>
  <c r="U228" i="14"/>
  <c r="T228" i="14"/>
  <c r="S228" i="14"/>
  <c r="R228" i="14"/>
  <c r="Q228" i="14"/>
  <c r="C228" i="14"/>
  <c r="D227" i="14"/>
  <c r="E227" i="14" s="1"/>
  <c r="B227" i="14"/>
  <c r="AF263" i="14" s="1"/>
  <c r="D226" i="14"/>
  <c r="E226" i="14" s="1"/>
  <c r="F226" i="14" s="1"/>
  <c r="G226" i="14" s="1"/>
  <c r="H226" i="14" s="1"/>
  <c r="I226" i="14" s="1"/>
  <c r="J226" i="14" s="1"/>
  <c r="K226" i="14" s="1"/>
  <c r="L226" i="14" s="1"/>
  <c r="M226" i="14" s="1"/>
  <c r="N226" i="14" s="1"/>
  <c r="O226" i="14" s="1"/>
  <c r="P226" i="14" s="1"/>
  <c r="B226" i="14"/>
  <c r="D225" i="14"/>
  <c r="E225" i="14" s="1"/>
  <c r="F225" i="14" s="1"/>
  <c r="G225" i="14" s="1"/>
  <c r="H225" i="14" s="1"/>
  <c r="I225" i="14" s="1"/>
  <c r="B225" i="14"/>
  <c r="D224" i="14"/>
  <c r="E224" i="14" s="1"/>
  <c r="F224" i="14" s="1"/>
  <c r="G224" i="14" s="1"/>
  <c r="H224" i="14" s="1"/>
  <c r="B224" i="14"/>
  <c r="D223" i="14"/>
  <c r="E223" i="14" s="1"/>
  <c r="F223" i="14" s="1"/>
  <c r="G223" i="14" s="1"/>
  <c r="H223" i="14" s="1"/>
  <c r="I223" i="14" s="1"/>
  <c r="J223" i="14" s="1"/>
  <c r="K223" i="14" s="1"/>
  <c r="L223" i="14" s="1"/>
  <c r="M223" i="14" s="1"/>
  <c r="N223" i="14" s="1"/>
  <c r="O223" i="14" s="1"/>
  <c r="P223" i="14" s="1"/>
  <c r="B223" i="14"/>
  <c r="D222" i="14"/>
  <c r="D228" i="14" s="1"/>
  <c r="B222" i="14"/>
  <c r="AG220" i="14"/>
  <c r="AF220" i="14"/>
  <c r="AE220" i="14"/>
  <c r="AD220" i="14"/>
  <c r="AC220" i="14"/>
  <c r="AB220" i="14"/>
  <c r="AA220" i="14"/>
  <c r="Z220" i="14"/>
  <c r="Y220" i="14"/>
  <c r="X220" i="14"/>
  <c r="W220" i="14"/>
  <c r="V220" i="14"/>
  <c r="U220" i="14"/>
  <c r="T220" i="14"/>
  <c r="S220" i="14"/>
  <c r="R220" i="14"/>
  <c r="Q220" i="14"/>
  <c r="P220" i="14"/>
  <c r="O220" i="14"/>
  <c r="N220" i="14"/>
  <c r="M220" i="14"/>
  <c r="L220" i="14"/>
  <c r="K220" i="14"/>
  <c r="J220" i="14"/>
  <c r="I220" i="14"/>
  <c r="H220" i="14"/>
  <c r="G220" i="14"/>
  <c r="F220" i="14"/>
  <c r="E220" i="14"/>
  <c r="D220" i="14"/>
  <c r="C220" i="14"/>
  <c r="B220" i="14"/>
  <c r="AI113" i="14"/>
  <c r="AH113" i="14"/>
  <c r="AI112" i="14"/>
  <c r="AH112" i="14"/>
  <c r="AI111" i="14"/>
  <c r="AH111" i="14"/>
  <c r="AI110" i="14"/>
  <c r="AH110" i="14"/>
  <c r="AI109" i="14"/>
  <c r="AH109" i="14"/>
  <c r="AI108" i="14"/>
  <c r="AH108" i="14"/>
  <c r="Z104" i="14"/>
  <c r="S104" i="14"/>
  <c r="D104" i="14"/>
  <c r="B107" i="14"/>
  <c r="B104" i="14" s="1"/>
  <c r="AI106" i="14"/>
  <c r="AH106" i="14"/>
  <c r="AI105" i="14"/>
  <c r="AH105" i="14"/>
  <c r="AF104" i="14"/>
  <c r="AE104" i="14"/>
  <c r="AD104" i="14"/>
  <c r="AC104" i="14"/>
  <c r="AB104" i="14"/>
  <c r="AA104" i="14"/>
  <c r="Y104" i="14"/>
  <c r="W104" i="14"/>
  <c r="U104" i="14"/>
  <c r="T104" i="14"/>
  <c r="R104" i="14"/>
  <c r="Q104" i="14"/>
  <c r="AI103" i="14"/>
  <c r="AH103" i="14"/>
  <c r="AI102" i="14"/>
  <c r="AH102" i="14"/>
  <c r="AI101" i="14"/>
  <c r="AH101" i="14"/>
  <c r="AI100" i="14"/>
  <c r="AH100" i="14"/>
  <c r="AI99" i="14"/>
  <c r="AH99" i="14"/>
  <c r="AI98" i="14"/>
  <c r="AH98" i="14"/>
  <c r="AI97" i="14"/>
  <c r="AH97" i="14"/>
  <c r="AI96" i="14"/>
  <c r="AH96" i="14"/>
  <c r="AI95" i="14"/>
  <c r="AH95" i="14"/>
  <c r="AI93" i="14"/>
  <c r="AH93" i="14"/>
  <c r="AI92" i="14"/>
  <c r="AH92" i="14"/>
  <c r="AI91" i="14"/>
  <c r="AH91" i="14"/>
  <c r="AI90" i="14"/>
  <c r="AH90" i="14"/>
  <c r="AI89" i="14"/>
  <c r="AH89" i="14"/>
  <c r="AI88" i="14"/>
  <c r="AH88" i="14"/>
  <c r="AI87" i="14"/>
  <c r="AH87" i="14"/>
  <c r="AI84" i="14"/>
  <c r="AH84" i="14"/>
  <c r="AI82" i="14"/>
  <c r="AH82" i="14"/>
  <c r="AG82" i="14"/>
  <c r="AI81" i="14"/>
  <c r="AH81" i="14"/>
  <c r="AI80" i="14"/>
  <c r="AH80" i="14"/>
  <c r="AI79" i="14"/>
  <c r="AH79" i="14"/>
  <c r="AN78" i="14"/>
  <c r="AG78" i="14"/>
  <c r="AF78" i="14"/>
  <c r="AF94" i="14" s="1"/>
  <c r="AE78" i="14"/>
  <c r="AD5" i="14" s="1"/>
  <c r="AD78" i="14"/>
  <c r="AD94" i="14" s="1"/>
  <c r="AC78" i="14"/>
  <c r="AC94" i="14" s="1"/>
  <c r="AB78" i="14"/>
  <c r="AA5" i="14" s="1"/>
  <c r="AA78" i="14"/>
  <c r="AA94" i="14" s="1"/>
  <c r="Z78" i="14"/>
  <c r="Z94" i="14" s="1"/>
  <c r="Y78" i="14"/>
  <c r="Y94" i="14" s="1"/>
  <c r="W78" i="14"/>
  <c r="W94" i="14" s="1"/>
  <c r="V78" i="14"/>
  <c r="V94" i="14" s="1"/>
  <c r="U78" i="14"/>
  <c r="U94" i="14" s="1"/>
  <c r="T78" i="14"/>
  <c r="T94" i="14" s="1"/>
  <c r="S78" i="14"/>
  <c r="R78" i="14"/>
  <c r="R94" i="14" s="1"/>
  <c r="Q78" i="14"/>
  <c r="Q94" i="14" s="1"/>
  <c r="P78" i="14"/>
  <c r="P94" i="14" s="1"/>
  <c r="O78" i="14"/>
  <c r="O94" i="14" s="1"/>
  <c r="N78" i="14"/>
  <c r="N94" i="14" s="1"/>
  <c r="M78" i="14"/>
  <c r="M94" i="14" s="1"/>
  <c r="L78" i="14"/>
  <c r="K5" i="14" s="1"/>
  <c r="K78" i="14"/>
  <c r="J78" i="14"/>
  <c r="J94" i="14" s="1"/>
  <c r="I78" i="14"/>
  <c r="I94" i="14" s="1"/>
  <c r="H78" i="14"/>
  <c r="H94" i="14" s="1"/>
  <c r="G78" i="14"/>
  <c r="G94" i="14" s="1"/>
  <c r="F78" i="14"/>
  <c r="F94" i="14" s="1"/>
  <c r="E78" i="14"/>
  <c r="E94" i="14" s="1"/>
  <c r="D78" i="14"/>
  <c r="D94" i="14" s="1"/>
  <c r="C78" i="14"/>
  <c r="B78" i="14"/>
  <c r="B94" i="14" s="1"/>
  <c r="AI77" i="14"/>
  <c r="AH77" i="14"/>
  <c r="AN76" i="14"/>
  <c r="AI76" i="14"/>
  <c r="AH76" i="14"/>
  <c r="AN75" i="14"/>
  <c r="AN77" i="14" s="1"/>
  <c r="AI75" i="14"/>
  <c r="AH75" i="14"/>
  <c r="AI74" i="14"/>
  <c r="AH74" i="14"/>
  <c r="AI73" i="14"/>
  <c r="AH73" i="14"/>
  <c r="AI72" i="14"/>
  <c r="AH72" i="14"/>
  <c r="AI71" i="14"/>
  <c r="AH71" i="14"/>
  <c r="AI70" i="14"/>
  <c r="AH70" i="14"/>
  <c r="AI69" i="14"/>
  <c r="AH69" i="14"/>
  <c r="AI68" i="14"/>
  <c r="AH68" i="14"/>
  <c r="AI67" i="14"/>
  <c r="AH67" i="14"/>
  <c r="AG66" i="14"/>
  <c r="AF66" i="14"/>
  <c r="AE66" i="14"/>
  <c r="AD66" i="14"/>
  <c r="AC66" i="14"/>
  <c r="AB66" i="14"/>
  <c r="AA66" i="14"/>
  <c r="Z66" i="14"/>
  <c r="Y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AI65" i="14"/>
  <c r="AH65" i="14"/>
  <c r="AI64" i="14"/>
  <c r="AH64" i="14"/>
  <c r="AI63" i="14"/>
  <c r="AH63" i="14"/>
  <c r="AF62" i="14"/>
  <c r="AE62" i="14"/>
  <c r="AD62" i="14"/>
  <c r="AC62" i="14"/>
  <c r="AB62" i="14"/>
  <c r="AA62" i="14"/>
  <c r="Z62" i="14"/>
  <c r="Y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I61" i="14"/>
  <c r="AH61" i="14"/>
  <c r="AI60" i="14"/>
  <c r="AH60" i="14"/>
  <c r="AI59" i="14"/>
  <c r="AH59" i="14"/>
  <c r="AI58" i="14"/>
  <c r="AH58" i="14"/>
  <c r="AI57" i="14"/>
  <c r="AH57" i="14"/>
  <c r="AI56" i="14"/>
  <c r="AH56" i="14"/>
  <c r="AI55" i="14"/>
  <c r="AH55" i="14"/>
  <c r="AI54" i="14"/>
  <c r="AH54" i="14"/>
  <c r="AI53" i="14"/>
  <c r="AH53" i="14"/>
  <c r="AI52" i="14"/>
  <c r="AH52" i="14"/>
  <c r="AI51" i="14"/>
  <c r="AH51" i="14"/>
  <c r="AI50" i="14"/>
  <c r="AH50" i="14"/>
  <c r="AI49" i="14"/>
  <c r="AH49" i="14"/>
  <c r="AG48" i="14"/>
  <c r="AF48" i="14"/>
  <c r="AE48" i="14"/>
  <c r="AD48" i="14"/>
  <c r="AC48" i="14"/>
  <c r="AB48" i="14"/>
  <c r="AA48" i="14"/>
  <c r="Z48" i="14"/>
  <c r="Y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I47" i="14"/>
  <c r="AH47" i="14"/>
  <c r="AI46" i="14"/>
  <c r="AH46" i="14"/>
  <c r="AI45" i="14"/>
  <c r="AH45" i="14"/>
  <c r="AG44" i="14"/>
  <c r="AF44" i="14"/>
  <c r="AE44" i="14"/>
  <c r="AD44" i="14"/>
  <c r="AC44" i="14"/>
  <c r="AB44" i="14"/>
  <c r="AA44" i="14"/>
  <c r="Z44" i="14"/>
  <c r="Y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L43" i="14"/>
  <c r="K43" i="14"/>
  <c r="J43" i="14"/>
  <c r="I43" i="14"/>
  <c r="H43" i="14"/>
  <c r="G43" i="14"/>
  <c r="E43" i="14"/>
  <c r="B43" i="14"/>
  <c r="AI42" i="14"/>
  <c r="AH42" i="14"/>
  <c r="AI41" i="14"/>
  <c r="AH41" i="14"/>
  <c r="AI40" i="14"/>
  <c r="AH40" i="14"/>
  <c r="AI39" i="14"/>
  <c r="AH39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W5" i="14"/>
  <c r="AG4" i="14"/>
  <c r="K4" i="14"/>
  <c r="E4" i="14"/>
  <c r="H4" i="14" s="1"/>
  <c r="B4" i="14"/>
  <c r="S239" i="14" s="1"/>
  <c r="AF48" i="2"/>
  <c r="AF43" i="2"/>
  <c r="AE43" i="2"/>
  <c r="AD43" i="2"/>
  <c r="AD44" i="2"/>
  <c r="AD48" i="2"/>
  <c r="AC43" i="2"/>
  <c r="AB43" i="2"/>
  <c r="AA43" i="2"/>
  <c r="Z107" i="2"/>
  <c r="Z104" i="2" s="1"/>
  <c r="Z43" i="2"/>
  <c r="Y107" i="2"/>
  <c r="Y43" i="2"/>
  <c r="X107" i="2"/>
  <c r="W43" i="2"/>
  <c r="V107" i="2"/>
  <c r="V43" i="2"/>
  <c r="U107" i="2"/>
  <c r="U104" i="2" s="1"/>
  <c r="U43" i="2"/>
  <c r="T107" i="2"/>
  <c r="T43" i="2"/>
  <c r="S107" i="2"/>
  <c r="S43" i="2"/>
  <c r="R43" i="2"/>
  <c r="Q43" i="2"/>
  <c r="P43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E48" i="2"/>
  <c r="O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E44" i="2"/>
  <c r="AF44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Q104" i="2"/>
  <c r="R104" i="2"/>
  <c r="S104" i="2"/>
  <c r="T104" i="2"/>
  <c r="V104" i="2"/>
  <c r="W104" i="2"/>
  <c r="X104" i="2"/>
  <c r="Y104" i="2"/>
  <c r="AA104" i="2"/>
  <c r="AB104" i="2"/>
  <c r="AC104" i="2"/>
  <c r="AD104" i="2"/>
  <c r="AE104" i="2"/>
  <c r="AF104" i="2"/>
  <c r="M48" i="2"/>
  <c r="N48" i="2"/>
  <c r="N43" i="2"/>
  <c r="AP242" i="16" l="1"/>
  <c r="X86" i="16"/>
  <c r="F227" i="14"/>
  <c r="E263" i="14" s="1"/>
  <c r="D263" i="14"/>
  <c r="AH107" i="14"/>
  <c r="C5" i="15"/>
  <c r="B228" i="15"/>
  <c r="R83" i="16"/>
  <c r="R85" i="16" s="1"/>
  <c r="R7" i="16" s="1"/>
  <c r="U94" i="16"/>
  <c r="B228" i="14"/>
  <c r="C263" i="14"/>
  <c r="AN77" i="16"/>
  <c r="AG6" i="17"/>
  <c r="AI43" i="14"/>
  <c r="AG85" i="14"/>
  <c r="H83" i="15"/>
  <c r="H85" i="15" s="1"/>
  <c r="Y83" i="15"/>
  <c r="Y85" i="15" s="1"/>
  <c r="D104" i="17"/>
  <c r="V83" i="16"/>
  <c r="V85" i="16" s="1"/>
  <c r="D228" i="16"/>
  <c r="AI107" i="16"/>
  <c r="AH43" i="14"/>
  <c r="P83" i="15"/>
  <c r="P85" i="15" s="1"/>
  <c r="P7" i="15" s="1"/>
  <c r="AI86" i="18"/>
  <c r="AH86" i="18"/>
  <c r="G263" i="18"/>
  <c r="I227" i="18"/>
  <c r="H104" i="18"/>
  <c r="H228" i="18"/>
  <c r="K222" i="18"/>
  <c r="AE94" i="17"/>
  <c r="AE83" i="17"/>
  <c r="AE85" i="17" s="1"/>
  <c r="AD83" i="17"/>
  <c r="AD85" i="17" s="1"/>
  <c r="AB5" i="17"/>
  <c r="AC83" i="17"/>
  <c r="AC85" i="17" s="1"/>
  <c r="AA5" i="17"/>
  <c r="AB83" i="17"/>
  <c r="AB85" i="17" s="1"/>
  <c r="AT242" i="17" s="1"/>
  <c r="F227" i="17"/>
  <c r="D263" i="17"/>
  <c r="D228" i="17"/>
  <c r="AF83" i="17"/>
  <c r="AF85" i="17" s="1"/>
  <c r="AF86" i="17" s="1"/>
  <c r="C263" i="17"/>
  <c r="B228" i="17"/>
  <c r="Z5" i="17"/>
  <c r="AA83" i="17"/>
  <c r="AA85" i="17" s="1"/>
  <c r="AA86" i="17" s="1"/>
  <c r="Y5" i="17"/>
  <c r="Z83" i="17"/>
  <c r="Z85" i="17" s="1"/>
  <c r="Z86" i="17" s="1"/>
  <c r="V5" i="17"/>
  <c r="W83" i="17"/>
  <c r="W85" i="17" s="1"/>
  <c r="W86" i="17" s="1"/>
  <c r="V94" i="17"/>
  <c r="V83" i="17"/>
  <c r="V85" i="17" s="1"/>
  <c r="V7" i="17" s="1"/>
  <c r="U83" i="17"/>
  <c r="U85" i="17" s="1"/>
  <c r="S5" i="17"/>
  <c r="T83" i="17"/>
  <c r="T85" i="17" s="1"/>
  <c r="R5" i="17"/>
  <c r="S83" i="17"/>
  <c r="S85" i="17" s="1"/>
  <c r="S7" i="17" s="1"/>
  <c r="P5" i="17"/>
  <c r="R83" i="17"/>
  <c r="R85" i="17" s="1"/>
  <c r="R7" i="17" s="1"/>
  <c r="Q5" i="17"/>
  <c r="Q83" i="17"/>
  <c r="Q85" i="17" s="1"/>
  <c r="P94" i="17"/>
  <c r="P83" i="17"/>
  <c r="P85" i="17" s="1"/>
  <c r="N5" i="17"/>
  <c r="O83" i="17"/>
  <c r="O85" i="17" s="1"/>
  <c r="O7" i="17" s="1"/>
  <c r="M5" i="17"/>
  <c r="N83" i="17"/>
  <c r="N85" i="17" s="1"/>
  <c r="N86" i="17" s="1"/>
  <c r="M83" i="17"/>
  <c r="M85" i="17" s="1"/>
  <c r="AE242" i="17" s="1"/>
  <c r="K5" i="17"/>
  <c r="L83" i="17"/>
  <c r="L85" i="17" s="1"/>
  <c r="L86" i="17" s="1"/>
  <c r="J5" i="17"/>
  <c r="AH66" i="17"/>
  <c r="K83" i="17"/>
  <c r="K85" i="17" s="1"/>
  <c r="AC242" i="17" s="1"/>
  <c r="AI66" i="17"/>
  <c r="J83" i="17"/>
  <c r="J85" i="17" s="1"/>
  <c r="J7" i="17" s="1"/>
  <c r="I5" i="17"/>
  <c r="H5" i="17"/>
  <c r="I83" i="17"/>
  <c r="I85" i="17" s="1"/>
  <c r="I86" i="17" s="1"/>
  <c r="G5" i="17"/>
  <c r="H83" i="17"/>
  <c r="H85" i="17" s="1"/>
  <c r="H86" i="17" s="1"/>
  <c r="F5" i="17"/>
  <c r="G83" i="17"/>
  <c r="G85" i="17" s="1"/>
  <c r="F94" i="17"/>
  <c r="F83" i="17"/>
  <c r="F85" i="17" s="1"/>
  <c r="X242" i="17" s="1"/>
  <c r="E83" i="17"/>
  <c r="E85" i="17" s="1"/>
  <c r="W242" i="17" s="1"/>
  <c r="AI48" i="17"/>
  <c r="C5" i="17"/>
  <c r="D83" i="17"/>
  <c r="D85" i="17" s="1"/>
  <c r="D7" i="17" s="1"/>
  <c r="C83" i="17"/>
  <c r="C85" i="17" s="1"/>
  <c r="B5" i="17"/>
  <c r="AI62" i="17"/>
  <c r="AI44" i="17"/>
  <c r="AF5" i="17"/>
  <c r="B83" i="17"/>
  <c r="B85" i="17" s="1"/>
  <c r="B86" i="17" s="1"/>
  <c r="AU242" i="17"/>
  <c r="AC86" i="17"/>
  <c r="AC7" i="17"/>
  <c r="J225" i="17"/>
  <c r="K225" i="17" s="1"/>
  <c r="L225" i="17" s="1"/>
  <c r="M225" i="17" s="1"/>
  <c r="N225" i="17" s="1"/>
  <c r="O225" i="17" s="1"/>
  <c r="P225" i="17" s="1"/>
  <c r="AM242" i="17"/>
  <c r="U86" i="17"/>
  <c r="U7" i="17"/>
  <c r="C86" i="17"/>
  <c r="S86" i="17"/>
  <c r="AL242" i="17"/>
  <c r="T86" i="17"/>
  <c r="T7" i="17"/>
  <c r="V86" i="17"/>
  <c r="AN242" i="17"/>
  <c r="AW242" i="17"/>
  <c r="AE7" i="17"/>
  <c r="AE86" i="17"/>
  <c r="AG242" i="17"/>
  <c r="O86" i="17"/>
  <c r="AG85" i="17"/>
  <c r="P86" i="17"/>
  <c r="P7" i="17"/>
  <c r="AH242" i="17"/>
  <c r="Y7" i="17"/>
  <c r="AQ242" i="17"/>
  <c r="AG83" i="17"/>
  <c r="R86" i="17"/>
  <c r="AV242" i="17"/>
  <c r="AD86" i="17"/>
  <c r="AD7" i="17"/>
  <c r="Q86" i="17"/>
  <c r="Q7" i="17"/>
  <c r="AI242" i="17"/>
  <c r="AH78" i="17"/>
  <c r="B104" i="17"/>
  <c r="D239" i="17"/>
  <c r="AH62" i="17"/>
  <c r="AI78" i="17"/>
  <c r="E94" i="17"/>
  <c r="M94" i="17"/>
  <c r="U94" i="17"/>
  <c r="AD94" i="17"/>
  <c r="E222" i="17"/>
  <c r="AH48" i="17"/>
  <c r="AH44" i="17"/>
  <c r="AD5" i="16"/>
  <c r="AE5" i="16"/>
  <c r="AF83" i="16"/>
  <c r="AF85" i="16" s="1"/>
  <c r="AF7" i="16" s="1"/>
  <c r="AE83" i="16"/>
  <c r="AE85" i="16" s="1"/>
  <c r="AC5" i="16"/>
  <c r="AD83" i="16"/>
  <c r="AD85" i="16" s="1"/>
  <c r="AD86" i="16" s="1"/>
  <c r="AB5" i="16"/>
  <c r="AC83" i="16"/>
  <c r="AC85" i="16" s="1"/>
  <c r="AB83" i="16"/>
  <c r="AB85" i="16" s="1"/>
  <c r="AA83" i="16"/>
  <c r="AA85" i="16" s="1"/>
  <c r="Y5" i="16"/>
  <c r="Z83" i="16"/>
  <c r="Z85" i="16" s="1"/>
  <c r="X7" i="16"/>
  <c r="AI43" i="16"/>
  <c r="AH43" i="16"/>
  <c r="X5" i="16"/>
  <c r="Y83" i="16"/>
  <c r="Y85" i="16" s="1"/>
  <c r="Y86" i="16" s="1"/>
  <c r="V5" i="16"/>
  <c r="W83" i="16"/>
  <c r="W85" i="16" s="1"/>
  <c r="AO242" i="16" s="1"/>
  <c r="V94" i="16"/>
  <c r="S83" i="16"/>
  <c r="S85" i="16" s="1"/>
  <c r="S86" i="16" s="1"/>
  <c r="Q83" i="16"/>
  <c r="Q85" i="16" s="1"/>
  <c r="Q86" i="16" s="1"/>
  <c r="P5" i="16"/>
  <c r="O5" i="16"/>
  <c r="P83" i="16"/>
  <c r="P85" i="16" s="1"/>
  <c r="N5" i="16"/>
  <c r="O83" i="16"/>
  <c r="O85" i="16" s="1"/>
  <c r="AG242" i="16" s="1"/>
  <c r="AH107" i="16"/>
  <c r="M5" i="16"/>
  <c r="N83" i="16"/>
  <c r="N85" i="16" s="1"/>
  <c r="AF242" i="16" s="1"/>
  <c r="L5" i="16"/>
  <c r="AI66" i="16"/>
  <c r="T83" i="16"/>
  <c r="T85" i="16" s="1"/>
  <c r="T7" i="16" s="1"/>
  <c r="M83" i="16"/>
  <c r="M85" i="16" s="1"/>
  <c r="AE242" i="16" s="1"/>
  <c r="U83" i="16"/>
  <c r="U85" i="16" s="1"/>
  <c r="U7" i="16" s="1"/>
  <c r="K5" i="16"/>
  <c r="J83" i="16"/>
  <c r="J85" i="16" s="1"/>
  <c r="AB242" i="16" s="1"/>
  <c r="L83" i="16"/>
  <c r="L85" i="16" s="1"/>
  <c r="L86" i="16" s="1"/>
  <c r="K83" i="16"/>
  <c r="K85" i="16" s="1"/>
  <c r="K7" i="16" s="1"/>
  <c r="H5" i="16"/>
  <c r="I83" i="16"/>
  <c r="I85" i="16" s="1"/>
  <c r="I86" i="16" s="1"/>
  <c r="G5" i="16"/>
  <c r="H83" i="16"/>
  <c r="H85" i="16" s="1"/>
  <c r="H86" i="16" s="1"/>
  <c r="F5" i="16"/>
  <c r="G83" i="16"/>
  <c r="G85" i="16" s="1"/>
  <c r="Y242" i="16" s="1"/>
  <c r="F83" i="16"/>
  <c r="F85" i="16" s="1"/>
  <c r="F86" i="16" s="1"/>
  <c r="E5" i="16"/>
  <c r="D5" i="16"/>
  <c r="E83" i="16"/>
  <c r="E85" i="16" s="1"/>
  <c r="W242" i="16" s="1"/>
  <c r="AI44" i="16"/>
  <c r="D83" i="16"/>
  <c r="D85" i="16" s="1"/>
  <c r="D7" i="16" s="1"/>
  <c r="AI62" i="16"/>
  <c r="AI48" i="16"/>
  <c r="C83" i="16"/>
  <c r="C85" i="16" s="1"/>
  <c r="C86" i="16" s="1"/>
  <c r="AH62" i="16"/>
  <c r="S239" i="16"/>
  <c r="W7" i="16"/>
  <c r="N7" i="16"/>
  <c r="AG3" i="16"/>
  <c r="AG6" i="16" s="1"/>
  <c r="AG83" i="16"/>
  <c r="E263" i="16"/>
  <c r="G227" i="16"/>
  <c r="Z86" i="16"/>
  <c r="Z7" i="16"/>
  <c r="AR242" i="16"/>
  <c r="AG85" i="16"/>
  <c r="AQ242" i="16"/>
  <c r="Y7" i="16"/>
  <c r="J225" i="16"/>
  <c r="K225" i="16" s="1"/>
  <c r="L225" i="16" s="1"/>
  <c r="M225" i="16" s="1"/>
  <c r="N225" i="16" s="1"/>
  <c r="O225" i="16" s="1"/>
  <c r="P225" i="16" s="1"/>
  <c r="J7" i="16"/>
  <c r="AA7" i="16"/>
  <c r="AS242" i="16"/>
  <c r="AA86" i="16"/>
  <c r="AF86" i="16"/>
  <c r="AN242" i="16"/>
  <c r="V86" i="16"/>
  <c r="V7" i="16"/>
  <c r="P86" i="16"/>
  <c r="P7" i="16"/>
  <c r="AH242" i="16"/>
  <c r="S7" i="16"/>
  <c r="AT242" i="16"/>
  <c r="AB86" i="16"/>
  <c r="AB7" i="16"/>
  <c r="AI94" i="16"/>
  <c r="AH94" i="16"/>
  <c r="AU242" i="16"/>
  <c r="AC86" i="16"/>
  <c r="AC7" i="16"/>
  <c r="AW242" i="16"/>
  <c r="AE86" i="16"/>
  <c r="AE7" i="16"/>
  <c r="E7" i="16"/>
  <c r="E86" i="16"/>
  <c r="AV242" i="16"/>
  <c r="AH78" i="16"/>
  <c r="B104" i="16"/>
  <c r="I5" i="16"/>
  <c r="Q5" i="16"/>
  <c r="E222" i="16"/>
  <c r="D263" i="16"/>
  <c r="AI78" i="16"/>
  <c r="B5" i="16"/>
  <c r="J5" i="16"/>
  <c r="R5" i="16"/>
  <c r="Z5" i="16"/>
  <c r="B83" i="16"/>
  <c r="AF5" i="16"/>
  <c r="AA5" i="16"/>
  <c r="AH48" i="16"/>
  <c r="AH44" i="16"/>
  <c r="AH66" i="16"/>
  <c r="K5" i="15"/>
  <c r="I83" i="15"/>
  <c r="I85" i="15" s="1"/>
  <c r="Q83" i="15"/>
  <c r="Q85" i="15" s="1"/>
  <c r="Q86" i="15" s="1"/>
  <c r="Z83" i="15"/>
  <c r="Z85" i="15" s="1"/>
  <c r="Z7" i="15" s="1"/>
  <c r="M83" i="15"/>
  <c r="M85" i="15" s="1"/>
  <c r="AE242" i="15" s="1"/>
  <c r="U83" i="15"/>
  <c r="U85" i="15" s="1"/>
  <c r="U7" i="15" s="1"/>
  <c r="AD83" i="15"/>
  <c r="AD85" i="15" s="1"/>
  <c r="AV242" i="15" s="1"/>
  <c r="AH62" i="15"/>
  <c r="AI62" i="15"/>
  <c r="L5" i="15"/>
  <c r="D5" i="15"/>
  <c r="O5" i="15"/>
  <c r="E83" i="15"/>
  <c r="E85" i="15" s="1"/>
  <c r="W242" i="15" s="1"/>
  <c r="G5" i="15"/>
  <c r="N5" i="15"/>
  <c r="F5" i="15"/>
  <c r="G83" i="15"/>
  <c r="G85" i="15" s="1"/>
  <c r="G86" i="15" s="1"/>
  <c r="N83" i="15"/>
  <c r="N85" i="15" s="1"/>
  <c r="N7" i="15" s="1"/>
  <c r="V83" i="15"/>
  <c r="V85" i="15" s="1"/>
  <c r="AN242" i="15" s="1"/>
  <c r="AE83" i="15"/>
  <c r="AE85" i="15" s="1"/>
  <c r="AE86" i="15" s="1"/>
  <c r="AI66" i="15"/>
  <c r="O83" i="15"/>
  <c r="O85" i="15" s="1"/>
  <c r="AG242" i="15" s="1"/>
  <c r="W83" i="15"/>
  <c r="W85" i="15" s="1"/>
  <c r="W86" i="15" s="1"/>
  <c r="AF83" i="15"/>
  <c r="AF85" i="15" s="1"/>
  <c r="AF7" i="15" s="1"/>
  <c r="AI48" i="15"/>
  <c r="J83" i="15"/>
  <c r="J85" i="15" s="1"/>
  <c r="J7" i="15" s="1"/>
  <c r="R83" i="15"/>
  <c r="R85" i="15" s="1"/>
  <c r="R7" i="15" s="1"/>
  <c r="AA83" i="15"/>
  <c r="AA85" i="15" s="1"/>
  <c r="AS242" i="15" s="1"/>
  <c r="C83" i="15"/>
  <c r="C85" i="15" s="1"/>
  <c r="U242" i="15" s="1"/>
  <c r="K83" i="15"/>
  <c r="K85" i="15" s="1"/>
  <c r="K7" i="15" s="1"/>
  <c r="S83" i="15"/>
  <c r="S85" i="15" s="1"/>
  <c r="S86" i="15" s="1"/>
  <c r="AB83" i="15"/>
  <c r="AB85" i="15" s="1"/>
  <c r="AB86" i="15" s="1"/>
  <c r="AI44" i="15"/>
  <c r="S239" i="15"/>
  <c r="V242" i="15"/>
  <c r="D86" i="15"/>
  <c r="D7" i="15"/>
  <c r="L7" i="15"/>
  <c r="AD242" i="15"/>
  <c r="L86" i="15"/>
  <c r="T7" i="15"/>
  <c r="AL242" i="15"/>
  <c r="T86" i="15"/>
  <c r="AU242" i="15"/>
  <c r="AC86" i="15"/>
  <c r="AC7" i="15"/>
  <c r="E7" i="15"/>
  <c r="G222" i="15"/>
  <c r="J225" i="15"/>
  <c r="K225" i="15" s="1"/>
  <c r="L225" i="15" s="1"/>
  <c r="M225" i="15" s="1"/>
  <c r="N225" i="15" s="1"/>
  <c r="O225" i="15" s="1"/>
  <c r="P225" i="15" s="1"/>
  <c r="X242" i="15"/>
  <c r="F86" i="15"/>
  <c r="F7" i="15"/>
  <c r="H86" i="15"/>
  <c r="H7" i="15"/>
  <c r="Z242" i="15"/>
  <c r="P86" i="15"/>
  <c r="Y86" i="15"/>
  <c r="Y7" i="15"/>
  <c r="AQ242" i="15"/>
  <c r="AG83" i="15"/>
  <c r="AG85" i="15"/>
  <c r="I86" i="15"/>
  <c r="I7" i="15"/>
  <c r="AA242" i="15"/>
  <c r="Z86" i="15"/>
  <c r="AG6" i="15"/>
  <c r="AI94" i="15"/>
  <c r="AH94" i="15"/>
  <c r="AH78" i="15"/>
  <c r="B104" i="15"/>
  <c r="E228" i="15"/>
  <c r="F227" i="15"/>
  <c r="F104" i="15" s="1"/>
  <c r="AI78" i="15"/>
  <c r="AF5" i="15"/>
  <c r="E104" i="15"/>
  <c r="AH107" i="15"/>
  <c r="I5" i="15"/>
  <c r="Q5" i="15"/>
  <c r="B83" i="15"/>
  <c r="Z5" i="15"/>
  <c r="AH43" i="15"/>
  <c r="AH48" i="15"/>
  <c r="AH44" i="15"/>
  <c r="AH66" i="15"/>
  <c r="AE5" i="14"/>
  <c r="AC5" i="14"/>
  <c r="AB83" i="14"/>
  <c r="AB85" i="14" s="1"/>
  <c r="AB7" i="14" s="1"/>
  <c r="AA83" i="14"/>
  <c r="AA85" i="14" s="1"/>
  <c r="AS242" i="14" s="1"/>
  <c r="Y5" i="14"/>
  <c r="X5" i="14"/>
  <c r="U5" i="14"/>
  <c r="T83" i="14"/>
  <c r="T85" i="14" s="1"/>
  <c r="T7" i="14" s="1"/>
  <c r="S83" i="14"/>
  <c r="S85" i="14" s="1"/>
  <c r="Q5" i="14"/>
  <c r="P5" i="14"/>
  <c r="O5" i="14"/>
  <c r="M5" i="14"/>
  <c r="H5" i="14"/>
  <c r="I5" i="14"/>
  <c r="J83" i="14"/>
  <c r="J85" i="14" s="1"/>
  <c r="J86" i="14" s="1"/>
  <c r="F5" i="14"/>
  <c r="G5" i="14"/>
  <c r="G83" i="14"/>
  <c r="G85" i="14" s="1"/>
  <c r="G7" i="14" s="1"/>
  <c r="E5" i="14"/>
  <c r="D83" i="14"/>
  <c r="D85" i="14" s="1"/>
  <c r="AF5" i="14"/>
  <c r="C83" i="14"/>
  <c r="C85" i="14" s="1"/>
  <c r="C7" i="14" s="1"/>
  <c r="K83" i="14"/>
  <c r="K85" i="14" s="1"/>
  <c r="K7" i="14" s="1"/>
  <c r="N5" i="14"/>
  <c r="AE94" i="14"/>
  <c r="AH78" i="14"/>
  <c r="V5" i="14"/>
  <c r="O83" i="14"/>
  <c r="O85" i="14" s="1"/>
  <c r="O7" i="14" s="1"/>
  <c r="W83" i="14"/>
  <c r="W85" i="14" s="1"/>
  <c r="W7" i="14" s="1"/>
  <c r="AE83" i="14"/>
  <c r="AE85" i="14" s="1"/>
  <c r="AE7" i="14" s="1"/>
  <c r="AI66" i="14"/>
  <c r="L83" i="14"/>
  <c r="L85" i="14" s="1"/>
  <c r="AD242" i="14" s="1"/>
  <c r="H83" i="14"/>
  <c r="H85" i="14" s="1"/>
  <c r="H7" i="14" s="1"/>
  <c r="R83" i="14"/>
  <c r="R85" i="14" s="1"/>
  <c r="AJ242" i="14" s="1"/>
  <c r="Z83" i="14"/>
  <c r="Z85" i="14" s="1"/>
  <c r="Z86" i="14" s="1"/>
  <c r="P83" i="14"/>
  <c r="P85" i="14" s="1"/>
  <c r="P86" i="14" s="1"/>
  <c r="AF83" i="14"/>
  <c r="AF85" i="14" s="1"/>
  <c r="AF86" i="14" s="1"/>
  <c r="AP242" i="14"/>
  <c r="AH48" i="14"/>
  <c r="E83" i="14"/>
  <c r="E85" i="14" s="1"/>
  <c r="E7" i="14" s="1"/>
  <c r="AH44" i="14"/>
  <c r="F83" i="14"/>
  <c r="F85" i="14" s="1"/>
  <c r="F86" i="14" s="1"/>
  <c r="M83" i="14"/>
  <c r="M85" i="14" s="1"/>
  <c r="M86" i="14" s="1"/>
  <c r="U83" i="14"/>
  <c r="U85" i="14" s="1"/>
  <c r="U86" i="14" s="1"/>
  <c r="AC83" i="14"/>
  <c r="AC85" i="14" s="1"/>
  <c r="AC7" i="14" s="1"/>
  <c r="N83" i="14"/>
  <c r="N85" i="14" s="1"/>
  <c r="N86" i="14" s="1"/>
  <c r="V83" i="14"/>
  <c r="V85" i="14" s="1"/>
  <c r="AN242" i="14" s="1"/>
  <c r="AD83" i="14"/>
  <c r="AD85" i="14" s="1"/>
  <c r="AD86" i="14" s="1"/>
  <c r="J7" i="14"/>
  <c r="AH62" i="14"/>
  <c r="C86" i="14"/>
  <c r="U242" i="14"/>
  <c r="S7" i="14"/>
  <c r="S86" i="14"/>
  <c r="AK242" i="14"/>
  <c r="AA7" i="14"/>
  <c r="AA86" i="14"/>
  <c r="AI62" i="14"/>
  <c r="T86" i="14"/>
  <c r="D7" i="14"/>
  <c r="D86" i="14"/>
  <c r="V242" i="14"/>
  <c r="E86" i="14"/>
  <c r="J225" i="14"/>
  <c r="K225" i="14" s="1"/>
  <c r="L225" i="14" s="1"/>
  <c r="M225" i="14" s="1"/>
  <c r="N225" i="14" s="1"/>
  <c r="O225" i="14" s="1"/>
  <c r="P225" i="14" s="1"/>
  <c r="C94" i="14"/>
  <c r="AI78" i="14"/>
  <c r="B5" i="14"/>
  <c r="J5" i="14"/>
  <c r="K94" i="14"/>
  <c r="S94" i="14"/>
  <c r="R5" i="14"/>
  <c r="AI48" i="14"/>
  <c r="I83" i="14"/>
  <c r="I85" i="14" s="1"/>
  <c r="Q83" i="14"/>
  <c r="Q85" i="14" s="1"/>
  <c r="Y83" i="14"/>
  <c r="Y85" i="14" s="1"/>
  <c r="AG2" i="14"/>
  <c r="AG6" i="14" s="1"/>
  <c r="AG83" i="14"/>
  <c r="D239" i="14"/>
  <c r="G227" i="14"/>
  <c r="Z5" i="14"/>
  <c r="C5" i="14"/>
  <c r="S5" i="14"/>
  <c r="AI44" i="14"/>
  <c r="AI107" i="14"/>
  <c r="D5" i="14"/>
  <c r="L5" i="14"/>
  <c r="T5" i="14"/>
  <c r="AB5" i="14"/>
  <c r="B83" i="14"/>
  <c r="E222" i="14"/>
  <c r="L94" i="14"/>
  <c r="AB94" i="14"/>
  <c r="AH66" i="14"/>
  <c r="C104" i="14"/>
  <c r="AB83" i="2"/>
  <c r="AA83" i="2"/>
  <c r="Z83" i="2"/>
  <c r="V83" i="2"/>
  <c r="U83" i="2"/>
  <c r="T83" i="2"/>
  <c r="S83" i="2"/>
  <c r="R83" i="2"/>
  <c r="AD83" i="2"/>
  <c r="AC83" i="2"/>
  <c r="AE83" i="2"/>
  <c r="W83" i="2"/>
  <c r="Y83" i="2"/>
  <c r="Q83" i="2"/>
  <c r="X83" i="2"/>
  <c r="P83" i="2"/>
  <c r="AF83" i="2"/>
  <c r="AI242" i="16" l="1"/>
  <c r="N86" i="16"/>
  <c r="AJ242" i="17"/>
  <c r="AB242" i="14"/>
  <c r="AH242" i="15"/>
  <c r="AL242" i="14"/>
  <c r="G7" i="16"/>
  <c r="Q7" i="16"/>
  <c r="AB86" i="14"/>
  <c r="M7" i="15"/>
  <c r="O7" i="16"/>
  <c r="R86" i="16"/>
  <c r="W86" i="16"/>
  <c r="AT242" i="14"/>
  <c r="Z242" i="16"/>
  <c r="O86" i="16"/>
  <c r="AK242" i="16"/>
  <c r="AJ242" i="16"/>
  <c r="AR242" i="15"/>
  <c r="AD7" i="16"/>
  <c r="F7" i="16"/>
  <c r="AX242" i="16"/>
  <c r="X242" i="16"/>
  <c r="J86" i="16"/>
  <c r="AI242" i="15"/>
  <c r="Q7" i="15"/>
  <c r="H263" i="18"/>
  <c r="J227" i="18"/>
  <c r="I104" i="18"/>
  <c r="L222" i="18"/>
  <c r="AF7" i="17"/>
  <c r="AX242" i="17"/>
  <c r="AB7" i="17"/>
  <c r="AB86" i="17"/>
  <c r="AS242" i="17"/>
  <c r="AA7" i="17"/>
  <c r="AD242" i="17"/>
  <c r="N7" i="17"/>
  <c r="AK242" i="17"/>
  <c r="G227" i="17"/>
  <c r="E263" i="17"/>
  <c r="AO242" i="17"/>
  <c r="AF242" i="17"/>
  <c r="W7" i="17"/>
  <c r="Z7" i="17"/>
  <c r="AR242" i="17"/>
  <c r="M7" i="17"/>
  <c r="M86" i="17"/>
  <c r="L7" i="17"/>
  <c r="K7" i="17"/>
  <c r="K86" i="17"/>
  <c r="K86" i="16"/>
  <c r="AA242" i="16"/>
  <c r="D86" i="17"/>
  <c r="V242" i="17"/>
  <c r="AB242" i="17"/>
  <c r="J86" i="17"/>
  <c r="AA242" i="17"/>
  <c r="I7" i="17"/>
  <c r="Z242" i="17"/>
  <c r="H7" i="17"/>
  <c r="B237" i="17"/>
  <c r="C237" i="17"/>
  <c r="Y242" i="17"/>
  <c r="G7" i="17"/>
  <c r="G86" i="17"/>
  <c r="AH94" i="17"/>
  <c r="F86" i="17"/>
  <c r="F7" i="17"/>
  <c r="AI83" i="17"/>
  <c r="AI94" i="17"/>
  <c r="E7" i="17"/>
  <c r="E86" i="17"/>
  <c r="AH83" i="17"/>
  <c r="AI85" i="17"/>
  <c r="U242" i="17"/>
  <c r="C7" i="17"/>
  <c r="AH85" i="17"/>
  <c r="T242" i="17"/>
  <c r="B7" i="17"/>
  <c r="E104" i="17"/>
  <c r="F222" i="17"/>
  <c r="E228" i="17"/>
  <c r="AM242" i="16"/>
  <c r="U86" i="16"/>
  <c r="AL242" i="16"/>
  <c r="T86" i="16"/>
  <c r="M7" i="16"/>
  <c r="M86" i="16"/>
  <c r="L7" i="16"/>
  <c r="AD242" i="16"/>
  <c r="AC242" i="16"/>
  <c r="I7" i="16"/>
  <c r="B237" i="16"/>
  <c r="H7" i="16"/>
  <c r="G86" i="16"/>
  <c r="C237" i="16"/>
  <c r="D86" i="16"/>
  <c r="V242" i="16"/>
  <c r="C7" i="16"/>
  <c r="U242" i="16"/>
  <c r="B85" i="16"/>
  <c r="AI83" i="16"/>
  <c r="AH83" i="16"/>
  <c r="F222" i="16"/>
  <c r="E104" i="16"/>
  <c r="E228" i="16"/>
  <c r="F263" i="16"/>
  <c r="H227" i="16"/>
  <c r="AC242" i="15"/>
  <c r="U86" i="15"/>
  <c r="AM242" i="15"/>
  <c r="AD7" i="15"/>
  <c r="AD86" i="15"/>
  <c r="M86" i="15"/>
  <c r="AW242" i="15"/>
  <c r="E86" i="15"/>
  <c r="G7" i="15"/>
  <c r="C237" i="15"/>
  <c r="N86" i="15"/>
  <c r="AF242" i="15"/>
  <c r="Y242" i="15"/>
  <c r="AO242" i="15"/>
  <c r="V7" i="15"/>
  <c r="V86" i="15"/>
  <c r="K86" i="15"/>
  <c r="AE7" i="15"/>
  <c r="B237" i="15"/>
  <c r="AB242" i="15"/>
  <c r="AX242" i="15"/>
  <c r="AF86" i="15"/>
  <c r="AB7" i="15"/>
  <c r="AT242" i="15"/>
  <c r="S7" i="15"/>
  <c r="O7" i="15"/>
  <c r="AK242" i="15"/>
  <c r="W7" i="15"/>
  <c r="O86" i="15"/>
  <c r="R86" i="15"/>
  <c r="AJ242" i="15"/>
  <c r="J86" i="15"/>
  <c r="C86" i="15"/>
  <c r="AA7" i="15"/>
  <c r="C7" i="15"/>
  <c r="AA86" i="15"/>
  <c r="B85" i="15"/>
  <c r="AI83" i="15"/>
  <c r="AH83" i="15"/>
  <c r="F228" i="15"/>
  <c r="H222" i="15"/>
  <c r="G104" i="15"/>
  <c r="E263" i="15"/>
  <c r="G227" i="15"/>
  <c r="AF7" i="14"/>
  <c r="W86" i="14"/>
  <c r="AO242" i="14"/>
  <c r="P7" i="14"/>
  <c r="AH242" i="14"/>
  <c r="AC242" i="14"/>
  <c r="K86" i="14"/>
  <c r="AI94" i="14"/>
  <c r="G86" i="14"/>
  <c r="Y242" i="14"/>
  <c r="L86" i="14"/>
  <c r="Z242" i="14"/>
  <c r="H86" i="14"/>
  <c r="W242" i="14"/>
  <c r="L7" i="14"/>
  <c r="F7" i="14"/>
  <c r="X242" i="14"/>
  <c r="AH94" i="14"/>
  <c r="O86" i="14"/>
  <c r="AW242" i="14"/>
  <c r="X7" i="14"/>
  <c r="AE86" i="14"/>
  <c r="AG242" i="14"/>
  <c r="AE242" i="14"/>
  <c r="Z7" i="14"/>
  <c r="AR242" i="14"/>
  <c r="R86" i="14"/>
  <c r="R7" i="14"/>
  <c r="AU242" i="14"/>
  <c r="AX242" i="14"/>
  <c r="AD7" i="14"/>
  <c r="AV242" i="14"/>
  <c r="U7" i="14"/>
  <c r="C237" i="14"/>
  <c r="AC86" i="14"/>
  <c r="V86" i="14"/>
  <c r="N7" i="14"/>
  <c r="AM242" i="14"/>
  <c r="AF242" i="14"/>
  <c r="M7" i="14"/>
  <c r="V7" i="14"/>
  <c r="AI83" i="14"/>
  <c r="AH83" i="14"/>
  <c r="B85" i="14"/>
  <c r="F263" i="14"/>
  <c r="H227" i="14"/>
  <c r="Y7" i="14"/>
  <c r="AQ242" i="14"/>
  <c r="Y86" i="14"/>
  <c r="Q7" i="14"/>
  <c r="AI242" i="14"/>
  <c r="Q86" i="14"/>
  <c r="I7" i="14"/>
  <c r="AA242" i="14"/>
  <c r="I86" i="14"/>
  <c r="F222" i="14"/>
  <c r="E228" i="14"/>
  <c r="E104" i="14"/>
  <c r="B237" i="14"/>
  <c r="M222" i="18" l="1"/>
  <c r="K227" i="18"/>
  <c r="I263" i="18"/>
  <c r="J104" i="18"/>
  <c r="AI86" i="17"/>
  <c r="H227" i="17"/>
  <c r="F263" i="17"/>
  <c r="AH86" i="17"/>
  <c r="A7" i="17"/>
  <c r="K6" i="17"/>
  <c r="F104" i="17"/>
  <c r="G222" i="17"/>
  <c r="F228" i="17"/>
  <c r="K6" i="16"/>
  <c r="G222" i="16"/>
  <c r="F104" i="16"/>
  <c r="F228" i="16"/>
  <c r="G263" i="16"/>
  <c r="I227" i="16"/>
  <c r="AI85" i="16"/>
  <c r="AH85" i="16"/>
  <c r="B7" i="16"/>
  <c r="A7" i="16" s="1"/>
  <c r="T242" i="16"/>
  <c r="B86" i="16"/>
  <c r="K6" i="15"/>
  <c r="I222" i="15"/>
  <c r="F263" i="15"/>
  <c r="H227" i="15"/>
  <c r="G228" i="15"/>
  <c r="AI85" i="15"/>
  <c r="B7" i="15"/>
  <c r="A7" i="15" s="1"/>
  <c r="AH85" i="15"/>
  <c r="T242" i="15"/>
  <c r="B86" i="15"/>
  <c r="K6" i="14"/>
  <c r="G263" i="14"/>
  <c r="I227" i="14"/>
  <c r="T242" i="14"/>
  <c r="B86" i="14"/>
  <c r="AI85" i="14"/>
  <c r="B7" i="14"/>
  <c r="A7" i="14" s="1"/>
  <c r="AH85" i="14"/>
  <c r="G222" i="14"/>
  <c r="F228" i="14"/>
  <c r="F104" i="14"/>
  <c r="N222" i="18" l="1"/>
  <c r="J263" i="18"/>
  <c r="L227" i="18"/>
  <c r="K104" i="18"/>
  <c r="I227" i="17"/>
  <c r="G263" i="17"/>
  <c r="H222" i="17"/>
  <c r="G104" i="17"/>
  <c r="G228" i="17"/>
  <c r="H263" i="16"/>
  <c r="J227" i="16"/>
  <c r="AI86" i="16"/>
  <c r="AH86" i="16"/>
  <c r="H222" i="16"/>
  <c r="G104" i="16"/>
  <c r="G228" i="16"/>
  <c r="G263" i="15"/>
  <c r="I227" i="15"/>
  <c r="H104" i="15"/>
  <c r="AI86" i="15"/>
  <c r="AH86" i="15"/>
  <c r="H228" i="15"/>
  <c r="I104" i="15"/>
  <c r="J222" i="15"/>
  <c r="H263" i="14"/>
  <c r="J227" i="14"/>
  <c r="AH86" i="14"/>
  <c r="AI86" i="14"/>
  <c r="H222" i="14"/>
  <c r="G228" i="14"/>
  <c r="G104" i="14"/>
  <c r="K263" i="18" l="1"/>
  <c r="M227" i="18"/>
  <c r="L104" i="18"/>
  <c r="O222" i="18"/>
  <c r="J227" i="17"/>
  <c r="H263" i="17"/>
  <c r="I222" i="17"/>
  <c r="H104" i="17"/>
  <c r="H228" i="17"/>
  <c r="I222" i="16"/>
  <c r="H104" i="16"/>
  <c r="H228" i="16"/>
  <c r="K227" i="16"/>
  <c r="I263" i="16"/>
  <c r="H263" i="15"/>
  <c r="J227" i="15"/>
  <c r="J104" i="15" s="1"/>
  <c r="K222" i="15"/>
  <c r="I222" i="14"/>
  <c r="H228" i="14"/>
  <c r="H104" i="14"/>
  <c r="K227" i="14"/>
  <c r="I263" i="14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P85" i="2"/>
  <c r="P86" i="2" s="1"/>
  <c r="Q85" i="2"/>
  <c r="Q86" i="2" s="1"/>
  <c r="R85" i="2"/>
  <c r="R86" i="2" s="1"/>
  <c r="S85" i="2"/>
  <c r="S86" i="2" s="1"/>
  <c r="T85" i="2"/>
  <c r="T86" i="2" s="1"/>
  <c r="U85" i="2"/>
  <c r="U86" i="2" s="1"/>
  <c r="V85" i="2"/>
  <c r="V86" i="2" s="1"/>
  <c r="W85" i="2"/>
  <c r="W86" i="2" s="1"/>
  <c r="X85" i="2"/>
  <c r="X86" i="2" s="1"/>
  <c r="Y85" i="2"/>
  <c r="Y86" i="2" s="1"/>
  <c r="Z85" i="2"/>
  <c r="Z86" i="2" s="1"/>
  <c r="AA85" i="2"/>
  <c r="AA86" i="2" s="1"/>
  <c r="AB85" i="2"/>
  <c r="AB86" i="2" s="1"/>
  <c r="AC85" i="2"/>
  <c r="AC86" i="2" s="1"/>
  <c r="AD85" i="2"/>
  <c r="AD86" i="2" s="1"/>
  <c r="AE85" i="2"/>
  <c r="AE86" i="2" s="1"/>
  <c r="AF85" i="2"/>
  <c r="AF86" i="2" s="1"/>
  <c r="M94" i="2"/>
  <c r="N94" i="2"/>
  <c r="Y5" i="2"/>
  <c r="AC5" i="2"/>
  <c r="M66" i="2"/>
  <c r="M83" i="2" s="1"/>
  <c r="N66" i="2"/>
  <c r="N83" i="2" s="1"/>
  <c r="O83" i="2"/>
  <c r="O85" i="2" s="1"/>
  <c r="O86" i="2" s="1"/>
  <c r="M43" i="2"/>
  <c r="L66" i="2"/>
  <c r="L43" i="2"/>
  <c r="K48" i="2"/>
  <c r="K83" i="2" s="1"/>
  <c r="L48" i="2"/>
  <c r="K43" i="2"/>
  <c r="J43" i="2"/>
  <c r="I43" i="2"/>
  <c r="H94" i="2"/>
  <c r="H43" i="2"/>
  <c r="G5" i="2"/>
  <c r="H5" i="2"/>
  <c r="J94" i="2"/>
  <c r="K94" i="2"/>
  <c r="L94" i="2"/>
  <c r="G43" i="2"/>
  <c r="E43" i="2"/>
  <c r="D107" i="2"/>
  <c r="D43" i="2"/>
  <c r="C107" i="2"/>
  <c r="C104" i="2" s="1"/>
  <c r="C94" i="2"/>
  <c r="G94" i="2"/>
  <c r="B5" i="2"/>
  <c r="D94" i="2"/>
  <c r="D5" i="2"/>
  <c r="E5" i="2"/>
  <c r="C48" i="2"/>
  <c r="C83" i="2" s="1"/>
  <c r="D48" i="2"/>
  <c r="D83" i="2" s="1"/>
  <c r="E48" i="2"/>
  <c r="E83" i="2" s="1"/>
  <c r="F48" i="2"/>
  <c r="F83" i="2" s="1"/>
  <c r="G48" i="2"/>
  <c r="G83" i="2" s="1"/>
  <c r="G85" i="2" s="1"/>
  <c r="G86" i="2" s="1"/>
  <c r="H48" i="2"/>
  <c r="H83" i="2" s="1"/>
  <c r="I48" i="2"/>
  <c r="I83" i="2" s="1"/>
  <c r="J48" i="2"/>
  <c r="J83" i="2" s="1"/>
  <c r="C85" i="2"/>
  <c r="C86" i="2" s="1"/>
  <c r="C43" i="2"/>
  <c r="B83" i="2"/>
  <c r="B85" i="2" s="1"/>
  <c r="B86" i="2" s="1"/>
  <c r="B107" i="2"/>
  <c r="B78" i="2"/>
  <c r="B94" i="2" s="1"/>
  <c r="B62" i="2"/>
  <c r="B44" i="2"/>
  <c r="B48" i="2"/>
  <c r="B43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267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265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B263" i="2"/>
  <c r="S23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C228" i="2"/>
  <c r="D227" i="2"/>
  <c r="C263" i="2" s="1"/>
  <c r="B227" i="2"/>
  <c r="AF263" i="2" s="1"/>
  <c r="D226" i="2"/>
  <c r="E226" i="2" s="1"/>
  <c r="F226" i="2" s="1"/>
  <c r="G226" i="2" s="1"/>
  <c r="H226" i="2" s="1"/>
  <c r="I226" i="2" s="1"/>
  <c r="J226" i="2" s="1"/>
  <c r="K226" i="2" s="1"/>
  <c r="L226" i="2" s="1"/>
  <c r="M226" i="2" s="1"/>
  <c r="N226" i="2" s="1"/>
  <c r="O226" i="2" s="1"/>
  <c r="P226" i="2" s="1"/>
  <c r="B226" i="2"/>
  <c r="D225" i="2"/>
  <c r="E225" i="2" s="1"/>
  <c r="F225" i="2" s="1"/>
  <c r="G225" i="2" s="1"/>
  <c r="H225" i="2" s="1"/>
  <c r="I225" i="2" s="1"/>
  <c r="B225" i="2"/>
  <c r="D224" i="2"/>
  <c r="E224" i="2" s="1"/>
  <c r="F224" i="2" s="1"/>
  <c r="G224" i="2" s="1"/>
  <c r="H224" i="2" s="1"/>
  <c r="B224" i="2"/>
  <c r="D223" i="2"/>
  <c r="E223" i="2" s="1"/>
  <c r="B223" i="2"/>
  <c r="D222" i="2"/>
  <c r="D228" i="2" s="1"/>
  <c r="B222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I113" i="2"/>
  <c r="AH113" i="2"/>
  <c r="AI112" i="2"/>
  <c r="AH112" i="2"/>
  <c r="AI111" i="2"/>
  <c r="AH111" i="2"/>
  <c r="AI110" i="2"/>
  <c r="AH110" i="2"/>
  <c r="AI109" i="2"/>
  <c r="AH109" i="2"/>
  <c r="AI108" i="2"/>
  <c r="AH108" i="2"/>
  <c r="AI107" i="2"/>
  <c r="AH107" i="2"/>
  <c r="AI106" i="2"/>
  <c r="AH106" i="2"/>
  <c r="AI105" i="2"/>
  <c r="AH105" i="2"/>
  <c r="AI103" i="2"/>
  <c r="AH103" i="2"/>
  <c r="AI102" i="2"/>
  <c r="AH102" i="2"/>
  <c r="AI101" i="2"/>
  <c r="AH101" i="2"/>
  <c r="AI100" i="2"/>
  <c r="AH100" i="2"/>
  <c r="AI99" i="2"/>
  <c r="AH99" i="2"/>
  <c r="AI98" i="2"/>
  <c r="AH98" i="2"/>
  <c r="AI97" i="2"/>
  <c r="AH97" i="2"/>
  <c r="AI96" i="2"/>
  <c r="AH96" i="2"/>
  <c r="AI95" i="2"/>
  <c r="AH95" i="2"/>
  <c r="AI92" i="2"/>
  <c r="AH92" i="2"/>
  <c r="AI91" i="2"/>
  <c r="AI90" i="2"/>
  <c r="AH90" i="2"/>
  <c r="AI89" i="2"/>
  <c r="AH88" i="2"/>
  <c r="AI87" i="2"/>
  <c r="AI84" i="2"/>
  <c r="AH84" i="2"/>
  <c r="AI82" i="2"/>
  <c r="AH82" i="2"/>
  <c r="AG82" i="2"/>
  <c r="AI81" i="2"/>
  <c r="AH81" i="2"/>
  <c r="AI80" i="2"/>
  <c r="AH80" i="2"/>
  <c r="AI79" i="2"/>
  <c r="AH79" i="2"/>
  <c r="AN78" i="2"/>
  <c r="AG78" i="2"/>
  <c r="AI77" i="2"/>
  <c r="AH77" i="2"/>
  <c r="AN76" i="2"/>
  <c r="AI76" i="2"/>
  <c r="AH76" i="2"/>
  <c r="AN75" i="2"/>
  <c r="AI75" i="2"/>
  <c r="AH75" i="2"/>
  <c r="AI74" i="2"/>
  <c r="AH74" i="2"/>
  <c r="AI73" i="2"/>
  <c r="AH73" i="2"/>
  <c r="AI72" i="2"/>
  <c r="AH72" i="2"/>
  <c r="AI71" i="2"/>
  <c r="AH71" i="2"/>
  <c r="AI70" i="2"/>
  <c r="AH70" i="2"/>
  <c r="AI69" i="2"/>
  <c r="AH69" i="2"/>
  <c r="AI68" i="2"/>
  <c r="AH68" i="2"/>
  <c r="AI67" i="2"/>
  <c r="AH67" i="2"/>
  <c r="AG66" i="2"/>
  <c r="AI65" i="2"/>
  <c r="AH65" i="2"/>
  <c r="AI64" i="2"/>
  <c r="AH64" i="2"/>
  <c r="AI63" i="2"/>
  <c r="AH63" i="2"/>
  <c r="AI61" i="2"/>
  <c r="AH61" i="2"/>
  <c r="AG61" i="2"/>
  <c r="AG62" i="2" s="1"/>
  <c r="AG3" i="2" s="1"/>
  <c r="AI60" i="2"/>
  <c r="AH60" i="2"/>
  <c r="AI59" i="2"/>
  <c r="AH59" i="2"/>
  <c r="AI58" i="2"/>
  <c r="AH58" i="2"/>
  <c r="AI57" i="2"/>
  <c r="AH57" i="2"/>
  <c r="AI56" i="2"/>
  <c r="AH56" i="2"/>
  <c r="AI55" i="2"/>
  <c r="AH55" i="2"/>
  <c r="AI54" i="2"/>
  <c r="AH54" i="2"/>
  <c r="AI53" i="2"/>
  <c r="AH53" i="2"/>
  <c r="AI52" i="2"/>
  <c r="AH52" i="2"/>
  <c r="AI51" i="2"/>
  <c r="AH51" i="2"/>
  <c r="AI50" i="2"/>
  <c r="AH50" i="2"/>
  <c r="AI49" i="2"/>
  <c r="AH49" i="2"/>
  <c r="AG48" i="2"/>
  <c r="AI47" i="2"/>
  <c r="AH47" i="2"/>
  <c r="AI46" i="2"/>
  <c r="AH46" i="2"/>
  <c r="AI45" i="2"/>
  <c r="AH45" i="2"/>
  <c r="AG44" i="2"/>
  <c r="AI42" i="2"/>
  <c r="AH42" i="2"/>
  <c r="AI41" i="2"/>
  <c r="AH41" i="2"/>
  <c r="AI40" i="2"/>
  <c r="AH40" i="2"/>
  <c r="AI39" i="2"/>
  <c r="AH39" i="2"/>
  <c r="AI38" i="2"/>
  <c r="AH38" i="2"/>
  <c r="AI37" i="2"/>
  <c r="AH37" i="2"/>
  <c r="AI36" i="2"/>
  <c r="AH36" i="2"/>
  <c r="AI35" i="2"/>
  <c r="AH35" i="2"/>
  <c r="AI34" i="2"/>
  <c r="AH34" i="2"/>
  <c r="AI33" i="2"/>
  <c r="AH33" i="2"/>
  <c r="AI32" i="2"/>
  <c r="AH32" i="2"/>
  <c r="AI31" i="2"/>
  <c r="AH31" i="2"/>
  <c r="AI30" i="2"/>
  <c r="AH30" i="2"/>
  <c r="AI29" i="2"/>
  <c r="AH29" i="2"/>
  <c r="AI28" i="2"/>
  <c r="AH28" i="2"/>
  <c r="AI27" i="2"/>
  <c r="AH27" i="2"/>
  <c r="AI26" i="2"/>
  <c r="AH26" i="2"/>
  <c r="AI25" i="2"/>
  <c r="AH25" i="2"/>
  <c r="AI24" i="2"/>
  <c r="AH24" i="2"/>
  <c r="AI23" i="2"/>
  <c r="AH23" i="2"/>
  <c r="AI22" i="2"/>
  <c r="AH22" i="2"/>
  <c r="AI21" i="2"/>
  <c r="AH21" i="2"/>
  <c r="AI20" i="2"/>
  <c r="AH20" i="2"/>
  <c r="AI19" i="2"/>
  <c r="AH19" i="2"/>
  <c r="AI18" i="2"/>
  <c r="AH18" i="2"/>
  <c r="AI17" i="2"/>
  <c r="AH17" i="2"/>
  <c r="AI16" i="2"/>
  <c r="AH16" i="2"/>
  <c r="AI15" i="2"/>
  <c r="AH15" i="2"/>
  <c r="AI14" i="2"/>
  <c r="AH14" i="2"/>
  <c r="AI13" i="2"/>
  <c r="AH13" i="2"/>
  <c r="AI12" i="2"/>
  <c r="AH12" i="2"/>
  <c r="AI11" i="2"/>
  <c r="AH11" i="2"/>
  <c r="AE5" i="2"/>
  <c r="AD5" i="2"/>
  <c r="AB5" i="2"/>
  <c r="AA5" i="2"/>
  <c r="Z5" i="2"/>
  <c r="X5" i="2"/>
  <c r="W5" i="2"/>
  <c r="V5" i="2"/>
  <c r="U5" i="2"/>
  <c r="T5" i="2"/>
  <c r="S5" i="2"/>
  <c r="R5" i="2"/>
  <c r="Q5" i="2"/>
  <c r="P5" i="2"/>
  <c r="O5" i="2"/>
  <c r="N5" i="2"/>
  <c r="F5" i="2"/>
  <c r="AG4" i="2"/>
  <c r="K4" i="2"/>
  <c r="E4" i="2"/>
  <c r="H4" i="2" s="1"/>
  <c r="B4" i="2"/>
  <c r="S239" i="2" s="1"/>
  <c r="AF107" i="13"/>
  <c r="AF43" i="13"/>
  <c r="AE107" i="13"/>
  <c r="AE43" i="13"/>
  <c r="AD107" i="13"/>
  <c r="AD43" i="13"/>
  <c r="AC107" i="13"/>
  <c r="AC43" i="13"/>
  <c r="AB107" i="13"/>
  <c r="AB43" i="13"/>
  <c r="AA107" i="13"/>
  <c r="Y107" i="13"/>
  <c r="W107" i="13"/>
  <c r="W43" i="13"/>
  <c r="V107" i="13"/>
  <c r="U43" i="13"/>
  <c r="U44" i="13"/>
  <c r="U48" i="13"/>
  <c r="U62" i="13"/>
  <c r="U66" i="13"/>
  <c r="U78" i="13"/>
  <c r="U94" i="13" s="1"/>
  <c r="U104" i="13"/>
  <c r="T43" i="13"/>
  <c r="AN78" i="13"/>
  <c r="AN77" i="13"/>
  <c r="AN76" i="13"/>
  <c r="AN75" i="13"/>
  <c r="S43" i="13"/>
  <c r="R43" i="13"/>
  <c r="Q43" i="13"/>
  <c r="P43" i="13"/>
  <c r="O43" i="13"/>
  <c r="L83" i="2" l="1"/>
  <c r="E222" i="2"/>
  <c r="B228" i="2"/>
  <c r="D104" i="2"/>
  <c r="AG83" i="2"/>
  <c r="AI66" i="2"/>
  <c r="B104" i="2"/>
  <c r="P222" i="18"/>
  <c r="L263" i="18"/>
  <c r="N227" i="18"/>
  <c r="M104" i="18"/>
  <c r="I263" i="17"/>
  <c r="K227" i="17"/>
  <c r="I104" i="17"/>
  <c r="J222" i="17"/>
  <c r="J263" i="16"/>
  <c r="L227" i="16"/>
  <c r="I104" i="16"/>
  <c r="J222" i="16"/>
  <c r="L222" i="15"/>
  <c r="K227" i="15"/>
  <c r="K104" i="15" s="1"/>
  <c r="I263" i="15"/>
  <c r="J263" i="14"/>
  <c r="L227" i="14"/>
  <c r="I104" i="14"/>
  <c r="J222" i="14"/>
  <c r="AP242" i="2"/>
  <c r="X7" i="2"/>
  <c r="M85" i="2"/>
  <c r="M86" i="2" s="1"/>
  <c r="L5" i="2"/>
  <c r="M5" i="2"/>
  <c r="N85" i="2"/>
  <c r="N86" i="2" s="1"/>
  <c r="K5" i="2"/>
  <c r="L85" i="2"/>
  <c r="J5" i="2"/>
  <c r="K85" i="2"/>
  <c r="I5" i="2"/>
  <c r="J85" i="2"/>
  <c r="J86" i="2" s="1"/>
  <c r="I94" i="2"/>
  <c r="I85" i="2"/>
  <c r="I86" i="2" s="1"/>
  <c r="H85" i="2"/>
  <c r="AI43" i="2"/>
  <c r="F94" i="2"/>
  <c r="F85" i="2"/>
  <c r="F86" i="2" s="1"/>
  <c r="E94" i="2"/>
  <c r="E85" i="2"/>
  <c r="E86" i="2" s="1"/>
  <c r="AI44" i="2"/>
  <c r="C5" i="2"/>
  <c r="D85" i="2"/>
  <c r="D86" i="2" s="1"/>
  <c r="AI62" i="2"/>
  <c r="AG85" i="2"/>
  <c r="AG2" i="2"/>
  <c r="AG6" i="2" s="1"/>
  <c r="AN77" i="2"/>
  <c r="AI48" i="2"/>
  <c r="AI78" i="2"/>
  <c r="AF5" i="2"/>
  <c r="AH43" i="2"/>
  <c r="AO242" i="2"/>
  <c r="W7" i="2"/>
  <c r="AF7" i="2"/>
  <c r="AX242" i="2"/>
  <c r="F223" i="2"/>
  <c r="G223" i="2" s="1"/>
  <c r="H223" i="2" s="1"/>
  <c r="I223" i="2" s="1"/>
  <c r="J223" i="2" s="1"/>
  <c r="K223" i="2" s="1"/>
  <c r="L223" i="2" s="1"/>
  <c r="M223" i="2" s="1"/>
  <c r="N223" i="2" s="1"/>
  <c r="O223" i="2" s="1"/>
  <c r="P223" i="2" s="1"/>
  <c r="P7" i="2"/>
  <c r="AH242" i="2"/>
  <c r="H7" i="2"/>
  <c r="Y7" i="2"/>
  <c r="AQ242" i="2"/>
  <c r="I7" i="2"/>
  <c r="Q7" i="2"/>
  <c r="AI242" i="2"/>
  <c r="Z7" i="2"/>
  <c r="AR242" i="2"/>
  <c r="R7" i="2"/>
  <c r="AJ242" i="2"/>
  <c r="AA7" i="2"/>
  <c r="AS242" i="2"/>
  <c r="Y242" i="2"/>
  <c r="G7" i="2"/>
  <c r="C7" i="2"/>
  <c r="U242" i="2"/>
  <c r="S7" i="2"/>
  <c r="AK242" i="2"/>
  <c r="AT242" i="2"/>
  <c r="AB7" i="2"/>
  <c r="AL242" i="2"/>
  <c r="T7" i="2"/>
  <c r="AU242" i="2"/>
  <c r="AC7" i="2"/>
  <c r="J225" i="2"/>
  <c r="K225" i="2" s="1"/>
  <c r="L225" i="2" s="1"/>
  <c r="M225" i="2" s="1"/>
  <c r="N225" i="2" s="1"/>
  <c r="O225" i="2" s="1"/>
  <c r="P225" i="2" s="1"/>
  <c r="AG242" i="2"/>
  <c r="O7" i="2"/>
  <c r="M7" i="2"/>
  <c r="AM242" i="2"/>
  <c r="U7" i="2"/>
  <c r="AV242" i="2"/>
  <c r="AD7" i="2"/>
  <c r="AF242" i="2"/>
  <c r="N7" i="2"/>
  <c r="AN242" i="2"/>
  <c r="V7" i="2"/>
  <c r="AW242" i="2"/>
  <c r="AE7" i="2"/>
  <c r="AH48" i="2"/>
  <c r="AI88" i="2"/>
  <c r="D239" i="2"/>
  <c r="AH44" i="2"/>
  <c r="AH89" i="2"/>
  <c r="E227" i="2"/>
  <c r="AH66" i="2"/>
  <c r="AH62" i="2"/>
  <c r="AH78" i="2"/>
  <c r="AH87" i="2"/>
  <c r="AH91" i="2"/>
  <c r="U83" i="13"/>
  <c r="U85" i="13" s="1"/>
  <c r="U86" i="13" s="1"/>
  <c r="AE242" i="2" l="1"/>
  <c r="F222" i="2"/>
  <c r="E104" i="2"/>
  <c r="M263" i="18"/>
  <c r="O227" i="18"/>
  <c r="N104" i="18"/>
  <c r="J263" i="17"/>
  <c r="L227" i="17"/>
  <c r="K222" i="17"/>
  <c r="J104" i="17"/>
  <c r="J104" i="16"/>
  <c r="K222" i="16"/>
  <c r="K263" i="16"/>
  <c r="M227" i="16"/>
  <c r="J263" i="15"/>
  <c r="L227" i="15"/>
  <c r="L104" i="15" s="1"/>
  <c r="M222" i="15"/>
  <c r="J104" i="14"/>
  <c r="K222" i="14"/>
  <c r="K263" i="14"/>
  <c r="M227" i="14"/>
  <c r="AA242" i="2"/>
  <c r="AC242" i="2"/>
  <c r="K86" i="2"/>
  <c r="AB242" i="2"/>
  <c r="J7" i="2"/>
  <c r="AD242" i="2"/>
  <c r="L86" i="2"/>
  <c r="Z242" i="2"/>
  <c r="H86" i="2"/>
  <c r="L7" i="2"/>
  <c r="K7" i="2"/>
  <c r="C237" i="2"/>
  <c r="B237" i="2"/>
  <c r="F7" i="2"/>
  <c r="X242" i="2"/>
  <c r="W242" i="2"/>
  <c r="E7" i="2"/>
  <c r="D7" i="2"/>
  <c r="V242" i="2"/>
  <c r="D263" i="2"/>
  <c r="F227" i="2"/>
  <c r="E228" i="2"/>
  <c r="AI93" i="2"/>
  <c r="AH93" i="2"/>
  <c r="AI83" i="2"/>
  <c r="AH83" i="2"/>
  <c r="G222" i="2" l="1"/>
  <c r="F104" i="2"/>
  <c r="N263" i="18"/>
  <c r="P227" i="18"/>
  <c r="O263" i="18" s="1"/>
  <c r="O104" i="18"/>
  <c r="K263" i="17"/>
  <c r="M227" i="17"/>
  <c r="L222" i="17"/>
  <c r="K104" i="17"/>
  <c r="L263" i="16"/>
  <c r="N227" i="16"/>
  <c r="K104" i="16"/>
  <c r="L222" i="16"/>
  <c r="N222" i="15"/>
  <c r="M227" i="15"/>
  <c r="K263" i="15"/>
  <c r="N227" i="14"/>
  <c r="L263" i="14"/>
  <c r="K104" i="14"/>
  <c r="L222" i="14"/>
  <c r="K6" i="2"/>
  <c r="AI94" i="2"/>
  <c r="AH94" i="2"/>
  <c r="E263" i="2"/>
  <c r="G227" i="2"/>
  <c r="F228" i="2"/>
  <c r="B7" i="2"/>
  <c r="A7" i="2" s="1"/>
  <c r="AI85" i="2"/>
  <c r="AH85" i="2"/>
  <c r="T242" i="2"/>
  <c r="G104" i="2" l="1"/>
  <c r="H222" i="2"/>
  <c r="AI104" i="18"/>
  <c r="AH104" i="18"/>
  <c r="L263" i="17"/>
  <c r="N227" i="17"/>
  <c r="M222" i="17"/>
  <c r="L104" i="17"/>
  <c r="M222" i="16"/>
  <c r="L104" i="16"/>
  <c r="M263" i="16"/>
  <c r="O227" i="16"/>
  <c r="L263" i="15"/>
  <c r="N227" i="15"/>
  <c r="N104" i="15" s="1"/>
  <c r="M104" i="15"/>
  <c r="O222" i="15"/>
  <c r="L104" i="14"/>
  <c r="M222" i="14"/>
  <c r="M263" i="14"/>
  <c r="O227" i="14"/>
  <c r="F263" i="2"/>
  <c r="H227" i="2"/>
  <c r="G228" i="2"/>
  <c r="AI86" i="2"/>
  <c r="AH86" i="2"/>
  <c r="H104" i="2" l="1"/>
  <c r="I222" i="2"/>
  <c r="M263" i="17"/>
  <c r="O227" i="17"/>
  <c r="N222" i="17"/>
  <c r="M104" i="17"/>
  <c r="N263" i="16"/>
  <c r="P227" i="16"/>
  <c r="O263" i="16" s="1"/>
  <c r="N222" i="16"/>
  <c r="M104" i="16"/>
  <c r="P222" i="15"/>
  <c r="M263" i="15"/>
  <c r="O227" i="15"/>
  <c r="N263" i="14"/>
  <c r="P227" i="14"/>
  <c r="O263" i="14" s="1"/>
  <c r="N222" i="14"/>
  <c r="M104" i="14"/>
  <c r="G263" i="2"/>
  <c r="I227" i="2"/>
  <c r="H228" i="2"/>
  <c r="I104" i="2" l="1"/>
  <c r="J222" i="2"/>
  <c r="P227" i="17"/>
  <c r="O263" i="17" s="1"/>
  <c r="N263" i="17"/>
  <c r="O222" i="17"/>
  <c r="N104" i="17"/>
  <c r="O222" i="16"/>
  <c r="N104" i="16"/>
  <c r="N263" i="15"/>
  <c r="P227" i="15"/>
  <c r="O263" i="15" s="1"/>
  <c r="O104" i="15"/>
  <c r="O222" i="14"/>
  <c r="N104" i="14"/>
  <c r="H263" i="2"/>
  <c r="J227" i="2"/>
  <c r="J104" i="2" l="1"/>
  <c r="K222" i="2"/>
  <c r="P222" i="17"/>
  <c r="O104" i="17"/>
  <c r="P222" i="16"/>
  <c r="O104" i="16"/>
  <c r="AI104" i="15"/>
  <c r="AH104" i="15"/>
  <c r="O104" i="14"/>
  <c r="P222" i="14"/>
  <c r="K227" i="2"/>
  <c r="I263" i="2"/>
  <c r="K104" i="2" l="1"/>
  <c r="L222" i="2"/>
  <c r="AI104" i="17"/>
  <c r="AH104" i="17"/>
  <c r="AI104" i="16"/>
  <c r="AH104" i="16"/>
  <c r="AH104" i="14"/>
  <c r="AI104" i="14"/>
  <c r="J263" i="2"/>
  <c r="L227" i="2"/>
  <c r="L104" i="2" l="1"/>
  <c r="M222" i="2"/>
  <c r="K263" i="2"/>
  <c r="M227" i="2"/>
  <c r="M104" i="2" l="1"/>
  <c r="N222" i="2"/>
  <c r="L263" i="2"/>
  <c r="N227" i="2"/>
  <c r="N104" i="2" l="1"/>
  <c r="O222" i="2"/>
  <c r="M263" i="2"/>
  <c r="O227" i="2"/>
  <c r="O104" i="2" l="1"/>
  <c r="P222" i="2"/>
  <c r="N263" i="2"/>
  <c r="P227" i="2"/>
  <c r="O263" i="2" l="1"/>
  <c r="AI104" i="2" l="1"/>
  <c r="AH104" i="2"/>
  <c r="N43" i="13" l="1"/>
  <c r="M43" i="13"/>
  <c r="L48" i="13"/>
  <c r="D43" i="13"/>
  <c r="B43" i="13"/>
  <c r="AF267" i="13"/>
  <c r="AE267" i="13"/>
  <c r="AD267" i="13"/>
  <c r="AC267" i="13"/>
  <c r="AB267" i="13"/>
  <c r="AA267" i="13"/>
  <c r="Z267" i="13"/>
  <c r="Y267" i="13"/>
  <c r="X267" i="13"/>
  <c r="W267" i="13"/>
  <c r="V267" i="13"/>
  <c r="U267" i="13"/>
  <c r="T267" i="13"/>
  <c r="S267" i="13"/>
  <c r="R267" i="13"/>
  <c r="Q267" i="13"/>
  <c r="P267" i="13"/>
  <c r="O267" i="13"/>
  <c r="N267" i="13"/>
  <c r="M267" i="13"/>
  <c r="L267" i="13"/>
  <c r="K267" i="13"/>
  <c r="J267" i="13"/>
  <c r="I267" i="13"/>
  <c r="H267" i="13"/>
  <c r="G267" i="13"/>
  <c r="F267" i="13"/>
  <c r="E267" i="13"/>
  <c r="D267" i="13"/>
  <c r="C267" i="13"/>
  <c r="B267" i="13"/>
  <c r="A267" i="13"/>
  <c r="AF266" i="13"/>
  <c r="AE266" i="13"/>
  <c r="AD266" i="13"/>
  <c r="AC266" i="13"/>
  <c r="AB266" i="13"/>
  <c r="AA266" i="13"/>
  <c r="Z266" i="13"/>
  <c r="Y266" i="13"/>
  <c r="X266" i="13"/>
  <c r="W266" i="13"/>
  <c r="V266" i="13"/>
  <c r="U266" i="13"/>
  <c r="T266" i="13"/>
  <c r="S266" i="13"/>
  <c r="R266" i="13"/>
  <c r="Q266" i="13"/>
  <c r="P266" i="13"/>
  <c r="O266" i="13"/>
  <c r="N266" i="13"/>
  <c r="M266" i="13"/>
  <c r="L266" i="13"/>
  <c r="K266" i="13"/>
  <c r="J266" i="13"/>
  <c r="I266" i="13"/>
  <c r="H266" i="13"/>
  <c r="G266" i="13"/>
  <c r="F266" i="13"/>
  <c r="E266" i="13"/>
  <c r="D266" i="13"/>
  <c r="C266" i="13"/>
  <c r="B266" i="13"/>
  <c r="A266" i="13"/>
  <c r="AF265" i="13"/>
  <c r="AE265" i="13"/>
  <c r="AD265" i="13"/>
  <c r="AC265" i="13"/>
  <c r="AB265" i="13"/>
  <c r="AA265" i="13"/>
  <c r="Z265" i="13"/>
  <c r="Y265" i="13"/>
  <c r="X265" i="13"/>
  <c r="W265" i="13"/>
  <c r="V265" i="13"/>
  <c r="U265" i="13"/>
  <c r="T265" i="13"/>
  <c r="S265" i="13"/>
  <c r="R265" i="13"/>
  <c r="Q265" i="13"/>
  <c r="P265" i="13"/>
  <c r="O265" i="13"/>
  <c r="N265" i="13"/>
  <c r="M265" i="13"/>
  <c r="L265" i="13"/>
  <c r="K265" i="13"/>
  <c r="J265" i="13"/>
  <c r="I265" i="13"/>
  <c r="H265" i="13"/>
  <c r="G265" i="13"/>
  <c r="F265" i="13"/>
  <c r="E265" i="13"/>
  <c r="D265" i="13"/>
  <c r="C265" i="13"/>
  <c r="B265" i="13"/>
  <c r="A265" i="13"/>
  <c r="AF264" i="13"/>
  <c r="AE264" i="13"/>
  <c r="AD264" i="13"/>
  <c r="AC264" i="13"/>
  <c r="AB264" i="13"/>
  <c r="AA264" i="13"/>
  <c r="Z264" i="13"/>
  <c r="Y264" i="13"/>
  <c r="X264" i="13"/>
  <c r="W264" i="13"/>
  <c r="V264" i="13"/>
  <c r="U264" i="13"/>
  <c r="T264" i="13"/>
  <c r="S264" i="13"/>
  <c r="R264" i="13"/>
  <c r="Q264" i="13"/>
  <c r="P264" i="13"/>
  <c r="O264" i="13"/>
  <c r="N264" i="13"/>
  <c r="M264" i="13"/>
  <c r="L264" i="13"/>
  <c r="K264" i="13"/>
  <c r="J264" i="13"/>
  <c r="I264" i="13"/>
  <c r="H264" i="13"/>
  <c r="G264" i="13"/>
  <c r="F264" i="13"/>
  <c r="E264" i="13"/>
  <c r="D264" i="13"/>
  <c r="C264" i="13"/>
  <c r="B264" i="13"/>
  <c r="A264" i="13"/>
  <c r="AE263" i="13"/>
  <c r="AD263" i="13"/>
  <c r="AC263" i="13"/>
  <c r="AB263" i="13"/>
  <c r="AA263" i="13"/>
  <c r="Z263" i="13"/>
  <c r="Y263" i="13"/>
  <c r="X263" i="13"/>
  <c r="W263" i="13"/>
  <c r="V263" i="13"/>
  <c r="U263" i="13"/>
  <c r="T263" i="13"/>
  <c r="S263" i="13"/>
  <c r="R263" i="13"/>
  <c r="Q263" i="13"/>
  <c r="P263" i="13"/>
  <c r="B263" i="13"/>
  <c r="S238" i="13"/>
  <c r="AG228" i="13"/>
  <c r="AG61" i="13" s="1"/>
  <c r="AG62" i="13" s="1"/>
  <c r="AG3" i="13" s="1"/>
  <c r="AF228" i="13"/>
  <c r="AE228" i="13"/>
  <c r="AD228" i="13"/>
  <c r="AC228" i="13"/>
  <c r="AB228" i="13"/>
  <c r="AA228" i="13"/>
  <c r="Z228" i="13"/>
  <c r="Y228" i="13"/>
  <c r="X228" i="13"/>
  <c r="W228" i="13"/>
  <c r="V228" i="13"/>
  <c r="U228" i="13"/>
  <c r="T228" i="13"/>
  <c r="S228" i="13"/>
  <c r="R228" i="13"/>
  <c r="Q228" i="13"/>
  <c r="C228" i="13"/>
  <c r="E227" i="13"/>
  <c r="D263" i="13" s="1"/>
  <c r="D227" i="13"/>
  <c r="C263" i="13" s="1"/>
  <c r="B227" i="13"/>
  <c r="AF263" i="13" s="1"/>
  <c r="D226" i="13"/>
  <c r="E226" i="13" s="1"/>
  <c r="F226" i="13" s="1"/>
  <c r="G226" i="13" s="1"/>
  <c r="H226" i="13" s="1"/>
  <c r="I226" i="13" s="1"/>
  <c r="J226" i="13" s="1"/>
  <c r="K226" i="13" s="1"/>
  <c r="L226" i="13" s="1"/>
  <c r="M226" i="13" s="1"/>
  <c r="N226" i="13" s="1"/>
  <c r="O226" i="13" s="1"/>
  <c r="P226" i="13" s="1"/>
  <c r="B226" i="13"/>
  <c r="D225" i="13"/>
  <c r="B225" i="13"/>
  <c r="D224" i="13"/>
  <c r="E224" i="13" s="1"/>
  <c r="F224" i="13" s="1"/>
  <c r="G224" i="13" s="1"/>
  <c r="H224" i="13" s="1"/>
  <c r="B224" i="13"/>
  <c r="D223" i="13"/>
  <c r="E223" i="13" s="1"/>
  <c r="F223" i="13" s="1"/>
  <c r="G223" i="13" s="1"/>
  <c r="H223" i="13" s="1"/>
  <c r="I223" i="13" s="1"/>
  <c r="J223" i="13" s="1"/>
  <c r="K223" i="13" s="1"/>
  <c r="L223" i="13" s="1"/>
  <c r="M223" i="13" s="1"/>
  <c r="N223" i="13" s="1"/>
  <c r="O223" i="13" s="1"/>
  <c r="P223" i="13" s="1"/>
  <c r="B223" i="13"/>
  <c r="D222" i="13"/>
  <c r="D104" i="13" s="1"/>
  <c r="B222" i="13"/>
  <c r="AG220" i="13"/>
  <c r="AF220" i="13"/>
  <c r="AE220" i="13"/>
  <c r="AD220" i="13"/>
  <c r="AC220" i="13"/>
  <c r="AB220" i="13"/>
  <c r="AA220" i="13"/>
  <c r="Z220" i="13"/>
  <c r="Y220" i="13"/>
  <c r="X220" i="13"/>
  <c r="W220" i="13"/>
  <c r="V220" i="13"/>
  <c r="U220" i="13"/>
  <c r="T220" i="13"/>
  <c r="S220" i="13"/>
  <c r="R220" i="13"/>
  <c r="Q220" i="13"/>
  <c r="P220" i="13"/>
  <c r="O220" i="13"/>
  <c r="N220" i="13"/>
  <c r="M220" i="13"/>
  <c r="L220" i="13"/>
  <c r="K220" i="13"/>
  <c r="J220" i="13"/>
  <c r="I220" i="13"/>
  <c r="H220" i="13"/>
  <c r="G220" i="13"/>
  <c r="F220" i="13"/>
  <c r="E220" i="13"/>
  <c r="D220" i="13"/>
  <c r="C220" i="13"/>
  <c r="B220" i="13"/>
  <c r="AI113" i="13"/>
  <c r="AH113" i="13"/>
  <c r="AI112" i="13"/>
  <c r="AH112" i="13"/>
  <c r="AI111" i="13"/>
  <c r="AH111" i="13"/>
  <c r="AI110" i="13"/>
  <c r="AH110" i="13"/>
  <c r="AI109" i="13"/>
  <c r="AH109" i="13"/>
  <c r="AI108" i="13"/>
  <c r="AH108" i="13"/>
  <c r="W104" i="13"/>
  <c r="T104" i="13"/>
  <c r="AI107" i="13"/>
  <c r="AH107" i="13"/>
  <c r="AI106" i="13"/>
  <c r="AH106" i="13"/>
  <c r="AI105" i="13"/>
  <c r="AH105" i="13"/>
  <c r="AF104" i="13"/>
  <c r="AE104" i="13"/>
  <c r="AD104" i="13"/>
  <c r="AC104" i="13"/>
  <c r="AB104" i="13"/>
  <c r="AA104" i="13"/>
  <c r="Z104" i="13"/>
  <c r="Y104" i="13"/>
  <c r="V104" i="13"/>
  <c r="S104" i="13"/>
  <c r="R104" i="13"/>
  <c r="Q104" i="13"/>
  <c r="C104" i="13"/>
  <c r="B104" i="13"/>
  <c r="AI103" i="13"/>
  <c r="AH103" i="13"/>
  <c r="AI102" i="13"/>
  <c r="AH102" i="13"/>
  <c r="AI101" i="13"/>
  <c r="AH101" i="13"/>
  <c r="AI100" i="13"/>
  <c r="AH100" i="13"/>
  <c r="AI99" i="13"/>
  <c r="AH99" i="13"/>
  <c r="AI98" i="13"/>
  <c r="AH98" i="13"/>
  <c r="AI97" i="13"/>
  <c r="AH97" i="13"/>
  <c r="AI96" i="13"/>
  <c r="AH96" i="13"/>
  <c r="AI95" i="13"/>
  <c r="AH95" i="13"/>
  <c r="AI92" i="13"/>
  <c r="AH92" i="13"/>
  <c r="Q91" i="13"/>
  <c r="P91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B91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B90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AI84" i="13"/>
  <c r="AH84" i="13"/>
  <c r="AI82" i="13"/>
  <c r="AH82" i="13"/>
  <c r="AG82" i="13"/>
  <c r="AI81" i="13"/>
  <c r="AH81" i="13"/>
  <c r="AI80" i="13"/>
  <c r="AH80" i="13"/>
  <c r="AI79" i="13"/>
  <c r="AH79" i="13"/>
  <c r="AG78" i="13"/>
  <c r="AF78" i="13"/>
  <c r="AF94" i="13" s="1"/>
  <c r="AE78" i="13"/>
  <c r="AE94" i="13" s="1"/>
  <c r="AD78" i="13"/>
  <c r="AD94" i="13" s="1"/>
  <c r="AC78" i="13"/>
  <c r="AC94" i="13" s="1"/>
  <c r="AB78" i="13"/>
  <c r="AB94" i="13" s="1"/>
  <c r="AA78" i="13"/>
  <c r="AA94" i="13" s="1"/>
  <c r="Z78" i="13"/>
  <c r="Y78" i="13"/>
  <c r="Y94" i="13" s="1"/>
  <c r="W78" i="13"/>
  <c r="W94" i="13" s="1"/>
  <c r="V78" i="13"/>
  <c r="V94" i="13" s="1"/>
  <c r="T78" i="13"/>
  <c r="T94" i="13" s="1"/>
  <c r="S78" i="13"/>
  <c r="S94" i="13" s="1"/>
  <c r="R78" i="13"/>
  <c r="R94" i="13" s="1"/>
  <c r="Q78" i="13"/>
  <c r="Q94" i="13" s="1"/>
  <c r="P78" i="13"/>
  <c r="P94" i="13" s="1"/>
  <c r="O78" i="13"/>
  <c r="O94" i="13" s="1"/>
  <c r="N78" i="13"/>
  <c r="N94" i="13" s="1"/>
  <c r="M78" i="13"/>
  <c r="M94" i="13" s="1"/>
  <c r="L78" i="13"/>
  <c r="L94" i="13" s="1"/>
  <c r="K78" i="13"/>
  <c r="K94" i="13" s="1"/>
  <c r="J78" i="13"/>
  <c r="J94" i="13" s="1"/>
  <c r="I78" i="13"/>
  <c r="I94" i="13" s="1"/>
  <c r="H78" i="13"/>
  <c r="H94" i="13" s="1"/>
  <c r="G78" i="13"/>
  <c r="G94" i="13" s="1"/>
  <c r="F78" i="13"/>
  <c r="F94" i="13" s="1"/>
  <c r="E78" i="13"/>
  <c r="E94" i="13" s="1"/>
  <c r="D78" i="13"/>
  <c r="D94" i="13" s="1"/>
  <c r="C78" i="13"/>
  <c r="C94" i="13" s="1"/>
  <c r="B78" i="13"/>
  <c r="AI77" i="13"/>
  <c r="AH77" i="13"/>
  <c r="AI76" i="13"/>
  <c r="AH76" i="13"/>
  <c r="AI75" i="13"/>
  <c r="AH75" i="13"/>
  <c r="AI74" i="13"/>
  <c r="AH74" i="13"/>
  <c r="AI73" i="13"/>
  <c r="AH73" i="13"/>
  <c r="AI72" i="13"/>
  <c r="AH72" i="13"/>
  <c r="AI71" i="13"/>
  <c r="AH71" i="13"/>
  <c r="AI70" i="13"/>
  <c r="AH70" i="13"/>
  <c r="AI69" i="13"/>
  <c r="AH69" i="13"/>
  <c r="AI68" i="13"/>
  <c r="AH68" i="13"/>
  <c r="AI67" i="13"/>
  <c r="AH67" i="13"/>
  <c r="AG66" i="13"/>
  <c r="AF66" i="13"/>
  <c r="AE66" i="13"/>
  <c r="AD66" i="13"/>
  <c r="AC66" i="13"/>
  <c r="AB66" i="13"/>
  <c r="AA66" i="13"/>
  <c r="Z66" i="13"/>
  <c r="Y66" i="13"/>
  <c r="W66" i="13"/>
  <c r="V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B66" i="13"/>
  <c r="AI65" i="13"/>
  <c r="AH65" i="13"/>
  <c r="AI64" i="13"/>
  <c r="AH64" i="13"/>
  <c r="AI63" i="13"/>
  <c r="AH63" i="13"/>
  <c r="AF62" i="13"/>
  <c r="AE62" i="13"/>
  <c r="AD62" i="13"/>
  <c r="AC62" i="13"/>
  <c r="AB62" i="13"/>
  <c r="AA62" i="13"/>
  <c r="Z62" i="13"/>
  <c r="Y62" i="13"/>
  <c r="W62" i="13"/>
  <c r="V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B62" i="13"/>
  <c r="AI61" i="13"/>
  <c r="AH61" i="13"/>
  <c r="AI60" i="13"/>
  <c r="AH60" i="13"/>
  <c r="AI59" i="13"/>
  <c r="AH59" i="13"/>
  <c r="AI58" i="13"/>
  <c r="AH58" i="13"/>
  <c r="AI57" i="13"/>
  <c r="AH57" i="13"/>
  <c r="AI56" i="13"/>
  <c r="AH56" i="13"/>
  <c r="AI55" i="13"/>
  <c r="AH55" i="13"/>
  <c r="AI54" i="13"/>
  <c r="AH54" i="13"/>
  <c r="AI53" i="13"/>
  <c r="AH53" i="13"/>
  <c r="AI52" i="13"/>
  <c r="AH52" i="13"/>
  <c r="AI51" i="13"/>
  <c r="AH51" i="13"/>
  <c r="AI50" i="13"/>
  <c r="AH50" i="13"/>
  <c r="AI49" i="13"/>
  <c r="AH49" i="13"/>
  <c r="AG48" i="13"/>
  <c r="AF48" i="13"/>
  <c r="AE48" i="13"/>
  <c r="AD48" i="13"/>
  <c r="AC48" i="13"/>
  <c r="AB48" i="13"/>
  <c r="AA48" i="13"/>
  <c r="Z48" i="13"/>
  <c r="Y48" i="13"/>
  <c r="W48" i="13"/>
  <c r="V48" i="13"/>
  <c r="T48" i="13"/>
  <c r="S48" i="13"/>
  <c r="R48" i="13"/>
  <c r="Q48" i="13"/>
  <c r="P48" i="13"/>
  <c r="O48" i="13"/>
  <c r="N48" i="13"/>
  <c r="M48" i="13"/>
  <c r="K48" i="13"/>
  <c r="J48" i="13"/>
  <c r="I48" i="13"/>
  <c r="H48" i="13"/>
  <c r="G48" i="13"/>
  <c r="F48" i="13"/>
  <c r="E48" i="13"/>
  <c r="D48" i="13"/>
  <c r="C48" i="13"/>
  <c r="B48" i="13"/>
  <c r="AI47" i="13"/>
  <c r="AH47" i="13"/>
  <c r="AI46" i="13"/>
  <c r="AH46" i="13"/>
  <c r="AI45" i="13"/>
  <c r="AH45" i="13"/>
  <c r="AG44" i="13"/>
  <c r="AF44" i="13"/>
  <c r="AE44" i="13"/>
  <c r="AD44" i="13"/>
  <c r="AC44" i="13"/>
  <c r="AB44" i="13"/>
  <c r="AA44" i="13"/>
  <c r="Z44" i="13"/>
  <c r="Y44" i="13"/>
  <c r="W44" i="13"/>
  <c r="V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V43" i="13"/>
  <c r="C43" i="13"/>
  <c r="AI42" i="13"/>
  <c r="AH42" i="13"/>
  <c r="AI41" i="13"/>
  <c r="AH41" i="13"/>
  <c r="AI40" i="13"/>
  <c r="AH40" i="13"/>
  <c r="AI39" i="13"/>
  <c r="AH39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W5" i="13"/>
  <c r="AG4" i="13"/>
  <c r="K4" i="13"/>
  <c r="E4" i="13"/>
  <c r="H4" i="13" s="1"/>
  <c r="B4" i="13"/>
  <c r="S239" i="13" s="1"/>
  <c r="AG2" i="13"/>
  <c r="AF43" i="12"/>
  <c r="AD43" i="12"/>
  <c r="AC43" i="12"/>
  <c r="AB43" i="12"/>
  <c r="AA107" i="12"/>
  <c r="AA43" i="12"/>
  <c r="AE5" i="13" l="1"/>
  <c r="AD5" i="13"/>
  <c r="AC5" i="13"/>
  <c r="AA5" i="13"/>
  <c r="Z5" i="13"/>
  <c r="AA83" i="13"/>
  <c r="AA85" i="13" s="1"/>
  <c r="AA7" i="13" s="1"/>
  <c r="Z94" i="13"/>
  <c r="Y5" i="13"/>
  <c r="V5" i="13"/>
  <c r="U5" i="13"/>
  <c r="S5" i="13"/>
  <c r="T83" i="13"/>
  <c r="T85" i="13" s="1"/>
  <c r="AG6" i="13"/>
  <c r="E222" i="13"/>
  <c r="E104" i="13" s="1"/>
  <c r="AB5" i="13"/>
  <c r="T5" i="13"/>
  <c r="AC83" i="13"/>
  <c r="AC85" i="13" s="1"/>
  <c r="AC7" i="13" s="1"/>
  <c r="R5" i="13"/>
  <c r="S83" i="13"/>
  <c r="S85" i="13" s="1"/>
  <c r="AK242" i="13" s="1"/>
  <c r="O5" i="13"/>
  <c r="N5" i="13"/>
  <c r="M5" i="13"/>
  <c r="L5" i="13"/>
  <c r="M83" i="13"/>
  <c r="M85" i="13" s="1"/>
  <c r="M7" i="13" s="1"/>
  <c r="J5" i="13"/>
  <c r="K83" i="13"/>
  <c r="K85" i="13" s="1"/>
  <c r="K86" i="13" s="1"/>
  <c r="H5" i="13"/>
  <c r="G5" i="13"/>
  <c r="F5" i="13"/>
  <c r="E5" i="13"/>
  <c r="K5" i="13"/>
  <c r="L83" i="13"/>
  <c r="L85" i="13" s="1"/>
  <c r="AD242" i="13" s="1"/>
  <c r="D5" i="13"/>
  <c r="E83" i="13"/>
  <c r="E85" i="13" s="1"/>
  <c r="E86" i="13" s="1"/>
  <c r="P5" i="13"/>
  <c r="AG85" i="13"/>
  <c r="F222" i="13"/>
  <c r="G222" i="13" s="1"/>
  <c r="H222" i="13" s="1"/>
  <c r="D228" i="13"/>
  <c r="F83" i="13"/>
  <c r="F85" i="13" s="1"/>
  <c r="X242" i="13" s="1"/>
  <c r="G83" i="13"/>
  <c r="G85" i="13" s="1"/>
  <c r="G7" i="13" s="1"/>
  <c r="O83" i="13"/>
  <c r="O85" i="13" s="1"/>
  <c r="AG242" i="13" s="1"/>
  <c r="W83" i="13"/>
  <c r="W85" i="13" s="1"/>
  <c r="AO242" i="13" s="1"/>
  <c r="AE83" i="13"/>
  <c r="AE85" i="13" s="1"/>
  <c r="AE86" i="13" s="1"/>
  <c r="AH66" i="13"/>
  <c r="AG83" i="13"/>
  <c r="AI43" i="13"/>
  <c r="X5" i="13"/>
  <c r="B228" i="13"/>
  <c r="C5" i="13"/>
  <c r="D83" i="13"/>
  <c r="D85" i="13" s="1"/>
  <c r="D86" i="13" s="1"/>
  <c r="B5" i="13"/>
  <c r="AI62" i="13"/>
  <c r="C83" i="13"/>
  <c r="C85" i="13" s="1"/>
  <c r="C86" i="13" s="1"/>
  <c r="AB83" i="13"/>
  <c r="AB85" i="13" s="1"/>
  <c r="AB86" i="13" s="1"/>
  <c r="AH48" i="13"/>
  <c r="I83" i="13"/>
  <c r="I85" i="13" s="1"/>
  <c r="I7" i="13" s="1"/>
  <c r="Q83" i="13"/>
  <c r="Q85" i="13" s="1"/>
  <c r="Q7" i="13" s="1"/>
  <c r="Y83" i="13"/>
  <c r="Y85" i="13" s="1"/>
  <c r="AI48" i="13"/>
  <c r="J83" i="13"/>
  <c r="J85" i="13" s="1"/>
  <c r="AB242" i="13" s="1"/>
  <c r="R83" i="13"/>
  <c r="R85" i="13" s="1"/>
  <c r="R86" i="13" s="1"/>
  <c r="Z83" i="13"/>
  <c r="Z85" i="13" s="1"/>
  <c r="AR242" i="13" s="1"/>
  <c r="N83" i="13"/>
  <c r="N85" i="13" s="1"/>
  <c r="AF242" i="13" s="1"/>
  <c r="V83" i="13"/>
  <c r="V85" i="13" s="1"/>
  <c r="V86" i="13" s="1"/>
  <c r="AD83" i="13"/>
  <c r="AD85" i="13" s="1"/>
  <c r="AV242" i="13" s="1"/>
  <c r="H83" i="13"/>
  <c r="H85" i="13" s="1"/>
  <c r="H86" i="13" s="1"/>
  <c r="P83" i="13"/>
  <c r="P85" i="13" s="1"/>
  <c r="P86" i="13" s="1"/>
  <c r="AF83" i="13"/>
  <c r="AF85" i="13" s="1"/>
  <c r="AX242" i="13" s="1"/>
  <c r="AH78" i="13"/>
  <c r="AH87" i="13"/>
  <c r="AH89" i="13"/>
  <c r="AI90" i="13"/>
  <c r="AH91" i="13"/>
  <c r="AI87" i="13"/>
  <c r="AI89" i="13"/>
  <c r="AH90" i="13"/>
  <c r="B93" i="13"/>
  <c r="AH93" i="13" s="1"/>
  <c r="AI91" i="13"/>
  <c r="B83" i="13"/>
  <c r="B85" i="13" s="1"/>
  <c r="AW242" i="13"/>
  <c r="AE7" i="13"/>
  <c r="AA86" i="13"/>
  <c r="F86" i="13"/>
  <c r="S86" i="13"/>
  <c r="T86" i="13"/>
  <c r="T7" i="13"/>
  <c r="AL242" i="13"/>
  <c r="U7" i="13"/>
  <c r="AM242" i="13"/>
  <c r="AF5" i="13"/>
  <c r="AI44" i="13"/>
  <c r="AH88" i="13"/>
  <c r="D239" i="13"/>
  <c r="AI88" i="13"/>
  <c r="I5" i="13"/>
  <c r="Q5" i="13"/>
  <c r="F227" i="13"/>
  <c r="AH62" i="13"/>
  <c r="AH43" i="13"/>
  <c r="AI66" i="13"/>
  <c r="AI78" i="13"/>
  <c r="E225" i="13"/>
  <c r="F225" i="13" s="1"/>
  <c r="G225" i="13" s="1"/>
  <c r="H225" i="13" s="1"/>
  <c r="I225" i="13" s="1"/>
  <c r="AH44" i="13"/>
  <c r="Z43" i="12"/>
  <c r="Y107" i="12"/>
  <c r="Y43" i="12"/>
  <c r="X107" i="12"/>
  <c r="W107" i="12"/>
  <c r="W43" i="12"/>
  <c r="V107" i="12"/>
  <c r="V43" i="12"/>
  <c r="U107" i="12"/>
  <c r="U43" i="12"/>
  <c r="T107" i="12"/>
  <c r="T104" i="12" s="1"/>
  <c r="T43" i="12"/>
  <c r="S107" i="12"/>
  <c r="S43" i="12"/>
  <c r="R43" i="12"/>
  <c r="Q107" i="12"/>
  <c r="Q43" i="12"/>
  <c r="P107" i="12"/>
  <c r="P43" i="12"/>
  <c r="O107" i="12"/>
  <c r="N107" i="12"/>
  <c r="M107" i="12"/>
  <c r="M43" i="12"/>
  <c r="L107" i="12"/>
  <c r="K107" i="12"/>
  <c r="L43" i="12"/>
  <c r="K43" i="12"/>
  <c r="J107" i="12"/>
  <c r="J43" i="12"/>
  <c r="I107" i="12"/>
  <c r="I43" i="12"/>
  <c r="H107" i="12"/>
  <c r="H48" i="12"/>
  <c r="H43" i="12"/>
  <c r="G107" i="12"/>
  <c r="G43" i="12"/>
  <c r="F107" i="12"/>
  <c r="F43" i="12"/>
  <c r="E107" i="12"/>
  <c r="E43" i="12"/>
  <c r="D43" i="12"/>
  <c r="B107" i="12"/>
  <c r="AF267" i="12"/>
  <c r="AE267" i="12"/>
  <c r="AD267" i="12"/>
  <c r="AC267" i="12"/>
  <c r="AB267" i="12"/>
  <c r="AA267" i="12"/>
  <c r="Z267" i="12"/>
  <c r="Y267" i="12"/>
  <c r="X267" i="12"/>
  <c r="W267" i="12"/>
  <c r="V267" i="12"/>
  <c r="U267" i="12"/>
  <c r="T267" i="12"/>
  <c r="S267" i="12"/>
  <c r="R267" i="12"/>
  <c r="Q267" i="12"/>
  <c r="P267" i="12"/>
  <c r="O267" i="12"/>
  <c r="N267" i="12"/>
  <c r="M267" i="12"/>
  <c r="L267" i="12"/>
  <c r="K267" i="12"/>
  <c r="J267" i="12"/>
  <c r="I267" i="12"/>
  <c r="H267" i="12"/>
  <c r="G267" i="12"/>
  <c r="F267" i="12"/>
  <c r="E267" i="12"/>
  <c r="D267" i="12"/>
  <c r="C267" i="12"/>
  <c r="B267" i="12"/>
  <c r="A267" i="12"/>
  <c r="AF266" i="12"/>
  <c r="AE266" i="12"/>
  <c r="AD266" i="12"/>
  <c r="AC266" i="12"/>
  <c r="AB266" i="12"/>
  <c r="AA266" i="12"/>
  <c r="Z266" i="12"/>
  <c r="Y266" i="12"/>
  <c r="X266" i="12"/>
  <c r="W266" i="12"/>
  <c r="V266" i="12"/>
  <c r="U266" i="12"/>
  <c r="T266" i="12"/>
  <c r="S266" i="12"/>
  <c r="R266" i="12"/>
  <c r="Q266" i="12"/>
  <c r="P266" i="12"/>
  <c r="O266" i="12"/>
  <c r="N266" i="12"/>
  <c r="M266" i="12"/>
  <c r="L266" i="12"/>
  <c r="K266" i="12"/>
  <c r="J266" i="12"/>
  <c r="I266" i="12"/>
  <c r="H266" i="12"/>
  <c r="G266" i="12"/>
  <c r="F266" i="12"/>
  <c r="E266" i="12"/>
  <c r="D266" i="12"/>
  <c r="C266" i="12"/>
  <c r="B266" i="12"/>
  <c r="A266" i="12"/>
  <c r="AF265" i="12"/>
  <c r="AE265" i="12"/>
  <c r="AD265" i="12"/>
  <c r="AC265" i="12"/>
  <c r="AB265" i="12"/>
  <c r="AA265" i="12"/>
  <c r="Z265" i="12"/>
  <c r="Y265" i="12"/>
  <c r="X265" i="12"/>
  <c r="W265" i="12"/>
  <c r="V265" i="12"/>
  <c r="U265" i="12"/>
  <c r="T265" i="12"/>
  <c r="S265" i="12"/>
  <c r="R265" i="12"/>
  <c r="Q265" i="12"/>
  <c r="P265" i="12"/>
  <c r="O265" i="12"/>
  <c r="N265" i="12"/>
  <c r="M265" i="12"/>
  <c r="L265" i="12"/>
  <c r="K265" i="12"/>
  <c r="J265" i="12"/>
  <c r="I265" i="12"/>
  <c r="H265" i="12"/>
  <c r="G265" i="12"/>
  <c r="F265" i="12"/>
  <c r="E265" i="12"/>
  <c r="D265" i="12"/>
  <c r="C265" i="12"/>
  <c r="B265" i="12"/>
  <c r="A265" i="12"/>
  <c r="AF264" i="12"/>
  <c r="AE264" i="12"/>
  <c r="AD264" i="12"/>
  <c r="AC264" i="12"/>
  <c r="AB264" i="12"/>
  <c r="AA264" i="12"/>
  <c r="Z264" i="12"/>
  <c r="Y264" i="12"/>
  <c r="X264" i="12"/>
  <c r="W264" i="12"/>
  <c r="V264" i="12"/>
  <c r="U264" i="12"/>
  <c r="T264" i="12"/>
  <c r="S264" i="12"/>
  <c r="R264" i="12"/>
  <c r="Q264" i="12"/>
  <c r="P264" i="12"/>
  <c r="O264" i="12"/>
  <c r="N264" i="12"/>
  <c r="M264" i="12"/>
  <c r="L264" i="12"/>
  <c r="K264" i="12"/>
  <c r="J264" i="12"/>
  <c r="I264" i="12"/>
  <c r="H264" i="12"/>
  <c r="G264" i="12"/>
  <c r="F264" i="12"/>
  <c r="E264" i="12"/>
  <c r="D264" i="12"/>
  <c r="C264" i="12"/>
  <c r="B264" i="12"/>
  <c r="A264" i="12"/>
  <c r="AE263" i="12"/>
  <c r="AD263" i="12"/>
  <c r="AC263" i="12"/>
  <c r="AB263" i="12"/>
  <c r="AA263" i="12"/>
  <c r="Z263" i="12"/>
  <c r="Y263" i="12"/>
  <c r="X263" i="12"/>
  <c r="W263" i="12"/>
  <c r="V263" i="12"/>
  <c r="U263" i="12"/>
  <c r="T263" i="12"/>
  <c r="S263" i="12"/>
  <c r="R263" i="12"/>
  <c r="Q263" i="12"/>
  <c r="P263" i="12"/>
  <c r="B263" i="12"/>
  <c r="S238" i="12"/>
  <c r="AG228" i="12"/>
  <c r="AG61" i="12" s="1"/>
  <c r="AG62" i="12" s="1"/>
  <c r="AG3" i="12" s="1"/>
  <c r="AF228" i="12"/>
  <c r="AE228" i="12"/>
  <c r="AD228" i="12"/>
  <c r="AC228" i="12"/>
  <c r="AB228" i="12"/>
  <c r="AA228" i="12"/>
  <c r="Z228" i="12"/>
  <c r="Y228" i="12"/>
  <c r="X228" i="12"/>
  <c r="W228" i="12"/>
  <c r="V228" i="12"/>
  <c r="U228" i="12"/>
  <c r="T228" i="12"/>
  <c r="S228" i="12"/>
  <c r="R228" i="12"/>
  <c r="Q228" i="12"/>
  <c r="C228" i="12"/>
  <c r="D227" i="12"/>
  <c r="C263" i="12" s="1"/>
  <c r="B227" i="12"/>
  <c r="AF263" i="12" s="1"/>
  <c r="D226" i="12"/>
  <c r="E226" i="12" s="1"/>
  <c r="F226" i="12" s="1"/>
  <c r="G226" i="12" s="1"/>
  <c r="H226" i="12" s="1"/>
  <c r="I226" i="12" s="1"/>
  <c r="B226" i="12"/>
  <c r="D225" i="12"/>
  <c r="E225" i="12" s="1"/>
  <c r="F225" i="12" s="1"/>
  <c r="G225" i="12" s="1"/>
  <c r="H225" i="12" s="1"/>
  <c r="I225" i="12" s="1"/>
  <c r="J225" i="12" s="1"/>
  <c r="K225" i="12" s="1"/>
  <c r="L225" i="12" s="1"/>
  <c r="M225" i="12" s="1"/>
  <c r="N225" i="12" s="1"/>
  <c r="O225" i="12" s="1"/>
  <c r="P225" i="12" s="1"/>
  <c r="B225" i="12"/>
  <c r="E224" i="12"/>
  <c r="F224" i="12" s="1"/>
  <c r="G224" i="12" s="1"/>
  <c r="H224" i="12" s="1"/>
  <c r="D224" i="12"/>
  <c r="B224" i="12"/>
  <c r="D223" i="12"/>
  <c r="E223" i="12" s="1"/>
  <c r="F223" i="12" s="1"/>
  <c r="G223" i="12" s="1"/>
  <c r="H223" i="12" s="1"/>
  <c r="I223" i="12" s="1"/>
  <c r="J223" i="12" s="1"/>
  <c r="K223" i="12" s="1"/>
  <c r="L223" i="12" s="1"/>
  <c r="M223" i="12" s="1"/>
  <c r="N223" i="12" s="1"/>
  <c r="O223" i="12" s="1"/>
  <c r="P223" i="12" s="1"/>
  <c r="B223" i="12"/>
  <c r="D222" i="12"/>
  <c r="E222" i="12" s="1"/>
  <c r="B222" i="12"/>
  <c r="AG220" i="12"/>
  <c r="AF220" i="12"/>
  <c r="AE220" i="12"/>
  <c r="AD220" i="12"/>
  <c r="AC220" i="12"/>
  <c r="AB220" i="12"/>
  <c r="AA220" i="12"/>
  <c r="Z220" i="12"/>
  <c r="Y220" i="12"/>
  <c r="X220" i="12"/>
  <c r="W220" i="12"/>
  <c r="V220" i="12"/>
  <c r="U220" i="12"/>
  <c r="T220" i="12"/>
  <c r="S220" i="12"/>
  <c r="R220" i="12"/>
  <c r="Q220" i="12"/>
  <c r="P220" i="12"/>
  <c r="O220" i="12"/>
  <c r="N220" i="12"/>
  <c r="M220" i="12"/>
  <c r="L220" i="12"/>
  <c r="K220" i="12"/>
  <c r="J220" i="12"/>
  <c r="I220" i="12"/>
  <c r="H220" i="12"/>
  <c r="G220" i="12"/>
  <c r="F220" i="12"/>
  <c r="E220" i="12"/>
  <c r="D220" i="12"/>
  <c r="C220" i="12"/>
  <c r="B220" i="12"/>
  <c r="AI113" i="12"/>
  <c r="AH113" i="12"/>
  <c r="AI112" i="12"/>
  <c r="AH112" i="12"/>
  <c r="AI111" i="12"/>
  <c r="AH111" i="12"/>
  <c r="AI110" i="12"/>
  <c r="AH110" i="12"/>
  <c r="AI109" i="12"/>
  <c r="AH109" i="12"/>
  <c r="AI108" i="12"/>
  <c r="AH108" i="12"/>
  <c r="AF104" i="12"/>
  <c r="AE104" i="12"/>
  <c r="AI106" i="12"/>
  <c r="AH106" i="12"/>
  <c r="AI105" i="12"/>
  <c r="AH105" i="12"/>
  <c r="AD104" i="12"/>
  <c r="AC104" i="12"/>
  <c r="AB104" i="12"/>
  <c r="AA104" i="12"/>
  <c r="Z104" i="12"/>
  <c r="Y104" i="12"/>
  <c r="X104" i="12"/>
  <c r="W104" i="12"/>
  <c r="V104" i="12"/>
  <c r="U104" i="12"/>
  <c r="S104" i="12"/>
  <c r="R104" i="12"/>
  <c r="Q104" i="12"/>
  <c r="C104" i="12"/>
  <c r="AI103" i="12"/>
  <c r="AH103" i="12"/>
  <c r="AI102" i="12"/>
  <c r="AH102" i="12"/>
  <c r="AI101" i="12"/>
  <c r="AH101" i="12"/>
  <c r="AI100" i="12"/>
  <c r="AH100" i="12"/>
  <c r="AI99" i="12"/>
  <c r="AH99" i="12"/>
  <c r="AI98" i="12"/>
  <c r="AH98" i="12"/>
  <c r="AI97" i="12"/>
  <c r="AH97" i="12"/>
  <c r="AI96" i="12"/>
  <c r="AH96" i="12"/>
  <c r="AI95" i="12"/>
  <c r="AH95" i="12"/>
  <c r="AI92" i="12"/>
  <c r="AH92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Q90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B90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AI84" i="12"/>
  <c r="AH84" i="12"/>
  <c r="AI82" i="12"/>
  <c r="AH82" i="12"/>
  <c r="AG82" i="12"/>
  <c r="AI81" i="12"/>
  <c r="AH81" i="12"/>
  <c r="AI80" i="12"/>
  <c r="AH80" i="12"/>
  <c r="AI79" i="12"/>
  <c r="AH79" i="12"/>
  <c r="AG78" i="12"/>
  <c r="AF78" i="12"/>
  <c r="AE5" i="12" s="1"/>
  <c r="AE78" i="12"/>
  <c r="AE94" i="12" s="1"/>
  <c r="AD78" i="12"/>
  <c r="AD94" i="12" s="1"/>
  <c r="AC78" i="12"/>
  <c r="AB78" i="12"/>
  <c r="AA5" i="12" s="1"/>
  <c r="AA78" i="12"/>
  <c r="AA94" i="12" s="1"/>
  <c r="Z78" i="12"/>
  <c r="Z94" i="12" s="1"/>
  <c r="Y78" i="12"/>
  <c r="Y94" i="12" s="1"/>
  <c r="X78" i="12"/>
  <c r="W5" i="12" s="1"/>
  <c r="W78" i="12"/>
  <c r="W94" i="12" s="1"/>
  <c r="V78" i="12"/>
  <c r="V94" i="12" s="1"/>
  <c r="U78" i="12"/>
  <c r="T78" i="12"/>
  <c r="S5" i="12" s="1"/>
  <c r="S78" i="12"/>
  <c r="S94" i="12" s="1"/>
  <c r="R78" i="12"/>
  <c r="R94" i="12" s="1"/>
  <c r="Q78" i="12"/>
  <c r="Q94" i="12" s="1"/>
  <c r="P78" i="12"/>
  <c r="O5" i="12" s="1"/>
  <c r="O78" i="12"/>
  <c r="O94" i="12" s="1"/>
  <c r="N78" i="12"/>
  <c r="N94" i="12" s="1"/>
  <c r="M78" i="12"/>
  <c r="L78" i="12"/>
  <c r="K5" i="12" s="1"/>
  <c r="K78" i="12"/>
  <c r="K94" i="12" s="1"/>
  <c r="J78" i="12"/>
  <c r="I5" i="12" s="1"/>
  <c r="I78" i="12"/>
  <c r="H5" i="12" s="1"/>
  <c r="H78" i="12"/>
  <c r="H94" i="12" s="1"/>
  <c r="G78" i="12"/>
  <c r="G94" i="12" s="1"/>
  <c r="F78" i="12"/>
  <c r="F94" i="12" s="1"/>
  <c r="E78" i="12"/>
  <c r="D78" i="12"/>
  <c r="C5" i="12" s="1"/>
  <c r="C78" i="12"/>
  <c r="C94" i="12" s="1"/>
  <c r="B78" i="12"/>
  <c r="AI77" i="12"/>
  <c r="AH77" i="12"/>
  <c r="AI76" i="12"/>
  <c r="AH76" i="12"/>
  <c r="AI75" i="12"/>
  <c r="AH75" i="12"/>
  <c r="AI74" i="12"/>
  <c r="AH74" i="12"/>
  <c r="AI73" i="12"/>
  <c r="AH73" i="12"/>
  <c r="AI72" i="12"/>
  <c r="AH72" i="12"/>
  <c r="AI71" i="12"/>
  <c r="AH71" i="12"/>
  <c r="AI70" i="12"/>
  <c r="AH70" i="12"/>
  <c r="AI69" i="12"/>
  <c r="AH69" i="12"/>
  <c r="AI68" i="12"/>
  <c r="AH68" i="12"/>
  <c r="AI67" i="12"/>
  <c r="AH67" i="12"/>
  <c r="AG66" i="12"/>
  <c r="AF66" i="12"/>
  <c r="AE66" i="12"/>
  <c r="AD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B66" i="12"/>
  <c r="AI65" i="12"/>
  <c r="AH65" i="12"/>
  <c r="AI64" i="12"/>
  <c r="AH64" i="12"/>
  <c r="AI63" i="12"/>
  <c r="AH63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B62" i="12"/>
  <c r="AI61" i="12"/>
  <c r="AH61" i="12"/>
  <c r="AI60" i="12"/>
  <c r="AH60" i="12"/>
  <c r="AI59" i="12"/>
  <c r="AH59" i="12"/>
  <c r="AI58" i="12"/>
  <c r="AH58" i="12"/>
  <c r="AI57" i="12"/>
  <c r="AH57" i="12"/>
  <c r="AI56" i="12"/>
  <c r="AH56" i="12"/>
  <c r="AI55" i="12"/>
  <c r="AH55" i="12"/>
  <c r="AI54" i="12"/>
  <c r="AH54" i="12"/>
  <c r="AI53" i="12"/>
  <c r="AH53" i="12"/>
  <c r="AI52" i="12"/>
  <c r="AH52" i="12"/>
  <c r="AI51" i="12"/>
  <c r="AH51" i="12"/>
  <c r="AI50" i="12"/>
  <c r="AH50" i="12"/>
  <c r="AI49" i="12"/>
  <c r="AH49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G48" i="12"/>
  <c r="F48" i="12"/>
  <c r="E48" i="12"/>
  <c r="D48" i="12"/>
  <c r="C48" i="12"/>
  <c r="B48" i="12"/>
  <c r="AI47" i="12"/>
  <c r="AH47" i="12"/>
  <c r="AI46" i="12"/>
  <c r="AH46" i="12"/>
  <c r="AI45" i="12"/>
  <c r="AH45" i="12"/>
  <c r="AG44" i="12"/>
  <c r="AG2" i="12" s="1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C43" i="12"/>
  <c r="AI42" i="12"/>
  <c r="AH42" i="12"/>
  <c r="AI41" i="12"/>
  <c r="AH41" i="12"/>
  <c r="AI40" i="12"/>
  <c r="AH40" i="12"/>
  <c r="AI39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D5" i="12"/>
  <c r="V5" i="12"/>
  <c r="AG4" i="12"/>
  <c r="AG6" i="12" s="1"/>
  <c r="K4" i="12"/>
  <c r="E4" i="12"/>
  <c r="H4" i="12" s="1"/>
  <c r="B4" i="12"/>
  <c r="S239" i="12" s="1"/>
  <c r="AF107" i="11"/>
  <c r="AF43" i="11"/>
  <c r="AE107" i="11"/>
  <c r="AE43" i="11"/>
  <c r="AD107" i="11"/>
  <c r="AD43" i="11"/>
  <c r="AC107" i="11"/>
  <c r="AC43" i="11"/>
  <c r="AB107" i="11"/>
  <c r="AB43" i="11"/>
  <c r="AA43" i="11"/>
  <c r="W43" i="11"/>
  <c r="V43" i="11"/>
  <c r="U43" i="11"/>
  <c r="T43" i="11"/>
  <c r="S43" i="11"/>
  <c r="R107" i="11"/>
  <c r="R43" i="11"/>
  <c r="Q43" i="11"/>
  <c r="P107" i="11"/>
  <c r="P43" i="11"/>
  <c r="O107" i="11"/>
  <c r="O43" i="11"/>
  <c r="N107" i="11"/>
  <c r="N43" i="11"/>
  <c r="AE242" i="13" l="1"/>
  <c r="AI93" i="13"/>
  <c r="Y86" i="13"/>
  <c r="Y7" i="13"/>
  <c r="E227" i="12"/>
  <c r="D263" i="12" s="1"/>
  <c r="AT242" i="13"/>
  <c r="AS242" i="13"/>
  <c r="W7" i="13"/>
  <c r="AN242" i="13"/>
  <c r="AQ242" i="13"/>
  <c r="W86" i="13"/>
  <c r="W242" i="13"/>
  <c r="AC242" i="13"/>
  <c r="E228" i="13"/>
  <c r="S7" i="13"/>
  <c r="AB7" i="13"/>
  <c r="AC86" i="13"/>
  <c r="AU242" i="13"/>
  <c r="Z7" i="13"/>
  <c r="Z86" i="13"/>
  <c r="AI242" i="13"/>
  <c r="O7" i="13"/>
  <c r="M86" i="13"/>
  <c r="N86" i="13"/>
  <c r="L86" i="13"/>
  <c r="K7" i="13"/>
  <c r="L7" i="13"/>
  <c r="F7" i="13"/>
  <c r="E7" i="13"/>
  <c r="Y242" i="13"/>
  <c r="I86" i="13"/>
  <c r="G86" i="13"/>
  <c r="V7" i="13"/>
  <c r="B94" i="13"/>
  <c r="O86" i="13"/>
  <c r="AA242" i="13"/>
  <c r="V242" i="13"/>
  <c r="D7" i="13"/>
  <c r="U242" i="13"/>
  <c r="C7" i="13"/>
  <c r="AH242" i="13"/>
  <c r="AP242" i="13"/>
  <c r="X7" i="13"/>
  <c r="J86" i="13"/>
  <c r="C237" i="13"/>
  <c r="AJ242" i="13"/>
  <c r="R7" i="13"/>
  <c r="J7" i="13"/>
  <c r="Q86" i="13"/>
  <c r="AF7" i="13"/>
  <c r="AF86" i="13"/>
  <c r="AH83" i="13"/>
  <c r="B237" i="13"/>
  <c r="Z242" i="13"/>
  <c r="H7" i="13"/>
  <c r="AD86" i="13"/>
  <c r="N7" i="13"/>
  <c r="AI83" i="13"/>
  <c r="P7" i="13"/>
  <c r="AD7" i="13"/>
  <c r="I222" i="13"/>
  <c r="B86" i="13"/>
  <c r="B7" i="13"/>
  <c r="AH85" i="13"/>
  <c r="AI85" i="13"/>
  <c r="T242" i="13"/>
  <c r="J225" i="13"/>
  <c r="K225" i="13" s="1"/>
  <c r="L225" i="13" s="1"/>
  <c r="M225" i="13" s="1"/>
  <c r="N225" i="13" s="1"/>
  <c r="O225" i="13" s="1"/>
  <c r="P225" i="13" s="1"/>
  <c r="AH94" i="13"/>
  <c r="AI94" i="13"/>
  <c r="E263" i="13"/>
  <c r="F104" i="13"/>
  <c r="G227" i="13"/>
  <c r="F228" i="13"/>
  <c r="Z5" i="12"/>
  <c r="Y5" i="12"/>
  <c r="X5" i="12"/>
  <c r="R5" i="12"/>
  <c r="Q5" i="12"/>
  <c r="P5" i="12"/>
  <c r="U5" i="12"/>
  <c r="T94" i="12"/>
  <c r="AI43" i="12"/>
  <c r="S83" i="12"/>
  <c r="S85" i="12" s="1"/>
  <c r="S7" i="12" s="1"/>
  <c r="AA83" i="12"/>
  <c r="AA85" i="12" s="1"/>
  <c r="AA7" i="12" s="1"/>
  <c r="U83" i="12"/>
  <c r="U85" i="12" s="1"/>
  <c r="AC83" i="12"/>
  <c r="AC85" i="12" s="1"/>
  <c r="AU242" i="12" s="1"/>
  <c r="AC5" i="12"/>
  <c r="V83" i="12"/>
  <c r="V85" i="12" s="1"/>
  <c r="V7" i="12" s="1"/>
  <c r="AD83" i="12"/>
  <c r="AD85" i="12" s="1"/>
  <c r="AG83" i="12"/>
  <c r="N5" i="12"/>
  <c r="M5" i="12"/>
  <c r="N83" i="12"/>
  <c r="N85" i="12" s="1"/>
  <c r="N7" i="12" s="1"/>
  <c r="M83" i="12"/>
  <c r="M85" i="12" s="1"/>
  <c r="M7" i="12" s="1"/>
  <c r="J5" i="12"/>
  <c r="K83" i="12"/>
  <c r="K85" i="12" s="1"/>
  <c r="K7" i="12" s="1"/>
  <c r="I94" i="12"/>
  <c r="F5" i="12"/>
  <c r="E5" i="12"/>
  <c r="F83" i="12"/>
  <c r="F85" i="12" s="1"/>
  <c r="X242" i="12" s="1"/>
  <c r="E83" i="12"/>
  <c r="E85" i="12" s="1"/>
  <c r="E86" i="12" s="1"/>
  <c r="B5" i="12"/>
  <c r="C83" i="12"/>
  <c r="C85" i="12" s="1"/>
  <c r="C7" i="12" s="1"/>
  <c r="AF94" i="12"/>
  <c r="G5" i="12"/>
  <c r="J94" i="12"/>
  <c r="AI78" i="12"/>
  <c r="X94" i="12"/>
  <c r="L94" i="12"/>
  <c r="AI88" i="12"/>
  <c r="AI91" i="12"/>
  <c r="P94" i="12"/>
  <c r="AB94" i="12"/>
  <c r="AI87" i="12"/>
  <c r="AI89" i="12"/>
  <c r="AH66" i="12"/>
  <c r="I83" i="12"/>
  <c r="I85" i="12" s="1"/>
  <c r="I7" i="12" s="1"/>
  <c r="Q83" i="12"/>
  <c r="Q85" i="12" s="1"/>
  <c r="Q7" i="12" s="1"/>
  <c r="Y83" i="12"/>
  <c r="Y85" i="12" s="1"/>
  <c r="Y7" i="12" s="1"/>
  <c r="AI90" i="12"/>
  <c r="AH62" i="12"/>
  <c r="AI62" i="12"/>
  <c r="G83" i="12"/>
  <c r="G85" i="12" s="1"/>
  <c r="G86" i="12" s="1"/>
  <c r="O83" i="12"/>
  <c r="O85" i="12" s="1"/>
  <c r="O7" i="12" s="1"/>
  <c r="W83" i="12"/>
  <c r="W85" i="12" s="1"/>
  <c r="W86" i="12" s="1"/>
  <c r="AE83" i="12"/>
  <c r="AE85" i="12" s="1"/>
  <c r="AE7" i="12" s="1"/>
  <c r="H83" i="12"/>
  <c r="H85" i="12" s="1"/>
  <c r="H7" i="12" s="1"/>
  <c r="X83" i="12"/>
  <c r="X85" i="12" s="1"/>
  <c r="X86" i="12" s="1"/>
  <c r="P83" i="12"/>
  <c r="P85" i="12" s="1"/>
  <c r="P86" i="12" s="1"/>
  <c r="AF83" i="12"/>
  <c r="AF85" i="12" s="1"/>
  <c r="AF7" i="12" s="1"/>
  <c r="J83" i="12"/>
  <c r="J85" i="12" s="1"/>
  <c r="J7" i="12" s="1"/>
  <c r="R83" i="12"/>
  <c r="R85" i="12" s="1"/>
  <c r="R7" i="12" s="1"/>
  <c r="Z83" i="12"/>
  <c r="Z85" i="12" s="1"/>
  <c r="Z7" i="12" s="1"/>
  <c r="J226" i="12"/>
  <c r="K226" i="12" s="1"/>
  <c r="L226" i="12" s="1"/>
  <c r="M226" i="12" s="1"/>
  <c r="N226" i="12" s="1"/>
  <c r="O226" i="12" s="1"/>
  <c r="P226" i="12" s="1"/>
  <c r="W242" i="12"/>
  <c r="AC7" i="12"/>
  <c r="F222" i="12"/>
  <c r="E228" i="12"/>
  <c r="V86" i="12"/>
  <c r="AV242" i="12"/>
  <c r="AD86" i="12"/>
  <c r="AD7" i="12"/>
  <c r="AH43" i="12"/>
  <c r="AI48" i="12"/>
  <c r="AH89" i="12"/>
  <c r="AH90" i="12"/>
  <c r="B228" i="12"/>
  <c r="AH91" i="12"/>
  <c r="AI107" i="12"/>
  <c r="AI44" i="12"/>
  <c r="AH44" i="12"/>
  <c r="AG85" i="12"/>
  <c r="AH107" i="12"/>
  <c r="AM242" i="12"/>
  <c r="U86" i="12"/>
  <c r="AH78" i="12"/>
  <c r="G7" i="12"/>
  <c r="U7" i="12"/>
  <c r="D83" i="12"/>
  <c r="D85" i="12" s="1"/>
  <c r="L83" i="12"/>
  <c r="L85" i="12" s="1"/>
  <c r="T83" i="12"/>
  <c r="T85" i="12" s="1"/>
  <c r="AB83" i="12"/>
  <c r="AB85" i="12" s="1"/>
  <c r="AI66" i="12"/>
  <c r="AH48" i="12"/>
  <c r="B83" i="12"/>
  <c r="B93" i="12"/>
  <c r="AH87" i="12"/>
  <c r="D228" i="12"/>
  <c r="D104" i="12"/>
  <c r="AF5" i="12"/>
  <c r="D5" i="12"/>
  <c r="E94" i="12"/>
  <c r="L5" i="12"/>
  <c r="M94" i="12"/>
  <c r="T5" i="12"/>
  <c r="U94" i="12"/>
  <c r="AB5" i="12"/>
  <c r="AC94" i="12"/>
  <c r="D94" i="12"/>
  <c r="D239" i="12"/>
  <c r="AH88" i="12"/>
  <c r="B104" i="12"/>
  <c r="E104" i="12" l="1"/>
  <c r="AC86" i="12"/>
  <c r="E7" i="12"/>
  <c r="F227" i="12"/>
  <c r="G227" i="12" s="1"/>
  <c r="F7" i="12"/>
  <c r="K6" i="13"/>
  <c r="A7" i="13"/>
  <c r="H227" i="13"/>
  <c r="F263" i="13"/>
  <c r="G104" i="13"/>
  <c r="G228" i="13"/>
  <c r="AH86" i="13"/>
  <c r="AI86" i="13"/>
  <c r="J222" i="13"/>
  <c r="AA86" i="12"/>
  <c r="AS242" i="12"/>
  <c r="AN242" i="12"/>
  <c r="S86" i="12"/>
  <c r="AK242" i="12"/>
  <c r="M86" i="12"/>
  <c r="AE242" i="12"/>
  <c r="AF242" i="12"/>
  <c r="N86" i="12"/>
  <c r="E263" i="12"/>
  <c r="Y242" i="12"/>
  <c r="C86" i="12"/>
  <c r="O86" i="12"/>
  <c r="AG242" i="12"/>
  <c r="AC242" i="12"/>
  <c r="K86" i="12"/>
  <c r="J86" i="12"/>
  <c r="I86" i="12"/>
  <c r="AA242" i="12"/>
  <c r="Z242" i="12"/>
  <c r="F86" i="12"/>
  <c r="U242" i="12"/>
  <c r="AO242" i="12"/>
  <c r="Q86" i="12"/>
  <c r="AI242" i="12"/>
  <c r="AE86" i="12"/>
  <c r="R86" i="12"/>
  <c r="Y86" i="12"/>
  <c r="W7" i="12"/>
  <c r="AW242" i="12"/>
  <c r="AJ242" i="12"/>
  <c r="AQ242" i="12"/>
  <c r="AB242" i="12"/>
  <c r="H86" i="12"/>
  <c r="AR242" i="12"/>
  <c r="X7" i="12"/>
  <c r="AP242" i="12"/>
  <c r="P7" i="12"/>
  <c r="AH242" i="12"/>
  <c r="AX242" i="12"/>
  <c r="Z86" i="12"/>
  <c r="AF86" i="12"/>
  <c r="AH93" i="12"/>
  <c r="AI93" i="12"/>
  <c r="AL242" i="12"/>
  <c r="T86" i="12"/>
  <c r="T7" i="12"/>
  <c r="G222" i="12"/>
  <c r="F228" i="12"/>
  <c r="F104" i="12"/>
  <c r="AD242" i="12"/>
  <c r="L7" i="12"/>
  <c r="L86" i="12"/>
  <c r="B237" i="12"/>
  <c r="C237" i="12"/>
  <c r="B94" i="12"/>
  <c r="B85" i="12"/>
  <c r="AI83" i="12"/>
  <c r="AH83" i="12"/>
  <c r="V242" i="12"/>
  <c r="D7" i="12"/>
  <c r="D86" i="12"/>
  <c r="AT242" i="12"/>
  <c r="AB7" i="12"/>
  <c r="AB86" i="12"/>
  <c r="K222" i="13" l="1"/>
  <c r="G263" i="13"/>
  <c r="I227" i="13"/>
  <c r="H228" i="13"/>
  <c r="H104" i="13"/>
  <c r="F263" i="12"/>
  <c r="H227" i="12"/>
  <c r="H222" i="12"/>
  <c r="G104" i="12"/>
  <c r="G228" i="12"/>
  <c r="K6" i="12"/>
  <c r="AH94" i="12"/>
  <c r="AI94" i="12"/>
  <c r="AH85" i="12"/>
  <c r="B7" i="12"/>
  <c r="A7" i="12" s="1"/>
  <c r="AI85" i="12"/>
  <c r="B86" i="12"/>
  <c r="T242" i="12"/>
  <c r="L222" i="13" l="1"/>
  <c r="H263" i="13"/>
  <c r="J227" i="13"/>
  <c r="I104" i="13"/>
  <c r="I227" i="12"/>
  <c r="G263" i="12"/>
  <c r="AH86" i="12"/>
  <c r="AI86" i="12"/>
  <c r="I222" i="12"/>
  <c r="H228" i="12"/>
  <c r="H104" i="12"/>
  <c r="M107" i="11"/>
  <c r="M43" i="11"/>
  <c r="F78" i="11"/>
  <c r="G78" i="11"/>
  <c r="F5" i="11" s="1"/>
  <c r="H78" i="11"/>
  <c r="H94" i="11" s="1"/>
  <c r="I78" i="11"/>
  <c r="I94" i="11" s="1"/>
  <c r="J78" i="11"/>
  <c r="J94" i="11" s="1"/>
  <c r="K78" i="11"/>
  <c r="K94" i="11" s="1"/>
  <c r="L78" i="11"/>
  <c r="L94" i="11" s="1"/>
  <c r="M78" i="11"/>
  <c r="L5" i="11" s="1"/>
  <c r="F48" i="11"/>
  <c r="F44" i="11"/>
  <c r="E43" i="11"/>
  <c r="AI43" i="11" s="1"/>
  <c r="D43" i="11"/>
  <c r="C43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B263" i="11"/>
  <c r="S238" i="11"/>
  <c r="AG228" i="11"/>
  <c r="AG61" i="11" s="1"/>
  <c r="AG62" i="11" s="1"/>
  <c r="AG3" i="11" s="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C228" i="11"/>
  <c r="E227" i="11"/>
  <c r="D263" i="11" s="1"/>
  <c r="D227" i="11"/>
  <c r="C263" i="11" s="1"/>
  <c r="B227" i="11"/>
  <c r="AF263" i="11" s="1"/>
  <c r="D226" i="11"/>
  <c r="E226" i="11" s="1"/>
  <c r="F226" i="11" s="1"/>
  <c r="G226" i="11" s="1"/>
  <c r="H226" i="11" s="1"/>
  <c r="I226" i="11" s="1"/>
  <c r="J226" i="11" s="1"/>
  <c r="K226" i="11" s="1"/>
  <c r="L226" i="11" s="1"/>
  <c r="M226" i="11" s="1"/>
  <c r="N226" i="11" s="1"/>
  <c r="O226" i="11" s="1"/>
  <c r="P226" i="11" s="1"/>
  <c r="B226" i="11"/>
  <c r="E225" i="11"/>
  <c r="F225" i="11" s="1"/>
  <c r="G225" i="11" s="1"/>
  <c r="H225" i="11" s="1"/>
  <c r="I225" i="11" s="1"/>
  <c r="D225" i="11"/>
  <c r="B225" i="11"/>
  <c r="E224" i="11"/>
  <c r="F224" i="11" s="1"/>
  <c r="G224" i="11" s="1"/>
  <c r="H224" i="11" s="1"/>
  <c r="D224" i="11"/>
  <c r="B224" i="11"/>
  <c r="D223" i="11"/>
  <c r="E223" i="11" s="1"/>
  <c r="F223" i="11" s="1"/>
  <c r="G223" i="11" s="1"/>
  <c r="H223" i="11" s="1"/>
  <c r="I223" i="11" s="1"/>
  <c r="J223" i="11" s="1"/>
  <c r="K223" i="11" s="1"/>
  <c r="L223" i="11" s="1"/>
  <c r="M223" i="11" s="1"/>
  <c r="N223" i="11" s="1"/>
  <c r="O223" i="11" s="1"/>
  <c r="P223" i="11" s="1"/>
  <c r="B223" i="11"/>
  <c r="D222" i="11"/>
  <c r="E222" i="11" s="1"/>
  <c r="B222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I113" i="11"/>
  <c r="AH113" i="11"/>
  <c r="AI112" i="11"/>
  <c r="AH112" i="11"/>
  <c r="AI111" i="11"/>
  <c r="AH111" i="11"/>
  <c r="AI110" i="11"/>
  <c r="AH110" i="11"/>
  <c r="AI109" i="11"/>
  <c r="AH109" i="11"/>
  <c r="AI108" i="11"/>
  <c r="AH108" i="11"/>
  <c r="AI107" i="11"/>
  <c r="AI106" i="11"/>
  <c r="AH106" i="11"/>
  <c r="AI105" i="11"/>
  <c r="AH105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D104" i="11"/>
  <c r="C104" i="11"/>
  <c r="B104" i="11"/>
  <c r="AI103" i="11"/>
  <c r="AH103" i="11"/>
  <c r="AI102" i="11"/>
  <c r="AH102" i="11"/>
  <c r="AI101" i="11"/>
  <c r="AH101" i="11"/>
  <c r="AI100" i="11"/>
  <c r="AH100" i="11"/>
  <c r="AI99" i="11"/>
  <c r="AH99" i="11"/>
  <c r="AI98" i="11"/>
  <c r="AH98" i="11"/>
  <c r="AI97" i="11"/>
  <c r="AH97" i="11"/>
  <c r="AI96" i="11"/>
  <c r="AH96" i="11"/>
  <c r="AI95" i="11"/>
  <c r="AH95" i="11"/>
  <c r="AI92" i="11"/>
  <c r="AH92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I84" i="11"/>
  <c r="AH84" i="11"/>
  <c r="AI82" i="11"/>
  <c r="AH82" i="11"/>
  <c r="AG82" i="11"/>
  <c r="AI81" i="11"/>
  <c r="AH81" i="11"/>
  <c r="AI80" i="11"/>
  <c r="AH80" i="11"/>
  <c r="AI79" i="11"/>
  <c r="AH79" i="11"/>
  <c r="AG78" i="11"/>
  <c r="AF78" i="11"/>
  <c r="AF94" i="11" s="1"/>
  <c r="AE78" i="11"/>
  <c r="AE94" i="11" s="1"/>
  <c r="AD78" i="11"/>
  <c r="AD94" i="11" s="1"/>
  <c r="AC78" i="11"/>
  <c r="AC94" i="11" s="1"/>
  <c r="AB78" i="11"/>
  <c r="AB94" i="11" s="1"/>
  <c r="AA78" i="11"/>
  <c r="AA94" i="11" s="1"/>
  <c r="Z78" i="11"/>
  <c r="Z94" i="11" s="1"/>
  <c r="Y78" i="11"/>
  <c r="Y94" i="11" s="1"/>
  <c r="X78" i="11"/>
  <c r="X94" i="11" s="1"/>
  <c r="W78" i="11"/>
  <c r="W94" i="11" s="1"/>
  <c r="V78" i="11"/>
  <c r="V94" i="11" s="1"/>
  <c r="U78" i="11"/>
  <c r="U94" i="11" s="1"/>
  <c r="T78" i="11"/>
  <c r="T94" i="11" s="1"/>
  <c r="S78" i="11"/>
  <c r="S94" i="11" s="1"/>
  <c r="R78" i="11"/>
  <c r="R94" i="11" s="1"/>
  <c r="Q78" i="11"/>
  <c r="Q94" i="11" s="1"/>
  <c r="P78" i="11"/>
  <c r="P94" i="11" s="1"/>
  <c r="O78" i="11"/>
  <c r="O94" i="11" s="1"/>
  <c r="N78" i="11"/>
  <c r="N94" i="11" s="1"/>
  <c r="F94" i="11"/>
  <c r="E78" i="11"/>
  <c r="E94" i="11" s="1"/>
  <c r="D78" i="11"/>
  <c r="D94" i="11" s="1"/>
  <c r="C78" i="11"/>
  <c r="C94" i="11" s="1"/>
  <c r="B78" i="11"/>
  <c r="AF5" i="11" s="1"/>
  <c r="AI77" i="11"/>
  <c r="AH77" i="11"/>
  <c r="AI76" i="11"/>
  <c r="AH76" i="11"/>
  <c r="AI75" i="11"/>
  <c r="AH75" i="11"/>
  <c r="AI74" i="11"/>
  <c r="AH74" i="11"/>
  <c r="AI73" i="11"/>
  <c r="AH73" i="11"/>
  <c r="AI72" i="11"/>
  <c r="AH72" i="11"/>
  <c r="AI71" i="11"/>
  <c r="AH71" i="11"/>
  <c r="AI70" i="11"/>
  <c r="AH70" i="11"/>
  <c r="AI69" i="11"/>
  <c r="AH69" i="11"/>
  <c r="AI68" i="11"/>
  <c r="AH68" i="11"/>
  <c r="AI67" i="11"/>
  <c r="AH67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I65" i="11"/>
  <c r="AH65" i="11"/>
  <c r="AI64" i="11"/>
  <c r="AH64" i="11"/>
  <c r="AI63" i="11"/>
  <c r="AH63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I61" i="11"/>
  <c r="AH61" i="11"/>
  <c r="AI60" i="11"/>
  <c r="AH60" i="11"/>
  <c r="AI59" i="11"/>
  <c r="AH59" i="11"/>
  <c r="AI58" i="11"/>
  <c r="AH58" i="11"/>
  <c r="AI57" i="11"/>
  <c r="AH57" i="11"/>
  <c r="AI56" i="11"/>
  <c r="AH56" i="11"/>
  <c r="AI55" i="11"/>
  <c r="AH55" i="11"/>
  <c r="AI54" i="11"/>
  <c r="AH54" i="11"/>
  <c r="AI53" i="11"/>
  <c r="AH53" i="11"/>
  <c r="AI52" i="11"/>
  <c r="AH52" i="11"/>
  <c r="AI51" i="11"/>
  <c r="AH51" i="11"/>
  <c r="AI50" i="11"/>
  <c r="AH50" i="11"/>
  <c r="AI49" i="11"/>
  <c r="AH49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E48" i="11"/>
  <c r="D48" i="11"/>
  <c r="C48" i="11"/>
  <c r="B48" i="11"/>
  <c r="AI47" i="11"/>
  <c r="AH47" i="11"/>
  <c r="AI46" i="11"/>
  <c r="AH46" i="11"/>
  <c r="AI45" i="11"/>
  <c r="AH45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E44" i="11"/>
  <c r="D44" i="11"/>
  <c r="C44" i="11"/>
  <c r="B44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X5" i="11"/>
  <c r="W5" i="11"/>
  <c r="AG4" i="11"/>
  <c r="K4" i="11"/>
  <c r="E4" i="11"/>
  <c r="H4" i="11" s="1"/>
  <c r="B4" i="11"/>
  <c r="D239" i="11" s="1"/>
  <c r="AG2" i="11"/>
  <c r="AF43" i="10"/>
  <c r="AE43" i="10"/>
  <c r="AD43" i="10"/>
  <c r="AC43" i="10"/>
  <c r="AA107" i="10"/>
  <c r="Z107" i="10"/>
  <c r="Z43" i="10"/>
  <c r="Y107" i="10"/>
  <c r="X107" i="10"/>
  <c r="W107" i="10"/>
  <c r="V107" i="10"/>
  <c r="V43" i="10"/>
  <c r="U107" i="10"/>
  <c r="T107" i="10"/>
  <c r="T43" i="10"/>
  <c r="S107" i="10"/>
  <c r="S43" i="10"/>
  <c r="AG83" i="11" l="1"/>
  <c r="B228" i="11"/>
  <c r="D228" i="11"/>
  <c r="G5" i="11"/>
  <c r="AE83" i="11"/>
  <c r="AE85" i="11" s="1"/>
  <c r="AE7" i="11" s="1"/>
  <c r="K227" i="13"/>
  <c r="I263" i="13"/>
  <c r="J104" i="13"/>
  <c r="M222" i="13"/>
  <c r="H263" i="12"/>
  <c r="J227" i="12"/>
  <c r="J222" i="12"/>
  <c r="I104" i="12"/>
  <c r="AE5" i="11"/>
  <c r="AD5" i="11"/>
  <c r="AB5" i="11"/>
  <c r="AC83" i="11"/>
  <c r="AC85" i="11" s="1"/>
  <c r="AB83" i="11"/>
  <c r="AB85" i="11" s="1"/>
  <c r="AA5" i="11"/>
  <c r="Y5" i="11"/>
  <c r="W83" i="11"/>
  <c r="W85" i="11" s="1"/>
  <c r="AO242" i="11" s="1"/>
  <c r="V5" i="11"/>
  <c r="Z83" i="11"/>
  <c r="Z85" i="11" s="1"/>
  <c r="Z86" i="11" s="1"/>
  <c r="T5" i="11"/>
  <c r="U83" i="11"/>
  <c r="U85" i="11" s="1"/>
  <c r="S5" i="11"/>
  <c r="T83" i="11"/>
  <c r="T85" i="11" s="1"/>
  <c r="Q5" i="11"/>
  <c r="R83" i="11"/>
  <c r="R85" i="11" s="1"/>
  <c r="R86" i="11" s="1"/>
  <c r="P5" i="11"/>
  <c r="O5" i="11"/>
  <c r="O83" i="11"/>
  <c r="O85" i="11" s="1"/>
  <c r="AG242" i="11" s="1"/>
  <c r="N5" i="11"/>
  <c r="M94" i="11"/>
  <c r="M83" i="11"/>
  <c r="M85" i="11" s="1"/>
  <c r="I5" i="11"/>
  <c r="J83" i="11"/>
  <c r="J85" i="11" s="1"/>
  <c r="AB242" i="11" s="1"/>
  <c r="H5" i="11"/>
  <c r="G94" i="11"/>
  <c r="G83" i="11"/>
  <c r="G85" i="11" s="1"/>
  <c r="Y242" i="11" s="1"/>
  <c r="L83" i="11"/>
  <c r="L85" i="11" s="1"/>
  <c r="L86" i="11" s="1"/>
  <c r="D5" i="11"/>
  <c r="E83" i="11"/>
  <c r="E85" i="11" s="1"/>
  <c r="D83" i="11"/>
  <c r="D85" i="11" s="1"/>
  <c r="C5" i="11"/>
  <c r="B83" i="11"/>
  <c r="B5" i="11"/>
  <c r="K5" i="11"/>
  <c r="AH87" i="11"/>
  <c r="AH88" i="11"/>
  <c r="AH89" i="11"/>
  <c r="AI90" i="11"/>
  <c r="AH91" i="11"/>
  <c r="AI89" i="11"/>
  <c r="Z5" i="11"/>
  <c r="R5" i="11"/>
  <c r="J5" i="11"/>
  <c r="F83" i="11"/>
  <c r="F85" i="11" s="1"/>
  <c r="N83" i="11"/>
  <c r="N85" i="11" s="1"/>
  <c r="AF242" i="11" s="1"/>
  <c r="V83" i="11"/>
  <c r="V85" i="11" s="1"/>
  <c r="V86" i="11" s="1"/>
  <c r="AD83" i="11"/>
  <c r="AD85" i="11" s="1"/>
  <c r="AD86" i="11" s="1"/>
  <c r="AI66" i="11"/>
  <c r="K83" i="11"/>
  <c r="K85" i="11" s="1"/>
  <c r="K86" i="11" s="1"/>
  <c r="S83" i="11"/>
  <c r="S85" i="11" s="1"/>
  <c r="S7" i="11" s="1"/>
  <c r="AA83" i="11"/>
  <c r="AA85" i="11" s="1"/>
  <c r="AA86" i="11" s="1"/>
  <c r="AI62" i="11"/>
  <c r="H83" i="11"/>
  <c r="H85" i="11" s="1"/>
  <c r="H7" i="11" s="1"/>
  <c r="P83" i="11"/>
  <c r="P85" i="11" s="1"/>
  <c r="P86" i="11" s="1"/>
  <c r="X83" i="11"/>
  <c r="X85" i="11" s="1"/>
  <c r="X86" i="11" s="1"/>
  <c r="AF83" i="11"/>
  <c r="AF85" i="11" s="1"/>
  <c r="AX242" i="11" s="1"/>
  <c r="AH48" i="11"/>
  <c r="I83" i="11"/>
  <c r="I85" i="11" s="1"/>
  <c r="AA242" i="11" s="1"/>
  <c r="Q83" i="11"/>
  <c r="Q85" i="11" s="1"/>
  <c r="Q7" i="11" s="1"/>
  <c r="Y83" i="11"/>
  <c r="Y85" i="11" s="1"/>
  <c r="AQ242" i="11" s="1"/>
  <c r="AI48" i="11"/>
  <c r="AI44" i="11"/>
  <c r="S239" i="11"/>
  <c r="W86" i="11"/>
  <c r="B85" i="11"/>
  <c r="J86" i="11"/>
  <c r="AJ242" i="11"/>
  <c r="Z7" i="11"/>
  <c r="F222" i="11"/>
  <c r="E104" i="11"/>
  <c r="E228" i="11"/>
  <c r="J225" i="11"/>
  <c r="K225" i="11" s="1"/>
  <c r="L225" i="11" s="1"/>
  <c r="M225" i="11" s="1"/>
  <c r="N225" i="11" s="1"/>
  <c r="O225" i="11" s="1"/>
  <c r="P225" i="11" s="1"/>
  <c r="AW242" i="11"/>
  <c r="V242" i="11"/>
  <c r="D7" i="11"/>
  <c r="D86" i="11"/>
  <c r="AL242" i="11"/>
  <c r="T7" i="11"/>
  <c r="T86" i="11"/>
  <c r="AT242" i="11"/>
  <c r="AB7" i="11"/>
  <c r="AB86" i="11"/>
  <c r="AG85" i="11"/>
  <c r="E86" i="11"/>
  <c r="W242" i="11"/>
  <c r="E7" i="11"/>
  <c r="AE242" i="11"/>
  <c r="M7" i="11"/>
  <c r="M86" i="11"/>
  <c r="AM242" i="11"/>
  <c r="U7" i="11"/>
  <c r="U86" i="11"/>
  <c r="AU242" i="11"/>
  <c r="AC7" i="11"/>
  <c r="AC86" i="11"/>
  <c r="AG6" i="11"/>
  <c r="X242" i="11"/>
  <c r="F86" i="11"/>
  <c r="F7" i="11"/>
  <c r="C83" i="11"/>
  <c r="C85" i="11" s="1"/>
  <c r="AH44" i="11"/>
  <c r="AI87" i="11"/>
  <c r="AI91" i="11"/>
  <c r="E5" i="11"/>
  <c r="M5" i="11"/>
  <c r="U5" i="11"/>
  <c r="AC5" i="11"/>
  <c r="AI88" i="11"/>
  <c r="F227" i="11"/>
  <c r="B93" i="11"/>
  <c r="B94" i="11" s="1"/>
  <c r="AH107" i="11"/>
  <c r="AH62" i="11"/>
  <c r="AH66" i="11"/>
  <c r="AH78" i="11"/>
  <c r="AH90" i="11"/>
  <c r="AH43" i="11"/>
  <c r="AI78" i="11"/>
  <c r="W7" i="11" l="1"/>
  <c r="R7" i="11"/>
  <c r="O86" i="11"/>
  <c r="G86" i="11"/>
  <c r="AE86" i="11"/>
  <c r="AR242" i="11"/>
  <c r="O7" i="11"/>
  <c r="G7" i="11"/>
  <c r="N222" i="13"/>
  <c r="J263" i="13"/>
  <c r="L227" i="13"/>
  <c r="K104" i="13"/>
  <c r="K227" i="12"/>
  <c r="I263" i="12"/>
  <c r="J104" i="12"/>
  <c r="K222" i="12"/>
  <c r="AV242" i="11"/>
  <c r="AD7" i="11"/>
  <c r="AS242" i="11"/>
  <c r="AN242" i="11"/>
  <c r="V7" i="11"/>
  <c r="AH242" i="11"/>
  <c r="P7" i="11"/>
  <c r="N86" i="11"/>
  <c r="J7" i="11"/>
  <c r="L7" i="11"/>
  <c r="AD242" i="11"/>
  <c r="X7" i="11"/>
  <c r="AF86" i="11"/>
  <c r="N7" i="11"/>
  <c r="H86" i="11"/>
  <c r="AP242" i="11"/>
  <c r="AA7" i="11"/>
  <c r="I86" i="11"/>
  <c r="B237" i="11"/>
  <c r="AK242" i="11"/>
  <c r="Y7" i="11"/>
  <c r="S86" i="11"/>
  <c r="C237" i="11"/>
  <c r="K7" i="11"/>
  <c r="Z242" i="11"/>
  <c r="AC242" i="11"/>
  <c r="I7" i="11"/>
  <c r="AF7" i="11"/>
  <c r="Q86" i="11"/>
  <c r="Y86" i="11"/>
  <c r="AI242" i="11"/>
  <c r="AI94" i="11"/>
  <c r="AH94" i="11"/>
  <c r="G222" i="11"/>
  <c r="F104" i="11"/>
  <c r="F228" i="11"/>
  <c r="AH83" i="11"/>
  <c r="AI83" i="11"/>
  <c r="B7" i="11"/>
  <c r="B86" i="11"/>
  <c r="AI85" i="11"/>
  <c r="AH85" i="11"/>
  <c r="T242" i="11"/>
  <c r="C86" i="11"/>
  <c r="U242" i="11"/>
  <c r="C7" i="11"/>
  <c r="AI93" i="11"/>
  <c r="AH93" i="11"/>
  <c r="E263" i="11"/>
  <c r="G227" i="11"/>
  <c r="K263" i="13" l="1"/>
  <c r="M227" i="13"/>
  <c r="L104" i="13"/>
  <c r="O222" i="13"/>
  <c r="J263" i="12"/>
  <c r="L227" i="12"/>
  <c r="K104" i="12"/>
  <c r="L222" i="12"/>
  <c r="K6" i="11"/>
  <c r="F263" i="11"/>
  <c r="H227" i="11"/>
  <c r="H222" i="11"/>
  <c r="G104" i="11"/>
  <c r="G228" i="11"/>
  <c r="AI86" i="11"/>
  <c r="AH86" i="11"/>
  <c r="A7" i="11"/>
  <c r="P222" i="13" l="1"/>
  <c r="L263" i="13"/>
  <c r="N227" i="13"/>
  <c r="M104" i="13"/>
  <c r="M227" i="12"/>
  <c r="K263" i="12"/>
  <c r="L104" i="12"/>
  <c r="M222" i="12"/>
  <c r="I222" i="11"/>
  <c r="H104" i="11"/>
  <c r="H228" i="11"/>
  <c r="G263" i="11"/>
  <c r="I227" i="11"/>
  <c r="M263" i="13" l="1"/>
  <c r="O227" i="13"/>
  <c r="N104" i="13"/>
  <c r="L263" i="12"/>
  <c r="N227" i="12"/>
  <c r="N222" i="12"/>
  <c r="M104" i="12"/>
  <c r="J222" i="11"/>
  <c r="I104" i="11"/>
  <c r="H263" i="11"/>
  <c r="J227" i="11"/>
  <c r="N263" i="13" l="1"/>
  <c r="P227" i="13"/>
  <c r="O104" i="13"/>
  <c r="M263" i="12"/>
  <c r="O227" i="12"/>
  <c r="O222" i="12"/>
  <c r="N104" i="12"/>
  <c r="K227" i="11"/>
  <c r="I263" i="11"/>
  <c r="K222" i="11"/>
  <c r="J104" i="11"/>
  <c r="O263" i="13" l="1"/>
  <c r="P104" i="13"/>
  <c r="P227" i="12"/>
  <c r="O263" i="12" s="1"/>
  <c r="N263" i="12"/>
  <c r="P222" i="12"/>
  <c r="O104" i="12"/>
  <c r="L222" i="11"/>
  <c r="K104" i="11"/>
  <c r="J263" i="11"/>
  <c r="L227" i="11"/>
  <c r="AI104" i="13" l="1"/>
  <c r="AH104" i="13"/>
  <c r="P104" i="12"/>
  <c r="K263" i="11"/>
  <c r="M227" i="11"/>
  <c r="M222" i="11"/>
  <c r="L104" i="11"/>
  <c r="AI104" i="12" l="1"/>
  <c r="AH104" i="12"/>
  <c r="N222" i="11"/>
  <c r="M104" i="11"/>
  <c r="L263" i="11"/>
  <c r="N227" i="11"/>
  <c r="M263" i="11" l="1"/>
  <c r="O227" i="11"/>
  <c r="O222" i="11"/>
  <c r="N104" i="11"/>
  <c r="P222" i="11" l="1"/>
  <c r="O104" i="11"/>
  <c r="N263" i="11"/>
  <c r="P227" i="11"/>
  <c r="O263" i="11" s="1"/>
  <c r="P104" i="11" l="1"/>
  <c r="AH104" i="11" l="1"/>
  <c r="AI104" i="11"/>
  <c r="R44" i="10" l="1"/>
  <c r="R43" i="10"/>
  <c r="R48" i="10"/>
  <c r="N43" i="10"/>
  <c r="M43" i="10"/>
  <c r="L107" i="10"/>
  <c r="I107" i="10"/>
  <c r="J107" i="10"/>
  <c r="AH107" i="10" s="1"/>
  <c r="H10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B263" i="10"/>
  <c r="S238" i="10"/>
  <c r="AG228" i="10"/>
  <c r="AG61" i="10" s="1"/>
  <c r="AG62" i="10" s="1"/>
  <c r="AG3" i="10" s="1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C228" i="10"/>
  <c r="D227" i="10"/>
  <c r="C263" i="10" s="1"/>
  <c r="B227" i="10"/>
  <c r="AF263" i="10" s="1"/>
  <c r="D226" i="10"/>
  <c r="E226" i="10" s="1"/>
  <c r="F226" i="10" s="1"/>
  <c r="G226" i="10" s="1"/>
  <c r="H226" i="10" s="1"/>
  <c r="I226" i="10" s="1"/>
  <c r="J226" i="10" s="1"/>
  <c r="K226" i="10" s="1"/>
  <c r="L226" i="10" s="1"/>
  <c r="M226" i="10" s="1"/>
  <c r="N226" i="10" s="1"/>
  <c r="O226" i="10" s="1"/>
  <c r="P226" i="10" s="1"/>
  <c r="B226" i="10"/>
  <c r="D225" i="10"/>
  <c r="B225" i="10"/>
  <c r="D224" i="10"/>
  <c r="E224" i="10" s="1"/>
  <c r="F224" i="10" s="1"/>
  <c r="G224" i="10" s="1"/>
  <c r="H224" i="10" s="1"/>
  <c r="B224" i="10"/>
  <c r="D223" i="10"/>
  <c r="E223" i="10" s="1"/>
  <c r="F223" i="10" s="1"/>
  <c r="G223" i="10" s="1"/>
  <c r="H223" i="10" s="1"/>
  <c r="I223" i="10" s="1"/>
  <c r="J223" i="10" s="1"/>
  <c r="K223" i="10" s="1"/>
  <c r="L223" i="10" s="1"/>
  <c r="M223" i="10" s="1"/>
  <c r="N223" i="10" s="1"/>
  <c r="O223" i="10" s="1"/>
  <c r="P223" i="10" s="1"/>
  <c r="B223" i="10"/>
  <c r="D222" i="10"/>
  <c r="E222" i="10" s="1"/>
  <c r="B222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I113" i="10"/>
  <c r="AH113" i="10"/>
  <c r="AI112" i="10"/>
  <c r="AH112" i="10"/>
  <c r="AI111" i="10"/>
  <c r="AH111" i="10"/>
  <c r="AI110" i="10"/>
  <c r="AH110" i="10"/>
  <c r="AI109" i="10"/>
  <c r="AH109" i="10"/>
  <c r="AI108" i="10"/>
  <c r="AH108" i="10"/>
  <c r="AB104" i="10"/>
  <c r="X104" i="10"/>
  <c r="U104" i="10"/>
  <c r="T104" i="10"/>
  <c r="AI106" i="10"/>
  <c r="AH106" i="10"/>
  <c r="AI105" i="10"/>
  <c r="AH105" i="10"/>
  <c r="AF104" i="10"/>
  <c r="AE104" i="10"/>
  <c r="AD104" i="10"/>
  <c r="AC104" i="10"/>
  <c r="AA104" i="10"/>
  <c r="Z104" i="10"/>
  <c r="Y104" i="10"/>
  <c r="W104" i="10"/>
  <c r="V104" i="10"/>
  <c r="S104" i="10"/>
  <c r="R104" i="10"/>
  <c r="Q104" i="10"/>
  <c r="C104" i="10"/>
  <c r="B104" i="10"/>
  <c r="AI103" i="10"/>
  <c r="AH103" i="10"/>
  <c r="AI102" i="10"/>
  <c r="AH102" i="10"/>
  <c r="AI101" i="10"/>
  <c r="AH101" i="10"/>
  <c r="AI100" i="10"/>
  <c r="AH100" i="10"/>
  <c r="AI99" i="10"/>
  <c r="AH99" i="10"/>
  <c r="AI98" i="10"/>
  <c r="AH98" i="10"/>
  <c r="AI97" i="10"/>
  <c r="AH97" i="10"/>
  <c r="AI96" i="10"/>
  <c r="AH96" i="10"/>
  <c r="AI95" i="10"/>
  <c r="AH95" i="10"/>
  <c r="AI92" i="10"/>
  <c r="AH92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B93" i="10" s="1"/>
  <c r="AI84" i="10"/>
  <c r="AH84" i="10"/>
  <c r="AI82" i="10"/>
  <c r="AH82" i="10"/>
  <c r="AG82" i="10"/>
  <c r="AI81" i="10"/>
  <c r="AH81" i="10"/>
  <c r="AI80" i="10"/>
  <c r="AH80" i="10"/>
  <c r="AI79" i="10"/>
  <c r="AH79" i="10"/>
  <c r="AG78" i="10"/>
  <c r="AF78" i="10"/>
  <c r="AF94" i="10" s="1"/>
  <c r="AE78" i="10"/>
  <c r="AD5" i="10" s="1"/>
  <c r="AD78" i="10"/>
  <c r="AD94" i="10" s="1"/>
  <c r="AC78" i="10"/>
  <c r="AC94" i="10" s="1"/>
  <c r="AB78" i="10"/>
  <c r="AB94" i="10" s="1"/>
  <c r="AA78" i="10"/>
  <c r="AA94" i="10" s="1"/>
  <c r="Z78" i="10"/>
  <c r="Z94" i="10" s="1"/>
  <c r="Y78" i="10"/>
  <c r="Y94" i="10" s="1"/>
  <c r="X78" i="10"/>
  <c r="X94" i="10" s="1"/>
  <c r="W78" i="10"/>
  <c r="V5" i="10" s="1"/>
  <c r="V78" i="10"/>
  <c r="V94" i="10" s="1"/>
  <c r="U78" i="10"/>
  <c r="U94" i="10" s="1"/>
  <c r="T78" i="10"/>
  <c r="T94" i="10" s="1"/>
  <c r="S78" i="10"/>
  <c r="S94" i="10" s="1"/>
  <c r="R78" i="10"/>
  <c r="R94" i="10" s="1"/>
  <c r="Q78" i="10"/>
  <c r="Q94" i="10" s="1"/>
  <c r="P78" i="10"/>
  <c r="P94" i="10" s="1"/>
  <c r="O78" i="10"/>
  <c r="N5" i="10" s="1"/>
  <c r="N78" i="10"/>
  <c r="N94" i="10" s="1"/>
  <c r="M78" i="10"/>
  <c r="M94" i="10" s="1"/>
  <c r="L78" i="10"/>
  <c r="L94" i="10" s="1"/>
  <c r="K78" i="10"/>
  <c r="K94" i="10" s="1"/>
  <c r="J78" i="10"/>
  <c r="J94" i="10" s="1"/>
  <c r="I78" i="10"/>
  <c r="I94" i="10" s="1"/>
  <c r="H78" i="10"/>
  <c r="H94" i="10" s="1"/>
  <c r="G78" i="10"/>
  <c r="F5" i="10" s="1"/>
  <c r="F78" i="10"/>
  <c r="F94" i="10" s="1"/>
  <c r="E78" i="10"/>
  <c r="E94" i="10" s="1"/>
  <c r="D78" i="10"/>
  <c r="D94" i="10" s="1"/>
  <c r="C78" i="10"/>
  <c r="C94" i="10" s="1"/>
  <c r="B78" i="10"/>
  <c r="AF5" i="10" s="1"/>
  <c r="AI77" i="10"/>
  <c r="AH77" i="10"/>
  <c r="AI76" i="10"/>
  <c r="AH76" i="10"/>
  <c r="AI75" i="10"/>
  <c r="AH75" i="10"/>
  <c r="AI74" i="10"/>
  <c r="AH74" i="10"/>
  <c r="AI73" i="10"/>
  <c r="AH73" i="10"/>
  <c r="AI72" i="10"/>
  <c r="AH72" i="10"/>
  <c r="AI71" i="10"/>
  <c r="AH71" i="10"/>
  <c r="AI70" i="10"/>
  <c r="AH70" i="10"/>
  <c r="AI69" i="10"/>
  <c r="AH69" i="10"/>
  <c r="AI68" i="10"/>
  <c r="AH68" i="10"/>
  <c r="AI67" i="10"/>
  <c r="AH67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I65" i="10"/>
  <c r="AH65" i="10"/>
  <c r="AI64" i="10"/>
  <c r="AH64" i="10"/>
  <c r="AI63" i="10"/>
  <c r="AH63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I61" i="10"/>
  <c r="AH61" i="10"/>
  <c r="AI60" i="10"/>
  <c r="AH60" i="10"/>
  <c r="AI59" i="10"/>
  <c r="AH59" i="10"/>
  <c r="AI58" i="10"/>
  <c r="AH58" i="10"/>
  <c r="AI57" i="10"/>
  <c r="AH57" i="10"/>
  <c r="AI56" i="10"/>
  <c r="AH56" i="10"/>
  <c r="AI55" i="10"/>
  <c r="AH55" i="10"/>
  <c r="AI54" i="10"/>
  <c r="AH54" i="10"/>
  <c r="AI53" i="10"/>
  <c r="AH53" i="10"/>
  <c r="AI52" i="10"/>
  <c r="AH52" i="10"/>
  <c r="AI51" i="10"/>
  <c r="AH51" i="10"/>
  <c r="AI50" i="10"/>
  <c r="AH50" i="10"/>
  <c r="AI49" i="10"/>
  <c r="AH49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I47" i="10"/>
  <c r="AH47" i="10"/>
  <c r="AI46" i="10"/>
  <c r="AH46" i="10"/>
  <c r="AI45" i="10"/>
  <c r="AH45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B43" i="10"/>
  <c r="AA43" i="10"/>
  <c r="Y43" i="10"/>
  <c r="U43" i="10"/>
  <c r="Q43" i="10"/>
  <c r="P43" i="10"/>
  <c r="F43" i="10"/>
  <c r="E43" i="10"/>
  <c r="D43" i="10"/>
  <c r="C43" i="10"/>
  <c r="B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T5" i="10"/>
  <c r="S5" i="10"/>
  <c r="AG4" i="10"/>
  <c r="K4" i="10"/>
  <c r="E4" i="10"/>
  <c r="H4" i="10" s="1"/>
  <c r="B4" i="10"/>
  <c r="S239" i="10" s="1"/>
  <c r="AG2" i="10"/>
  <c r="AF48" i="8"/>
  <c r="AF43" i="8"/>
  <c r="AD48" i="8"/>
  <c r="AE48" i="8"/>
  <c r="AE43" i="8"/>
  <c r="AD43" i="8"/>
  <c r="AC66" i="8"/>
  <c r="AD66" i="8"/>
  <c r="AE66" i="8"/>
  <c r="AF66" i="8"/>
  <c r="AB48" i="8"/>
  <c r="AC48" i="8"/>
  <c r="AC43" i="8"/>
  <c r="AB104" i="8"/>
  <c r="AC104" i="8"/>
  <c r="AD104" i="8"/>
  <c r="AE104" i="8"/>
  <c r="AF104" i="8"/>
  <c r="AB78" i="8"/>
  <c r="AC78" i="8"/>
  <c r="AC94" i="8" s="1"/>
  <c r="AD78" i="8"/>
  <c r="AD94" i="8" s="1"/>
  <c r="AE78" i="8"/>
  <c r="AE94" i="8" s="1"/>
  <c r="AF78" i="8"/>
  <c r="AF94" i="8" s="1"/>
  <c r="AB44" i="8"/>
  <c r="AC44" i="8"/>
  <c r="AD44" i="8"/>
  <c r="AE44" i="8"/>
  <c r="AF44" i="8"/>
  <c r="AB107" i="8"/>
  <c r="AB94" i="8"/>
  <c r="AB66" i="8"/>
  <c r="AB43" i="8"/>
  <c r="AA107" i="8"/>
  <c r="AA43" i="8"/>
  <c r="Y44" i="8"/>
  <c r="Z44" i="8"/>
  <c r="AA44" i="8"/>
  <c r="Z43" i="8"/>
  <c r="Y107" i="8"/>
  <c r="Y43" i="8"/>
  <c r="W107" i="8"/>
  <c r="X107" i="8"/>
  <c r="V78" i="8"/>
  <c r="W78" i="8"/>
  <c r="X78" i="8"/>
  <c r="Y78" i="8"/>
  <c r="Z78" i="8"/>
  <c r="AA78" i="8"/>
  <c r="E227" i="10" l="1"/>
  <c r="F227" i="10" s="1"/>
  <c r="D104" i="10"/>
  <c r="D228" i="10"/>
  <c r="AG6" i="10"/>
  <c r="AE5" i="10"/>
  <c r="AC5" i="10"/>
  <c r="AB5" i="10"/>
  <c r="AC83" i="10"/>
  <c r="AC85" i="10" s="1"/>
  <c r="AA5" i="10"/>
  <c r="AB83" i="10"/>
  <c r="AB85" i="10" s="1"/>
  <c r="Z5" i="10"/>
  <c r="Y5" i="10"/>
  <c r="Z83" i="10"/>
  <c r="Z85" i="10" s="1"/>
  <c r="W5" i="10"/>
  <c r="U5" i="10"/>
  <c r="U83" i="10"/>
  <c r="U85" i="10" s="1"/>
  <c r="G227" i="10"/>
  <c r="E263" i="10"/>
  <c r="D263" i="10"/>
  <c r="P5" i="10"/>
  <c r="B228" i="10"/>
  <c r="AI107" i="10"/>
  <c r="AI43" i="10"/>
  <c r="X5" i="10"/>
  <c r="X83" i="10"/>
  <c r="X85" i="10" s="1"/>
  <c r="AF83" i="10"/>
  <c r="AF85" i="10" s="1"/>
  <c r="AF7" i="10" s="1"/>
  <c r="T83" i="10"/>
  <c r="T85" i="10" s="1"/>
  <c r="R83" i="10"/>
  <c r="R85" i="10" s="1"/>
  <c r="Q5" i="10"/>
  <c r="O5" i="10"/>
  <c r="P83" i="10"/>
  <c r="P85" i="10" s="1"/>
  <c r="P86" i="10" s="1"/>
  <c r="M5" i="10"/>
  <c r="L5" i="10"/>
  <c r="M83" i="10"/>
  <c r="M85" i="10" s="1"/>
  <c r="AE242" i="10" s="1"/>
  <c r="K5" i="10"/>
  <c r="J5" i="10"/>
  <c r="K83" i="10"/>
  <c r="K85" i="10" s="1"/>
  <c r="AC242" i="10" s="1"/>
  <c r="I5" i="10"/>
  <c r="G5" i="10"/>
  <c r="E83" i="10"/>
  <c r="E85" i="10" s="1"/>
  <c r="E7" i="10" s="1"/>
  <c r="D5" i="10"/>
  <c r="E5" i="10"/>
  <c r="H83" i="10"/>
  <c r="H85" i="10" s="1"/>
  <c r="H7" i="10" s="1"/>
  <c r="G83" i="10"/>
  <c r="G85" i="10" s="1"/>
  <c r="G7" i="10" s="1"/>
  <c r="L83" i="10"/>
  <c r="L85" i="10" s="1"/>
  <c r="L7" i="10" s="1"/>
  <c r="C5" i="10"/>
  <c r="D83" i="10"/>
  <c r="D85" i="10" s="1"/>
  <c r="V242" i="10" s="1"/>
  <c r="H5" i="10"/>
  <c r="B5" i="10"/>
  <c r="J83" i="10"/>
  <c r="J85" i="10" s="1"/>
  <c r="AB242" i="10" s="1"/>
  <c r="C83" i="10"/>
  <c r="C85" i="10" s="1"/>
  <c r="C7" i="10" s="1"/>
  <c r="AH78" i="10"/>
  <c r="R5" i="10"/>
  <c r="AH88" i="10"/>
  <c r="AI89" i="10"/>
  <c r="AH90" i="10"/>
  <c r="AH91" i="10"/>
  <c r="AI87" i="10"/>
  <c r="AI88" i="10"/>
  <c r="AI91" i="10"/>
  <c r="AH66" i="10"/>
  <c r="S83" i="10"/>
  <c r="S85" i="10" s="1"/>
  <c r="AK242" i="10" s="1"/>
  <c r="AA83" i="10"/>
  <c r="AA85" i="10" s="1"/>
  <c r="AA7" i="10" s="1"/>
  <c r="F83" i="10"/>
  <c r="F85" i="10" s="1"/>
  <c r="X242" i="10" s="1"/>
  <c r="N83" i="10"/>
  <c r="N85" i="10" s="1"/>
  <c r="N7" i="10" s="1"/>
  <c r="V83" i="10"/>
  <c r="V85" i="10" s="1"/>
  <c r="V7" i="10" s="1"/>
  <c r="AD83" i="10"/>
  <c r="AD85" i="10" s="1"/>
  <c r="AD86" i="10" s="1"/>
  <c r="AH62" i="10"/>
  <c r="W83" i="10"/>
  <c r="W85" i="10" s="1"/>
  <c r="W7" i="10" s="1"/>
  <c r="O83" i="10"/>
  <c r="O85" i="10" s="1"/>
  <c r="AG242" i="10" s="1"/>
  <c r="AI48" i="10"/>
  <c r="I83" i="10"/>
  <c r="I85" i="10" s="1"/>
  <c r="AA242" i="10" s="1"/>
  <c r="Q83" i="10"/>
  <c r="Q85" i="10" s="1"/>
  <c r="Q86" i="10" s="1"/>
  <c r="Y83" i="10"/>
  <c r="Y85" i="10" s="1"/>
  <c r="Y7" i="10" s="1"/>
  <c r="AE83" i="10"/>
  <c r="AE85" i="10" s="1"/>
  <c r="AW242" i="10" s="1"/>
  <c r="AI44" i="10"/>
  <c r="T7" i="10"/>
  <c r="AL242" i="10"/>
  <c r="T86" i="10"/>
  <c r="AB7" i="10"/>
  <c r="AB86" i="10"/>
  <c r="AT242" i="10"/>
  <c r="AG85" i="10"/>
  <c r="F263" i="10"/>
  <c r="H227" i="10"/>
  <c r="AM242" i="10"/>
  <c r="U86" i="10"/>
  <c r="U7" i="10"/>
  <c r="E104" i="10"/>
  <c r="F222" i="10"/>
  <c r="AF86" i="10"/>
  <c r="AG83" i="10"/>
  <c r="AI93" i="10"/>
  <c r="AH93" i="10"/>
  <c r="AU242" i="10"/>
  <c r="AC86" i="10"/>
  <c r="AC7" i="10"/>
  <c r="R7" i="10"/>
  <c r="AJ242" i="10"/>
  <c r="R86" i="10"/>
  <c r="Z7" i="10"/>
  <c r="AR242" i="10"/>
  <c r="Z86" i="10"/>
  <c r="E86" i="10"/>
  <c r="X86" i="10"/>
  <c r="X7" i="10"/>
  <c r="AP242" i="10"/>
  <c r="AH43" i="10"/>
  <c r="AI62" i="10"/>
  <c r="AI66" i="10"/>
  <c r="AI78" i="10"/>
  <c r="AI90" i="10"/>
  <c r="B94" i="10"/>
  <c r="D239" i="10"/>
  <c r="AH87" i="10"/>
  <c r="AH44" i="10"/>
  <c r="AH48" i="10"/>
  <c r="B83" i="10"/>
  <c r="AH89" i="10"/>
  <c r="G94" i="10"/>
  <c r="O94" i="10"/>
  <c r="W94" i="10"/>
  <c r="AE94" i="10"/>
  <c r="E225" i="10"/>
  <c r="F225" i="10" s="1"/>
  <c r="G225" i="10" s="1"/>
  <c r="H225" i="10" s="1"/>
  <c r="I225" i="10" s="1"/>
  <c r="AH242" i="10" l="1"/>
  <c r="P7" i="10"/>
  <c r="AX242" i="10"/>
  <c r="W242" i="10"/>
  <c r="AA86" i="10"/>
  <c r="D7" i="10"/>
  <c r="W86" i="10"/>
  <c r="AO242" i="10"/>
  <c r="S7" i="10"/>
  <c r="S86" i="10"/>
  <c r="AF242" i="10"/>
  <c r="N86" i="10"/>
  <c r="M7" i="10"/>
  <c r="M86" i="10"/>
  <c r="K7" i="10"/>
  <c r="K86" i="10"/>
  <c r="L86" i="10"/>
  <c r="AD242" i="10"/>
  <c r="Z242" i="10"/>
  <c r="H86" i="10"/>
  <c r="Y242" i="10"/>
  <c r="G86" i="10"/>
  <c r="J86" i="10"/>
  <c r="J7" i="10"/>
  <c r="D86" i="10"/>
  <c r="F7" i="10"/>
  <c r="C86" i="10"/>
  <c r="U242" i="10"/>
  <c r="B237" i="10"/>
  <c r="F86" i="10"/>
  <c r="I7" i="10"/>
  <c r="C237" i="10"/>
  <c r="I86" i="10"/>
  <c r="O86" i="10"/>
  <c r="AS242" i="10"/>
  <c r="Y86" i="10"/>
  <c r="AI242" i="10"/>
  <c r="AD7" i="10"/>
  <c r="Q7" i="10"/>
  <c r="AN242" i="10"/>
  <c r="AV242" i="10"/>
  <c r="AQ242" i="10"/>
  <c r="V86" i="10"/>
  <c r="AE7" i="10"/>
  <c r="O7" i="10"/>
  <c r="AE86" i="10"/>
  <c r="G263" i="10"/>
  <c r="I227" i="10"/>
  <c r="AH94" i="10"/>
  <c r="AI94" i="10"/>
  <c r="E228" i="10"/>
  <c r="J225" i="10"/>
  <c r="K225" i="10" s="1"/>
  <c r="L225" i="10" s="1"/>
  <c r="M225" i="10" s="1"/>
  <c r="N225" i="10" s="1"/>
  <c r="O225" i="10" s="1"/>
  <c r="P225" i="10" s="1"/>
  <c r="B85" i="10"/>
  <c r="AI83" i="10"/>
  <c r="AH83" i="10"/>
  <c r="F104" i="10"/>
  <c r="G222" i="10"/>
  <c r="F228" i="10"/>
  <c r="K6" i="10" l="1"/>
  <c r="AI85" i="10"/>
  <c r="AH85" i="10"/>
  <c r="B7" i="10"/>
  <c r="A7" i="10" s="1"/>
  <c r="T242" i="10"/>
  <c r="B86" i="10"/>
  <c r="H222" i="10"/>
  <c r="G228" i="10"/>
  <c r="G104" i="10"/>
  <c r="H263" i="10"/>
  <c r="J227" i="10"/>
  <c r="I222" i="10" l="1"/>
  <c r="H228" i="10"/>
  <c r="H104" i="10"/>
  <c r="AH86" i="10"/>
  <c r="AI86" i="10"/>
  <c r="K227" i="10"/>
  <c r="I263" i="10"/>
  <c r="J263" i="10" l="1"/>
  <c r="L227" i="10"/>
  <c r="I104" i="10"/>
  <c r="J222" i="10"/>
  <c r="J104" i="10" l="1"/>
  <c r="K222" i="10"/>
  <c r="K263" i="10"/>
  <c r="M227" i="10"/>
  <c r="K104" i="10" l="1"/>
  <c r="L222" i="10"/>
  <c r="L263" i="10"/>
  <c r="N227" i="10"/>
  <c r="M263" i="10" l="1"/>
  <c r="O227" i="10"/>
  <c r="L104" i="10"/>
  <c r="M222" i="10"/>
  <c r="N263" i="10" l="1"/>
  <c r="P227" i="10"/>
  <c r="O263" i="10" s="1"/>
  <c r="M104" i="10"/>
  <c r="N222" i="10"/>
  <c r="N104" i="10" l="1"/>
  <c r="O222" i="10"/>
  <c r="P222" i="10" l="1"/>
  <c r="O104" i="10"/>
  <c r="P104" i="10" l="1"/>
  <c r="V107" i="8"/>
  <c r="V48" i="8"/>
  <c r="W48" i="8"/>
  <c r="X48" i="8"/>
  <c r="Y48" i="8"/>
  <c r="Z48" i="8"/>
  <c r="AA48" i="8"/>
  <c r="V43" i="8"/>
  <c r="U66" i="8"/>
  <c r="V66" i="8"/>
  <c r="W66" i="8"/>
  <c r="X66" i="8"/>
  <c r="Y66" i="8"/>
  <c r="Z66" i="8"/>
  <c r="AA66" i="8"/>
  <c r="U107" i="8"/>
  <c r="U104" i="8" s="1"/>
  <c r="V104" i="8"/>
  <c r="W104" i="8"/>
  <c r="X104" i="8"/>
  <c r="Y104" i="8"/>
  <c r="Z104" i="8"/>
  <c r="AA104" i="8"/>
  <c r="V94" i="8"/>
  <c r="W94" i="8"/>
  <c r="X94" i="8"/>
  <c r="Y94" i="8"/>
  <c r="Z94" i="8"/>
  <c r="AA94" i="8"/>
  <c r="U78" i="8"/>
  <c r="U94" i="8" s="1"/>
  <c r="U48" i="8"/>
  <c r="U43" i="8"/>
  <c r="T107" i="8"/>
  <c r="Q104" i="8"/>
  <c r="R104" i="8"/>
  <c r="S104" i="8"/>
  <c r="T104" i="8"/>
  <c r="S78" i="8"/>
  <c r="R5" i="8" s="1"/>
  <c r="T78" i="8"/>
  <c r="S5" i="8" s="1"/>
  <c r="S66" i="8"/>
  <c r="T66" i="8"/>
  <c r="T48" i="8"/>
  <c r="T43" i="8"/>
  <c r="S107" i="8"/>
  <c r="S48" i="8"/>
  <c r="S43" i="8"/>
  <c r="R78" i="8"/>
  <c r="R94" i="8" s="1"/>
  <c r="Q78" i="8"/>
  <c r="P5" i="8" s="1"/>
  <c r="Q66" i="8"/>
  <c r="R66" i="8"/>
  <c r="R43" i="8"/>
  <c r="Q87" i="8"/>
  <c r="Q88" i="8"/>
  <c r="Q89" i="8"/>
  <c r="Q90" i="8"/>
  <c r="Q91" i="8"/>
  <c r="Q43" i="8"/>
  <c r="M94" i="8"/>
  <c r="P87" i="8"/>
  <c r="P88" i="8"/>
  <c r="P89" i="8"/>
  <c r="P90" i="8"/>
  <c r="P91" i="8"/>
  <c r="M78" i="8"/>
  <c r="N78" i="8"/>
  <c r="N94" i="8" s="1"/>
  <c r="O78" i="8"/>
  <c r="O94" i="8" s="1"/>
  <c r="P78" i="8"/>
  <c r="P94" i="8" s="1"/>
  <c r="P43" i="8"/>
  <c r="O87" i="8"/>
  <c r="O88" i="8"/>
  <c r="O89" i="8"/>
  <c r="O90" i="8"/>
  <c r="O91" i="8"/>
  <c r="N87" i="8"/>
  <c r="N88" i="8"/>
  <c r="N89" i="8"/>
  <c r="N90" i="8"/>
  <c r="N91" i="8"/>
  <c r="M44" i="8"/>
  <c r="N44" i="8"/>
  <c r="O44" i="8"/>
  <c r="P44" i="8"/>
  <c r="Q44" i="8"/>
  <c r="R44" i="8"/>
  <c r="R83" i="8" s="1"/>
  <c r="R85" i="8" s="1"/>
  <c r="S44" i="8"/>
  <c r="T44" i="8"/>
  <c r="U44" i="8"/>
  <c r="U83" i="8" s="1"/>
  <c r="U85" i="8" s="1"/>
  <c r="U86" i="8" s="1"/>
  <c r="V44" i="8"/>
  <c r="W44" i="8"/>
  <c r="X44" i="8"/>
  <c r="M87" i="8"/>
  <c r="M88" i="8"/>
  <c r="M89" i="8"/>
  <c r="M90" i="8"/>
  <c r="M91" i="8"/>
  <c r="M66" i="8"/>
  <c r="N66" i="8"/>
  <c r="O66" i="8"/>
  <c r="P66" i="8"/>
  <c r="M48" i="8"/>
  <c r="N48" i="8"/>
  <c r="O48" i="8"/>
  <c r="P48" i="8"/>
  <c r="Q48" i="8"/>
  <c r="R48" i="8"/>
  <c r="I66" i="8"/>
  <c r="J66" i="8"/>
  <c r="K66" i="8"/>
  <c r="L66" i="8"/>
  <c r="J87" i="8"/>
  <c r="K87" i="8"/>
  <c r="L87" i="8"/>
  <c r="J88" i="8"/>
  <c r="K88" i="8"/>
  <c r="L88" i="8"/>
  <c r="J89" i="8"/>
  <c r="K89" i="8"/>
  <c r="L89" i="8"/>
  <c r="J90" i="8"/>
  <c r="K90" i="8"/>
  <c r="L90" i="8"/>
  <c r="J91" i="8"/>
  <c r="K91" i="8"/>
  <c r="L91" i="8"/>
  <c r="F78" i="8"/>
  <c r="G78" i="8"/>
  <c r="G94" i="8" s="1"/>
  <c r="H78" i="8"/>
  <c r="H94" i="8" s="1"/>
  <c r="I78" i="8"/>
  <c r="H5" i="8" s="1"/>
  <c r="J78" i="8"/>
  <c r="J94" i="8" s="1"/>
  <c r="K78" i="8"/>
  <c r="J5" i="8" s="1"/>
  <c r="L78" i="8"/>
  <c r="L94" i="8" s="1"/>
  <c r="E43" i="8"/>
  <c r="F43" i="8"/>
  <c r="D43" i="8"/>
  <c r="C48" i="8"/>
  <c r="C83" i="8" s="1"/>
  <c r="C85" i="8" s="1"/>
  <c r="C7" i="8" s="1"/>
  <c r="D48" i="8"/>
  <c r="E48" i="8"/>
  <c r="F48" i="8"/>
  <c r="G48" i="8"/>
  <c r="H48" i="8"/>
  <c r="I48" i="8"/>
  <c r="J48" i="8"/>
  <c r="K48" i="8"/>
  <c r="L48" i="8"/>
  <c r="C44" i="8"/>
  <c r="D44" i="8"/>
  <c r="E44" i="8"/>
  <c r="F44" i="8"/>
  <c r="G44" i="8"/>
  <c r="H44" i="8"/>
  <c r="I44" i="8"/>
  <c r="J44" i="8"/>
  <c r="K44" i="8"/>
  <c r="L44" i="8"/>
  <c r="C107" i="8"/>
  <c r="C104" i="8" s="1"/>
  <c r="F94" i="8"/>
  <c r="C87" i="8"/>
  <c r="D87" i="8"/>
  <c r="E87" i="8"/>
  <c r="F87" i="8"/>
  <c r="G87" i="8"/>
  <c r="H87" i="8"/>
  <c r="I87" i="8"/>
  <c r="C88" i="8"/>
  <c r="D88" i="8"/>
  <c r="E88" i="8"/>
  <c r="F88" i="8"/>
  <c r="G88" i="8"/>
  <c r="H88" i="8"/>
  <c r="I88" i="8"/>
  <c r="C89" i="8"/>
  <c r="D89" i="8"/>
  <c r="E89" i="8"/>
  <c r="F89" i="8"/>
  <c r="G89" i="8"/>
  <c r="H89" i="8"/>
  <c r="I89" i="8"/>
  <c r="C90" i="8"/>
  <c r="D90" i="8"/>
  <c r="E90" i="8"/>
  <c r="F90" i="8"/>
  <c r="G90" i="8"/>
  <c r="H90" i="8"/>
  <c r="I90" i="8"/>
  <c r="C91" i="8"/>
  <c r="D91" i="8"/>
  <c r="E91" i="8"/>
  <c r="F91" i="8"/>
  <c r="G91" i="8"/>
  <c r="H91" i="8"/>
  <c r="I91" i="8"/>
  <c r="C78" i="8"/>
  <c r="C94" i="8" s="1"/>
  <c r="D78" i="8"/>
  <c r="C5" i="8" s="1"/>
  <c r="E78" i="8"/>
  <c r="D5" i="8" s="1"/>
  <c r="C66" i="8"/>
  <c r="D66" i="8"/>
  <c r="E66" i="8"/>
  <c r="F66" i="8"/>
  <c r="G66" i="8"/>
  <c r="H66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B83" i="8" s="1"/>
  <c r="AB85" i="8" s="1"/>
  <c r="AC62" i="8"/>
  <c r="AC83" i="8" s="1"/>
  <c r="AC85" i="8" s="1"/>
  <c r="AD62" i="8"/>
  <c r="AD83" i="8" s="1"/>
  <c r="AD85" i="8" s="1"/>
  <c r="AE62" i="8"/>
  <c r="AE83" i="8" s="1"/>
  <c r="AE85" i="8" s="1"/>
  <c r="AF62" i="8"/>
  <c r="AF83" i="8" s="1"/>
  <c r="AF85" i="8" s="1"/>
  <c r="C43" i="8"/>
  <c r="B107" i="8"/>
  <c r="B91" i="8"/>
  <c r="B90" i="8"/>
  <c r="B89" i="8"/>
  <c r="B88" i="8"/>
  <c r="B87" i="8"/>
  <c r="B93" i="8" s="1"/>
  <c r="B78" i="8"/>
  <c r="AF5" i="8" s="1"/>
  <c r="B66" i="8"/>
  <c r="B62" i="8"/>
  <c r="B48" i="8"/>
  <c r="B44" i="8"/>
  <c r="B43" i="8"/>
  <c r="AF267" i="8"/>
  <c r="AE267" i="8"/>
  <c r="AD267" i="8"/>
  <c r="AC267" i="8"/>
  <c r="AB267" i="8"/>
  <c r="AA267" i="8"/>
  <c r="Z267" i="8"/>
  <c r="Y267" i="8"/>
  <c r="X267" i="8"/>
  <c r="W267" i="8"/>
  <c r="V267" i="8"/>
  <c r="U267" i="8"/>
  <c r="T267" i="8"/>
  <c r="S267" i="8"/>
  <c r="R267" i="8"/>
  <c r="Q267" i="8"/>
  <c r="P267" i="8"/>
  <c r="O267" i="8"/>
  <c r="N267" i="8"/>
  <c r="M267" i="8"/>
  <c r="L267" i="8"/>
  <c r="K267" i="8"/>
  <c r="J267" i="8"/>
  <c r="I267" i="8"/>
  <c r="H267" i="8"/>
  <c r="G267" i="8"/>
  <c r="F267" i="8"/>
  <c r="E267" i="8"/>
  <c r="D267" i="8"/>
  <c r="C267" i="8"/>
  <c r="B267" i="8"/>
  <c r="A267" i="8"/>
  <c r="AF266" i="8"/>
  <c r="AE266" i="8"/>
  <c r="AD266" i="8"/>
  <c r="AC266" i="8"/>
  <c r="AB266" i="8"/>
  <c r="AA266" i="8"/>
  <c r="Z266" i="8"/>
  <c r="Y266" i="8"/>
  <c r="X266" i="8"/>
  <c r="W266" i="8"/>
  <c r="V266" i="8"/>
  <c r="U266" i="8"/>
  <c r="T266" i="8"/>
  <c r="S266" i="8"/>
  <c r="R266" i="8"/>
  <c r="Q266" i="8"/>
  <c r="P266" i="8"/>
  <c r="O266" i="8"/>
  <c r="N266" i="8"/>
  <c r="M266" i="8"/>
  <c r="L266" i="8"/>
  <c r="K266" i="8"/>
  <c r="J266" i="8"/>
  <c r="I266" i="8"/>
  <c r="H266" i="8"/>
  <c r="G266" i="8"/>
  <c r="F266" i="8"/>
  <c r="E266" i="8"/>
  <c r="D266" i="8"/>
  <c r="C266" i="8"/>
  <c r="B266" i="8"/>
  <c r="A266" i="8"/>
  <c r="AF265" i="8"/>
  <c r="AE265" i="8"/>
  <c r="AD265" i="8"/>
  <c r="AC265" i="8"/>
  <c r="AB265" i="8"/>
  <c r="AA265" i="8"/>
  <c r="Z265" i="8"/>
  <c r="Y265" i="8"/>
  <c r="X265" i="8"/>
  <c r="W265" i="8"/>
  <c r="V265" i="8"/>
  <c r="U265" i="8"/>
  <c r="T265" i="8"/>
  <c r="S265" i="8"/>
  <c r="R265" i="8"/>
  <c r="Q265" i="8"/>
  <c r="P265" i="8"/>
  <c r="O265" i="8"/>
  <c r="N265" i="8"/>
  <c r="M265" i="8"/>
  <c r="L265" i="8"/>
  <c r="K265" i="8"/>
  <c r="J265" i="8"/>
  <c r="I265" i="8"/>
  <c r="H265" i="8"/>
  <c r="G265" i="8"/>
  <c r="F265" i="8"/>
  <c r="E265" i="8"/>
  <c r="D265" i="8"/>
  <c r="C265" i="8"/>
  <c r="B265" i="8"/>
  <c r="A265" i="8"/>
  <c r="AF264" i="8"/>
  <c r="AE264" i="8"/>
  <c r="AD264" i="8"/>
  <c r="AC264" i="8"/>
  <c r="AB264" i="8"/>
  <c r="AA264" i="8"/>
  <c r="Z264" i="8"/>
  <c r="Y264" i="8"/>
  <c r="X264" i="8"/>
  <c r="W264" i="8"/>
  <c r="V264" i="8"/>
  <c r="U264" i="8"/>
  <c r="T264" i="8"/>
  <c r="S264" i="8"/>
  <c r="R264" i="8"/>
  <c r="Q264" i="8"/>
  <c r="P264" i="8"/>
  <c r="O264" i="8"/>
  <c r="N264" i="8"/>
  <c r="M264" i="8"/>
  <c r="L264" i="8"/>
  <c r="K264" i="8"/>
  <c r="J264" i="8"/>
  <c r="I264" i="8"/>
  <c r="H264" i="8"/>
  <c r="G264" i="8"/>
  <c r="F264" i="8"/>
  <c r="E264" i="8"/>
  <c r="D264" i="8"/>
  <c r="C264" i="8"/>
  <c r="B264" i="8"/>
  <c r="A264" i="8"/>
  <c r="AE263" i="8"/>
  <c r="AD263" i="8"/>
  <c r="AC263" i="8"/>
  <c r="AB263" i="8"/>
  <c r="AA263" i="8"/>
  <c r="Z263" i="8"/>
  <c r="Y263" i="8"/>
  <c r="X263" i="8"/>
  <c r="W263" i="8"/>
  <c r="V263" i="8"/>
  <c r="U263" i="8"/>
  <c r="T263" i="8"/>
  <c r="S263" i="8"/>
  <c r="R263" i="8"/>
  <c r="Q263" i="8"/>
  <c r="P263" i="8"/>
  <c r="B263" i="8"/>
  <c r="S238" i="8"/>
  <c r="AG228" i="8"/>
  <c r="AF228" i="8"/>
  <c r="AE228" i="8"/>
  <c r="AD228" i="8"/>
  <c r="AC228" i="8"/>
  <c r="AB228" i="8"/>
  <c r="AA228" i="8"/>
  <c r="Z228" i="8"/>
  <c r="Y228" i="8"/>
  <c r="X228" i="8"/>
  <c r="W228" i="8"/>
  <c r="V228" i="8"/>
  <c r="U228" i="8"/>
  <c r="T228" i="8"/>
  <c r="S228" i="8"/>
  <c r="R228" i="8"/>
  <c r="Q228" i="8"/>
  <c r="C228" i="8"/>
  <c r="D227" i="8"/>
  <c r="C263" i="8" s="1"/>
  <c r="B227" i="8"/>
  <c r="AF263" i="8" s="1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B226" i="8"/>
  <c r="D225" i="8"/>
  <c r="E225" i="8" s="1"/>
  <c r="F225" i="8" s="1"/>
  <c r="G225" i="8" s="1"/>
  <c r="H225" i="8" s="1"/>
  <c r="I225" i="8" s="1"/>
  <c r="B225" i="8"/>
  <c r="D224" i="8"/>
  <c r="E224" i="8" s="1"/>
  <c r="F224" i="8" s="1"/>
  <c r="G224" i="8" s="1"/>
  <c r="H224" i="8" s="1"/>
  <c r="B224" i="8"/>
  <c r="E223" i="8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D223" i="8"/>
  <c r="B223" i="8"/>
  <c r="D222" i="8"/>
  <c r="E222" i="8" s="1"/>
  <c r="B222" i="8"/>
  <c r="B104" i="8" s="1"/>
  <c r="AG220" i="8"/>
  <c r="AF220" i="8"/>
  <c r="AE220" i="8"/>
  <c r="AD220" i="8"/>
  <c r="AC220" i="8"/>
  <c r="AB220" i="8"/>
  <c r="AA220" i="8"/>
  <c r="Z220" i="8"/>
  <c r="Y220" i="8"/>
  <c r="X220" i="8"/>
  <c r="W220" i="8"/>
  <c r="V220" i="8"/>
  <c r="U220" i="8"/>
  <c r="T220" i="8"/>
  <c r="S220" i="8"/>
  <c r="R220" i="8"/>
  <c r="Q220" i="8"/>
  <c r="P220" i="8"/>
  <c r="O220" i="8"/>
  <c r="N220" i="8"/>
  <c r="M220" i="8"/>
  <c r="L220" i="8"/>
  <c r="K220" i="8"/>
  <c r="J220" i="8"/>
  <c r="I220" i="8"/>
  <c r="H220" i="8"/>
  <c r="G220" i="8"/>
  <c r="F220" i="8"/>
  <c r="E220" i="8"/>
  <c r="D220" i="8"/>
  <c r="C220" i="8"/>
  <c r="B220" i="8"/>
  <c r="AI113" i="8"/>
  <c r="AH113" i="8"/>
  <c r="AI112" i="8"/>
  <c r="AH112" i="8"/>
  <c r="AI111" i="8"/>
  <c r="AH111" i="8"/>
  <c r="AI110" i="8"/>
  <c r="AH110" i="8"/>
  <c r="AI109" i="8"/>
  <c r="AH109" i="8"/>
  <c r="AI108" i="8"/>
  <c r="AH108" i="8"/>
  <c r="AI106" i="8"/>
  <c r="AH106" i="8"/>
  <c r="AI105" i="8"/>
  <c r="AH105" i="8"/>
  <c r="AI103" i="8"/>
  <c r="AH103" i="8"/>
  <c r="AI102" i="8"/>
  <c r="AH102" i="8"/>
  <c r="AI101" i="8"/>
  <c r="AH101" i="8"/>
  <c r="AI100" i="8"/>
  <c r="AH100" i="8"/>
  <c r="AI99" i="8"/>
  <c r="AH99" i="8"/>
  <c r="AI98" i="8"/>
  <c r="AH98" i="8"/>
  <c r="AI97" i="8"/>
  <c r="AH97" i="8"/>
  <c r="AI96" i="8"/>
  <c r="AH96" i="8"/>
  <c r="AI95" i="8"/>
  <c r="AH95" i="8"/>
  <c r="AI92" i="8"/>
  <c r="AH92" i="8"/>
  <c r="AI84" i="8"/>
  <c r="AH84" i="8"/>
  <c r="AI82" i="8"/>
  <c r="AH82" i="8"/>
  <c r="AG82" i="8"/>
  <c r="AI81" i="8"/>
  <c r="AH81" i="8"/>
  <c r="AI80" i="8"/>
  <c r="AH80" i="8"/>
  <c r="AI79" i="8"/>
  <c r="AH79" i="8"/>
  <c r="AG78" i="8"/>
  <c r="AI77" i="8"/>
  <c r="AH77" i="8"/>
  <c r="AI76" i="8"/>
  <c r="AH76" i="8"/>
  <c r="AI75" i="8"/>
  <c r="AH75" i="8"/>
  <c r="AI74" i="8"/>
  <c r="AH74" i="8"/>
  <c r="AI73" i="8"/>
  <c r="AH73" i="8"/>
  <c r="AI72" i="8"/>
  <c r="AH72" i="8"/>
  <c r="AI71" i="8"/>
  <c r="AH71" i="8"/>
  <c r="AI70" i="8"/>
  <c r="AH70" i="8"/>
  <c r="AI69" i="8"/>
  <c r="AH69" i="8"/>
  <c r="AI68" i="8"/>
  <c r="AH68" i="8"/>
  <c r="AI67" i="8"/>
  <c r="AH67" i="8"/>
  <c r="AG66" i="8"/>
  <c r="AI65" i="8"/>
  <c r="AH65" i="8"/>
  <c r="AI64" i="8"/>
  <c r="AH64" i="8"/>
  <c r="AI63" i="8"/>
  <c r="AH63" i="8"/>
  <c r="AI61" i="8"/>
  <c r="AH61" i="8"/>
  <c r="AG61" i="8"/>
  <c r="AG62" i="8" s="1"/>
  <c r="AG3" i="8" s="1"/>
  <c r="AI60" i="8"/>
  <c r="AH60" i="8"/>
  <c r="AI59" i="8"/>
  <c r="AH59" i="8"/>
  <c r="AI58" i="8"/>
  <c r="AH58" i="8"/>
  <c r="AI57" i="8"/>
  <c r="AH57" i="8"/>
  <c r="AI56" i="8"/>
  <c r="AH56" i="8"/>
  <c r="AI55" i="8"/>
  <c r="AH55" i="8"/>
  <c r="AI54" i="8"/>
  <c r="AH54" i="8"/>
  <c r="AI53" i="8"/>
  <c r="AH53" i="8"/>
  <c r="AI52" i="8"/>
  <c r="AH52" i="8"/>
  <c r="AI51" i="8"/>
  <c r="AH51" i="8"/>
  <c r="AI50" i="8"/>
  <c r="AH50" i="8"/>
  <c r="AI49" i="8"/>
  <c r="AH49" i="8"/>
  <c r="AG48" i="8"/>
  <c r="AI47" i="8"/>
  <c r="AH47" i="8"/>
  <c r="AI46" i="8"/>
  <c r="AH46" i="8"/>
  <c r="AI45" i="8"/>
  <c r="AH45" i="8"/>
  <c r="AG44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E5" i="8"/>
  <c r="AD5" i="8"/>
  <c r="AC5" i="8"/>
  <c r="AB5" i="8"/>
  <c r="AA5" i="8"/>
  <c r="Z5" i="8"/>
  <c r="Y5" i="8"/>
  <c r="X5" i="8"/>
  <c r="W5" i="8"/>
  <c r="V5" i="8"/>
  <c r="U5" i="8"/>
  <c r="Q5" i="8"/>
  <c r="O5" i="8"/>
  <c r="N5" i="8"/>
  <c r="M5" i="8"/>
  <c r="L5" i="8"/>
  <c r="E5" i="8"/>
  <c r="B5" i="8"/>
  <c r="AG4" i="8"/>
  <c r="K4" i="8"/>
  <c r="E4" i="8"/>
  <c r="H4" i="8" s="1"/>
  <c r="B4" i="8"/>
  <c r="S239" i="8" s="1"/>
  <c r="AF107" i="7"/>
  <c r="AF43" i="7"/>
  <c r="AE107" i="7"/>
  <c r="AE43" i="7"/>
  <c r="AD107" i="7"/>
  <c r="AD43" i="7"/>
  <c r="AB107" i="7"/>
  <c r="AB43" i="7"/>
  <c r="AA107" i="7"/>
  <c r="AA43" i="7"/>
  <c r="AA11" i="7"/>
  <c r="Z107" i="7"/>
  <c r="Z43" i="7"/>
  <c r="Z11" i="7"/>
  <c r="Y107" i="7"/>
  <c r="Y43" i="7"/>
  <c r="Y11" i="7"/>
  <c r="X107" i="7"/>
  <c r="X43" i="7"/>
  <c r="R7" i="8" l="1"/>
  <c r="R86" i="8"/>
  <c r="Q94" i="8"/>
  <c r="M83" i="8"/>
  <c r="M85" i="8" s="1"/>
  <c r="M86" i="8" s="1"/>
  <c r="AB7" i="8"/>
  <c r="AB86" i="8"/>
  <c r="P83" i="8"/>
  <c r="AI107" i="8"/>
  <c r="G5" i="8"/>
  <c r="T5" i="8"/>
  <c r="O83" i="8"/>
  <c r="O85" i="8" s="1"/>
  <c r="O86" i="8" s="1"/>
  <c r="T94" i="8"/>
  <c r="N83" i="8"/>
  <c r="N85" i="8" s="1"/>
  <c r="N86" i="8" s="1"/>
  <c r="Q83" i="8"/>
  <c r="Q85" i="8" s="1"/>
  <c r="Q86" i="8" s="1"/>
  <c r="AH104" i="10"/>
  <c r="AI104" i="10"/>
  <c r="AF7" i="8"/>
  <c r="AF86" i="8"/>
  <c r="AE86" i="8"/>
  <c r="AE7" i="8"/>
  <c r="AD7" i="8"/>
  <c r="AD86" i="8"/>
  <c r="AC7" i="8"/>
  <c r="AC86" i="8"/>
  <c r="AA83" i="8"/>
  <c r="AA85" i="8" s="1"/>
  <c r="AA86" i="8" s="1"/>
  <c r="Z83" i="8"/>
  <c r="Z85" i="8" s="1"/>
  <c r="Z86" i="8" s="1"/>
  <c r="Y83" i="8"/>
  <c r="Y85" i="8" s="1"/>
  <c r="Y86" i="8" s="1"/>
  <c r="S83" i="8"/>
  <c r="S85" i="8" s="1"/>
  <c r="S86" i="8" s="1"/>
  <c r="X83" i="8"/>
  <c r="X85" i="8" s="1"/>
  <c r="X86" i="8" s="1"/>
  <c r="W83" i="8"/>
  <c r="W85" i="8" s="1"/>
  <c r="W86" i="8" s="1"/>
  <c r="V83" i="8"/>
  <c r="V85" i="8" s="1"/>
  <c r="V86" i="8" s="1"/>
  <c r="AI43" i="8"/>
  <c r="T83" i="8"/>
  <c r="T85" i="8" s="1"/>
  <c r="T86" i="8" s="1"/>
  <c r="S94" i="8"/>
  <c r="AH43" i="8"/>
  <c r="E104" i="8"/>
  <c r="E227" i="8"/>
  <c r="D228" i="8"/>
  <c r="K94" i="8"/>
  <c r="AG83" i="8"/>
  <c r="AG85" i="8"/>
  <c r="B228" i="8"/>
  <c r="D104" i="8"/>
  <c r="K5" i="8"/>
  <c r="L83" i="8"/>
  <c r="L85" i="8" s="1"/>
  <c r="L86" i="8" s="1"/>
  <c r="I5" i="8"/>
  <c r="I94" i="8"/>
  <c r="I83" i="8"/>
  <c r="I85" i="8" s="1"/>
  <c r="I86" i="8" s="1"/>
  <c r="F5" i="8"/>
  <c r="K83" i="8"/>
  <c r="K85" i="8" s="1"/>
  <c r="K86" i="8" s="1"/>
  <c r="AI62" i="8"/>
  <c r="AI48" i="8"/>
  <c r="AH89" i="8"/>
  <c r="AI87" i="8"/>
  <c r="AI88" i="8"/>
  <c r="E94" i="8"/>
  <c r="G83" i="8"/>
  <c r="G85" i="8" s="1"/>
  <c r="G86" i="8" s="1"/>
  <c r="AI66" i="8"/>
  <c r="J83" i="8"/>
  <c r="J85" i="8" s="1"/>
  <c r="J86" i="8" s="1"/>
  <c r="E83" i="8"/>
  <c r="E85" i="8" s="1"/>
  <c r="E86" i="8" s="1"/>
  <c r="F83" i="8"/>
  <c r="F85" i="8" s="1"/>
  <c r="F86" i="8" s="1"/>
  <c r="H83" i="8"/>
  <c r="H85" i="8" s="1"/>
  <c r="H86" i="8" s="1"/>
  <c r="AI89" i="8"/>
  <c r="AI91" i="8"/>
  <c r="D94" i="8"/>
  <c r="AH66" i="8"/>
  <c r="AH62" i="8"/>
  <c r="D83" i="8"/>
  <c r="D85" i="8" s="1"/>
  <c r="D86" i="8" s="1"/>
  <c r="C86" i="8"/>
  <c r="AH78" i="8"/>
  <c r="B83" i="8"/>
  <c r="B85" i="8" s="1"/>
  <c r="B86" i="8" s="1"/>
  <c r="B94" i="8"/>
  <c r="Y7" i="8"/>
  <c r="AQ242" i="8"/>
  <c r="AJ242" i="8"/>
  <c r="Z7" i="8"/>
  <c r="AR242" i="8"/>
  <c r="U242" i="8"/>
  <c r="S7" i="8"/>
  <c r="AK242" i="8"/>
  <c r="AT242" i="8"/>
  <c r="T7" i="8"/>
  <c r="AL242" i="8"/>
  <c r="AM242" i="8"/>
  <c r="U7" i="8"/>
  <c r="AF242" i="8"/>
  <c r="AW242" i="8"/>
  <c r="AI90" i="8"/>
  <c r="AU242" i="8"/>
  <c r="AA7" i="8"/>
  <c r="AS242" i="8"/>
  <c r="AE242" i="8"/>
  <c r="M7" i="8"/>
  <c r="AV242" i="8"/>
  <c r="J225" i="8"/>
  <c r="K225" i="8" s="1"/>
  <c r="L225" i="8" s="1"/>
  <c r="M225" i="8" s="1"/>
  <c r="N225" i="8" s="1"/>
  <c r="O225" i="8" s="1"/>
  <c r="P225" i="8" s="1"/>
  <c r="AG242" i="8"/>
  <c r="O7" i="8"/>
  <c r="AO242" i="8"/>
  <c r="W7" i="8"/>
  <c r="AX242" i="8"/>
  <c r="I7" i="8"/>
  <c r="F222" i="8"/>
  <c r="E228" i="8"/>
  <c r="Q7" i="8"/>
  <c r="AI242" i="8"/>
  <c r="AH11" i="8"/>
  <c r="AH48" i="8"/>
  <c r="AI44" i="8"/>
  <c r="AH90" i="8"/>
  <c r="D239" i="8"/>
  <c r="AH91" i="8"/>
  <c r="AH107" i="8"/>
  <c r="AG2" i="8"/>
  <c r="AG6" i="8" s="1"/>
  <c r="AI78" i="8"/>
  <c r="AH87" i="8"/>
  <c r="AH88" i="8"/>
  <c r="AH44" i="8"/>
  <c r="P85" i="8" l="1"/>
  <c r="AP242" i="8"/>
  <c r="N7" i="8"/>
  <c r="X7" i="8"/>
  <c r="V7" i="8"/>
  <c r="AN242" i="8"/>
  <c r="AA242" i="8"/>
  <c r="F227" i="8"/>
  <c r="D263" i="8"/>
  <c r="F104" i="8"/>
  <c r="AD242" i="8"/>
  <c r="L7" i="8"/>
  <c r="AB242" i="8"/>
  <c r="AC242" i="8"/>
  <c r="K7" i="8"/>
  <c r="X242" i="8"/>
  <c r="F7" i="8"/>
  <c r="J7" i="8"/>
  <c r="G7" i="8"/>
  <c r="Y242" i="8"/>
  <c r="E7" i="8"/>
  <c r="B237" i="8"/>
  <c r="W242" i="8"/>
  <c r="C237" i="8"/>
  <c r="H7" i="8"/>
  <c r="Z242" i="8"/>
  <c r="AH83" i="8"/>
  <c r="D7" i="8"/>
  <c r="V242" i="8"/>
  <c r="AI83" i="8"/>
  <c r="B7" i="8"/>
  <c r="AI85" i="8"/>
  <c r="AH85" i="8"/>
  <c r="T242" i="8"/>
  <c r="AI93" i="8"/>
  <c r="AH93" i="8"/>
  <c r="G222" i="8"/>
  <c r="F228" i="8"/>
  <c r="P7" i="8" l="1"/>
  <c r="AH242" i="8"/>
  <c r="P86" i="8"/>
  <c r="E263" i="8"/>
  <c r="G227" i="8"/>
  <c r="G228" i="8" s="1"/>
  <c r="K6" i="8"/>
  <c r="A7" i="8"/>
  <c r="H222" i="8"/>
  <c r="AI86" i="8"/>
  <c r="AH86" i="8"/>
  <c r="AI94" i="8"/>
  <c r="AH94" i="8"/>
  <c r="H104" i="8" l="1"/>
  <c r="H227" i="8"/>
  <c r="F263" i="8"/>
  <c r="G104" i="8"/>
  <c r="I222" i="8"/>
  <c r="H228" i="8"/>
  <c r="I227" i="8" l="1"/>
  <c r="G263" i="8"/>
  <c r="I104" i="8"/>
  <c r="J222" i="8"/>
  <c r="J104" i="8" l="1"/>
  <c r="H263" i="8"/>
  <c r="J227" i="8"/>
  <c r="K222" i="8"/>
  <c r="K104" i="8" l="1"/>
  <c r="K227" i="8"/>
  <c r="I263" i="8"/>
  <c r="L222" i="8"/>
  <c r="L104" i="8" l="1"/>
  <c r="J263" i="8"/>
  <c r="L227" i="8"/>
  <c r="M222" i="8"/>
  <c r="M104" i="8" l="1"/>
  <c r="M227" i="8"/>
  <c r="K263" i="8"/>
  <c r="N222" i="8"/>
  <c r="N104" i="8" l="1"/>
  <c r="L263" i="8"/>
  <c r="N227" i="8"/>
  <c r="O222" i="8"/>
  <c r="M263" i="8" l="1"/>
  <c r="O227" i="8"/>
  <c r="O104" i="8" s="1"/>
  <c r="P222" i="8"/>
  <c r="P104" i="8" l="1"/>
  <c r="N263" i="8"/>
  <c r="P227" i="8"/>
  <c r="O263" i="8" s="1"/>
  <c r="AI104" i="8" l="1"/>
  <c r="AH104" i="8"/>
  <c r="W107" i="7" l="1"/>
  <c r="W43" i="7"/>
  <c r="V107" i="7"/>
  <c r="V43" i="7"/>
  <c r="U107" i="7"/>
  <c r="T107" i="7"/>
  <c r="U69" i="7"/>
  <c r="S107" i="7" l="1"/>
  <c r="R78" i="7"/>
  <c r="N43" i="7"/>
  <c r="M43" i="7" l="1"/>
  <c r="D43" i="7"/>
  <c r="C104" i="7"/>
  <c r="C43" i="7"/>
  <c r="E4" i="5"/>
  <c r="E4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A267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A266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A265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A264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B263" i="7"/>
  <c r="S238" i="7"/>
  <c r="AG228" i="7"/>
  <c r="AG61" i="7" s="1"/>
  <c r="AG62" i="7" s="1"/>
  <c r="AG3" i="7" s="1"/>
  <c r="AF228" i="7"/>
  <c r="AE228" i="7"/>
  <c r="AD228" i="7"/>
  <c r="AC228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C228" i="7"/>
  <c r="E227" i="7"/>
  <c r="D263" i="7" s="1"/>
  <c r="D227" i="7"/>
  <c r="C263" i="7" s="1"/>
  <c r="B227" i="7"/>
  <c r="AF263" i="7" s="1"/>
  <c r="D226" i="7"/>
  <c r="E226" i="7" s="1"/>
  <c r="F226" i="7" s="1"/>
  <c r="G226" i="7" s="1"/>
  <c r="H226" i="7" s="1"/>
  <c r="I226" i="7" s="1"/>
  <c r="J226" i="7" s="1"/>
  <c r="K226" i="7" s="1"/>
  <c r="L226" i="7" s="1"/>
  <c r="M226" i="7" s="1"/>
  <c r="N226" i="7" s="1"/>
  <c r="O226" i="7" s="1"/>
  <c r="P226" i="7" s="1"/>
  <c r="B226" i="7"/>
  <c r="D225" i="7"/>
  <c r="B225" i="7"/>
  <c r="D224" i="7"/>
  <c r="E224" i="7" s="1"/>
  <c r="F224" i="7" s="1"/>
  <c r="G224" i="7" s="1"/>
  <c r="H224" i="7" s="1"/>
  <c r="B224" i="7"/>
  <c r="D223" i="7"/>
  <c r="E223" i="7" s="1"/>
  <c r="F223" i="7" s="1"/>
  <c r="B223" i="7"/>
  <c r="E222" i="7"/>
  <c r="F222" i="7" s="1"/>
  <c r="D222" i="7"/>
  <c r="B222" i="7"/>
  <c r="AG220" i="7"/>
  <c r="AF220" i="7"/>
  <c r="AE220" i="7"/>
  <c r="AD220" i="7"/>
  <c r="AC220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B220" i="7"/>
  <c r="AI113" i="7"/>
  <c r="AH113" i="7"/>
  <c r="AI112" i="7"/>
  <c r="AH112" i="7"/>
  <c r="AI111" i="7"/>
  <c r="AH111" i="7"/>
  <c r="AI110" i="7"/>
  <c r="AH110" i="7"/>
  <c r="AI109" i="7"/>
  <c r="AH109" i="7"/>
  <c r="AI108" i="7"/>
  <c r="AH108" i="7"/>
  <c r="Z104" i="7"/>
  <c r="S104" i="7"/>
  <c r="R104" i="7"/>
  <c r="E104" i="7"/>
  <c r="AI106" i="7"/>
  <c r="AH106" i="7"/>
  <c r="AI105" i="7"/>
  <c r="AH105" i="7"/>
  <c r="AF104" i="7"/>
  <c r="AE104" i="7"/>
  <c r="AD104" i="7"/>
  <c r="AC104" i="7"/>
  <c r="AB104" i="7"/>
  <c r="AA104" i="7"/>
  <c r="Y104" i="7"/>
  <c r="X104" i="7"/>
  <c r="W104" i="7"/>
  <c r="V104" i="7"/>
  <c r="U104" i="7"/>
  <c r="T104" i="7"/>
  <c r="Q104" i="7"/>
  <c r="D104" i="7"/>
  <c r="AI103" i="7"/>
  <c r="AH103" i="7"/>
  <c r="AI102" i="7"/>
  <c r="AH102" i="7"/>
  <c r="AI101" i="7"/>
  <c r="AH101" i="7"/>
  <c r="AI100" i="7"/>
  <c r="AH100" i="7"/>
  <c r="AI99" i="7"/>
  <c r="AH99" i="7"/>
  <c r="AI98" i="7"/>
  <c r="AH98" i="7"/>
  <c r="AI97" i="7"/>
  <c r="AH97" i="7"/>
  <c r="AI96" i="7"/>
  <c r="AH96" i="7"/>
  <c r="AI95" i="7"/>
  <c r="AH95" i="7"/>
  <c r="AI92" i="7"/>
  <c r="AH92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B89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8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AI84" i="7"/>
  <c r="AH84" i="7"/>
  <c r="AI82" i="7"/>
  <c r="AH82" i="7"/>
  <c r="AG82" i="7"/>
  <c r="AI81" i="7"/>
  <c r="AH81" i="7"/>
  <c r="AI80" i="7"/>
  <c r="AH80" i="7"/>
  <c r="AI79" i="7"/>
  <c r="AH79" i="7"/>
  <c r="AG78" i="7"/>
  <c r="AF78" i="7"/>
  <c r="AE5" i="7" s="1"/>
  <c r="AE78" i="7"/>
  <c r="AD78" i="7"/>
  <c r="AC78" i="7"/>
  <c r="AB5" i="7" s="1"/>
  <c r="AB78" i="7"/>
  <c r="AA5" i="7" s="1"/>
  <c r="AA78" i="7"/>
  <c r="Z5" i="7" s="1"/>
  <c r="Z78" i="7"/>
  <c r="Y5" i="7" s="1"/>
  <c r="Y78" i="7"/>
  <c r="X5" i="7" s="1"/>
  <c r="X78" i="7"/>
  <c r="W78" i="7"/>
  <c r="V5" i="7" s="1"/>
  <c r="V78" i="7"/>
  <c r="U5" i="7" s="1"/>
  <c r="U78" i="7"/>
  <c r="T5" i="7" s="1"/>
  <c r="T78" i="7"/>
  <c r="S5" i="7" s="1"/>
  <c r="S78" i="7"/>
  <c r="R5" i="7" s="1"/>
  <c r="Q5" i="7"/>
  <c r="Q78" i="7"/>
  <c r="P5" i="7" s="1"/>
  <c r="P78" i="7"/>
  <c r="O5" i="7" s="1"/>
  <c r="O78" i="7"/>
  <c r="N78" i="7"/>
  <c r="M5" i="7" s="1"/>
  <c r="M78" i="7"/>
  <c r="L5" i="7" s="1"/>
  <c r="L78" i="7"/>
  <c r="K5" i="7" s="1"/>
  <c r="K78" i="7"/>
  <c r="J78" i="7"/>
  <c r="I5" i="7" s="1"/>
  <c r="I78" i="7"/>
  <c r="H5" i="7" s="1"/>
  <c r="H78" i="7"/>
  <c r="G78" i="7"/>
  <c r="F5" i="7" s="1"/>
  <c r="F78" i="7"/>
  <c r="E5" i="7" s="1"/>
  <c r="E78" i="7"/>
  <c r="D78" i="7"/>
  <c r="C5" i="7" s="1"/>
  <c r="C78" i="7"/>
  <c r="B78" i="7"/>
  <c r="AF5" i="7" s="1"/>
  <c r="AI77" i="7"/>
  <c r="AH77" i="7"/>
  <c r="AI76" i="7"/>
  <c r="AH76" i="7"/>
  <c r="AI75" i="7"/>
  <c r="AH75" i="7"/>
  <c r="AI74" i="7"/>
  <c r="AH74" i="7"/>
  <c r="AI73" i="7"/>
  <c r="AH73" i="7"/>
  <c r="AI72" i="7"/>
  <c r="AH72" i="7"/>
  <c r="AI71" i="7"/>
  <c r="AH71" i="7"/>
  <c r="AI70" i="7"/>
  <c r="AH70" i="7"/>
  <c r="AI69" i="7"/>
  <c r="AH69" i="7"/>
  <c r="AI68" i="7"/>
  <c r="AH68" i="7"/>
  <c r="AI67" i="7"/>
  <c r="AH67" i="7"/>
  <c r="AG66" i="7"/>
  <c r="AG4" i="7" s="1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AI65" i="7"/>
  <c r="AH65" i="7"/>
  <c r="AI64" i="7"/>
  <c r="AH64" i="7"/>
  <c r="AI63" i="7"/>
  <c r="AH63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AI61" i="7"/>
  <c r="AH61" i="7"/>
  <c r="AI60" i="7"/>
  <c r="AH60" i="7"/>
  <c r="AI59" i="7"/>
  <c r="AH59" i="7"/>
  <c r="AI58" i="7"/>
  <c r="AH58" i="7"/>
  <c r="AI57" i="7"/>
  <c r="AH57" i="7"/>
  <c r="AI56" i="7"/>
  <c r="AH56" i="7"/>
  <c r="AI55" i="7"/>
  <c r="AH55" i="7"/>
  <c r="AI54" i="7"/>
  <c r="AH54" i="7"/>
  <c r="AI53" i="7"/>
  <c r="AH53" i="7"/>
  <c r="AI52" i="7"/>
  <c r="AH52" i="7"/>
  <c r="AI51" i="7"/>
  <c r="AH51" i="7"/>
  <c r="AI50" i="7"/>
  <c r="AH50" i="7"/>
  <c r="AI49" i="7"/>
  <c r="AH49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I47" i="7"/>
  <c r="AH47" i="7"/>
  <c r="AI46" i="7"/>
  <c r="AH46" i="7"/>
  <c r="AI45" i="7"/>
  <c r="AH45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I43" i="7"/>
  <c r="AI42" i="7"/>
  <c r="AH42" i="7"/>
  <c r="AI41" i="7"/>
  <c r="AH41" i="7"/>
  <c r="AI40" i="7"/>
  <c r="AH40" i="7"/>
  <c r="AI39" i="7"/>
  <c r="AH39" i="7"/>
  <c r="AI38" i="7"/>
  <c r="AH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AD5" i="7"/>
  <c r="N5" i="7"/>
  <c r="B5" i="7"/>
  <c r="K4" i="7"/>
  <c r="B4" i="7"/>
  <c r="S239" i="7" s="1"/>
  <c r="AG2" i="7"/>
  <c r="AF43" i="5"/>
  <c r="AC43" i="5"/>
  <c r="AA107" i="5"/>
  <c r="Z107" i="5"/>
  <c r="Z43" i="5"/>
  <c r="Y107" i="5"/>
  <c r="Y43" i="5"/>
  <c r="X43" i="5"/>
  <c r="W107" i="5"/>
  <c r="B228" i="7" l="1"/>
  <c r="AG83" i="7"/>
  <c r="D228" i="7"/>
  <c r="B104" i="7"/>
  <c r="AD83" i="7"/>
  <c r="AD85" i="7" s="1"/>
  <c r="AV242" i="7" s="1"/>
  <c r="AC93" i="7"/>
  <c r="AB93" i="7"/>
  <c r="AB94" i="7" s="1"/>
  <c r="Y83" i="7"/>
  <c r="Y85" i="7" s="1"/>
  <c r="Y7" i="7" s="1"/>
  <c r="V83" i="7"/>
  <c r="V85" i="7" s="1"/>
  <c r="V7" i="7" s="1"/>
  <c r="T93" i="7"/>
  <c r="T94" i="7" s="1"/>
  <c r="U93" i="7"/>
  <c r="N83" i="7"/>
  <c r="N85" i="7" s="1"/>
  <c r="AI89" i="7"/>
  <c r="M93" i="7"/>
  <c r="AI66" i="7"/>
  <c r="R83" i="7"/>
  <c r="R85" i="7" s="1"/>
  <c r="R7" i="7" s="1"/>
  <c r="Z83" i="7"/>
  <c r="Z85" i="7" s="1"/>
  <c r="Z7" i="7" s="1"/>
  <c r="T83" i="7"/>
  <c r="T85" i="7" s="1"/>
  <c r="T86" i="7" s="1"/>
  <c r="AB83" i="7"/>
  <c r="AB85" i="7" s="1"/>
  <c r="AB7" i="7" s="1"/>
  <c r="Q83" i="7"/>
  <c r="Q85" i="7" s="1"/>
  <c r="AI242" i="7" s="1"/>
  <c r="F83" i="7"/>
  <c r="F85" i="7" s="1"/>
  <c r="I83" i="7"/>
  <c r="I85" i="7" s="1"/>
  <c r="J83" i="7"/>
  <c r="J85" i="7" s="1"/>
  <c r="J7" i="7" s="1"/>
  <c r="E93" i="7"/>
  <c r="E94" i="7" s="1"/>
  <c r="L93" i="7"/>
  <c r="L94" i="7" s="1"/>
  <c r="C93" i="7"/>
  <c r="C83" i="7"/>
  <c r="C85" i="7" s="1"/>
  <c r="C94" i="7"/>
  <c r="D93" i="7"/>
  <c r="D94" i="7" s="1"/>
  <c r="D83" i="7"/>
  <c r="D85" i="7" s="1"/>
  <c r="D7" i="7" s="1"/>
  <c r="B83" i="7"/>
  <c r="AG85" i="7"/>
  <c r="D5" i="7"/>
  <c r="E83" i="7"/>
  <c r="E85" i="7" s="1"/>
  <c r="AA83" i="7"/>
  <c r="AA85" i="7" s="1"/>
  <c r="AA7" i="7" s="1"/>
  <c r="G5" i="7"/>
  <c r="G93" i="7"/>
  <c r="G94" i="7" s="1"/>
  <c r="O93" i="7"/>
  <c r="O94" i="7" s="1"/>
  <c r="W93" i="7"/>
  <c r="W94" i="7" s="1"/>
  <c r="AE93" i="7"/>
  <c r="AE94" i="7" s="1"/>
  <c r="AI90" i="7"/>
  <c r="W83" i="7"/>
  <c r="W85" i="7" s="1"/>
  <c r="AO242" i="7" s="1"/>
  <c r="I93" i="7"/>
  <c r="I94" i="7" s="1"/>
  <c r="Q93" i="7"/>
  <c r="Y93" i="7"/>
  <c r="AI88" i="7"/>
  <c r="O83" i="7"/>
  <c r="O85" i="7" s="1"/>
  <c r="O7" i="7" s="1"/>
  <c r="M94" i="7"/>
  <c r="U94" i="7"/>
  <c r="AC94" i="7"/>
  <c r="AI87" i="7"/>
  <c r="J93" i="7"/>
  <c r="J94" i="7" s="1"/>
  <c r="R93" i="7"/>
  <c r="R94" i="7" s="1"/>
  <c r="Z93" i="7"/>
  <c r="Z94" i="7" s="1"/>
  <c r="AH88" i="7"/>
  <c r="J5" i="7"/>
  <c r="G83" i="7"/>
  <c r="G85" i="7" s="1"/>
  <c r="G7" i="7" s="1"/>
  <c r="AE83" i="7"/>
  <c r="AE85" i="7" s="1"/>
  <c r="W5" i="7"/>
  <c r="K93" i="7"/>
  <c r="K94" i="7" s="1"/>
  <c r="S93" i="7"/>
  <c r="S94" i="7" s="1"/>
  <c r="AA93" i="7"/>
  <c r="AA94" i="7" s="1"/>
  <c r="H93" i="7"/>
  <c r="H94" i="7" s="1"/>
  <c r="P93" i="7"/>
  <c r="P94" i="7" s="1"/>
  <c r="X93" i="7"/>
  <c r="X94" i="7" s="1"/>
  <c r="AF93" i="7"/>
  <c r="AF94" i="7" s="1"/>
  <c r="K83" i="7"/>
  <c r="K85" i="7" s="1"/>
  <c r="AC242" i="7" s="1"/>
  <c r="S83" i="7"/>
  <c r="S85" i="7" s="1"/>
  <c r="AK242" i="7" s="1"/>
  <c r="L83" i="7"/>
  <c r="L85" i="7" s="1"/>
  <c r="L7" i="7" s="1"/>
  <c r="F93" i="7"/>
  <c r="F86" i="7" s="1"/>
  <c r="N93" i="7"/>
  <c r="N86" i="7" s="1"/>
  <c r="V93" i="7"/>
  <c r="V94" i="7" s="1"/>
  <c r="AD93" i="7"/>
  <c r="AH90" i="7"/>
  <c r="AI91" i="7"/>
  <c r="AI62" i="7"/>
  <c r="M83" i="7"/>
  <c r="M85" i="7" s="1"/>
  <c r="M7" i="7" s="1"/>
  <c r="U83" i="7"/>
  <c r="U85" i="7" s="1"/>
  <c r="U86" i="7" s="1"/>
  <c r="AC83" i="7"/>
  <c r="AC85" i="7" s="1"/>
  <c r="AC7" i="7" s="1"/>
  <c r="H83" i="7"/>
  <c r="H85" i="7" s="1"/>
  <c r="H7" i="7" s="1"/>
  <c r="P83" i="7"/>
  <c r="P85" i="7" s="1"/>
  <c r="X83" i="7"/>
  <c r="X85" i="7" s="1"/>
  <c r="X86" i="7" s="1"/>
  <c r="AF83" i="7"/>
  <c r="AF85" i="7" s="1"/>
  <c r="AF7" i="7" s="1"/>
  <c r="AH48" i="7"/>
  <c r="AI48" i="7"/>
  <c r="H4" i="7"/>
  <c r="F7" i="7"/>
  <c r="X242" i="7"/>
  <c r="B85" i="7"/>
  <c r="AG6" i="7"/>
  <c r="N7" i="7"/>
  <c r="AF242" i="7"/>
  <c r="C86" i="7"/>
  <c r="C7" i="7"/>
  <c r="U242" i="7"/>
  <c r="G223" i="7"/>
  <c r="H223" i="7" s="1"/>
  <c r="I223" i="7" s="1"/>
  <c r="J223" i="7" s="1"/>
  <c r="K223" i="7" s="1"/>
  <c r="L223" i="7" s="1"/>
  <c r="M223" i="7" s="1"/>
  <c r="N223" i="7" s="1"/>
  <c r="O223" i="7" s="1"/>
  <c r="P223" i="7" s="1"/>
  <c r="AI44" i="7"/>
  <c r="AC5" i="7"/>
  <c r="AH44" i="7"/>
  <c r="AH89" i="7"/>
  <c r="D239" i="7"/>
  <c r="AH91" i="7"/>
  <c r="F227" i="7"/>
  <c r="AH107" i="7"/>
  <c r="AI107" i="7"/>
  <c r="AH62" i="7"/>
  <c r="AH66" i="7"/>
  <c r="AH78" i="7"/>
  <c r="G222" i="7"/>
  <c r="E225" i="7"/>
  <c r="F225" i="7" s="1"/>
  <c r="G225" i="7" s="1"/>
  <c r="H225" i="7" s="1"/>
  <c r="I225" i="7" s="1"/>
  <c r="J225" i="7" s="1"/>
  <c r="K225" i="7" s="1"/>
  <c r="L225" i="7" s="1"/>
  <c r="M225" i="7" s="1"/>
  <c r="N225" i="7" s="1"/>
  <c r="O225" i="7" s="1"/>
  <c r="P225" i="7" s="1"/>
  <c r="AH43" i="7"/>
  <c r="AI78" i="7"/>
  <c r="AH87" i="7"/>
  <c r="B93" i="7"/>
  <c r="B94" i="7" s="1"/>
  <c r="Q94" i="7"/>
  <c r="V78" i="5"/>
  <c r="W43" i="5"/>
  <c r="V107" i="5"/>
  <c r="V43" i="5"/>
  <c r="Y86" i="7" l="1"/>
  <c r="S86" i="7"/>
  <c r="AQ242" i="7"/>
  <c r="AE86" i="7"/>
  <c r="P86" i="7"/>
  <c r="AD7" i="7"/>
  <c r="AD86" i="7"/>
  <c r="AE7" i="7"/>
  <c r="AW242" i="7"/>
  <c r="AB86" i="7"/>
  <c r="AT242" i="7"/>
  <c r="AA86" i="7"/>
  <c r="AS242" i="7"/>
  <c r="AR242" i="7"/>
  <c r="Y94" i="7"/>
  <c r="W7" i="7"/>
  <c r="V86" i="7"/>
  <c r="AN242" i="7"/>
  <c r="AL242" i="7"/>
  <c r="T7" i="7"/>
  <c r="AJ242" i="7"/>
  <c r="R86" i="7"/>
  <c r="Q7" i="7"/>
  <c r="Q86" i="7"/>
  <c r="O86" i="7"/>
  <c r="U7" i="7"/>
  <c r="AG242" i="7"/>
  <c r="I86" i="7"/>
  <c r="I7" i="7"/>
  <c r="AA242" i="7"/>
  <c r="AB242" i="7"/>
  <c r="K86" i="7"/>
  <c r="F94" i="7"/>
  <c r="E86" i="7"/>
  <c r="G86" i="7"/>
  <c r="AD242" i="7"/>
  <c r="J86" i="7"/>
  <c r="V242" i="7"/>
  <c r="E7" i="7"/>
  <c r="D86" i="7"/>
  <c r="W242" i="7"/>
  <c r="Y242" i="7"/>
  <c r="L86" i="7"/>
  <c r="AD94" i="7"/>
  <c r="P7" i="7"/>
  <c r="K7" i="7"/>
  <c r="N94" i="7"/>
  <c r="Z86" i="7"/>
  <c r="S7" i="7"/>
  <c r="W86" i="7"/>
  <c r="AM242" i="7"/>
  <c r="H86" i="7"/>
  <c r="Z242" i="7"/>
  <c r="AC86" i="7"/>
  <c r="AH242" i="7"/>
  <c r="AU242" i="7"/>
  <c r="AP242" i="7"/>
  <c r="X7" i="7"/>
  <c r="M86" i="7"/>
  <c r="AE242" i="7"/>
  <c r="B237" i="7"/>
  <c r="C237" i="7"/>
  <c r="K6" i="7" s="1"/>
  <c r="AH83" i="7"/>
  <c r="AI83" i="7"/>
  <c r="AF86" i="7"/>
  <c r="AX242" i="7"/>
  <c r="B86" i="7"/>
  <c r="AH85" i="7"/>
  <c r="AI85" i="7"/>
  <c r="B7" i="7"/>
  <c r="T242" i="7"/>
  <c r="E228" i="7"/>
  <c r="H222" i="7"/>
  <c r="E263" i="7"/>
  <c r="G227" i="7"/>
  <c r="F228" i="7"/>
  <c r="F104" i="7"/>
  <c r="AI93" i="7"/>
  <c r="AH93" i="7"/>
  <c r="U107" i="5"/>
  <c r="U43" i="5"/>
  <c r="T43" i="5"/>
  <c r="AI94" i="7" l="1"/>
  <c r="AH94" i="7"/>
  <c r="A7" i="7"/>
  <c r="F263" i="7"/>
  <c r="H227" i="7"/>
  <c r="H228" i="7" s="1"/>
  <c r="G228" i="7"/>
  <c r="AI86" i="7"/>
  <c r="AH86" i="7"/>
  <c r="I222" i="7"/>
  <c r="H104" i="7"/>
  <c r="G104" i="7"/>
  <c r="S107" i="5"/>
  <c r="S43" i="5"/>
  <c r="R107" i="5"/>
  <c r="R43" i="5"/>
  <c r="Q107" i="5"/>
  <c r="Q43" i="5"/>
  <c r="P107" i="5"/>
  <c r="P43" i="5"/>
  <c r="O107" i="5"/>
  <c r="O43" i="5"/>
  <c r="N107" i="5"/>
  <c r="N43" i="5"/>
  <c r="M107" i="5"/>
  <c r="M43" i="5"/>
  <c r="L107" i="5"/>
  <c r="J107" i="5"/>
  <c r="G107" i="5"/>
  <c r="F107" i="5"/>
  <c r="E107" i="5"/>
  <c r="D107" i="5"/>
  <c r="AI107" i="5" s="1"/>
  <c r="C107" i="5"/>
  <c r="AF267" i="5"/>
  <c r="AE267" i="5"/>
  <c r="AD267" i="5"/>
  <c r="AC267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D267" i="5"/>
  <c r="C267" i="5"/>
  <c r="B267" i="5"/>
  <c r="A267" i="5"/>
  <c r="AF266" i="5"/>
  <c r="AE266" i="5"/>
  <c r="AD266" i="5"/>
  <c r="AC266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C266" i="5"/>
  <c r="B266" i="5"/>
  <c r="A266" i="5"/>
  <c r="AF265" i="5"/>
  <c r="AE265" i="5"/>
  <c r="AD265" i="5"/>
  <c r="AC265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B265" i="5"/>
  <c r="A265" i="5"/>
  <c r="AF264" i="5"/>
  <c r="AE264" i="5"/>
  <c r="AD264" i="5"/>
  <c r="AC264" i="5"/>
  <c r="AB264" i="5"/>
  <c r="AA264" i="5"/>
  <c r="Z264" i="5"/>
  <c r="Y264" i="5"/>
  <c r="X264" i="5"/>
  <c r="W264" i="5"/>
  <c r="V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C264" i="5"/>
  <c r="B264" i="5"/>
  <c r="A264" i="5"/>
  <c r="AE263" i="5"/>
  <c r="AD263" i="5"/>
  <c r="AC263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C263" i="5"/>
  <c r="B263" i="5"/>
  <c r="S238" i="5"/>
  <c r="AG228" i="5"/>
  <c r="AF228" i="5"/>
  <c r="AE228" i="5"/>
  <c r="AD228" i="5"/>
  <c r="AC228" i="5"/>
  <c r="AB228" i="5"/>
  <c r="AA228" i="5"/>
  <c r="Z228" i="5"/>
  <c r="Y228" i="5"/>
  <c r="X228" i="5"/>
  <c r="W228" i="5"/>
  <c r="V228" i="5"/>
  <c r="U228" i="5"/>
  <c r="T228" i="5"/>
  <c r="S228" i="5"/>
  <c r="R228" i="5"/>
  <c r="Q228" i="5"/>
  <c r="C228" i="5"/>
  <c r="D227" i="5"/>
  <c r="E227" i="5" s="1"/>
  <c r="B227" i="5"/>
  <c r="AF263" i="5" s="1"/>
  <c r="D226" i="5"/>
  <c r="E226" i="5" s="1"/>
  <c r="F226" i="5" s="1"/>
  <c r="G226" i="5" s="1"/>
  <c r="H226" i="5" s="1"/>
  <c r="I226" i="5" s="1"/>
  <c r="J226" i="5" s="1"/>
  <c r="K226" i="5" s="1"/>
  <c r="L226" i="5" s="1"/>
  <c r="M226" i="5" s="1"/>
  <c r="N226" i="5" s="1"/>
  <c r="O226" i="5" s="1"/>
  <c r="P226" i="5" s="1"/>
  <c r="B226" i="5"/>
  <c r="D225" i="5"/>
  <c r="E225" i="5" s="1"/>
  <c r="F225" i="5" s="1"/>
  <c r="G225" i="5" s="1"/>
  <c r="H225" i="5" s="1"/>
  <c r="I225" i="5" s="1"/>
  <c r="J225" i="5" s="1"/>
  <c r="K225" i="5" s="1"/>
  <c r="L225" i="5" s="1"/>
  <c r="M225" i="5" s="1"/>
  <c r="N225" i="5" s="1"/>
  <c r="O225" i="5" s="1"/>
  <c r="P225" i="5" s="1"/>
  <c r="B225" i="5"/>
  <c r="D224" i="5"/>
  <c r="E224" i="5" s="1"/>
  <c r="F224" i="5" s="1"/>
  <c r="G224" i="5" s="1"/>
  <c r="H224" i="5" s="1"/>
  <c r="I224" i="5" s="1"/>
  <c r="J224" i="5" s="1"/>
  <c r="K224" i="5" s="1"/>
  <c r="L224" i="5" s="1"/>
  <c r="M224" i="5" s="1"/>
  <c r="N224" i="5" s="1"/>
  <c r="O224" i="5" s="1"/>
  <c r="P224" i="5" s="1"/>
  <c r="B224" i="5"/>
  <c r="E223" i="5"/>
  <c r="F223" i="5" s="1"/>
  <c r="G223" i="5" s="1"/>
  <c r="H223" i="5" s="1"/>
  <c r="I223" i="5" s="1"/>
  <c r="J223" i="5" s="1"/>
  <c r="K223" i="5" s="1"/>
  <c r="L223" i="5" s="1"/>
  <c r="M223" i="5" s="1"/>
  <c r="N223" i="5" s="1"/>
  <c r="O223" i="5" s="1"/>
  <c r="P223" i="5" s="1"/>
  <c r="D223" i="5"/>
  <c r="B223" i="5"/>
  <c r="D222" i="5"/>
  <c r="D228" i="5" s="1"/>
  <c r="B222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B220" i="5"/>
  <c r="AI113" i="5"/>
  <c r="AH113" i="5"/>
  <c r="AI112" i="5"/>
  <c r="AH112" i="5"/>
  <c r="AI111" i="5"/>
  <c r="AH111" i="5"/>
  <c r="AI110" i="5"/>
  <c r="AH110" i="5"/>
  <c r="AI109" i="5"/>
  <c r="AH109" i="5"/>
  <c r="AI108" i="5"/>
  <c r="AH108" i="5"/>
  <c r="AF104" i="5"/>
  <c r="AC104" i="5"/>
  <c r="R104" i="5"/>
  <c r="AI106" i="5"/>
  <c r="AH106" i="5"/>
  <c r="AI105" i="5"/>
  <c r="AH105" i="5"/>
  <c r="AE104" i="5"/>
  <c r="AD104" i="5"/>
  <c r="AB104" i="5"/>
  <c r="AA104" i="5"/>
  <c r="Z104" i="5"/>
  <c r="Y104" i="5"/>
  <c r="X104" i="5"/>
  <c r="W104" i="5"/>
  <c r="V104" i="5"/>
  <c r="U104" i="5"/>
  <c r="T104" i="5"/>
  <c r="S104" i="5"/>
  <c r="Q104" i="5"/>
  <c r="C104" i="5"/>
  <c r="B104" i="5"/>
  <c r="AI103" i="5"/>
  <c r="AH103" i="5"/>
  <c r="AI102" i="5"/>
  <c r="AH102" i="5"/>
  <c r="AI101" i="5"/>
  <c r="AH101" i="5"/>
  <c r="AI100" i="5"/>
  <c r="AH100" i="5"/>
  <c r="AI99" i="5"/>
  <c r="AH99" i="5"/>
  <c r="AI98" i="5"/>
  <c r="AH98" i="5"/>
  <c r="AI97" i="5"/>
  <c r="AH97" i="5"/>
  <c r="AI96" i="5"/>
  <c r="AH96" i="5"/>
  <c r="AI95" i="5"/>
  <c r="AH95" i="5"/>
  <c r="AI92" i="5"/>
  <c r="AH92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I84" i="5"/>
  <c r="AH84" i="5"/>
  <c r="AI82" i="5"/>
  <c r="AH82" i="5"/>
  <c r="AG82" i="5"/>
  <c r="AI81" i="5"/>
  <c r="AH81" i="5"/>
  <c r="AI80" i="5"/>
  <c r="AH80" i="5"/>
  <c r="AI79" i="5"/>
  <c r="AH79" i="5"/>
  <c r="AG78" i="5"/>
  <c r="AF78" i="5"/>
  <c r="AE5" i="5" s="1"/>
  <c r="AE78" i="5"/>
  <c r="AD5" i="5" s="1"/>
  <c r="AD78" i="5"/>
  <c r="AC78" i="5"/>
  <c r="AB5" i="5" s="1"/>
  <c r="AB78" i="5"/>
  <c r="AA5" i="5" s="1"/>
  <c r="AA78" i="5"/>
  <c r="Z5" i="5" s="1"/>
  <c r="Z78" i="5"/>
  <c r="Y78" i="5"/>
  <c r="X78" i="5"/>
  <c r="W5" i="5" s="1"/>
  <c r="W78" i="5"/>
  <c r="V5" i="5" s="1"/>
  <c r="U5" i="5"/>
  <c r="U78" i="5"/>
  <c r="T5" i="5" s="1"/>
  <c r="T78" i="5"/>
  <c r="S5" i="5" s="1"/>
  <c r="S78" i="5"/>
  <c r="R5" i="5" s="1"/>
  <c r="R78" i="5"/>
  <c r="Q78" i="5"/>
  <c r="P78" i="5"/>
  <c r="O5" i="5" s="1"/>
  <c r="O78" i="5"/>
  <c r="N5" i="5" s="1"/>
  <c r="N78" i="5"/>
  <c r="M5" i="5" s="1"/>
  <c r="M78" i="5"/>
  <c r="L5" i="5" s="1"/>
  <c r="L78" i="5"/>
  <c r="K5" i="5" s="1"/>
  <c r="K78" i="5"/>
  <c r="J5" i="5" s="1"/>
  <c r="J78" i="5"/>
  <c r="I5" i="5" s="1"/>
  <c r="I78" i="5"/>
  <c r="H78" i="5"/>
  <c r="G5" i="5" s="1"/>
  <c r="G78" i="5"/>
  <c r="F5" i="5" s="1"/>
  <c r="F78" i="5"/>
  <c r="E78" i="5"/>
  <c r="D5" i="5" s="1"/>
  <c r="D78" i="5"/>
  <c r="C5" i="5" s="1"/>
  <c r="C78" i="5"/>
  <c r="B5" i="5" s="1"/>
  <c r="B78" i="5"/>
  <c r="AF5" i="5" s="1"/>
  <c r="AI77" i="5"/>
  <c r="AH77" i="5"/>
  <c r="AI76" i="5"/>
  <c r="AH76" i="5"/>
  <c r="AI75" i="5"/>
  <c r="AH75" i="5"/>
  <c r="AI74" i="5"/>
  <c r="AH74" i="5"/>
  <c r="AI73" i="5"/>
  <c r="AH73" i="5"/>
  <c r="AI72" i="5"/>
  <c r="AH72" i="5"/>
  <c r="AI71" i="5"/>
  <c r="AH71" i="5"/>
  <c r="AI70" i="5"/>
  <c r="AH70" i="5"/>
  <c r="AI69" i="5"/>
  <c r="AH69" i="5"/>
  <c r="AI68" i="5"/>
  <c r="AH68" i="5"/>
  <c r="AI67" i="5"/>
  <c r="AH67" i="5"/>
  <c r="AG66" i="5"/>
  <c r="AG4" i="5" s="1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I65" i="5"/>
  <c r="AH65" i="5"/>
  <c r="AI64" i="5"/>
  <c r="AH64" i="5"/>
  <c r="AI63" i="5"/>
  <c r="AH63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I61" i="5"/>
  <c r="AH61" i="5"/>
  <c r="AG61" i="5"/>
  <c r="AG62" i="5" s="1"/>
  <c r="AG3" i="5" s="1"/>
  <c r="AI60" i="5"/>
  <c r="AH60" i="5"/>
  <c r="AI59" i="5"/>
  <c r="AH59" i="5"/>
  <c r="AI58" i="5"/>
  <c r="AH58" i="5"/>
  <c r="AI57" i="5"/>
  <c r="AH57" i="5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I47" i="5"/>
  <c r="AH47" i="5"/>
  <c r="AI46" i="5"/>
  <c r="AH46" i="5"/>
  <c r="AI45" i="5"/>
  <c r="AH45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D43" i="5"/>
  <c r="AA43" i="5"/>
  <c r="L43" i="5"/>
  <c r="D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Y5" i="5"/>
  <c r="Q5" i="5"/>
  <c r="K4" i="5"/>
  <c r="B4" i="5"/>
  <c r="S239" i="5" s="1"/>
  <c r="AG2" i="5"/>
  <c r="AF107" i="4"/>
  <c r="AF43" i="4"/>
  <c r="AE107" i="4"/>
  <c r="AD107" i="4"/>
  <c r="AD43" i="4"/>
  <c r="AC107" i="4"/>
  <c r="AC43" i="4"/>
  <c r="AB107" i="4"/>
  <c r="AB43" i="4"/>
  <c r="Z43" i="4"/>
  <c r="AA43" i="4"/>
  <c r="Y43" i="4"/>
  <c r="X43" i="4"/>
  <c r="W43" i="4"/>
  <c r="U43" i="4"/>
  <c r="T43" i="4"/>
  <c r="S43" i="4"/>
  <c r="D263" i="5" l="1"/>
  <c r="F227" i="5"/>
  <c r="E263" i="5" s="1"/>
  <c r="AH43" i="5"/>
  <c r="V83" i="5"/>
  <c r="V85" i="5" s="1"/>
  <c r="AG85" i="5"/>
  <c r="H83" i="5"/>
  <c r="H85" i="5" s="1"/>
  <c r="AG6" i="5"/>
  <c r="AG83" i="5"/>
  <c r="Z93" i="5"/>
  <c r="B228" i="5"/>
  <c r="S93" i="5"/>
  <c r="J222" i="7"/>
  <c r="G263" i="7"/>
  <c r="I227" i="7"/>
  <c r="AF83" i="5"/>
  <c r="AF85" i="5" s="1"/>
  <c r="AE83" i="5"/>
  <c r="AE85" i="5" s="1"/>
  <c r="AW242" i="5" s="1"/>
  <c r="AD83" i="5"/>
  <c r="AD85" i="5" s="1"/>
  <c r="AC93" i="5"/>
  <c r="AC94" i="5" s="1"/>
  <c r="AA93" i="5"/>
  <c r="AA83" i="5"/>
  <c r="AA85" i="5" s="1"/>
  <c r="Z94" i="5"/>
  <c r="X83" i="5"/>
  <c r="X85" i="5" s="1"/>
  <c r="Y93" i="5"/>
  <c r="W83" i="5"/>
  <c r="W85" i="5" s="1"/>
  <c r="AO242" i="5" s="1"/>
  <c r="U93" i="5"/>
  <c r="U94" i="5" s="1"/>
  <c r="S83" i="5"/>
  <c r="S85" i="5" s="1"/>
  <c r="R93" i="5"/>
  <c r="R94" i="5"/>
  <c r="Q93" i="5"/>
  <c r="P83" i="5"/>
  <c r="P85" i="5" s="1"/>
  <c r="O83" i="5"/>
  <c r="O85" i="5" s="1"/>
  <c r="AG242" i="5" s="1"/>
  <c r="N83" i="5"/>
  <c r="N85" i="5" s="1"/>
  <c r="M93" i="5"/>
  <c r="M94" i="5" s="1"/>
  <c r="K93" i="5"/>
  <c r="K83" i="5"/>
  <c r="K85" i="5" s="1"/>
  <c r="J93" i="5"/>
  <c r="J94" i="5" s="1"/>
  <c r="I93" i="5"/>
  <c r="G83" i="5"/>
  <c r="G85" i="5" s="1"/>
  <c r="F83" i="5"/>
  <c r="F85" i="5" s="1"/>
  <c r="X242" i="5" s="1"/>
  <c r="E93" i="5"/>
  <c r="E94" i="5" s="1"/>
  <c r="C93" i="5"/>
  <c r="C94" i="5" s="1"/>
  <c r="AI62" i="5"/>
  <c r="B93" i="5"/>
  <c r="B83" i="5"/>
  <c r="B85" i="5" s="1"/>
  <c r="AI78" i="5"/>
  <c r="G93" i="5"/>
  <c r="G94" i="5" s="1"/>
  <c r="O93" i="5"/>
  <c r="O94" i="5" s="1"/>
  <c r="W93" i="5"/>
  <c r="W94" i="5" s="1"/>
  <c r="AE93" i="5"/>
  <c r="AE94" i="5" s="1"/>
  <c r="AI90" i="5"/>
  <c r="K94" i="5"/>
  <c r="S94" i="5"/>
  <c r="AA94" i="5"/>
  <c r="AH89" i="5"/>
  <c r="AI88" i="5"/>
  <c r="AH88" i="5"/>
  <c r="AH87" i="5"/>
  <c r="L93" i="5"/>
  <c r="L94" i="5" s="1"/>
  <c r="T93" i="5"/>
  <c r="T94" i="5" s="1"/>
  <c r="AB93" i="5"/>
  <c r="AB94" i="5" s="1"/>
  <c r="H93" i="5"/>
  <c r="P93" i="5"/>
  <c r="P86" i="5" s="1"/>
  <c r="X93" i="5"/>
  <c r="X94" i="5" s="1"/>
  <c r="AF93" i="5"/>
  <c r="F93" i="5"/>
  <c r="F94" i="5" s="1"/>
  <c r="N93" i="5"/>
  <c r="N86" i="5" s="1"/>
  <c r="V93" i="5"/>
  <c r="AD93" i="5"/>
  <c r="AD86" i="5" s="1"/>
  <c r="AH90" i="5"/>
  <c r="AI91" i="5"/>
  <c r="I83" i="5"/>
  <c r="I85" i="5" s="1"/>
  <c r="I7" i="5" s="1"/>
  <c r="Q83" i="5"/>
  <c r="Q85" i="5" s="1"/>
  <c r="Q7" i="5" s="1"/>
  <c r="Y83" i="5"/>
  <c r="Y85" i="5" s="1"/>
  <c r="Y86" i="5" s="1"/>
  <c r="AI66" i="5"/>
  <c r="J83" i="5"/>
  <c r="J85" i="5" s="1"/>
  <c r="R83" i="5"/>
  <c r="R85" i="5" s="1"/>
  <c r="R86" i="5" s="1"/>
  <c r="Z83" i="5"/>
  <c r="Z85" i="5" s="1"/>
  <c r="Z86" i="5" s="1"/>
  <c r="D83" i="5"/>
  <c r="D85" i="5" s="1"/>
  <c r="D7" i="5" s="1"/>
  <c r="L83" i="5"/>
  <c r="L85" i="5" s="1"/>
  <c r="L86" i="5" s="1"/>
  <c r="T83" i="5"/>
  <c r="T85" i="5" s="1"/>
  <c r="T7" i="5" s="1"/>
  <c r="AB83" i="5"/>
  <c r="AB85" i="5" s="1"/>
  <c r="AT242" i="5" s="1"/>
  <c r="AH48" i="5"/>
  <c r="AI48" i="5"/>
  <c r="E83" i="5"/>
  <c r="E85" i="5" s="1"/>
  <c r="W242" i="5" s="1"/>
  <c r="M83" i="5"/>
  <c r="M85" i="5" s="1"/>
  <c r="U83" i="5"/>
  <c r="U85" i="5" s="1"/>
  <c r="U7" i="5" s="1"/>
  <c r="AC83" i="5"/>
  <c r="AC85" i="5" s="1"/>
  <c r="AU242" i="5" s="1"/>
  <c r="AI44" i="5"/>
  <c r="H4" i="5"/>
  <c r="Y242" i="5"/>
  <c r="G86" i="5"/>
  <c r="G7" i="5"/>
  <c r="AE7" i="5"/>
  <c r="H7" i="5"/>
  <c r="H86" i="5"/>
  <c r="Z242" i="5"/>
  <c r="P7" i="5"/>
  <c r="AH242" i="5"/>
  <c r="AF7" i="5"/>
  <c r="AX242" i="5"/>
  <c r="K7" i="5"/>
  <c r="AC242" i="5"/>
  <c r="K86" i="5"/>
  <c r="S7" i="5"/>
  <c r="AK242" i="5"/>
  <c r="S86" i="5"/>
  <c r="AA7" i="5"/>
  <c r="AS242" i="5"/>
  <c r="AA86" i="5"/>
  <c r="AF242" i="5"/>
  <c r="N7" i="5"/>
  <c r="AV242" i="5"/>
  <c r="AD7" i="5"/>
  <c r="I94" i="5"/>
  <c r="Q94" i="5"/>
  <c r="Y94" i="5"/>
  <c r="AI89" i="5"/>
  <c r="AC5" i="5"/>
  <c r="H5" i="5"/>
  <c r="P5" i="5"/>
  <c r="X5" i="5"/>
  <c r="AI43" i="5"/>
  <c r="AI87" i="5"/>
  <c r="B94" i="5"/>
  <c r="D239" i="5"/>
  <c r="E5" i="5"/>
  <c r="AH44" i="5"/>
  <c r="D93" i="5"/>
  <c r="D94" i="5" s="1"/>
  <c r="AH91" i="5"/>
  <c r="AH107" i="5"/>
  <c r="E222" i="5"/>
  <c r="G227" i="5"/>
  <c r="C83" i="5"/>
  <c r="C85" i="5" s="1"/>
  <c r="AH62" i="5"/>
  <c r="AH66" i="5"/>
  <c r="AH78" i="5"/>
  <c r="H94" i="5"/>
  <c r="AF94" i="5"/>
  <c r="D104" i="5"/>
  <c r="R107" i="4"/>
  <c r="R43" i="4"/>
  <c r="R44" i="4"/>
  <c r="V7" i="5" l="1"/>
  <c r="AN242" i="5"/>
  <c r="AE86" i="5"/>
  <c r="F7" i="5"/>
  <c r="X86" i="5"/>
  <c r="W7" i="5"/>
  <c r="W86" i="5"/>
  <c r="V86" i="5"/>
  <c r="O7" i="5"/>
  <c r="AF86" i="5"/>
  <c r="H263" i="7"/>
  <c r="J227" i="7"/>
  <c r="K222" i="7"/>
  <c r="J104" i="7"/>
  <c r="I104" i="7"/>
  <c r="AD94" i="5"/>
  <c r="AI94" i="5" s="1"/>
  <c r="AC7" i="5"/>
  <c r="AR242" i="5"/>
  <c r="X7" i="5"/>
  <c r="AP242" i="5"/>
  <c r="V94" i="5"/>
  <c r="AJ242" i="5"/>
  <c r="R7" i="5"/>
  <c r="Q86" i="5"/>
  <c r="P94" i="5"/>
  <c r="O86" i="5"/>
  <c r="N94" i="5"/>
  <c r="AD242" i="5"/>
  <c r="L7" i="5"/>
  <c r="J86" i="5"/>
  <c r="AB242" i="5"/>
  <c r="J7" i="5"/>
  <c r="AA242" i="5"/>
  <c r="I86" i="5"/>
  <c r="C237" i="5"/>
  <c r="F86" i="5"/>
  <c r="AQ242" i="5"/>
  <c r="Y7" i="5"/>
  <c r="AI242" i="5"/>
  <c r="AE242" i="5"/>
  <c r="M86" i="5"/>
  <c r="B237" i="5"/>
  <c r="M7" i="5"/>
  <c r="Z7" i="5"/>
  <c r="E86" i="5"/>
  <c r="E7" i="5"/>
  <c r="AM242" i="5"/>
  <c r="V242" i="5"/>
  <c r="U86" i="5"/>
  <c r="AB7" i="5"/>
  <c r="T86" i="5"/>
  <c r="AL242" i="5"/>
  <c r="AB86" i="5"/>
  <c r="AC86" i="5"/>
  <c r="U242" i="5"/>
  <c r="C7" i="5"/>
  <c r="C86" i="5"/>
  <c r="D86" i="5"/>
  <c r="E104" i="5"/>
  <c r="F222" i="5"/>
  <c r="E228" i="5"/>
  <c r="AH93" i="5"/>
  <c r="B86" i="5"/>
  <c r="AI85" i="5"/>
  <c r="AH85" i="5"/>
  <c r="B7" i="5"/>
  <c r="T242" i="5"/>
  <c r="H227" i="5"/>
  <c r="F263" i="5"/>
  <c r="AI93" i="5"/>
  <c r="AH83" i="5"/>
  <c r="AI83" i="5"/>
  <c r="Q107" i="4"/>
  <c r="Q43" i="4"/>
  <c r="P107" i="4"/>
  <c r="P43" i="4"/>
  <c r="O107" i="4"/>
  <c r="O43" i="4"/>
  <c r="N107" i="4"/>
  <c r="N43" i="4"/>
  <c r="AH94" i="5" l="1"/>
  <c r="L222" i="7"/>
  <c r="K227" i="7"/>
  <c r="K104" i="7" s="1"/>
  <c r="I263" i="7"/>
  <c r="K6" i="5"/>
  <c r="A7" i="5"/>
  <c r="G263" i="5"/>
  <c r="I227" i="5"/>
  <c r="F104" i="5"/>
  <c r="F228" i="5"/>
  <c r="G222" i="5"/>
  <c r="AI86" i="5"/>
  <c r="AH86" i="5"/>
  <c r="L104" i="7" l="1"/>
  <c r="J263" i="7"/>
  <c r="L227" i="7"/>
  <c r="M222" i="7"/>
  <c r="H222" i="5"/>
  <c r="G228" i="5"/>
  <c r="G104" i="5"/>
  <c r="H263" i="5"/>
  <c r="J227" i="5"/>
  <c r="K263" i="7" l="1"/>
  <c r="M227" i="7"/>
  <c r="M104" i="7"/>
  <c r="N222" i="7"/>
  <c r="K227" i="5"/>
  <c r="I263" i="5"/>
  <c r="I222" i="5"/>
  <c r="H228" i="5"/>
  <c r="H104" i="5"/>
  <c r="L263" i="7" l="1"/>
  <c r="N227" i="7"/>
  <c r="O222" i="7"/>
  <c r="N104" i="7"/>
  <c r="I228" i="5"/>
  <c r="J222" i="5"/>
  <c r="I104" i="5"/>
  <c r="J263" i="5"/>
  <c r="L227" i="5"/>
  <c r="O104" i="7" l="1"/>
  <c r="P222" i="7"/>
  <c r="M263" i="7"/>
  <c r="O227" i="7"/>
  <c r="K263" i="5"/>
  <c r="M227" i="5"/>
  <c r="J104" i="5"/>
  <c r="K222" i="5"/>
  <c r="J228" i="5"/>
  <c r="N263" i="7" l="1"/>
  <c r="P227" i="7"/>
  <c r="O263" i="7" s="1"/>
  <c r="P104" i="7"/>
  <c r="K228" i="5"/>
  <c r="K104" i="5"/>
  <c r="L222" i="5"/>
  <c r="L263" i="5"/>
  <c r="N227" i="5"/>
  <c r="AI104" i="7" l="1"/>
  <c r="AH104" i="7"/>
  <c r="M263" i="5"/>
  <c r="O227" i="5"/>
  <c r="L228" i="5"/>
  <c r="L104" i="5"/>
  <c r="M222" i="5"/>
  <c r="N263" i="5" l="1"/>
  <c r="P227" i="5"/>
  <c r="O263" i="5" s="1"/>
  <c r="M104" i="5"/>
  <c r="N222" i="5"/>
  <c r="M228" i="5"/>
  <c r="N104" i="5" l="1"/>
  <c r="O222" i="5"/>
  <c r="N228" i="5"/>
  <c r="P222" i="5" l="1"/>
  <c r="O228" i="5"/>
  <c r="O104" i="5"/>
  <c r="P228" i="5" l="1"/>
  <c r="P104" i="5"/>
  <c r="AH104" i="5" l="1"/>
  <c r="AI104" i="5"/>
  <c r="M107" i="4" l="1"/>
  <c r="M43" i="4"/>
  <c r="L43" i="4"/>
  <c r="D43" i="4"/>
  <c r="AH43" i="4" s="1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A267" i="4"/>
  <c r="AF266" i="4"/>
  <c r="AE266" i="4"/>
  <c r="AD266" i="4"/>
  <c r="AC266" i="4"/>
  <c r="AB266" i="4"/>
  <c r="AA266" i="4"/>
  <c r="Z266" i="4"/>
  <c r="Y266" i="4"/>
  <c r="X266" i="4"/>
  <c r="W266" i="4"/>
  <c r="V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A266" i="4"/>
  <c r="AF265" i="4"/>
  <c r="AE265" i="4"/>
  <c r="AD265" i="4"/>
  <c r="AC265" i="4"/>
  <c r="AB265" i="4"/>
  <c r="AA265" i="4"/>
  <c r="Z265" i="4"/>
  <c r="Y265" i="4"/>
  <c r="X265" i="4"/>
  <c r="W265" i="4"/>
  <c r="V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A265" i="4"/>
  <c r="AF264" i="4"/>
  <c r="AE264" i="4"/>
  <c r="AD264" i="4"/>
  <c r="AC264" i="4"/>
  <c r="AB264" i="4"/>
  <c r="AA264" i="4"/>
  <c r="Z26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A264" i="4"/>
  <c r="AE263" i="4"/>
  <c r="AD263" i="4"/>
  <c r="AC263" i="4"/>
  <c r="AB263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B263" i="4"/>
  <c r="S238" i="4"/>
  <c r="AG228" i="4"/>
  <c r="AG61" i="4" s="1"/>
  <c r="AG62" i="4" s="1"/>
  <c r="AG3" i="4" s="1"/>
  <c r="AG6" i="4" s="1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R228" i="4"/>
  <c r="Q228" i="4"/>
  <c r="C228" i="4"/>
  <c r="D227" i="4"/>
  <c r="E227" i="4" s="1"/>
  <c r="B227" i="4"/>
  <c r="AF263" i="4" s="1"/>
  <c r="D226" i="4"/>
  <c r="E226" i="4" s="1"/>
  <c r="F226" i="4" s="1"/>
  <c r="G226" i="4" s="1"/>
  <c r="H226" i="4" s="1"/>
  <c r="I226" i="4" s="1"/>
  <c r="J226" i="4" s="1"/>
  <c r="K226" i="4" s="1"/>
  <c r="L226" i="4" s="1"/>
  <c r="M226" i="4" s="1"/>
  <c r="N226" i="4" s="1"/>
  <c r="O226" i="4" s="1"/>
  <c r="P226" i="4" s="1"/>
  <c r="B226" i="4"/>
  <c r="D225" i="4"/>
  <c r="E225" i="4" s="1"/>
  <c r="F225" i="4" s="1"/>
  <c r="G225" i="4" s="1"/>
  <c r="H225" i="4" s="1"/>
  <c r="I225" i="4" s="1"/>
  <c r="J225" i="4" s="1"/>
  <c r="K225" i="4" s="1"/>
  <c r="L225" i="4" s="1"/>
  <c r="M225" i="4" s="1"/>
  <c r="N225" i="4" s="1"/>
  <c r="O225" i="4" s="1"/>
  <c r="P225" i="4" s="1"/>
  <c r="B225" i="4"/>
  <c r="E224" i="4"/>
  <c r="F224" i="4" s="1"/>
  <c r="G224" i="4" s="1"/>
  <c r="H224" i="4" s="1"/>
  <c r="I224" i="4" s="1"/>
  <c r="J224" i="4" s="1"/>
  <c r="K224" i="4" s="1"/>
  <c r="L224" i="4" s="1"/>
  <c r="M224" i="4" s="1"/>
  <c r="N224" i="4" s="1"/>
  <c r="O224" i="4" s="1"/>
  <c r="P224" i="4" s="1"/>
  <c r="D224" i="4"/>
  <c r="B224" i="4"/>
  <c r="D223" i="4"/>
  <c r="E223" i="4" s="1"/>
  <c r="F223" i="4" s="1"/>
  <c r="G223" i="4" s="1"/>
  <c r="H223" i="4" s="1"/>
  <c r="I223" i="4" s="1"/>
  <c r="J223" i="4" s="1"/>
  <c r="K223" i="4" s="1"/>
  <c r="L223" i="4" s="1"/>
  <c r="M223" i="4" s="1"/>
  <c r="N223" i="4" s="1"/>
  <c r="O223" i="4" s="1"/>
  <c r="P223" i="4" s="1"/>
  <c r="B223" i="4"/>
  <c r="F222" i="4"/>
  <c r="G222" i="4" s="1"/>
  <c r="E222" i="4"/>
  <c r="D222" i="4"/>
  <c r="B222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AI113" i="4"/>
  <c r="AH113" i="4"/>
  <c r="AI112" i="4"/>
  <c r="AH112" i="4"/>
  <c r="AI111" i="4"/>
  <c r="AH111" i="4"/>
  <c r="AI110" i="4"/>
  <c r="AH110" i="4"/>
  <c r="AI109" i="4"/>
  <c r="AH109" i="4"/>
  <c r="AI108" i="4"/>
  <c r="AH108" i="4"/>
  <c r="AA104" i="4"/>
  <c r="V104" i="4"/>
  <c r="T104" i="4"/>
  <c r="S104" i="4"/>
  <c r="AH107" i="4"/>
  <c r="AI106" i="4"/>
  <c r="AH106" i="4"/>
  <c r="AI105" i="4"/>
  <c r="AH105" i="4"/>
  <c r="AF104" i="4"/>
  <c r="AE104" i="4"/>
  <c r="AD104" i="4"/>
  <c r="AC104" i="4"/>
  <c r="AB104" i="4"/>
  <c r="Z104" i="4"/>
  <c r="Y104" i="4"/>
  <c r="X104" i="4"/>
  <c r="W104" i="4"/>
  <c r="U104" i="4"/>
  <c r="R104" i="4"/>
  <c r="Q104" i="4"/>
  <c r="D104" i="4"/>
  <c r="C104" i="4"/>
  <c r="AI103" i="4"/>
  <c r="AH103" i="4"/>
  <c r="AI102" i="4"/>
  <c r="AH102" i="4"/>
  <c r="AI101" i="4"/>
  <c r="AH101" i="4"/>
  <c r="AI100" i="4"/>
  <c r="AH100" i="4"/>
  <c r="AI99" i="4"/>
  <c r="AH99" i="4"/>
  <c r="AI98" i="4"/>
  <c r="AH98" i="4"/>
  <c r="AI97" i="4"/>
  <c r="AH97" i="4"/>
  <c r="AI96" i="4"/>
  <c r="AH96" i="4"/>
  <c r="AI95" i="4"/>
  <c r="AH95" i="4"/>
  <c r="AI92" i="4"/>
  <c r="AH92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F87" i="4"/>
  <c r="AE87" i="4"/>
  <c r="AE93" i="4" s="1"/>
  <c r="AD87" i="4"/>
  <c r="AC87" i="4"/>
  <c r="AB87" i="4"/>
  <c r="AA87" i="4"/>
  <c r="Z87" i="4"/>
  <c r="Y87" i="4"/>
  <c r="X87" i="4"/>
  <c r="W87" i="4"/>
  <c r="W93" i="4" s="1"/>
  <c r="V87" i="4"/>
  <c r="U87" i="4"/>
  <c r="T87" i="4"/>
  <c r="S87" i="4"/>
  <c r="R87" i="4"/>
  <c r="Q87" i="4"/>
  <c r="P87" i="4"/>
  <c r="O87" i="4"/>
  <c r="O93" i="4" s="1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I84" i="4"/>
  <c r="AH84" i="4"/>
  <c r="AI82" i="4"/>
  <c r="AH82" i="4"/>
  <c r="AG82" i="4"/>
  <c r="AI81" i="4"/>
  <c r="AH81" i="4"/>
  <c r="AI80" i="4"/>
  <c r="AH80" i="4"/>
  <c r="AI79" i="4"/>
  <c r="AH79" i="4"/>
  <c r="AG78" i="4"/>
  <c r="AF78" i="4"/>
  <c r="AE5" i="4" s="1"/>
  <c r="AE78" i="4"/>
  <c r="AD5" i="4" s="1"/>
  <c r="AD78" i="4"/>
  <c r="AC5" i="4" s="1"/>
  <c r="AC78" i="4"/>
  <c r="AB5" i="4" s="1"/>
  <c r="AB78" i="4"/>
  <c r="AA5" i="4" s="1"/>
  <c r="AA78" i="4"/>
  <c r="Z5" i="4" s="1"/>
  <c r="Z78" i="4"/>
  <c r="Y5" i="4" s="1"/>
  <c r="Y78" i="4"/>
  <c r="X5" i="4" s="1"/>
  <c r="X78" i="4"/>
  <c r="W5" i="4" s="1"/>
  <c r="W78" i="4"/>
  <c r="V5" i="4" s="1"/>
  <c r="V78" i="4"/>
  <c r="U5" i="4" s="1"/>
  <c r="U78" i="4"/>
  <c r="T78" i="4"/>
  <c r="S5" i="4" s="1"/>
  <c r="S78" i="4"/>
  <c r="R5" i="4" s="1"/>
  <c r="R78" i="4"/>
  <c r="Q5" i="4" s="1"/>
  <c r="Q78" i="4"/>
  <c r="P5" i="4" s="1"/>
  <c r="P78" i="4"/>
  <c r="O78" i="4"/>
  <c r="N5" i="4" s="1"/>
  <c r="N78" i="4"/>
  <c r="M5" i="4" s="1"/>
  <c r="M78" i="4"/>
  <c r="L5" i="4" s="1"/>
  <c r="L78" i="4"/>
  <c r="K5" i="4" s="1"/>
  <c r="K78" i="4"/>
  <c r="J5" i="4" s="1"/>
  <c r="J78" i="4"/>
  <c r="I5" i="4" s="1"/>
  <c r="I78" i="4"/>
  <c r="H5" i="4" s="1"/>
  <c r="H78" i="4"/>
  <c r="G5" i="4" s="1"/>
  <c r="G78" i="4"/>
  <c r="F5" i="4" s="1"/>
  <c r="F78" i="4"/>
  <c r="E5" i="4" s="1"/>
  <c r="E78" i="4"/>
  <c r="D5" i="4" s="1"/>
  <c r="D78" i="4"/>
  <c r="C78" i="4"/>
  <c r="B5" i="4" s="1"/>
  <c r="B78" i="4"/>
  <c r="AF5" i="4" s="1"/>
  <c r="AI77" i="4"/>
  <c r="AH77" i="4"/>
  <c r="AI76" i="4"/>
  <c r="AH76" i="4"/>
  <c r="AI75" i="4"/>
  <c r="AH75" i="4"/>
  <c r="AI74" i="4"/>
  <c r="AH74" i="4"/>
  <c r="AI73" i="4"/>
  <c r="AH73" i="4"/>
  <c r="AI72" i="4"/>
  <c r="AH72" i="4"/>
  <c r="AI71" i="4"/>
  <c r="AH71" i="4"/>
  <c r="AI70" i="4"/>
  <c r="AH70" i="4"/>
  <c r="AI69" i="4"/>
  <c r="AH69" i="4"/>
  <c r="AI68" i="4"/>
  <c r="AH68" i="4"/>
  <c r="AI67" i="4"/>
  <c r="AH67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I65" i="4"/>
  <c r="AH65" i="4"/>
  <c r="AI64" i="4"/>
  <c r="AH64" i="4"/>
  <c r="AI63" i="4"/>
  <c r="AH63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I61" i="4"/>
  <c r="AH61" i="4"/>
  <c r="AI60" i="4"/>
  <c r="AH60" i="4"/>
  <c r="AI59" i="4"/>
  <c r="AH59" i="4"/>
  <c r="AI58" i="4"/>
  <c r="AH58" i="4"/>
  <c r="AI57" i="4"/>
  <c r="AH57" i="4"/>
  <c r="AI56" i="4"/>
  <c r="AH56" i="4"/>
  <c r="AI55" i="4"/>
  <c r="AH55" i="4"/>
  <c r="AI54" i="4"/>
  <c r="AH54" i="4"/>
  <c r="AI53" i="4"/>
  <c r="AH53" i="4"/>
  <c r="AI52" i="4"/>
  <c r="AH52" i="4"/>
  <c r="AI51" i="4"/>
  <c r="AH51" i="4"/>
  <c r="AI50" i="4"/>
  <c r="AH50" i="4"/>
  <c r="AI49" i="4"/>
  <c r="AH49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I47" i="4"/>
  <c r="AH47" i="4"/>
  <c r="AI46" i="4"/>
  <c r="AH46" i="4"/>
  <c r="AI45" i="4"/>
  <c r="AH45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O5" i="4"/>
  <c r="C5" i="4"/>
  <c r="AG4" i="4"/>
  <c r="K4" i="4"/>
  <c r="B4" i="4"/>
  <c r="S239" i="4" s="1"/>
  <c r="AG2" i="4"/>
  <c r="AF43" i="1"/>
  <c r="AE43" i="1"/>
  <c r="AA107" i="1"/>
  <c r="AA43" i="1"/>
  <c r="Z107" i="1"/>
  <c r="Z43" i="1"/>
  <c r="Y43" i="1"/>
  <c r="W107" i="1"/>
  <c r="W43" i="1"/>
  <c r="V107" i="1"/>
  <c r="V43" i="1"/>
  <c r="E4" i="4"/>
  <c r="B228" i="4" l="1"/>
  <c r="C263" i="4"/>
  <c r="D228" i="4"/>
  <c r="AC93" i="4"/>
  <c r="AB83" i="4"/>
  <c r="AB85" i="4" s="1"/>
  <c r="Y83" i="4"/>
  <c r="Y85" i="4" s="1"/>
  <c r="U93" i="4"/>
  <c r="U94" i="4" s="1"/>
  <c r="T83" i="4"/>
  <c r="T85" i="4" s="1"/>
  <c r="T7" i="4" s="1"/>
  <c r="Q83" i="4"/>
  <c r="Q85" i="4" s="1"/>
  <c r="AI242" i="4" s="1"/>
  <c r="M93" i="4"/>
  <c r="L83" i="4"/>
  <c r="L85" i="4" s="1"/>
  <c r="I83" i="4"/>
  <c r="I85" i="4" s="1"/>
  <c r="G93" i="4"/>
  <c r="G94" i="4" s="1"/>
  <c r="AH88" i="4"/>
  <c r="E93" i="4"/>
  <c r="E94" i="4" s="1"/>
  <c r="D83" i="4"/>
  <c r="D85" i="4" s="1"/>
  <c r="D86" i="4" s="1"/>
  <c r="B83" i="4"/>
  <c r="B85" i="4" s="1"/>
  <c r="AI48" i="4"/>
  <c r="AI87" i="4"/>
  <c r="I93" i="4"/>
  <c r="I94" i="4" s="1"/>
  <c r="Q93" i="4"/>
  <c r="Q94" i="4" s="1"/>
  <c r="Y93" i="4"/>
  <c r="Y94" i="4" s="1"/>
  <c r="AI88" i="4"/>
  <c r="C93" i="4"/>
  <c r="C94" i="4" s="1"/>
  <c r="K93" i="4"/>
  <c r="K94" i="4" s="1"/>
  <c r="S93" i="4"/>
  <c r="S94" i="4" s="1"/>
  <c r="AA93" i="4"/>
  <c r="AA94" i="4" s="1"/>
  <c r="O94" i="4"/>
  <c r="W94" i="4"/>
  <c r="AE94" i="4"/>
  <c r="D93" i="4"/>
  <c r="D94" i="4" s="1"/>
  <c r="L93" i="4"/>
  <c r="L94" i="4" s="1"/>
  <c r="T93" i="4"/>
  <c r="T94" i="4" s="1"/>
  <c r="AB93" i="4"/>
  <c r="AB94" i="4" s="1"/>
  <c r="F93" i="4"/>
  <c r="N93" i="4"/>
  <c r="N94" i="4" s="1"/>
  <c r="V93" i="4"/>
  <c r="AD93" i="4"/>
  <c r="AD94" i="4" s="1"/>
  <c r="E83" i="4"/>
  <c r="E85" i="4" s="1"/>
  <c r="M83" i="4"/>
  <c r="M85" i="4" s="1"/>
  <c r="M7" i="4" s="1"/>
  <c r="U83" i="4"/>
  <c r="U85" i="4" s="1"/>
  <c r="U86" i="4" s="1"/>
  <c r="AC83" i="4"/>
  <c r="AC85" i="4" s="1"/>
  <c r="AC86" i="4" s="1"/>
  <c r="AH90" i="4"/>
  <c r="AI91" i="4"/>
  <c r="AC94" i="4"/>
  <c r="AI90" i="4"/>
  <c r="AH91" i="4"/>
  <c r="M94" i="4"/>
  <c r="T5" i="4"/>
  <c r="H93" i="4"/>
  <c r="P93" i="4"/>
  <c r="P94" i="4" s="1"/>
  <c r="X93" i="4"/>
  <c r="AF93" i="4"/>
  <c r="AH89" i="4"/>
  <c r="J93" i="4"/>
  <c r="R93" i="4"/>
  <c r="R94" i="4" s="1"/>
  <c r="Z93" i="4"/>
  <c r="Z94" i="4" s="1"/>
  <c r="H83" i="4"/>
  <c r="H85" i="4" s="1"/>
  <c r="H7" i="4" s="1"/>
  <c r="P83" i="4"/>
  <c r="P85" i="4" s="1"/>
  <c r="P86" i="4" s="1"/>
  <c r="X83" i="4"/>
  <c r="X85" i="4" s="1"/>
  <c r="AP242" i="4" s="1"/>
  <c r="AF83" i="4"/>
  <c r="AF85" i="4" s="1"/>
  <c r="AF86" i="4" s="1"/>
  <c r="AH66" i="4"/>
  <c r="AI66" i="4"/>
  <c r="J83" i="4"/>
  <c r="J85" i="4" s="1"/>
  <c r="J86" i="4" s="1"/>
  <c r="R83" i="4"/>
  <c r="R85" i="4" s="1"/>
  <c r="AJ242" i="4" s="1"/>
  <c r="Z83" i="4"/>
  <c r="Z85" i="4" s="1"/>
  <c r="Z86" i="4" s="1"/>
  <c r="AH62" i="4"/>
  <c r="AI62" i="4"/>
  <c r="G83" i="4"/>
  <c r="G85" i="4" s="1"/>
  <c r="G7" i="4" s="1"/>
  <c r="O83" i="4"/>
  <c r="O85" i="4" s="1"/>
  <c r="AG242" i="4" s="1"/>
  <c r="W83" i="4"/>
  <c r="W85" i="4" s="1"/>
  <c r="W86" i="4" s="1"/>
  <c r="AE83" i="4"/>
  <c r="AE85" i="4" s="1"/>
  <c r="AE86" i="4" s="1"/>
  <c r="AH48" i="4"/>
  <c r="K83" i="4"/>
  <c r="K85" i="4" s="1"/>
  <c r="S83" i="4"/>
  <c r="S85" i="4" s="1"/>
  <c r="S7" i="4" s="1"/>
  <c r="AA83" i="4"/>
  <c r="AA85" i="4" s="1"/>
  <c r="AS242" i="4" s="1"/>
  <c r="F83" i="4"/>
  <c r="F85" i="4" s="1"/>
  <c r="F7" i="4" s="1"/>
  <c r="N83" i="4"/>
  <c r="N85" i="4" s="1"/>
  <c r="N7" i="4" s="1"/>
  <c r="V83" i="4"/>
  <c r="V85" i="4" s="1"/>
  <c r="AN242" i="4" s="1"/>
  <c r="AD83" i="4"/>
  <c r="AD85" i="4" s="1"/>
  <c r="AD7" i="4" s="1"/>
  <c r="AI43" i="4"/>
  <c r="AI44" i="4"/>
  <c r="H4" i="4"/>
  <c r="D263" i="4"/>
  <c r="E104" i="4"/>
  <c r="F227" i="4"/>
  <c r="Y86" i="4"/>
  <c r="AQ242" i="4"/>
  <c r="Y7" i="4"/>
  <c r="Q7" i="4"/>
  <c r="AG83" i="4"/>
  <c r="E228" i="4"/>
  <c r="H222" i="4"/>
  <c r="H94" i="4"/>
  <c r="X94" i="4"/>
  <c r="AF94" i="4"/>
  <c r="AG85" i="4"/>
  <c r="AD242" i="4"/>
  <c r="L7" i="4"/>
  <c r="J94" i="4"/>
  <c r="B104" i="4"/>
  <c r="D239" i="4"/>
  <c r="C83" i="4"/>
  <c r="C85" i="4" s="1"/>
  <c r="AI89" i="4"/>
  <c r="F94" i="4"/>
  <c r="V94" i="4"/>
  <c r="F228" i="4"/>
  <c r="AH78" i="4"/>
  <c r="AI78" i="4"/>
  <c r="AH87" i="4"/>
  <c r="B93" i="4"/>
  <c r="AI107" i="4"/>
  <c r="AH44" i="4"/>
  <c r="AL242" i="4" l="1"/>
  <c r="O86" i="4"/>
  <c r="E86" i="4"/>
  <c r="AF7" i="4"/>
  <c r="AX242" i="4"/>
  <c r="AD86" i="4"/>
  <c r="AU242" i="4"/>
  <c r="AC7" i="4"/>
  <c r="AB86" i="4"/>
  <c r="AB7" i="4"/>
  <c r="AT242" i="4"/>
  <c r="AA86" i="4"/>
  <c r="T86" i="4"/>
  <c r="U7" i="4"/>
  <c r="AM242" i="4"/>
  <c r="R86" i="4"/>
  <c r="R7" i="4"/>
  <c r="Q86" i="4"/>
  <c r="S86" i="4"/>
  <c r="X86" i="4"/>
  <c r="Z7" i="4"/>
  <c r="AR242" i="4"/>
  <c r="X7" i="4"/>
  <c r="P7" i="4"/>
  <c r="O7" i="4"/>
  <c r="AF242" i="4"/>
  <c r="L86" i="4"/>
  <c r="M86" i="4"/>
  <c r="AE242" i="4"/>
  <c r="K86" i="4"/>
  <c r="AC242" i="4"/>
  <c r="Z242" i="4"/>
  <c r="D7" i="4"/>
  <c r="I86" i="4"/>
  <c r="AA242" i="4"/>
  <c r="I7" i="4"/>
  <c r="H86" i="4"/>
  <c r="V242" i="4"/>
  <c r="E7" i="4"/>
  <c r="F86" i="4"/>
  <c r="W242" i="4"/>
  <c r="X242" i="4"/>
  <c r="K7" i="4"/>
  <c r="AH242" i="4"/>
  <c r="C237" i="4"/>
  <c r="AW242" i="4"/>
  <c r="B237" i="4"/>
  <c r="AB242" i="4"/>
  <c r="AE7" i="4"/>
  <c r="J7" i="4"/>
  <c r="AA7" i="4"/>
  <c r="AK242" i="4"/>
  <c r="AO242" i="4"/>
  <c r="W7" i="4"/>
  <c r="G86" i="4"/>
  <c r="Y242" i="4"/>
  <c r="AV242" i="4"/>
  <c r="V86" i="4"/>
  <c r="V7" i="4"/>
  <c r="N86" i="4"/>
  <c r="B86" i="4"/>
  <c r="AI85" i="4"/>
  <c r="T242" i="4"/>
  <c r="AH85" i="4"/>
  <c r="B7" i="4"/>
  <c r="AI93" i="4"/>
  <c r="AH93" i="4"/>
  <c r="AI83" i="4"/>
  <c r="I222" i="4"/>
  <c r="AH83" i="4"/>
  <c r="C86" i="4"/>
  <c r="U242" i="4"/>
  <c r="C7" i="4"/>
  <c r="E263" i="4"/>
  <c r="F104" i="4"/>
  <c r="G227" i="4"/>
  <c r="B94" i="4"/>
  <c r="K6" i="4" l="1"/>
  <c r="A7" i="4"/>
  <c r="AI94" i="4"/>
  <c r="AH94" i="4"/>
  <c r="J222" i="4"/>
  <c r="F263" i="4"/>
  <c r="H227" i="4"/>
  <c r="G228" i="4"/>
  <c r="G104" i="4"/>
  <c r="AI86" i="4"/>
  <c r="AH86" i="4"/>
  <c r="G263" i="4" l="1"/>
  <c r="I227" i="4"/>
  <c r="H104" i="4"/>
  <c r="H228" i="4"/>
  <c r="K222" i="4"/>
  <c r="L222" i="4" l="1"/>
  <c r="J227" i="4"/>
  <c r="H263" i="4"/>
  <c r="I104" i="4"/>
  <c r="I228" i="4"/>
  <c r="M222" i="4" l="1"/>
  <c r="K227" i="4"/>
  <c r="I263" i="4"/>
  <c r="J104" i="4"/>
  <c r="J228" i="4"/>
  <c r="N222" i="4" l="1"/>
  <c r="J263" i="4"/>
  <c r="L227" i="4"/>
  <c r="K228" i="4"/>
  <c r="K104" i="4"/>
  <c r="K263" i="4" l="1"/>
  <c r="M227" i="4"/>
  <c r="L104" i="4"/>
  <c r="L228" i="4"/>
  <c r="O222" i="4"/>
  <c r="P222" i="4" l="1"/>
  <c r="L263" i="4"/>
  <c r="N227" i="4"/>
  <c r="M104" i="4"/>
  <c r="M228" i="4"/>
  <c r="M263" i="4" l="1"/>
  <c r="O227" i="4"/>
  <c r="N104" i="4"/>
  <c r="N228" i="4"/>
  <c r="N263" i="4" l="1"/>
  <c r="P227" i="4"/>
  <c r="O104" i="4"/>
  <c r="O228" i="4"/>
  <c r="O263" i="4" l="1"/>
  <c r="P228" i="4"/>
  <c r="P104" i="4"/>
  <c r="AH104" i="4" l="1"/>
  <c r="AI104" i="4"/>
  <c r="U43" i="1" l="1"/>
  <c r="T107" i="1"/>
  <c r="T43" i="1"/>
  <c r="S107" i="1"/>
  <c r="S43" i="1"/>
  <c r="Q43" i="1"/>
  <c r="P43" i="1"/>
  <c r="O43" i="1"/>
  <c r="N43" i="1"/>
  <c r="B4" i="1"/>
  <c r="D239" i="1" s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B263" i="1"/>
  <c r="S23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C228" i="1"/>
  <c r="E227" i="1"/>
  <c r="D263" i="1" s="1"/>
  <c r="D227" i="1"/>
  <c r="C263" i="1" s="1"/>
  <c r="B227" i="1"/>
  <c r="AF263" i="1" s="1"/>
  <c r="D226" i="1"/>
  <c r="E226" i="1" s="1"/>
  <c r="F226" i="1" s="1"/>
  <c r="G226" i="1" s="1"/>
  <c r="H226" i="1" s="1"/>
  <c r="I226" i="1" s="1"/>
  <c r="J226" i="1" s="1"/>
  <c r="K226" i="1" s="1"/>
  <c r="L226" i="1" s="1"/>
  <c r="M226" i="1" s="1"/>
  <c r="N226" i="1" s="1"/>
  <c r="O226" i="1" s="1"/>
  <c r="P226" i="1" s="1"/>
  <c r="B226" i="1"/>
  <c r="D225" i="1"/>
  <c r="E225" i="1" s="1"/>
  <c r="F225" i="1" s="1"/>
  <c r="G225" i="1" s="1"/>
  <c r="H225" i="1" s="1"/>
  <c r="I225" i="1" s="1"/>
  <c r="J225" i="1" s="1"/>
  <c r="K225" i="1" s="1"/>
  <c r="L225" i="1" s="1"/>
  <c r="M225" i="1" s="1"/>
  <c r="N225" i="1" s="1"/>
  <c r="O225" i="1" s="1"/>
  <c r="P225" i="1" s="1"/>
  <c r="B225" i="1"/>
  <c r="E224" i="1"/>
  <c r="F224" i="1" s="1"/>
  <c r="G224" i="1" s="1"/>
  <c r="H224" i="1" s="1"/>
  <c r="I224" i="1" s="1"/>
  <c r="J224" i="1" s="1"/>
  <c r="K224" i="1" s="1"/>
  <c r="L224" i="1" s="1"/>
  <c r="M224" i="1" s="1"/>
  <c r="N224" i="1" s="1"/>
  <c r="O224" i="1" s="1"/>
  <c r="P224" i="1" s="1"/>
  <c r="D224" i="1"/>
  <c r="B224" i="1"/>
  <c r="D223" i="1"/>
  <c r="E223" i="1" s="1"/>
  <c r="F223" i="1" s="1"/>
  <c r="G223" i="1" s="1"/>
  <c r="H223" i="1" s="1"/>
  <c r="I223" i="1" s="1"/>
  <c r="J223" i="1" s="1"/>
  <c r="K223" i="1" s="1"/>
  <c r="L223" i="1" s="1"/>
  <c r="M223" i="1" s="1"/>
  <c r="N223" i="1" s="1"/>
  <c r="O223" i="1" s="1"/>
  <c r="P223" i="1" s="1"/>
  <c r="B223" i="1"/>
  <c r="E222" i="1"/>
  <c r="F222" i="1" s="1"/>
  <c r="D222" i="1"/>
  <c r="B222" i="1"/>
  <c r="B104" i="1" s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I113" i="1"/>
  <c r="AH113" i="1"/>
  <c r="AI112" i="1"/>
  <c r="AH112" i="1"/>
  <c r="AI111" i="1"/>
  <c r="AH111" i="1"/>
  <c r="AI110" i="1"/>
  <c r="AH110" i="1"/>
  <c r="AI109" i="1"/>
  <c r="AH109" i="1"/>
  <c r="AI108" i="1"/>
  <c r="AH108" i="1"/>
  <c r="L107" i="1"/>
  <c r="K107" i="1"/>
  <c r="J107" i="1"/>
  <c r="I107" i="1"/>
  <c r="H107" i="1"/>
  <c r="G107" i="1"/>
  <c r="F107" i="1"/>
  <c r="E107" i="1"/>
  <c r="AI106" i="1"/>
  <c r="AH106" i="1"/>
  <c r="AI105" i="1"/>
  <c r="AH105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D104" i="1"/>
  <c r="C104" i="1"/>
  <c r="AI103" i="1"/>
  <c r="AH103" i="1"/>
  <c r="AI102" i="1"/>
  <c r="AH102" i="1"/>
  <c r="AI101" i="1"/>
  <c r="AH101" i="1"/>
  <c r="AI100" i="1"/>
  <c r="AH100" i="1"/>
  <c r="AI99" i="1"/>
  <c r="AH99" i="1"/>
  <c r="AI98" i="1"/>
  <c r="AH98" i="1"/>
  <c r="AI97" i="1"/>
  <c r="AH97" i="1"/>
  <c r="AI96" i="1"/>
  <c r="AH96" i="1"/>
  <c r="AI95" i="1"/>
  <c r="AH95" i="1"/>
  <c r="AI92" i="1"/>
  <c r="AH92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M93" i="1" s="1"/>
  <c r="L87" i="1"/>
  <c r="K87" i="1"/>
  <c r="J87" i="1"/>
  <c r="I87" i="1"/>
  <c r="I93" i="1" s="1"/>
  <c r="H87" i="1"/>
  <c r="G87" i="1"/>
  <c r="F87" i="1"/>
  <c r="E87" i="1"/>
  <c r="E93" i="1" s="1"/>
  <c r="D87" i="1"/>
  <c r="C87" i="1"/>
  <c r="B87" i="1"/>
  <c r="AI84" i="1"/>
  <c r="AH84" i="1"/>
  <c r="AI82" i="1"/>
  <c r="AH82" i="1"/>
  <c r="AG82" i="1"/>
  <c r="AI81" i="1"/>
  <c r="AH81" i="1"/>
  <c r="AI80" i="1"/>
  <c r="AH80" i="1"/>
  <c r="AI79" i="1"/>
  <c r="AH79" i="1"/>
  <c r="AG78" i="1"/>
  <c r="AF78" i="1"/>
  <c r="AE5" i="1" s="1"/>
  <c r="AE78" i="1"/>
  <c r="AD5" i="1" s="1"/>
  <c r="AD78" i="1"/>
  <c r="AC5" i="1" s="1"/>
  <c r="AC78" i="1"/>
  <c r="AB5" i="1" s="1"/>
  <c r="AB78" i="1"/>
  <c r="AA78" i="1"/>
  <c r="Z78" i="1"/>
  <c r="Y78" i="1"/>
  <c r="X5" i="1" s="1"/>
  <c r="X78" i="1"/>
  <c r="W5" i="1" s="1"/>
  <c r="W78" i="1"/>
  <c r="V5" i="1" s="1"/>
  <c r="V78" i="1"/>
  <c r="U5" i="1" s="1"/>
  <c r="U78" i="1"/>
  <c r="T5" i="1" s="1"/>
  <c r="T78" i="1"/>
  <c r="S5" i="1" s="1"/>
  <c r="S78" i="1"/>
  <c r="R5" i="1" s="1"/>
  <c r="R78" i="1"/>
  <c r="Q78" i="1"/>
  <c r="P78" i="1"/>
  <c r="O5" i="1" s="1"/>
  <c r="O78" i="1"/>
  <c r="N5" i="1" s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I77" i="1"/>
  <c r="AH77" i="1"/>
  <c r="AI76" i="1"/>
  <c r="AH76" i="1"/>
  <c r="AI75" i="1"/>
  <c r="AH75" i="1"/>
  <c r="AI74" i="1"/>
  <c r="AH74" i="1"/>
  <c r="AI73" i="1"/>
  <c r="AH73" i="1"/>
  <c r="AI72" i="1"/>
  <c r="AH72" i="1"/>
  <c r="AI71" i="1"/>
  <c r="AH71" i="1"/>
  <c r="AI70" i="1"/>
  <c r="AH70" i="1"/>
  <c r="AI69" i="1"/>
  <c r="AH69" i="1"/>
  <c r="AI68" i="1"/>
  <c r="AH68" i="1"/>
  <c r="AI67" i="1"/>
  <c r="AH67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I65" i="1"/>
  <c r="AH65" i="1"/>
  <c r="AI64" i="1"/>
  <c r="AH64" i="1"/>
  <c r="AI63" i="1"/>
  <c r="AH63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I61" i="1"/>
  <c r="AH61" i="1"/>
  <c r="AG61" i="1"/>
  <c r="AG62" i="1" s="1"/>
  <c r="AG3" i="1" s="1"/>
  <c r="AI60" i="1"/>
  <c r="AH60" i="1"/>
  <c r="AI59" i="1"/>
  <c r="AH59" i="1"/>
  <c r="AI58" i="1"/>
  <c r="AH58" i="1"/>
  <c r="AI57" i="1"/>
  <c r="AH57" i="1"/>
  <c r="AI56" i="1"/>
  <c r="AH56" i="1"/>
  <c r="AI55" i="1"/>
  <c r="AH55" i="1"/>
  <c r="AI54" i="1"/>
  <c r="AH54" i="1"/>
  <c r="AI53" i="1"/>
  <c r="AH53" i="1"/>
  <c r="AI52" i="1"/>
  <c r="AH52" i="1"/>
  <c r="AI51" i="1"/>
  <c r="AH51" i="1"/>
  <c r="AI50" i="1"/>
  <c r="AH50" i="1"/>
  <c r="AI49" i="1"/>
  <c r="AH49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I47" i="1"/>
  <c r="AH47" i="1"/>
  <c r="AI46" i="1"/>
  <c r="AH46" i="1"/>
  <c r="AI45" i="1"/>
  <c r="AH45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L83" i="1" s="1"/>
  <c r="L85" i="1" s="1"/>
  <c r="K44" i="1"/>
  <c r="J44" i="1"/>
  <c r="J83" i="1" s="1"/>
  <c r="J85" i="1" s="1"/>
  <c r="I44" i="1"/>
  <c r="I83" i="1" s="1"/>
  <c r="I85" i="1" s="1"/>
  <c r="H44" i="1"/>
  <c r="G44" i="1"/>
  <c r="G83" i="1" s="1"/>
  <c r="G85" i="1" s="1"/>
  <c r="F44" i="1"/>
  <c r="E44" i="1"/>
  <c r="E83" i="1" s="1"/>
  <c r="E85" i="1" s="1"/>
  <c r="D44" i="1"/>
  <c r="D83" i="1" s="1"/>
  <c r="D85" i="1" s="1"/>
  <c r="C44" i="1"/>
  <c r="B44" i="1"/>
  <c r="M43" i="1"/>
  <c r="L43" i="1"/>
  <c r="K43" i="1"/>
  <c r="J43" i="1"/>
  <c r="I43" i="1"/>
  <c r="G43" i="1"/>
  <c r="AH43" i="1" s="1"/>
  <c r="AI42" i="1"/>
  <c r="AH42" i="1"/>
  <c r="AI41" i="1"/>
  <c r="AH41" i="1"/>
  <c r="AI40" i="1"/>
  <c r="AH40" i="1"/>
  <c r="AI39" i="1"/>
  <c r="AH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F5" i="1"/>
  <c r="AA5" i="1"/>
  <c r="K5" i="1"/>
  <c r="J5" i="1"/>
  <c r="H5" i="1"/>
  <c r="G5" i="1"/>
  <c r="F5" i="1"/>
  <c r="E5" i="1"/>
  <c r="D5" i="1"/>
  <c r="C5" i="1"/>
  <c r="B5" i="1"/>
  <c r="AG4" i="1"/>
  <c r="K4" i="1"/>
  <c r="AG2" i="1"/>
  <c r="E4" i="1"/>
  <c r="I94" i="1" l="1"/>
  <c r="F93" i="1"/>
  <c r="F83" i="1"/>
  <c r="F85" i="1" s="1"/>
  <c r="G93" i="1"/>
  <c r="D228" i="1"/>
  <c r="K94" i="1"/>
  <c r="H93" i="1"/>
  <c r="H94" i="1" s="1"/>
  <c r="AF93" i="1"/>
  <c r="AF94" i="1" s="1"/>
  <c r="H83" i="1"/>
  <c r="H85" i="1" s="1"/>
  <c r="AF83" i="1"/>
  <c r="AF85" i="1" s="1"/>
  <c r="D94" i="1"/>
  <c r="L94" i="1"/>
  <c r="AB94" i="1"/>
  <c r="AI107" i="1"/>
  <c r="AI43" i="1"/>
  <c r="AG83" i="1"/>
  <c r="E94" i="1"/>
  <c r="M94" i="1"/>
  <c r="J93" i="1"/>
  <c r="J94" i="1" s="1"/>
  <c r="R93" i="1"/>
  <c r="R94" i="1" s="1"/>
  <c r="C93" i="1"/>
  <c r="C86" i="1" s="1"/>
  <c r="K93" i="1"/>
  <c r="AA93" i="1"/>
  <c r="AA94" i="1" s="1"/>
  <c r="C83" i="1"/>
  <c r="C85" i="1" s="1"/>
  <c r="K83" i="1"/>
  <c r="K85" i="1" s="1"/>
  <c r="D93" i="1"/>
  <c r="L93" i="1"/>
  <c r="AB93" i="1"/>
  <c r="E104" i="1"/>
  <c r="AE93" i="1"/>
  <c r="AE94" i="1" s="1"/>
  <c r="AE83" i="1"/>
  <c r="AE85" i="1" s="1"/>
  <c r="AE7" i="1" s="1"/>
  <c r="AD93" i="1"/>
  <c r="AD83" i="1"/>
  <c r="AD85" i="1" s="1"/>
  <c r="AD7" i="1" s="1"/>
  <c r="AC93" i="1"/>
  <c r="AC94" i="1" s="1"/>
  <c r="AB83" i="1"/>
  <c r="AB85" i="1" s="1"/>
  <c r="AC83" i="1"/>
  <c r="AC85" i="1" s="1"/>
  <c r="AC7" i="1" s="1"/>
  <c r="Z5" i="1"/>
  <c r="AA83" i="1"/>
  <c r="AA85" i="1" s="1"/>
  <c r="AA7" i="1" s="1"/>
  <c r="Z93" i="1"/>
  <c r="Z94" i="1" s="1"/>
  <c r="Z83" i="1"/>
  <c r="Z85" i="1" s="1"/>
  <c r="AR242" i="1" s="1"/>
  <c r="Y93" i="1"/>
  <c r="Y94" i="1"/>
  <c r="Y83" i="1"/>
  <c r="Y85" i="1" s="1"/>
  <c r="Y7" i="1" s="1"/>
  <c r="X93" i="1"/>
  <c r="X94" i="1" s="1"/>
  <c r="X83" i="1"/>
  <c r="X85" i="1" s="1"/>
  <c r="AP242" i="1" s="1"/>
  <c r="W93" i="1"/>
  <c r="W83" i="1"/>
  <c r="W85" i="1" s="1"/>
  <c r="AO242" i="1" s="1"/>
  <c r="V93" i="1"/>
  <c r="V83" i="1"/>
  <c r="V85" i="1" s="1"/>
  <c r="U93" i="1"/>
  <c r="U94" i="1" s="1"/>
  <c r="U83" i="1"/>
  <c r="U85" i="1" s="1"/>
  <c r="U7" i="1" s="1"/>
  <c r="AH89" i="1"/>
  <c r="AI87" i="1"/>
  <c r="T93" i="1"/>
  <c r="T94" i="1" s="1"/>
  <c r="T83" i="1"/>
  <c r="T85" i="1" s="1"/>
  <c r="AL242" i="1" s="1"/>
  <c r="S93" i="1"/>
  <c r="S94" i="1" s="1"/>
  <c r="AH66" i="1"/>
  <c r="S83" i="1"/>
  <c r="S85" i="1" s="1"/>
  <c r="S7" i="1" s="1"/>
  <c r="AI44" i="1"/>
  <c r="R83" i="1"/>
  <c r="R85" i="1" s="1"/>
  <c r="Q93" i="1"/>
  <c r="Q94" i="1" s="1"/>
  <c r="P5" i="1"/>
  <c r="Q83" i="1"/>
  <c r="Q85" i="1" s="1"/>
  <c r="Q86" i="1" s="1"/>
  <c r="P93" i="1"/>
  <c r="P94" i="1" s="1"/>
  <c r="P83" i="1"/>
  <c r="P85" i="1" s="1"/>
  <c r="P7" i="1" s="1"/>
  <c r="AI89" i="1"/>
  <c r="O93" i="1"/>
  <c r="O94" i="1" s="1"/>
  <c r="AH62" i="1"/>
  <c r="AI90" i="1"/>
  <c r="L5" i="1"/>
  <c r="AH78" i="1"/>
  <c r="M83" i="1"/>
  <c r="M85" i="1" s="1"/>
  <c r="AE242" i="1" s="1"/>
  <c r="M5" i="1"/>
  <c r="AI88" i="1"/>
  <c r="N93" i="1"/>
  <c r="N94" i="1" s="1"/>
  <c r="AH88" i="1"/>
  <c r="AI91" i="1"/>
  <c r="O83" i="1"/>
  <c r="O85" i="1" s="1"/>
  <c r="AI48" i="1"/>
  <c r="N83" i="1"/>
  <c r="N85" i="1" s="1"/>
  <c r="C237" i="1" s="1"/>
  <c r="S239" i="1"/>
  <c r="H4" i="1"/>
  <c r="F7" i="1"/>
  <c r="X242" i="1"/>
  <c r="F86" i="1"/>
  <c r="AN242" i="1"/>
  <c r="V86" i="1"/>
  <c r="V7" i="1"/>
  <c r="AV242" i="1"/>
  <c r="AD86" i="1"/>
  <c r="Y242" i="1"/>
  <c r="G86" i="1"/>
  <c r="G7" i="1"/>
  <c r="AW242" i="1"/>
  <c r="H7" i="1"/>
  <c r="Z242" i="1"/>
  <c r="H86" i="1"/>
  <c r="X7" i="1"/>
  <c r="AF7" i="1"/>
  <c r="AX242" i="1"/>
  <c r="AF86" i="1"/>
  <c r="I86" i="1"/>
  <c r="I7" i="1"/>
  <c r="AA242" i="1"/>
  <c r="AQ242" i="1"/>
  <c r="G222" i="1"/>
  <c r="J7" i="1"/>
  <c r="AB242" i="1"/>
  <c r="J86" i="1"/>
  <c r="R7" i="1"/>
  <c r="AJ242" i="1"/>
  <c r="R86" i="1"/>
  <c r="Z7" i="1"/>
  <c r="F94" i="1"/>
  <c r="V94" i="1"/>
  <c r="AD94" i="1"/>
  <c r="C7" i="1"/>
  <c r="U242" i="1"/>
  <c r="K7" i="1"/>
  <c r="AC242" i="1"/>
  <c r="K86" i="1"/>
  <c r="S86" i="1"/>
  <c r="AA86" i="1"/>
  <c r="G94" i="1"/>
  <c r="W94" i="1"/>
  <c r="AG6" i="1"/>
  <c r="D7" i="1"/>
  <c r="V242" i="1"/>
  <c r="D86" i="1"/>
  <c r="L7" i="1"/>
  <c r="AD242" i="1"/>
  <c r="L86" i="1"/>
  <c r="T7" i="1"/>
  <c r="AB7" i="1"/>
  <c r="AT242" i="1"/>
  <c r="AB86" i="1"/>
  <c r="W242" i="1"/>
  <c r="E86" i="1"/>
  <c r="E7" i="1"/>
  <c r="AC86" i="1"/>
  <c r="AG85" i="1"/>
  <c r="E228" i="1"/>
  <c r="I5" i="1"/>
  <c r="Q5" i="1"/>
  <c r="Y5" i="1"/>
  <c r="AI62" i="1"/>
  <c r="AI66" i="1"/>
  <c r="AI78" i="1"/>
  <c r="AH87" i="1"/>
  <c r="B93" i="1"/>
  <c r="B94" i="1" s="1"/>
  <c r="F227" i="1"/>
  <c r="AH107" i="1"/>
  <c r="AH44" i="1"/>
  <c r="AH48" i="1"/>
  <c r="B83" i="1"/>
  <c r="AH90" i="1"/>
  <c r="B228" i="1"/>
  <c r="AH91" i="1"/>
  <c r="C94" i="1" l="1"/>
  <c r="U86" i="1"/>
  <c r="AM242" i="1"/>
  <c r="O86" i="1"/>
  <c r="AU242" i="1"/>
  <c r="Y86" i="1"/>
  <c r="AE86" i="1"/>
  <c r="AS242" i="1"/>
  <c r="Z86" i="1"/>
  <c r="X86" i="1"/>
  <c r="W7" i="1"/>
  <c r="W86" i="1"/>
  <c r="T86" i="1"/>
  <c r="AK242" i="1"/>
  <c r="P86" i="1"/>
  <c r="AI242" i="1"/>
  <c r="Q7" i="1"/>
  <c r="AH242" i="1"/>
  <c r="M7" i="1"/>
  <c r="M86" i="1"/>
  <c r="O7" i="1"/>
  <c r="AG242" i="1"/>
  <c r="AF242" i="1"/>
  <c r="N7" i="1"/>
  <c r="N86" i="1"/>
  <c r="B237" i="1"/>
  <c r="K6" i="1" s="1"/>
  <c r="AI94" i="1"/>
  <c r="AH94" i="1"/>
  <c r="E263" i="1"/>
  <c r="G227" i="1"/>
  <c r="AI83" i="1"/>
  <c r="AH83" i="1"/>
  <c r="B85" i="1"/>
  <c r="F104" i="1"/>
  <c r="F228" i="1"/>
  <c r="AH93" i="1"/>
  <c r="AI93" i="1"/>
  <c r="H222" i="1"/>
  <c r="G104" i="1"/>
  <c r="G228" i="1"/>
  <c r="B7" i="1" l="1"/>
  <c r="A7" i="1" s="1"/>
  <c r="AI85" i="1"/>
  <c r="T242" i="1"/>
  <c r="B86" i="1"/>
  <c r="AH85" i="1"/>
  <c r="I222" i="1"/>
  <c r="F263" i="1"/>
  <c r="H227" i="1"/>
  <c r="J222" i="1" l="1"/>
  <c r="AH86" i="1"/>
  <c r="AI86" i="1"/>
  <c r="G263" i="1"/>
  <c r="I227" i="1"/>
  <c r="H228" i="1"/>
  <c r="H104" i="1"/>
  <c r="H263" i="1" l="1"/>
  <c r="J227" i="1"/>
  <c r="J104" i="1"/>
  <c r="J228" i="1"/>
  <c r="K222" i="1"/>
  <c r="I228" i="1"/>
  <c r="I104" i="1"/>
  <c r="L222" i="1" l="1"/>
  <c r="K104" i="1"/>
  <c r="K227" i="1"/>
  <c r="I263" i="1"/>
  <c r="J263" i="1" l="1"/>
  <c r="L227" i="1"/>
  <c r="L228" i="1"/>
  <c r="M222" i="1"/>
  <c r="L104" i="1"/>
  <c r="K228" i="1"/>
  <c r="K263" i="1" l="1"/>
  <c r="M227" i="1"/>
  <c r="N222" i="1"/>
  <c r="M104" i="1"/>
  <c r="M228" i="1"/>
  <c r="O222" i="1" l="1"/>
  <c r="L263" i="1"/>
  <c r="N227" i="1"/>
  <c r="M263" i="1" l="1"/>
  <c r="O227" i="1"/>
  <c r="N228" i="1"/>
  <c r="N104" i="1"/>
  <c r="P222" i="1"/>
  <c r="O104" i="1"/>
  <c r="O228" i="1"/>
  <c r="N263" i="1" l="1"/>
  <c r="P227" i="1"/>
  <c r="O263" i="1" s="1"/>
  <c r="P228" i="1" l="1"/>
  <c r="P104" i="1"/>
  <c r="AI104" i="1" l="1"/>
  <c r="AH104" i="1"/>
  <c r="P228" i="35" l="1"/>
  <c r="P224" i="35"/>
  <c r="M228" i="15"/>
  <c r="N228" i="22"/>
  <c r="P228" i="30"/>
  <c r="P224" i="30"/>
  <c r="L228" i="31"/>
  <c r="P228" i="29"/>
  <c r="P224" i="29"/>
  <c r="P228" i="26"/>
  <c r="P224" i="26"/>
  <c r="P228" i="11"/>
  <c r="P224" i="11"/>
  <c r="L228" i="18"/>
  <c r="P228" i="34"/>
  <c r="P224" i="34"/>
  <c r="P228" i="7"/>
  <c r="P224" i="7"/>
  <c r="M228" i="31"/>
  <c r="M228" i="16"/>
  <c r="K228" i="18"/>
  <c r="J228" i="34"/>
  <c r="N228" i="25"/>
  <c r="K228" i="29"/>
  <c r="P228" i="8"/>
  <c r="P224" i="8"/>
  <c r="O224" i="26"/>
  <c r="O228" i="26"/>
  <c r="J228" i="11"/>
  <c r="K228" i="13"/>
  <c r="J228" i="30"/>
  <c r="P228" i="13"/>
  <c r="P224" i="13"/>
  <c r="K228" i="26"/>
  <c r="L228" i="26"/>
  <c r="P228" i="32"/>
  <c r="P224" i="32"/>
  <c r="K228" i="28"/>
  <c r="O224" i="8"/>
  <c r="O228" i="8"/>
  <c r="L228" i="8"/>
  <c r="P228" i="2"/>
  <c r="P224" i="2"/>
  <c r="O224" i="35"/>
  <c r="O228" i="35"/>
  <c r="K228" i="31"/>
  <c r="J228" i="8"/>
  <c r="K228" i="16"/>
  <c r="J228" i="23"/>
  <c r="L228" i="30"/>
  <c r="M228" i="19"/>
  <c r="N228" i="33"/>
  <c r="O224" i="29"/>
  <c r="O228" i="29"/>
  <c r="M228" i="26"/>
  <c r="K224" i="26"/>
  <c r="L224" i="26"/>
  <c r="M224" i="26"/>
  <c r="N224" i="26"/>
  <c r="N228" i="26"/>
  <c r="N224" i="8"/>
  <c r="N228" i="8"/>
  <c r="J228" i="18"/>
  <c r="I228" i="26"/>
  <c r="I224" i="26"/>
  <c r="J224" i="26"/>
  <c r="J228" i="26"/>
  <c r="K228" i="15"/>
  <c r="M228" i="25"/>
  <c r="P228" i="27"/>
  <c r="P224" i="27"/>
  <c r="M228" i="14"/>
  <c r="P228" i="18"/>
  <c r="P224" i="18"/>
  <c r="J228" i="31"/>
  <c r="M228" i="24"/>
  <c r="L224" i="8"/>
  <c r="M224" i="8"/>
  <c r="M228" i="8"/>
  <c r="J228" i="25"/>
  <c r="N228" i="34"/>
  <c r="N228" i="13"/>
  <c r="L228" i="19"/>
  <c r="K228" i="30"/>
  <c r="P228" i="31"/>
  <c r="P224" i="31"/>
  <c r="O228" i="23"/>
  <c r="L228" i="32"/>
  <c r="K228" i="25"/>
  <c r="P228" i="17"/>
  <c r="P224" i="17"/>
  <c r="K228" i="33"/>
  <c r="O228" i="24"/>
  <c r="O228" i="14"/>
  <c r="N228" i="2"/>
  <c r="M228" i="33"/>
  <c r="M228" i="22"/>
  <c r="L228" i="7"/>
  <c r="P228" i="20"/>
  <c r="P224" i="20"/>
  <c r="P228" i="16"/>
  <c r="P224" i="16"/>
  <c r="N228" i="7"/>
  <c r="P228" i="15"/>
  <c r="P224" i="15"/>
  <c r="L228" i="15"/>
  <c r="L228" i="27"/>
  <c r="L228" i="28"/>
  <c r="L228" i="22"/>
  <c r="N228" i="24"/>
  <c r="N224" i="35"/>
  <c r="N228" i="35"/>
  <c r="L228" i="12"/>
  <c r="K228" i="32"/>
  <c r="M228" i="7"/>
  <c r="M228" i="34"/>
  <c r="M228" i="13"/>
  <c r="K228" i="19"/>
  <c r="J228" i="28"/>
  <c r="O224" i="32"/>
  <c r="O228" i="32"/>
  <c r="O224" i="23"/>
  <c r="P224" i="23"/>
  <c r="P228" i="23"/>
  <c r="J228" i="21"/>
  <c r="O224" i="17"/>
  <c r="O228" i="17"/>
  <c r="L228" i="33"/>
  <c r="M224" i="24"/>
  <c r="N224" i="24"/>
  <c r="O224" i="24"/>
  <c r="P224" i="24"/>
  <c r="P228" i="24"/>
  <c r="O224" i="14"/>
  <c r="P224" i="14"/>
  <c r="P228" i="14"/>
  <c r="M228" i="2"/>
  <c r="P228" i="33"/>
  <c r="P224" i="33"/>
  <c r="O228" i="10"/>
  <c r="O224" i="20"/>
  <c r="O228" i="20"/>
  <c r="K228" i="27"/>
  <c r="J228" i="2"/>
  <c r="M228" i="32"/>
  <c r="P228" i="19"/>
  <c r="P224" i="19"/>
  <c r="M224" i="34"/>
  <c r="N224" i="34"/>
  <c r="O224" i="34"/>
  <c r="O228" i="34"/>
  <c r="N228" i="30"/>
  <c r="K224" i="33"/>
  <c r="L224" i="33"/>
  <c r="M224" i="33"/>
  <c r="N224" i="33"/>
  <c r="O224" i="33"/>
  <c r="O228" i="33"/>
  <c r="K228" i="7"/>
  <c r="K228" i="22"/>
  <c r="L228" i="35"/>
  <c r="N224" i="29"/>
  <c r="N228" i="29"/>
  <c r="N228" i="10"/>
  <c r="J228" i="20"/>
  <c r="K224" i="7"/>
  <c r="L224" i="7"/>
  <c r="M224" i="7"/>
  <c r="N224" i="7"/>
  <c r="O224" i="7"/>
  <c r="O228" i="7"/>
  <c r="J228" i="17"/>
  <c r="N228" i="18"/>
  <c r="P228" i="22"/>
  <c r="P224" i="22"/>
  <c r="L228" i="10"/>
  <c r="J228" i="32"/>
  <c r="L228" i="20"/>
  <c r="J228" i="19"/>
  <c r="L228" i="21"/>
  <c r="N228" i="21"/>
  <c r="L224" i="34"/>
  <c r="L228" i="34"/>
  <c r="L228" i="13"/>
  <c r="P228" i="21"/>
  <c r="P224" i="21"/>
  <c r="N228" i="31"/>
  <c r="J228" i="15"/>
  <c r="O224" i="16"/>
  <c r="O228" i="16"/>
  <c r="M228" i="20"/>
  <c r="N224" i="17"/>
  <c r="N228" i="17"/>
  <c r="K224" i="13"/>
  <c r="L224" i="13"/>
  <c r="M224" i="13"/>
  <c r="N224" i="13"/>
  <c r="O224" i="13"/>
  <c r="O228" i="13"/>
  <c r="K228" i="10"/>
  <c r="K228" i="24"/>
  <c r="M228" i="30"/>
  <c r="O228" i="25"/>
  <c r="L228" i="2"/>
  <c r="O228" i="12"/>
  <c r="N224" i="10"/>
  <c r="O224" i="10"/>
  <c r="P224" i="10"/>
  <c r="P228" i="10"/>
  <c r="O224" i="12"/>
  <c r="P224" i="12"/>
  <c r="P228" i="12"/>
  <c r="L224" i="20"/>
  <c r="M224" i="20"/>
  <c r="N224" i="20"/>
  <c r="N228" i="20"/>
  <c r="O228" i="28"/>
  <c r="K224" i="24"/>
  <c r="L224" i="24"/>
  <c r="L228" i="24"/>
  <c r="O224" i="19"/>
  <c r="O228" i="19"/>
  <c r="I228" i="13"/>
  <c r="I224" i="13"/>
  <c r="J224" i="13"/>
  <c r="J228" i="13"/>
  <c r="I228" i="8"/>
  <c r="I224" i="8"/>
  <c r="J224" i="8"/>
  <c r="K224" i="8"/>
  <c r="K228" i="8"/>
  <c r="K228" i="11"/>
  <c r="M224" i="14"/>
  <c r="N224" i="14"/>
  <c r="N228" i="14"/>
  <c r="I228" i="31"/>
  <c r="I224" i="31"/>
  <c r="J224" i="31"/>
  <c r="K224" i="31"/>
  <c r="L224" i="31"/>
  <c r="M224" i="31"/>
  <c r="N224" i="31"/>
  <c r="O224" i="31"/>
  <c r="O228" i="31"/>
  <c r="L228" i="17"/>
  <c r="J228" i="29"/>
  <c r="L224" i="35"/>
  <c r="M224" i="35"/>
  <c r="M228" i="35"/>
  <c r="O224" i="27"/>
  <c r="O228" i="27"/>
  <c r="J228" i="27"/>
  <c r="L224" i="14"/>
  <c r="L228" i="14"/>
  <c r="M228" i="23"/>
  <c r="M224" i="23"/>
  <c r="N224" i="23"/>
  <c r="N228" i="23"/>
  <c r="N224" i="27"/>
  <c r="N228" i="27"/>
  <c r="M228" i="11"/>
  <c r="J228" i="22"/>
  <c r="K228" i="12"/>
  <c r="K224" i="35"/>
  <c r="K228" i="35"/>
  <c r="I228" i="27"/>
  <c r="I224" i="27"/>
  <c r="J224" i="27"/>
  <c r="K224" i="27"/>
  <c r="L224" i="27"/>
  <c r="M224" i="27"/>
  <c r="M228" i="27"/>
  <c r="M224" i="29"/>
  <c r="M228" i="29"/>
  <c r="J228" i="14"/>
  <c r="K228" i="23"/>
  <c r="M228" i="28"/>
  <c r="I228" i="32"/>
  <c r="I224" i="32"/>
  <c r="J224" i="32"/>
  <c r="K224" i="32"/>
  <c r="L224" i="32"/>
  <c r="M224" i="32"/>
  <c r="N224" i="32"/>
  <c r="N228" i="32"/>
  <c r="K224" i="10"/>
  <c r="L224" i="10"/>
  <c r="M224" i="10"/>
  <c r="M228" i="10"/>
  <c r="I228" i="10"/>
  <c r="I224" i="10"/>
  <c r="J224" i="10"/>
  <c r="J228" i="10"/>
  <c r="J228" i="12"/>
  <c r="M228" i="18"/>
  <c r="J228" i="16"/>
  <c r="I228" i="34"/>
  <c r="I224" i="34"/>
  <c r="J224" i="34"/>
  <c r="K224" i="34"/>
  <c r="K228" i="34"/>
  <c r="I228" i="23"/>
  <c r="I224" i="23"/>
  <c r="J224" i="23"/>
  <c r="K224" i="23"/>
  <c r="L224" i="23"/>
  <c r="L228" i="23"/>
  <c r="I228" i="24"/>
  <c r="I224" i="24"/>
  <c r="J224" i="24"/>
  <c r="J228" i="24"/>
  <c r="I228" i="18"/>
  <c r="I224" i="18"/>
  <c r="J224" i="18"/>
  <c r="K224" i="18"/>
  <c r="L224" i="18"/>
  <c r="M224" i="18"/>
  <c r="N224" i="18"/>
  <c r="O224" i="18"/>
  <c r="O228" i="18"/>
  <c r="I228" i="20"/>
  <c r="I224" i="20"/>
  <c r="J224" i="20"/>
  <c r="K224" i="20"/>
  <c r="K228" i="20"/>
  <c r="K228" i="21"/>
  <c r="I228" i="35"/>
  <c r="I224" i="35"/>
  <c r="J224" i="35"/>
  <c r="J228" i="35"/>
  <c r="N224" i="21"/>
  <c r="O224" i="21"/>
  <c r="O228" i="21"/>
  <c r="M228" i="12"/>
  <c r="I228" i="14"/>
  <c r="I224" i="14"/>
  <c r="J224" i="14"/>
  <c r="K224" i="14"/>
  <c r="K228" i="14"/>
  <c r="N228" i="15"/>
  <c r="K228" i="17"/>
  <c r="M224" i="16"/>
  <c r="N224" i="16"/>
  <c r="N228" i="16"/>
  <c r="I228" i="21"/>
  <c r="I224" i="21"/>
  <c r="J224" i="21"/>
  <c r="K224" i="21"/>
  <c r="L224" i="21"/>
  <c r="M224" i="21"/>
  <c r="M228" i="21"/>
  <c r="I228" i="17"/>
  <c r="I224" i="17"/>
  <c r="J224" i="17"/>
  <c r="K224" i="17"/>
  <c r="L224" i="17"/>
  <c r="M224" i="17"/>
  <c r="M228" i="17"/>
  <c r="M224" i="25"/>
  <c r="N224" i="25"/>
  <c r="O224" i="25"/>
  <c r="P224" i="25"/>
  <c r="P228" i="25"/>
  <c r="I228" i="22"/>
  <c r="I224" i="22"/>
  <c r="J224" i="22"/>
  <c r="K224" i="22"/>
  <c r="L224" i="22"/>
  <c r="M224" i="22"/>
  <c r="N224" i="22"/>
  <c r="O224" i="22"/>
  <c r="O228" i="22"/>
  <c r="I228" i="15"/>
  <c r="I224" i="15"/>
  <c r="J224" i="15"/>
  <c r="K224" i="15"/>
  <c r="L224" i="15"/>
  <c r="M224" i="15"/>
  <c r="N224" i="15"/>
  <c r="O224" i="15"/>
  <c r="O228" i="15"/>
  <c r="I228" i="25"/>
  <c r="I224" i="25"/>
  <c r="J224" i="25"/>
  <c r="K224" i="25"/>
  <c r="L224" i="25"/>
  <c r="L228" i="25"/>
  <c r="I228" i="30"/>
  <c r="I224" i="30"/>
  <c r="J224" i="30"/>
  <c r="K224" i="30"/>
  <c r="L224" i="30"/>
  <c r="M224" i="30"/>
  <c r="N224" i="30"/>
  <c r="O224" i="30"/>
  <c r="O228" i="30"/>
  <c r="I228" i="29"/>
  <c r="I224" i="29"/>
  <c r="J224" i="29"/>
  <c r="K224" i="29"/>
  <c r="L224" i="29"/>
  <c r="L228" i="29"/>
  <c r="K228" i="2"/>
  <c r="I228" i="12"/>
  <c r="I224" i="12"/>
  <c r="J224" i="12"/>
  <c r="K224" i="12"/>
  <c r="L224" i="12"/>
  <c r="M224" i="12"/>
  <c r="N224" i="12"/>
  <c r="N228" i="12"/>
  <c r="N228" i="11"/>
  <c r="I228" i="2"/>
  <c r="I224" i="2"/>
  <c r="J224" i="2"/>
  <c r="K224" i="2"/>
  <c r="L224" i="2"/>
  <c r="M224" i="2"/>
  <c r="N224" i="2"/>
  <c r="O224" i="2"/>
  <c r="O228" i="2"/>
  <c r="L228" i="11"/>
  <c r="I228" i="11"/>
  <c r="I224" i="11"/>
  <c r="J224" i="11"/>
  <c r="K224" i="11"/>
  <c r="L224" i="11"/>
  <c r="M224" i="11"/>
  <c r="N224" i="11"/>
  <c r="O224" i="11"/>
  <c r="O228" i="11"/>
  <c r="N228" i="28"/>
  <c r="I228" i="33"/>
  <c r="I224" i="33"/>
  <c r="J224" i="33"/>
  <c r="J228" i="33"/>
  <c r="I228" i="28"/>
  <c r="I224" i="28"/>
  <c r="J224" i="28"/>
  <c r="K224" i="28"/>
  <c r="L224" i="28"/>
  <c r="M224" i="28"/>
  <c r="N224" i="28"/>
  <c r="O224" i="28"/>
  <c r="P224" i="28"/>
  <c r="P228" i="28"/>
  <c r="I228" i="19"/>
  <c r="I224" i="19"/>
  <c r="J224" i="19"/>
  <c r="K224" i="19"/>
  <c r="L224" i="19"/>
  <c r="M224" i="19"/>
  <c r="N224" i="19"/>
  <c r="N228" i="19"/>
  <c r="I228" i="16"/>
  <c r="I224" i="16"/>
  <c r="J224" i="16"/>
  <c r="K224" i="16"/>
  <c r="L224" i="16"/>
  <c r="L228" i="16"/>
  <c r="I228" i="7"/>
  <c r="I224" i="7"/>
  <c r="J224" i="7"/>
  <c r="J22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<sst xmlns="http://schemas.openxmlformats.org/spreadsheetml/2006/main" count="8540" uniqueCount="297">
  <si>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</si>
  <si>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</si>
  <si>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</si>
  <si>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</si>
  <si>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</si>
  <si>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</si>
  <si>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</si>
  <si>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</si>
  <si>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</si>
  <si>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</si>
  <si>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</si>
  <si>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</si>
  <si>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</si>
  <si>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</si>
  <si>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</si>
  <si>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</si>
  <si>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</si>
  <si>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</si>
  <si>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</si>
  <si>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Likhu-IV(52.4)</t>
  </si>
  <si>
    <t>Upper Marsyangdi "A"(50)</t>
  </si>
  <si>
    <t>Upper Bhotekoshi Khola(45)</t>
  </si>
  <si>
    <t>Mistri Khola(42)</t>
  </si>
  <si>
    <t>Upper Balefi (36)</t>
  </si>
  <si>
    <t>Nyadi(30)</t>
  </si>
  <si>
    <t>Likhu Khola A(29.04)</t>
  </si>
  <si>
    <t>Lower Likhu(28)</t>
  </si>
  <si>
    <t>Dordi(27)</t>
  </si>
  <si>
    <t>Upper Madi(25)</t>
  </si>
  <si>
    <t>Kabeli B-1(25)</t>
  </si>
  <si>
    <t>Singati Khola(25)</t>
  </si>
  <si>
    <t>Upper Dordi (25)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</si>
  <si>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</si>
  <si>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</si>
  <si>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</si>
  <si>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</si>
  <si>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</si>
  <si>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</si>
  <si>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Middle Modi (18)</t>
  </si>
  <si>
    <t>Hewa Khola A(14.9)</t>
  </si>
  <si>
    <t>Thapa Khola(13.6)</t>
  </si>
  <si>
    <t>Madkyu Khola(13)</t>
  </si>
  <si>
    <t>Dordi12)</t>
  </si>
  <si>
    <t>Jhimruk Khola(12)</t>
  </si>
  <si>
    <t>Upper Khimti(12)</t>
  </si>
  <si>
    <t>Upper Mai Khola (12)</t>
  </si>
  <si>
    <t>Namarjun Madi(11.88)</t>
  </si>
  <si>
    <t>Lower Khare(11)</t>
  </si>
  <si>
    <t>Lower Modi 1(10)</t>
  </si>
  <si>
    <t>Mithila Solar PV Electric Project(10)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</si>
  <si>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</si>
  <si>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</si>
  <si>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</si>
  <si>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</si>
  <si>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</si>
  <si>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</si>
  <si>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</si>
  <si>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</si>
  <si>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</si>
  <si>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</si>
  <si>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</si>
  <si>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</si>
  <si>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</si>
  <si>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</si>
  <si>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</si>
  <si>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</si>
  <si>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</si>
  <si>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</si>
  <si>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</si>
  <si>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</si>
  <si>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</si>
  <si>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</si>
  <si>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</si>
  <si>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</si>
  <si>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</si>
  <si>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</si>
  <si>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</si>
  <si>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</si>
  <si>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</si>
  <si>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</si>
  <si>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</si>
  <si>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</si>
  <si>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>JALESHWOR(33kV)</t>
  </si>
  <si>
    <t>RAJBIRAJ(33kV)</t>
  </si>
  <si>
    <t>RAXAUL(33kV)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</si>
  <si>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</si>
  <si>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</si>
  <si>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</si>
  <si>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</si>
  <si>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</si>
  <si>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</si>
  <si>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</si>
  <si>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</si>
  <si>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</si>
  <si>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</si>
  <si>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</si>
  <si>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</si>
  <si>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</si>
  <si>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</si>
  <si>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</si>
  <si>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</si>
  <si>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</si>
  <si>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</si>
  <si>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</si>
  <si>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</si>
  <si>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</si>
  <si>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</si>
  <si>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</si>
  <si>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Kathmandu Load</t>
  </si>
  <si>
    <t>MRS-SYU</t>
  </si>
  <si>
    <t>NMRS-MATA</t>
  </si>
  <si>
    <t>KL2-MATA</t>
  </si>
  <si>
    <t>KL1-SYU</t>
  </si>
  <si>
    <t>KHIMTI-LAMOSAGU</t>
  </si>
  <si>
    <t>34..5</t>
  </si>
  <si>
    <t>DHALKE-CHAPUR I</t>
  </si>
  <si>
    <t>NBHARATPUR-BARDGHAT</t>
  </si>
  <si>
    <t>DAMAK-DUHABI</t>
  </si>
  <si>
    <t>HETAUDA-KAMANE</t>
  </si>
  <si>
    <t>Others IPP Detail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</si>
  <si>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</si>
  <si>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</si>
  <si>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</si>
  <si>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</si>
  <si>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</si>
  <si>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</si>
  <si>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</si>
  <si>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</si>
  <si>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</si>
  <si>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</si>
  <si>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</si>
  <si>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</si>
  <si>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</si>
  <si>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</si>
  <si>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</si>
  <si>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</si>
  <si>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</si>
  <si>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</si>
  <si>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</si>
  <si>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</si>
  <si>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</si>
  <si>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</si>
  <si>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</si>
  <si>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</si>
  <si>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</si>
  <si>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</si>
  <si>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</si>
  <si>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</si>
  <si>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</si>
  <si>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</si>
  <si>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</si>
  <si>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</si>
  <si>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</si>
  <si>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</si>
  <si>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</si>
  <si>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</si>
  <si>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</si>
  <si>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</si>
  <si>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</si>
  <si>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</si>
  <si>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</si>
  <si>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</si>
  <si>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</si>
  <si>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</si>
  <si>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</si>
  <si>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</si>
  <si>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</si>
  <si>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</si>
  <si>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</si>
  <si>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</si>
  <si>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</si>
  <si>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</si>
  <si>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</si>
  <si>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</si>
  <si>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</si>
  <si>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</si>
  <si>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</si>
  <si>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</si>
  <si>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</si>
  <si>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</si>
  <si>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</si>
  <si>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</si>
  <si>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</si>
  <si>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</si>
  <si>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</si>
  <si>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</si>
  <si>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</si>
  <si>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</si>
  <si>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</si>
  <si>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</si>
  <si>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</si>
  <si>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</si>
  <si>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</si>
  <si>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</si>
  <si>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</si>
  <si>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</si>
  <si>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</si>
  <si>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</si>
  <si>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</si>
  <si>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</si>
  <si>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</si>
  <si>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</si>
  <si>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</si>
  <si>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</si>
  <si>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</si>
  <si>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</si>
  <si>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</si>
  <si>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</si>
  <si>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</si>
  <si>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</si>
  <si>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</si>
  <si>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</si>
  <si>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</si>
  <si>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</si>
  <si>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</si>
  <si>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</si>
  <si>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</si>
  <si>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</si>
  <si>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</si>
  <si>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</si>
  <si>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</si>
  <si>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</si>
  <si>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</si>
  <si>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</si>
  <si>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</si>
  <si>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</si>
  <si>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</si>
  <si>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</si>
  <si>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</si>
  <si>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</si>
  <si>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</si>
  <si>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</si>
  <si>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</si>
  <si>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</si>
  <si>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</si>
  <si>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</si>
  <si>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</si>
  <si>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</si>
  <si>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</si>
  <si>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</si>
  <si>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</si>
  <si>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</si>
  <si>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</si>
  <si>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</si>
  <si>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</si>
  <si>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</si>
  <si>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</si>
  <si>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</si>
  <si>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49..901</t>
  </si>
  <si>
    <t>2.9+2.6</t>
  </si>
  <si>
    <t>14..4</t>
  </si>
  <si>
    <t>13..4</t>
  </si>
  <si>
    <t>.</t>
  </si>
  <si>
    <t>Line1</t>
  </si>
  <si>
    <t>Line 2</t>
  </si>
  <si>
    <t xml:space="preserve">UTK Discharge Test </t>
  </si>
  <si>
    <t/>
  </si>
  <si>
    <t>36..1</t>
  </si>
  <si>
    <t>Tanakpur</t>
  </si>
  <si>
    <t>44..4</t>
  </si>
  <si>
    <t>\-14</t>
  </si>
  <si>
    <t>83..7</t>
  </si>
  <si>
    <t>-11.4</t>
  </si>
  <si>
    <t xml:space="preserve">                                  Hrs.               Source</t>
  </si>
  <si>
    <t>9/20/2079</t>
  </si>
  <si>
    <t>9/21/2079</t>
  </si>
  <si>
    <t>9/22/2079</t>
  </si>
  <si>
    <t>9/23/2079</t>
  </si>
  <si>
    <t>9/24/2079</t>
  </si>
  <si>
    <t>9/25/2079</t>
  </si>
  <si>
    <t>9/26/2079</t>
  </si>
  <si>
    <t>9/27/2079</t>
  </si>
  <si>
    <t>9/28/2079</t>
  </si>
  <si>
    <t>9/29/2079</t>
  </si>
  <si>
    <t>9/30/2079</t>
  </si>
  <si>
    <t>9/31/2079</t>
  </si>
  <si>
    <t>9/32/2079</t>
  </si>
  <si>
    <t>'11:15</t>
  </si>
  <si>
    <t>"15:15</t>
  </si>
  <si>
    <t>41..9</t>
  </si>
  <si>
    <t>p</t>
  </si>
  <si>
    <t>a</t>
  </si>
  <si>
    <t>r</t>
  </si>
  <si>
    <t>t</t>
  </si>
  <si>
    <t>i</t>
  </si>
  <si>
    <t>l</t>
  </si>
  <si>
    <t>s</t>
  </si>
  <si>
    <t>y</t>
  </si>
  <si>
    <t>e</t>
  </si>
  <si>
    <t>m</t>
  </si>
  <si>
    <t>c</t>
  </si>
  <si>
    <t>o</t>
  </si>
  <si>
    <t>12..2</t>
  </si>
  <si>
    <t>ep0e</t>
  </si>
  <si>
    <t>q18u7</t>
  </si>
  <si>
    <t>8+y+o</t>
  </si>
  <si>
    <t>ypyyy+9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</si>
</sst>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sz val="10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1" fillId="0" borderId="0"/>
    <xf numFmtId="164" fontId="33" fillId="0" borderId="0"/>
    <xf numFmtId="164" fontId="34" fillId="0" borderId="0"/>
    <xf numFmtId="0" fontId="35" fillId="0" borderId="0"/>
    <xf numFmtId="0" fontId="36" fillId="0" borderId="0"/>
  </cellStyleXfs>
  <cellXfs count="223">
    <xf numFmtId="0" fontId="0" fillId="0" borderId="0" xfId="0"/>
    <xf numFmtId="164" fontId="1" fillId="0" borderId="0" xfId="2"/>
    <xf numFmtId="164" fontId="1" fillId="0" borderId="0" xfId="2" applyProtection="1">
      <protection locked="0"/>
    </xf>
    <xf numFmtId="164" fontId="6" fillId="0" borderId="0" xfId="2" applyFont="1" applyAlignment="1">
      <alignment vertical="center"/>
    </xf>
    <xf numFmtId="164" fontId="7" fillId="0" borderId="2" xfId="2" applyFont="1" applyBorder="1" applyAlignment="1">
      <alignment vertical="center"/>
    </xf>
    <xf numFmtId="164" fontId="7" fillId="0" borderId="4" xfId="2" applyFont="1" applyBorder="1" applyAlignment="1">
      <alignment vertical="center"/>
    </xf>
    <xf numFmtId="164" fontId="4" fillId="0" borderId="6" xfId="2" applyFont="1" applyBorder="1" applyAlignment="1">
      <alignment horizontal="center" vertical="center"/>
    </xf>
    <xf numFmtId="164" fontId="4" fillId="0" borderId="6" xfId="2" applyFont="1" applyBorder="1" applyAlignment="1">
      <alignment vertical="center"/>
    </xf>
    <xf numFmtId="164" fontId="4" fillId="0" borderId="0" xfId="2" applyFont="1" applyAlignment="1">
      <alignment vertical="center"/>
    </xf>
    <xf numFmtId="14" fontId="8" fillId="0" borderId="0" xfId="2" applyNumberFormat="1" applyFont="1" applyAlignment="1">
      <alignment vertical="center"/>
    </xf>
    <xf numFmtId="43" fontId="9" fillId="3" borderId="0" xfId="1" applyFont="1" applyFill="1" applyAlignment="1">
      <alignment horizontal="center"/>
    </xf>
    <xf numFmtId="164" fontId="9" fillId="3" borderId="0" xfId="2" applyFont="1" applyFill="1"/>
    <xf numFmtId="164" fontId="1" fillId="3" borderId="0" xfId="2" applyFill="1"/>
    <xf numFmtId="164" fontId="10" fillId="0" borderId="0" xfId="2" applyFont="1" applyAlignment="1">
      <alignment horizontal="center" vertical="center"/>
    </xf>
    <xf numFmtId="164" fontId="11" fillId="0" borderId="0" xfId="2" applyFont="1"/>
    <xf numFmtId="164" fontId="12" fillId="0" borderId="0" xfId="2" applyFont="1" applyAlignment="1">
      <alignment vertical="center"/>
    </xf>
    <xf numFmtId="164" fontId="7" fillId="0" borderId="8" xfId="2" applyFont="1" applyBorder="1" applyAlignment="1">
      <alignment vertical="center"/>
    </xf>
    <xf numFmtId="164" fontId="7" fillId="0" borderId="10" xfId="2" applyFont="1" applyBorder="1" applyAlignment="1">
      <alignment vertical="center"/>
    </xf>
    <xf numFmtId="164" fontId="1" fillId="0" borderId="6" xfId="2" applyBorder="1" applyAlignment="1">
      <alignment horizontal="center" vertical="center"/>
    </xf>
    <xf numFmtId="164" fontId="3" fillId="0" borderId="0" xfId="2" applyFont="1" applyAlignment="1">
      <alignment horizontal="center" vertical="center"/>
    </xf>
    <xf numFmtId="164" fontId="3" fillId="0" borderId="0" xfId="2" applyFont="1" applyAlignment="1">
      <alignment vertical="center"/>
    </xf>
    <xf numFmtId="164" fontId="12" fillId="0" borderId="0" xfId="2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1" fillId="0" borderId="0" xfId="2" applyNumberFormat="1" applyAlignment="1">
      <alignment horizontal="center" vertical="center"/>
    </xf>
    <xf numFmtId="165" fontId="14" fillId="0" borderId="0" xfId="2" applyNumberFormat="1" applyFont="1"/>
    <xf numFmtId="164" fontId="15" fillId="4" borderId="0" xfId="2" applyFont="1" applyFill="1" applyAlignment="1">
      <alignment horizontal="right" vertical="center"/>
    </xf>
    <xf numFmtId="164" fontId="16" fillId="0" borderId="0" xfId="2" applyFont="1" applyAlignment="1">
      <alignment vertical="center"/>
    </xf>
    <xf numFmtId="164" fontId="17" fillId="0" borderId="0" xfId="2" applyFont="1" applyAlignment="1">
      <alignment vertical="center"/>
    </xf>
    <xf numFmtId="164" fontId="1" fillId="0" borderId="0" xfId="2" applyAlignment="1">
      <alignment horizontal="center" vertical="center"/>
    </xf>
    <xf numFmtId="164" fontId="15" fillId="4" borderId="0" xfId="2" applyFont="1" applyFill="1" applyAlignment="1">
      <alignment vertical="center"/>
    </xf>
    <xf numFmtId="166" fontId="1" fillId="5" borderId="0" xfId="2" applyNumberFormat="1" applyFill="1"/>
    <xf numFmtId="164" fontId="1" fillId="5" borderId="0" xfId="2" applyFill="1"/>
    <xf numFmtId="164" fontId="15" fillId="4" borderId="0" xfId="2" applyFont="1" applyFill="1" applyAlignment="1">
      <alignment horizontal="left" vertical="center"/>
    </xf>
    <xf numFmtId="164" fontId="18" fillId="3" borderId="0" xfId="2" applyFont="1" applyFill="1"/>
    <xf numFmtId="164" fontId="19" fillId="0" borderId="0" xfId="2" applyFont="1" applyAlignment="1">
      <alignment horizontal="left" vertical="center"/>
    </xf>
    <xf numFmtId="1" fontId="20" fillId="0" borderId="0" xfId="2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164" fontId="2" fillId="0" borderId="0" xfId="2" applyFont="1"/>
    <xf numFmtId="164" fontId="12" fillId="0" borderId="12" xfId="2" applyFont="1" applyBorder="1" applyAlignment="1">
      <alignment vertical="center"/>
    </xf>
    <xf numFmtId="2" fontId="12" fillId="6" borderId="16" xfId="2" applyNumberFormat="1" applyFont="1" applyFill="1" applyBorder="1" applyAlignment="1">
      <alignment horizontal="center" vertical="center"/>
    </xf>
    <xf numFmtId="164" fontId="18" fillId="0" borderId="0" xfId="2" applyFont="1" applyAlignment="1">
      <alignment horizontal="center"/>
    </xf>
    <xf numFmtId="164" fontId="18" fillId="0" borderId="0" xfId="2" applyFont="1"/>
    <xf numFmtId="164" fontId="18" fillId="0" borderId="0" xfId="2" applyFont="1" applyAlignment="1">
      <alignment horizontal="left"/>
    </xf>
    <xf numFmtId="164" fontId="1" fillId="0" borderId="0" xfId="2" applyAlignment="1">
      <alignment horizontal="center"/>
    </xf>
    <xf numFmtId="164" fontId="12" fillId="0" borderId="24" xfId="2" applyFont="1" applyBorder="1" applyAlignment="1">
      <alignment horizontal="right" vertical="center"/>
    </xf>
    <xf numFmtId="166" fontId="12" fillId="0" borderId="25" xfId="2" applyNumberFormat="1" applyFont="1" applyBorder="1" applyAlignment="1" applyProtection="1">
      <alignment horizontal="center" vertical="center"/>
      <protection locked="0"/>
    </xf>
    <xf numFmtId="166" fontId="12" fillId="0" borderId="26" xfId="2" applyNumberFormat="1" applyFont="1" applyBorder="1" applyAlignment="1" applyProtection="1">
      <alignment horizontal="center" vertical="center"/>
      <protection locked="0"/>
    </xf>
    <xf numFmtId="169" fontId="12" fillId="0" borderId="25" xfId="2" applyNumberFormat="1" applyFont="1" applyBorder="1" applyAlignment="1" applyProtection="1">
      <alignment horizontal="center" vertical="center"/>
      <protection locked="0"/>
    </xf>
    <xf numFmtId="166" fontId="1" fillId="0" borderId="0" xfId="2" applyNumberFormat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20" fontId="1" fillId="0" borderId="0" xfId="2" applyNumberFormat="1"/>
    <xf numFmtId="169" fontId="12" fillId="0" borderId="26" xfId="2" applyNumberFormat="1" applyFont="1" applyBorder="1" applyAlignment="1" applyProtection="1">
      <alignment horizontal="center" vertical="center"/>
      <protection locked="0"/>
    </xf>
    <xf numFmtId="169" fontId="25" fillId="0" borderId="27" xfId="2" applyNumberFormat="1" applyFont="1" applyBorder="1" applyAlignment="1">
      <alignment horizontal="center" vertical="center"/>
    </xf>
    <xf numFmtId="2" fontId="25" fillId="0" borderId="27" xfId="2" applyNumberFormat="1" applyFont="1" applyBorder="1" applyAlignment="1">
      <alignment horizontal="center" vertical="center"/>
    </xf>
    <xf numFmtId="164" fontId="12" fillId="0" borderId="28" xfId="2" applyFont="1" applyBorder="1" applyAlignment="1">
      <alignment horizontal="right" vertical="center"/>
    </xf>
    <xf numFmtId="169" fontId="25" fillId="0" borderId="29" xfId="2" applyNumberFormat="1" applyFont="1" applyBorder="1" applyAlignment="1">
      <alignment horizontal="center" vertical="center"/>
    </xf>
    <xf numFmtId="164" fontId="26" fillId="0" borderId="28" xfId="2" applyFont="1" applyBorder="1" applyAlignment="1">
      <alignment horizontal="right" vertical="center"/>
    </xf>
    <xf numFmtId="166" fontId="12" fillId="9" borderId="6" xfId="2" applyNumberFormat="1" applyFont="1" applyFill="1" applyBorder="1" applyAlignment="1" applyProtection="1">
      <alignment horizontal="center" vertical="center"/>
      <protection locked="0"/>
    </xf>
    <xf numFmtId="164" fontId="16" fillId="0" borderId="24" xfId="2" applyFont="1" applyBorder="1" applyAlignment="1">
      <alignment horizontal="right" vertical="center"/>
    </xf>
    <xf numFmtId="166" fontId="12" fillId="10" borderId="25" xfId="2" applyNumberFormat="1" applyFont="1" applyFill="1" applyBorder="1" applyAlignment="1" applyProtection="1">
      <alignment horizontal="center" vertical="center"/>
      <protection locked="0"/>
    </xf>
    <xf numFmtId="164" fontId="16" fillId="0" borderId="30" xfId="2" applyFont="1" applyBorder="1" applyAlignment="1">
      <alignment horizontal="left" vertical="center"/>
    </xf>
    <xf numFmtId="166" fontId="16" fillId="0" borderId="31" xfId="2" applyNumberFormat="1" applyFont="1" applyBorder="1" applyAlignment="1">
      <alignment horizontal="center" vertical="center"/>
    </xf>
    <xf numFmtId="169" fontId="16" fillId="0" borderId="31" xfId="2" applyNumberFormat="1" applyFont="1" applyBorder="1" applyAlignment="1">
      <alignment horizontal="center" vertical="center"/>
    </xf>
    <xf numFmtId="164" fontId="12" fillId="0" borderId="32" xfId="2" applyFont="1" applyBorder="1" applyAlignment="1">
      <alignment horizontal="right" vertical="center"/>
    </xf>
    <xf numFmtId="164" fontId="12" fillId="0" borderId="3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 vertical="center"/>
      <protection locked="0"/>
    </xf>
    <xf numFmtId="164" fontId="12" fillId="0" borderId="34" xfId="2" applyFont="1" applyBorder="1" applyAlignment="1">
      <alignment horizontal="right" vertical="center"/>
    </xf>
    <xf numFmtId="166" fontId="12" fillId="0" borderId="18" xfId="2" applyNumberFormat="1" applyFont="1" applyBorder="1" applyAlignment="1" applyProtection="1">
      <alignment horizontal="center" vertical="center"/>
      <protection locked="0"/>
    </xf>
    <xf numFmtId="169" fontId="25" fillId="0" borderId="23" xfId="2" applyNumberFormat="1" applyFont="1" applyBorder="1" applyAlignment="1">
      <alignment horizontal="center" vertical="center"/>
    </xf>
    <xf numFmtId="164" fontId="16" fillId="0" borderId="35" xfId="2" applyFont="1" applyBorder="1" applyAlignment="1">
      <alignment horizontal="left" vertical="center"/>
    </xf>
    <xf numFmtId="164" fontId="27" fillId="0" borderId="0" xfId="2" applyFont="1"/>
    <xf numFmtId="164" fontId="12" fillId="0" borderId="36" xfId="2" applyFont="1" applyBorder="1" applyAlignment="1">
      <alignment horizontal="right" vertical="center"/>
    </xf>
    <xf numFmtId="2" fontId="26" fillId="0" borderId="37" xfId="2" applyNumberFormat="1" applyFont="1" applyBorder="1" applyAlignment="1">
      <alignment horizontal="center" vertical="center"/>
    </xf>
    <xf numFmtId="169" fontId="26" fillId="0" borderId="37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left" vertical="center"/>
    </xf>
    <xf numFmtId="169" fontId="12" fillId="0" borderId="29" xfId="2" applyNumberFormat="1" applyFont="1" applyBorder="1" applyAlignment="1">
      <alignment horizontal="center" vertical="center"/>
    </xf>
    <xf numFmtId="166" fontId="12" fillId="0" borderId="25" xfId="2" applyNumberFormat="1" applyFont="1" applyBorder="1" applyAlignment="1">
      <alignment horizontal="center" vertical="center"/>
    </xf>
    <xf numFmtId="166" fontId="12" fillId="0" borderId="6" xfId="2" applyNumberFormat="1" applyFont="1" applyBorder="1" applyAlignment="1">
      <alignment horizontal="center" vertical="center"/>
    </xf>
    <xf numFmtId="164" fontId="12" fillId="0" borderId="39" xfId="2" applyFont="1" applyBorder="1" applyAlignment="1">
      <alignment horizontal="right" vertical="center"/>
    </xf>
    <xf numFmtId="166" fontId="12" fillId="0" borderId="37" xfId="2" applyNumberFormat="1" applyFont="1" applyBorder="1" applyAlignment="1">
      <alignment horizontal="center" vertical="center"/>
    </xf>
    <xf numFmtId="169" fontId="12" fillId="0" borderId="40" xfId="2" applyNumberFormat="1" applyFont="1" applyBorder="1" applyAlignment="1">
      <alignment horizontal="center" vertical="center"/>
    </xf>
    <xf numFmtId="169" fontId="16" fillId="0" borderId="41" xfId="2" applyNumberFormat="1" applyFont="1" applyBorder="1" applyAlignment="1">
      <alignment horizontal="center" vertical="center"/>
    </xf>
    <xf numFmtId="169" fontId="12" fillId="0" borderId="27" xfId="2" applyNumberFormat="1" applyFont="1" applyBorder="1" applyAlignment="1">
      <alignment horizontal="center" vertical="center"/>
    </xf>
    <xf numFmtId="1" fontId="16" fillId="0" borderId="31" xfId="2" applyNumberFormat="1" applyFont="1" applyBorder="1" applyAlignment="1">
      <alignment horizontal="center" vertical="center"/>
    </xf>
    <xf numFmtId="164" fontId="16" fillId="11" borderId="38" xfId="2" applyFont="1" applyFill="1" applyBorder="1" applyAlignment="1">
      <alignment vertical="center" wrapText="1"/>
    </xf>
    <xf numFmtId="166" fontId="12" fillId="0" borderId="31" xfId="2" applyNumberFormat="1" applyFont="1" applyBorder="1" applyAlignment="1" applyProtection="1">
      <alignment horizontal="center" vertical="center"/>
      <protection locked="0"/>
    </xf>
    <xf numFmtId="169" fontId="25" fillId="0" borderId="40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center" vertical="center"/>
    </xf>
    <xf numFmtId="164" fontId="12" fillId="0" borderId="42" xfId="2" applyFont="1" applyBorder="1" applyAlignment="1">
      <alignment horizontal="right" vertical="center"/>
    </xf>
    <xf numFmtId="2" fontId="12" fillId="0" borderId="2" xfId="2" applyNumberFormat="1" applyFont="1" applyBorder="1" applyAlignment="1" applyProtection="1">
      <alignment horizontal="center" vertical="center"/>
      <protection locked="0"/>
    </xf>
    <xf numFmtId="169" fontId="12" fillId="0" borderId="43" xfId="2" applyNumberFormat="1" applyFont="1" applyBorder="1" applyAlignment="1">
      <alignment horizontal="center" vertical="center"/>
    </xf>
    <xf numFmtId="164" fontId="12" fillId="0" borderId="44" xfId="2" applyFont="1" applyBorder="1" applyAlignment="1">
      <alignment horizontal="right" vertical="center"/>
    </xf>
    <xf numFmtId="169" fontId="12" fillId="0" borderId="45" xfId="2" applyNumberFormat="1" applyFont="1" applyBorder="1" applyAlignment="1">
      <alignment horizontal="center" vertical="center"/>
    </xf>
    <xf numFmtId="164" fontId="12" fillId="0" borderId="46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/>
      <protection locked="0"/>
    </xf>
    <xf numFmtId="169" fontId="12" fillId="0" borderId="45" xfId="2" applyNumberFormat="1" applyFont="1" applyBorder="1" applyAlignment="1">
      <alignment horizontal="center"/>
    </xf>
    <xf numFmtId="166" fontId="12" fillId="0" borderId="8" xfId="2" applyNumberFormat="1" applyFont="1" applyBorder="1" applyAlignment="1" applyProtection="1">
      <alignment horizontal="center" vertical="center"/>
      <protection locked="0"/>
    </xf>
    <xf numFmtId="169" fontId="12" fillId="0" borderId="47" xfId="2" applyNumberFormat="1" applyFont="1" applyBorder="1" applyAlignment="1">
      <alignment horizontal="center" vertical="center"/>
    </xf>
    <xf numFmtId="164" fontId="16" fillId="0" borderId="0" xfId="2" applyFont="1" applyAlignment="1">
      <alignment horizontal="right" vertical="center"/>
    </xf>
    <xf numFmtId="164" fontId="12" fillId="0" borderId="1" xfId="2" applyFont="1" applyBorder="1" applyAlignment="1">
      <alignment vertical="center"/>
    </xf>
    <xf numFmtId="166" fontId="16" fillId="0" borderId="3" xfId="2" applyNumberFormat="1" applyFont="1" applyBorder="1" applyAlignment="1">
      <alignment horizontal="center" vertical="center"/>
    </xf>
    <xf numFmtId="169" fontId="1" fillId="0" borderId="0" xfId="2" applyNumberFormat="1"/>
    <xf numFmtId="166" fontId="12" fillId="0" borderId="48" xfId="2" applyNumberFormat="1" applyFont="1" applyBorder="1" applyAlignment="1" applyProtection="1">
      <alignment horizontal="center" vertical="center"/>
      <protection locked="0"/>
    </xf>
    <xf numFmtId="169" fontId="1" fillId="0" borderId="6" xfId="2" applyNumberFormat="1" applyBorder="1" applyAlignment="1">
      <alignment horizontal="center"/>
    </xf>
    <xf numFmtId="166" fontId="12" fillId="0" borderId="49" xfId="2" applyNumberFormat="1" applyFont="1" applyBorder="1" applyAlignment="1" applyProtection="1">
      <alignment horizontal="center" vertical="center"/>
      <protection locked="0"/>
    </xf>
    <xf numFmtId="164" fontId="12" fillId="0" borderId="50" xfId="2" applyFont="1" applyBorder="1" applyAlignment="1">
      <alignment horizontal="right" vertical="center"/>
    </xf>
    <xf numFmtId="166" fontId="12" fillId="0" borderId="51" xfId="2" applyNumberFormat="1" applyFont="1" applyBorder="1" applyAlignment="1" applyProtection="1">
      <alignment horizontal="center"/>
      <protection locked="0"/>
    </xf>
    <xf numFmtId="169" fontId="1" fillId="0" borderId="37" xfId="2" applyNumberFormat="1" applyBorder="1" applyAlignment="1">
      <alignment horizontal="center"/>
    </xf>
    <xf numFmtId="169" fontId="1" fillId="0" borderId="0" xfId="2" applyNumberFormat="1" applyAlignment="1">
      <alignment horizontal="center"/>
    </xf>
    <xf numFmtId="164" fontId="12" fillId="0" borderId="6" xfId="2" applyFont="1" applyBorder="1" applyAlignment="1">
      <alignment horizontal="right" vertical="center"/>
    </xf>
    <xf numFmtId="164" fontId="16" fillId="0" borderId="52" xfId="2" applyFont="1" applyBorder="1" applyAlignment="1">
      <alignment vertical="center"/>
    </xf>
    <xf numFmtId="164" fontId="1" fillId="0" borderId="53" xfId="2" applyBorder="1" applyAlignment="1">
      <alignment horizontal="center"/>
    </xf>
    <xf numFmtId="169" fontId="1" fillId="0" borderId="54" xfId="2" applyNumberFormat="1" applyBorder="1" applyAlignment="1">
      <alignment horizontal="center"/>
    </xf>
    <xf numFmtId="164" fontId="12" fillId="0" borderId="55" xfId="2" applyFont="1" applyBorder="1" applyAlignment="1">
      <alignment horizontal="right" vertical="center"/>
    </xf>
    <xf numFmtId="2" fontId="12" fillId="0" borderId="25" xfId="2" applyNumberFormat="1" applyFont="1" applyBorder="1" applyAlignment="1">
      <alignment horizontal="center" vertical="center"/>
    </xf>
    <xf numFmtId="2" fontId="12" fillId="0" borderId="25" xfId="2" applyNumberFormat="1" applyFont="1" applyBorder="1" applyAlignment="1" applyProtection="1">
      <alignment horizontal="center" vertical="center"/>
      <protection locked="0"/>
    </xf>
    <xf numFmtId="169" fontId="25" fillId="0" borderId="56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 applyProtection="1">
      <alignment horizontal="center" vertical="center"/>
      <protection locked="0"/>
    </xf>
    <xf numFmtId="169" fontId="25" fillId="0" borderId="57" xfId="2" applyNumberFormat="1" applyFont="1" applyBorder="1" applyAlignment="1">
      <alignment horizontal="center" vertical="center"/>
    </xf>
    <xf numFmtId="169" fontId="25" fillId="0" borderId="58" xfId="2" applyNumberFormat="1" applyFont="1" applyBorder="1" applyAlignment="1">
      <alignment horizontal="center" vertical="center"/>
    </xf>
    <xf numFmtId="2" fontId="12" fillId="0" borderId="37" xfId="2" applyNumberFormat="1" applyFont="1" applyBorder="1" applyAlignment="1">
      <alignment horizontal="center" vertical="center"/>
    </xf>
    <xf numFmtId="2" fontId="12" fillId="0" borderId="18" xfId="2" applyNumberFormat="1" applyFont="1" applyBorder="1" applyAlignment="1" applyProtection="1">
      <alignment horizontal="center" vertical="center"/>
      <protection locked="0"/>
    </xf>
    <xf numFmtId="164" fontId="12" fillId="0" borderId="35" xfId="2" applyFont="1" applyBorder="1" applyAlignment="1">
      <alignment vertical="center"/>
    </xf>
    <xf numFmtId="2" fontId="12" fillId="0" borderId="59" xfId="2" applyNumberFormat="1" applyFont="1" applyBorder="1" applyAlignment="1">
      <alignment horizontal="center" vertical="center"/>
    </xf>
    <xf numFmtId="2" fontId="12" fillId="0" borderId="31" xfId="2" applyNumberFormat="1" applyFont="1" applyBorder="1" applyAlignment="1">
      <alignment horizontal="center" vertical="center"/>
    </xf>
    <xf numFmtId="2" fontId="12" fillId="0" borderId="60" xfId="2" applyNumberFormat="1" applyFont="1" applyBorder="1" applyAlignment="1">
      <alignment horizontal="center" vertical="center"/>
    </xf>
    <xf numFmtId="169" fontId="25" fillId="0" borderId="35" xfId="2" applyNumberFormat="1" applyFont="1" applyBorder="1" applyAlignment="1">
      <alignment horizontal="center" vertical="center"/>
    </xf>
    <xf numFmtId="2" fontId="1" fillId="0" borderId="0" xfId="2" applyNumberFormat="1" applyAlignment="1">
      <alignment horizontal="center"/>
    </xf>
    <xf numFmtId="2" fontId="12" fillId="0" borderId="2" xfId="2" applyNumberFormat="1" applyFont="1" applyBorder="1" applyAlignment="1">
      <alignment horizontal="center" vertical="center"/>
    </xf>
    <xf numFmtId="169" fontId="28" fillId="0" borderId="4" xfId="2" applyNumberFormat="1" applyFont="1" applyBorder="1" applyAlignment="1">
      <alignment horizontal="center" vertical="center"/>
    </xf>
    <xf numFmtId="169" fontId="28" fillId="0" borderId="57" xfId="2" applyNumberFormat="1" applyFont="1" applyBorder="1" applyAlignment="1">
      <alignment horizontal="center" vertical="center"/>
    </xf>
    <xf numFmtId="169" fontId="28" fillId="0" borderId="58" xfId="2" applyNumberFormat="1" applyFont="1" applyBorder="1" applyAlignment="1">
      <alignment horizontal="center" vertical="center"/>
    </xf>
    <xf numFmtId="164" fontId="12" fillId="0" borderId="59" xfId="2" applyFont="1" applyBorder="1" applyAlignment="1">
      <alignment horizontal="right" vertical="center"/>
    </xf>
    <xf numFmtId="169" fontId="1" fillId="0" borderId="61" xfId="2" applyNumberFormat="1" applyBorder="1" applyAlignment="1">
      <alignment horizontal="center"/>
    </xf>
    <xf numFmtId="164" fontId="16" fillId="0" borderId="42" xfId="2" applyFont="1" applyBorder="1" applyAlignment="1">
      <alignment vertical="center"/>
    </xf>
    <xf numFmtId="2" fontId="29" fillId="0" borderId="2" xfId="2" applyNumberFormat="1" applyFont="1" applyBorder="1" applyAlignment="1">
      <alignment horizontal="center" vertical="center"/>
    </xf>
    <xf numFmtId="2" fontId="29" fillId="0" borderId="4" xfId="2" applyNumberFormat="1" applyFont="1" applyBorder="1" applyAlignment="1">
      <alignment horizontal="center" vertical="center"/>
    </xf>
    <xf numFmtId="164" fontId="16" fillId="0" borderId="55" xfId="2" applyFont="1" applyBorder="1" applyAlignment="1">
      <alignment vertical="center"/>
    </xf>
    <xf numFmtId="2" fontId="29" fillId="0" borderId="25" xfId="2" applyNumberFormat="1" applyFont="1" applyBorder="1" applyAlignment="1">
      <alignment horizontal="center" vertical="center"/>
    </xf>
    <xf numFmtId="2" fontId="29" fillId="0" borderId="56" xfId="2" applyNumberFormat="1" applyFont="1" applyBorder="1" applyAlignment="1">
      <alignment horizontal="center" vertical="center"/>
    </xf>
    <xf numFmtId="164" fontId="1" fillId="0" borderId="62" xfId="2" applyBorder="1" applyAlignment="1">
      <alignment horizontal="center"/>
    </xf>
    <xf numFmtId="164" fontId="16" fillId="0" borderId="44" xfId="2" applyFont="1" applyBorder="1" applyAlignment="1">
      <alignment vertical="center"/>
    </xf>
    <xf numFmtId="2" fontId="29" fillId="0" borderId="6" xfId="2" applyNumberFormat="1" applyFont="1" applyBorder="1" applyAlignment="1">
      <alignment horizontal="center" vertical="center"/>
    </xf>
    <xf numFmtId="2" fontId="29" fillId="0" borderId="57" xfId="2" applyNumberFormat="1" applyFont="1" applyBorder="1" applyAlignment="1">
      <alignment horizontal="center" vertical="center"/>
    </xf>
    <xf numFmtId="164" fontId="16" fillId="0" borderId="63" xfId="2" applyFont="1" applyBorder="1" applyAlignment="1">
      <alignment vertical="center"/>
    </xf>
    <xf numFmtId="2" fontId="29" fillId="0" borderId="8" xfId="2" applyNumberFormat="1" applyFont="1" applyBorder="1" applyAlignment="1">
      <alignment horizontal="center" vertical="center"/>
    </xf>
    <xf numFmtId="2" fontId="29" fillId="0" borderId="10" xfId="2" applyNumberFormat="1" applyFont="1" applyBorder="1" applyAlignment="1">
      <alignment horizontal="center" vertical="center"/>
    </xf>
    <xf numFmtId="164" fontId="12" fillId="12" borderId="6" xfId="2" applyFont="1" applyFill="1" applyBorder="1" applyAlignment="1">
      <alignment vertical="center"/>
    </xf>
    <xf numFmtId="1" fontId="1" fillId="12" borderId="6" xfId="2" applyNumberFormat="1" applyFill="1" applyBorder="1"/>
    <xf numFmtId="20" fontId="30" fillId="12" borderId="6" xfId="2" applyNumberFormat="1" applyFont="1" applyFill="1" applyBorder="1" applyAlignment="1">
      <alignment horizontal="center"/>
    </xf>
    <xf numFmtId="164" fontId="1" fillId="0" borderId="0" xfId="2" applyAlignment="1">
      <alignment horizontal="left"/>
    </xf>
    <xf numFmtId="164" fontId="31" fillId="14" borderId="0" xfId="2" applyFont="1" applyFill="1"/>
    <xf numFmtId="164" fontId="1" fillId="15" borderId="0" xfId="2" applyFill="1" applyProtection="1">
      <protection locked="0"/>
    </xf>
    <xf numFmtId="164" fontId="16" fillId="0" borderId="0" xfId="2" applyFont="1" applyAlignment="1">
      <alignment vertical="top" wrapText="1"/>
    </xf>
    <xf numFmtId="20" fontId="12" fillId="0" borderId="37" xfId="2" applyNumberFormat="1" applyFont="1" applyBorder="1" applyAlignment="1">
      <alignment vertical="center"/>
    </xf>
    <xf numFmtId="167" fontId="12" fillId="0" borderId="64" xfId="2" applyNumberFormat="1" applyFont="1" applyBorder="1" applyAlignment="1">
      <alignment vertical="center"/>
    </xf>
    <xf numFmtId="167" fontId="12" fillId="0" borderId="37" xfId="2" applyNumberFormat="1" applyFont="1" applyBorder="1" applyAlignment="1">
      <alignment vertical="center"/>
    </xf>
    <xf numFmtId="167" fontId="12" fillId="0" borderId="19" xfId="2" applyNumberFormat="1" applyFont="1" applyBorder="1" applyAlignment="1">
      <alignment vertical="center"/>
    </xf>
    <xf numFmtId="1" fontId="1" fillId="0" borderId="0" xfId="2" applyNumberFormat="1" applyAlignment="1">
      <alignment horizontal="center"/>
    </xf>
    <xf numFmtId="165" fontId="1" fillId="15" borderId="0" xfId="2" applyNumberFormat="1" applyFill="1" applyProtection="1">
      <protection locked="0"/>
    </xf>
    <xf numFmtId="164" fontId="1" fillId="0" borderId="6" xfId="2" applyBorder="1"/>
    <xf numFmtId="166" fontId="1" fillId="0" borderId="6" xfId="2" applyNumberFormat="1" applyBorder="1" applyAlignment="1">
      <alignment horizontal="center"/>
    </xf>
    <xf numFmtId="2" fontId="1" fillId="0" borderId="6" xfId="2" applyNumberFormat="1" applyBorder="1" applyAlignment="1">
      <alignment horizontal="center"/>
    </xf>
    <xf numFmtId="166" fontId="12" fillId="16" borderId="25" xfId="2" applyNumberFormat="1" applyFont="1" applyFill="1" applyBorder="1" applyAlignment="1" applyProtection="1">
      <alignment horizontal="center" vertical="center"/>
      <protection locked="0"/>
    </xf>
    <xf numFmtId="166" fontId="12" fillId="16" borderId="6" xfId="2" applyNumberFormat="1" applyFont="1" applyFill="1" applyBorder="1" applyAlignment="1" applyProtection="1">
      <alignment horizontal="center" vertical="center"/>
      <protection locked="0"/>
    </xf>
    <xf numFmtId="166" fontId="12" fillId="16" borderId="18" xfId="2" applyNumberFormat="1" applyFont="1" applyFill="1" applyBorder="1" applyAlignment="1" applyProtection="1">
      <alignment horizontal="center" vertical="center"/>
      <protection locked="0"/>
    </xf>
    <xf numFmtId="20" fontId="1" fillId="0" borderId="65" xfId="2" applyNumberFormat="1" applyBorder="1"/>
    <xf numFmtId="166" fontId="12" fillId="0" borderId="2" xfId="2" applyNumberFormat="1" applyFont="1" applyBorder="1" applyAlignment="1" applyProtection="1">
      <alignment horizontal="center" vertical="center"/>
      <protection locked="0"/>
    </xf>
    <xf numFmtId="166" fontId="12" fillId="0" borderId="4" xfId="2" applyNumberFormat="1" applyFont="1" applyBorder="1" applyAlignment="1" applyProtection="1">
      <alignment horizontal="center" vertical="center"/>
      <protection locked="0"/>
    </xf>
    <xf numFmtId="164" fontId="0" fillId="0" borderId="5" xfId="2" applyFont="1" applyBorder="1"/>
    <xf numFmtId="166" fontId="12" fillId="0" borderId="57" xfId="2" applyNumberFormat="1" applyFont="1" applyBorder="1" applyAlignment="1" applyProtection="1">
      <alignment horizontal="center" vertical="center"/>
      <protection locked="0"/>
    </xf>
    <xf numFmtId="164" fontId="1" fillId="0" borderId="5" xfId="2" applyBorder="1"/>
    <xf numFmtId="164" fontId="1" fillId="0" borderId="52" xfId="2" applyBorder="1"/>
    <xf numFmtId="166" fontId="12" fillId="0" borderId="10" xfId="2" applyNumberFormat="1" applyFont="1" applyBorder="1" applyAlignment="1" applyProtection="1">
      <alignment horizontal="center" vertical="center"/>
      <protection locked="0"/>
    </xf>
    <xf numFmtId="164" fontId="2" fillId="11" borderId="0" xfId="2" applyFont="1" applyFill="1"/>
    <xf numFmtId="166" fontId="12" fillId="0" borderId="49" xfId="2" applyNumberFormat="1" applyFont="1" applyBorder="1" applyAlignment="1">
      <alignment horizontal="center" vertical="center"/>
    </xf>
    <xf numFmtId="166" fontId="12" fillId="11" borderId="66" xfId="2" applyNumberFormat="1" applyFont="1" applyFill="1" applyBorder="1" applyAlignment="1" applyProtection="1">
      <alignment horizontal="center" vertical="center"/>
      <protection locked="0"/>
    </xf>
    <xf numFmtId="164" fontId="18" fillId="0" borderId="0" xfId="2" applyFont="1" applyAlignment="1">
      <alignment horizontal="left" wrapText="1"/>
    </xf>
    <xf numFmtId="164" fontId="18" fillId="0" borderId="0" xfId="2" applyFont="1" applyAlignment="1">
      <alignment wrapText="1"/>
    </xf>
    <xf numFmtId="164" fontId="1" fillId="0" borderId="0" xfId="2" applyAlignment="1">
      <alignment wrapText="1"/>
    </xf>
    <xf numFmtId="164" fontId="1" fillId="0" borderId="0" xfId="2" applyAlignment="1">
      <alignment horizontal="center" vertical="center" wrapText="1"/>
    </xf>
    <xf numFmtId="165" fontId="14" fillId="0" borderId="0" xfId="2" applyNumberFormat="1" applyFont="1" applyAlignment="1">
      <alignment wrapText="1"/>
    </xf>
    <xf numFmtId="164" fontId="1" fillId="0" borderId="0" xfId="2" applyAlignment="1">
      <alignment horizontal="center" wrapText="1"/>
    </xf>
    <xf numFmtId="166" fontId="26" fillId="17" borderId="6" xfId="2" applyNumberFormat="1" applyFont="1" applyFill="1" applyBorder="1" applyAlignment="1" applyProtection="1">
      <alignment horizontal="center"/>
      <protection locked="0"/>
    </xf>
    <xf numFmtId="166" fontId="12" fillId="0" borderId="6" xfId="2" quotePrefix="1" applyNumberFormat="1" applyFont="1" applyBorder="1" applyAlignment="1" applyProtection="1">
      <alignment horizontal="center"/>
      <protection locked="0"/>
    </xf>
    <xf numFmtId="0" fontId="0" fillId="0" borderId="6" xfId="0" applyBorder="1"/>
    <xf numFmtId="164" fontId="12" fillId="0" borderId="12" xfId="2" quotePrefix="1" applyFont="1" applyBorder="1" applyAlignment="1">
      <alignment horizontal="center" vertical="center"/>
    </xf>
    <xf numFmtId="166" fontId="12" fillId="0" borderId="2" xfId="2" quotePrefix="1" applyNumberFormat="1" applyFont="1" applyBorder="1" applyAlignment="1" applyProtection="1">
      <alignment horizontal="center" vertical="center"/>
      <protection locked="0"/>
    </xf>
    <xf numFmtId="166" fontId="37" fillId="0" borderId="25" xfId="2" applyNumberFormat="1" applyFont="1" applyBorder="1" applyAlignment="1" applyProtection="1">
      <alignment horizontal="center" vertical="center"/>
      <protection locked="0"/>
    </xf>
    <xf numFmtId="164" fontId="4" fillId="0" borderId="0" xfId="2" applyFont="1" applyAlignment="1">
      <alignment horizontal="center" vertical="center" wrapText="1"/>
    </xf>
    <xf numFmtId="164" fontId="5" fillId="2" borderId="0" xfId="2" applyFont="1" applyFill="1" applyAlignment="1">
      <alignment horizontal="center" vertical="center"/>
    </xf>
    <xf numFmtId="164" fontId="4" fillId="0" borderId="1" xfId="2" applyFont="1" applyBorder="1" applyAlignment="1">
      <alignment horizontal="center" vertical="center"/>
    </xf>
    <xf numFmtId="164" fontId="4" fillId="0" borderId="7" xfId="2" applyFont="1" applyBorder="1" applyAlignment="1">
      <alignment horizontal="center" vertical="center"/>
    </xf>
    <xf numFmtId="164" fontId="4" fillId="0" borderId="3" xfId="2" applyFont="1" applyBorder="1" applyAlignment="1">
      <alignment horizontal="center" vertical="center"/>
    </xf>
    <xf numFmtId="164" fontId="4" fillId="0" borderId="9" xfId="2" applyFont="1" applyBorder="1" applyAlignment="1">
      <alignment horizontal="center" vertical="center"/>
    </xf>
    <xf numFmtId="164" fontId="1" fillId="0" borderId="5" xfId="2" applyBorder="1" applyAlignment="1">
      <alignment horizontal="center" textRotation="90"/>
    </xf>
    <xf numFmtId="164" fontId="15" fillId="4" borderId="11" xfId="2" applyFont="1" applyFill="1" applyBorder="1" applyAlignment="1">
      <alignment horizontal="left" vertical="center"/>
    </xf>
    <xf numFmtId="164" fontId="15" fillId="4" borderId="11" xfId="2" applyFont="1" applyFill="1" applyBorder="1" applyAlignment="1">
      <alignment horizontal="center" vertical="center"/>
    </xf>
    <xf numFmtId="2" fontId="22" fillId="0" borderId="13" xfId="2" applyNumberFormat="1" applyFont="1" applyBorder="1" applyAlignment="1">
      <alignment horizontal="center" vertical="center"/>
    </xf>
    <xf numFmtId="2" fontId="22" fillId="0" borderId="14" xfId="2" applyNumberFormat="1" applyFont="1" applyBorder="1" applyAlignment="1">
      <alignment horizontal="center" vertical="center"/>
    </xf>
    <xf numFmtId="2" fontId="22" fillId="0" borderId="15" xfId="2" applyNumberFormat="1" applyFont="1" applyBorder="1" applyAlignment="1">
      <alignment horizontal="center" vertical="center"/>
    </xf>
    <xf numFmtId="2" fontId="23" fillId="0" borderId="13" xfId="2" applyNumberFormat="1" applyFont="1" applyBorder="1" applyAlignment="1">
      <alignment horizontal="center" vertical="center"/>
    </xf>
    <xf numFmtId="2" fontId="23" fillId="0" borderId="14" xfId="2" applyNumberFormat="1" applyFont="1" applyBorder="1" applyAlignment="1">
      <alignment horizontal="center" vertical="center"/>
    </xf>
    <xf numFmtId="2" fontId="23" fillId="0" borderId="15" xfId="2" applyNumberFormat="1" applyFont="1" applyBorder="1" applyAlignment="1">
      <alignment horizontal="center" vertical="center"/>
    </xf>
    <xf numFmtId="167" fontId="12" fillId="7" borderId="19" xfId="2" applyNumberFormat="1" applyFont="1" applyFill="1" applyBorder="1" applyAlignment="1">
      <alignment horizontal="center" vertical="center"/>
    </xf>
    <xf numFmtId="167" fontId="12" fillId="7" borderId="22" xfId="2" applyNumberFormat="1" applyFont="1" applyFill="1" applyBorder="1" applyAlignment="1">
      <alignment horizontal="center" vertical="center"/>
    </xf>
    <xf numFmtId="164" fontId="16" fillId="0" borderId="17" xfId="2" applyFont="1" applyBorder="1" applyAlignment="1">
      <alignment horizontal="left" vertical="top" wrapText="1"/>
    </xf>
    <xf numFmtId="164" fontId="16" fillId="0" borderId="21" xfId="2" applyFont="1" applyBorder="1" applyAlignment="1">
      <alignment horizontal="left" vertical="top" wrapText="1"/>
    </xf>
    <xf numFmtId="167" fontId="12" fillId="0" borderId="18" xfId="2" applyNumberFormat="1" applyFont="1" applyBorder="1" applyAlignment="1">
      <alignment horizontal="center" vertical="center"/>
    </xf>
    <xf numFmtId="167" fontId="12" fillId="0" borderId="22" xfId="2" applyNumberFormat="1" applyFont="1" applyBorder="1" applyAlignment="1">
      <alignment horizontal="center" vertical="center"/>
    </xf>
    <xf numFmtId="167" fontId="12" fillId="0" borderId="19" xfId="2" applyNumberFormat="1" applyFont="1" applyBorder="1" applyAlignment="1">
      <alignment horizontal="center" vertical="center"/>
    </xf>
    <xf numFmtId="168" fontId="24" fillId="8" borderId="20" xfId="2" applyNumberFormat="1" applyFont="1" applyFill="1" applyBorder="1" applyAlignment="1">
      <alignment horizontal="center" vertical="center" wrapText="1"/>
    </xf>
    <xf numFmtId="168" fontId="24" fillId="8" borderId="23" xfId="2" applyNumberFormat="1" applyFont="1" applyFill="1" applyBorder="1" applyAlignment="1">
      <alignment horizontal="center" vertical="center" wrapText="1"/>
    </xf>
    <xf numFmtId="164" fontId="31" fillId="13" borderId="0" xfId="2" applyFont="1" applyFill="1" applyAlignment="1">
      <alignment horizontal="center"/>
    </xf>
    <xf numFmtId="166" fontId="16" fillId="11" borderId="67" xfId="2" applyNumberFormat="1" applyFont="1" applyFill="1" applyBorder="1" applyAlignment="1">
      <alignment horizontal="center" vertical="center"/>
    </xf>
    <xf numFmtId="166" fontId="16" fillId="11" borderId="68" xfId="2" applyNumberFormat="1" applyFont="1" applyFill="1" applyBorder="1" applyAlignment="1">
      <alignment horizontal="center" vertical="center"/>
    </xf>
    <xf numFmtId="167" fontId="12" fillId="0" borderId="18" xfId="2" applyNumberFormat="1" applyFont="1" applyBorder="1" applyAlignment="1">
      <alignment horizontal="center" vertical="center" wrapText="1"/>
    </xf>
    <xf numFmtId="167" fontId="12" fillId="0" borderId="22" xfId="2" applyNumberFormat="1" applyFont="1" applyBorder="1" applyAlignment="1">
      <alignment horizontal="center" vertical="center" wrapText="1"/>
    </xf>
    <xf numFmtId="167" fontId="12" fillId="7" borderId="19" xfId="2" applyNumberFormat="1" applyFont="1" applyFill="1" applyBorder="1" applyAlignment="1">
      <alignment horizontal="center" vertical="center" wrapText="1"/>
    </xf>
    <xf numFmtId="167" fontId="12" fillId="7" borderId="22" xfId="2" applyNumberFormat="1" applyFont="1" applyFill="1" applyBorder="1" applyAlignment="1">
      <alignment horizontal="center" vertical="center" wrapText="1"/>
    </xf>
    <xf numFmtId="167" fontId="12" fillId="0" borderId="19" xfId="2" applyNumberFormat="1" applyFont="1" applyBorder="1" applyAlignment="1">
      <alignment horizontal="center" vertical="center" wrapText="1"/>
    </xf>
    <xf numFmtId="167" fontId="12" fillId="7" borderId="18" xfId="2" applyNumberFormat="1" applyFont="1" applyFill="1" applyBorder="1" applyAlignment="1">
      <alignment horizontal="center" vertical="center"/>
    </xf>
  </cellXfs>
  <cellStyles count="7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Normal 2 3" xfId="4" xr:uid="{00000000-0005-0000-0000-000004000000}"/>
    <cellStyle name="Normal 2 4" xfId="5" xr:uid="{00000000-0005-0000-0000-000005000000}"/>
    <cellStyle name="Normal 2_4" xfId="6" xr:uid="{00000000-0005-0000-0000-000006000000}"/>
  </cellStyles>
  <dxfs count="6573"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421888"/>
        <c:axId val="320423808"/>
      </c:lineChart>
      <c:catAx>
        <c:axId val="3204218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423808"/>
        <c:crosses val="autoZero"/>
        <c:auto val="1"/>
        <c:lblAlgn val="ctr"/>
        <c:lblOffset val="100"/>
        <c:noMultiLvlLbl val="0"/>
      </c:catAx>
      <c:valAx>
        <c:axId val="320423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42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905216"/>
        <c:axId val="320907136"/>
      </c:lineChart>
      <c:catAx>
        <c:axId val="3209052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07136"/>
        <c:crosses val="autoZero"/>
        <c:auto val="1"/>
        <c:lblAlgn val="ctr"/>
        <c:lblOffset val="100"/>
        <c:noMultiLvlLbl val="0"/>
      </c:catAx>
      <c:valAx>
        <c:axId val="320907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0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'3'!$U$241:$AX$241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400832"/>
        <c:axId val="321402752"/>
      </c:lineChart>
      <c:catAx>
        <c:axId val="3214008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402752"/>
        <c:crosses val="autoZero"/>
        <c:auto val="1"/>
        <c:lblAlgn val="ctr"/>
        <c:lblOffset val="100"/>
        <c:noMultiLvlLbl val="0"/>
      </c:catAx>
      <c:valAx>
        <c:axId val="3214027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40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2548480"/>
        <c:axId val="322550400"/>
      </c:lineChart>
      <c:catAx>
        <c:axId val="3225484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550400"/>
        <c:crosses val="autoZero"/>
        <c:auto val="1"/>
        <c:lblAlgn val="ctr"/>
        <c:lblOffset val="100"/>
        <c:noMultiLvlLbl val="0"/>
      </c:catAx>
      <c:valAx>
        <c:axId val="3225504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54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2656512"/>
        <c:axId val="322675072"/>
      </c:lineChart>
      <c:catAx>
        <c:axId val="3226565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675072"/>
        <c:crosses val="autoZero"/>
        <c:auto val="1"/>
        <c:lblAlgn val="ctr"/>
        <c:lblOffset val="100"/>
        <c:noMultiLvlLbl val="0"/>
      </c:catAx>
      <c:valAx>
        <c:axId val="322675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65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3392256"/>
        <c:axId val="323394176"/>
      </c:lineChart>
      <c:catAx>
        <c:axId val="3233922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394176"/>
        <c:crosses val="autoZero"/>
        <c:auto val="1"/>
        <c:lblAlgn val="ctr"/>
        <c:lblOffset val="100"/>
        <c:noMultiLvlLbl val="0"/>
      </c:catAx>
      <c:valAx>
        <c:axId val="323394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39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386816"/>
        <c:axId val="324388736"/>
      </c:lineChart>
      <c:catAx>
        <c:axId val="32438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388736"/>
        <c:crosses val="autoZero"/>
        <c:auto val="1"/>
        <c:lblAlgn val="ctr"/>
        <c:lblOffset val="100"/>
        <c:noMultiLvlLbl val="0"/>
      </c:catAx>
      <c:valAx>
        <c:axId val="324388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38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598784"/>
        <c:axId val="325219456"/>
      </c:lineChart>
      <c:catAx>
        <c:axId val="324598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219456"/>
        <c:crosses val="autoZero"/>
        <c:auto val="1"/>
        <c:lblAlgn val="ctr"/>
        <c:lblOffset val="100"/>
        <c:noMultiLvlLbl val="0"/>
      </c:catAx>
      <c:valAx>
        <c:axId val="3252194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59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286144"/>
        <c:axId val="325292416"/>
      </c:lineChart>
      <c:catAx>
        <c:axId val="325286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292416"/>
        <c:crosses val="autoZero"/>
        <c:auto val="1"/>
        <c:lblAlgn val="ctr"/>
        <c:lblOffset val="100"/>
        <c:noMultiLvlLbl val="0"/>
      </c:catAx>
      <c:valAx>
        <c:axId val="325292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28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735360"/>
        <c:axId val="326737280"/>
      </c:lineChart>
      <c:catAx>
        <c:axId val="326735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737280"/>
        <c:crosses val="autoZero"/>
        <c:auto val="1"/>
        <c:lblAlgn val="ctr"/>
        <c:lblOffset val="100"/>
        <c:noMultiLvlLbl val="0"/>
      </c:catAx>
      <c:valAx>
        <c:axId val="3267372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73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7554176"/>
        <c:axId val="327556096"/>
      </c:lineChart>
      <c:catAx>
        <c:axId val="3275541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56096"/>
        <c:crosses val="autoZero"/>
        <c:auto val="1"/>
        <c:lblAlgn val="ctr"/>
        <c:lblOffset val="100"/>
        <c:noMultiLvlLbl val="0"/>
      </c:catAx>
      <c:valAx>
        <c:axId val="3275560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5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7930240"/>
        <c:axId val="327932160"/>
      </c:lineChart>
      <c:catAx>
        <c:axId val="3279302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32160"/>
        <c:crosses val="autoZero"/>
        <c:auto val="1"/>
        <c:lblAlgn val="ctr"/>
        <c:lblOffset val="100"/>
        <c:noMultiLvlLbl val="0"/>
      </c:catAx>
      <c:valAx>
        <c:axId val="3279321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3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489216"/>
        <c:axId val="324491136"/>
      </c:lineChart>
      <c:catAx>
        <c:axId val="3244892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491136"/>
        <c:crosses val="autoZero"/>
        <c:auto val="1"/>
        <c:lblAlgn val="ctr"/>
        <c:lblOffset val="100"/>
        <c:noMultiLvlLbl val="0"/>
      </c:catAx>
      <c:valAx>
        <c:axId val="324491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48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244032"/>
        <c:axId val="323225088"/>
      </c:lineChart>
      <c:catAx>
        <c:axId val="3292440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225088"/>
        <c:crosses val="autoZero"/>
        <c:auto val="1"/>
        <c:lblAlgn val="ctr"/>
        <c:lblOffset val="100"/>
        <c:noMultiLvlLbl val="0"/>
      </c:catAx>
      <c:valAx>
        <c:axId val="3232250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24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620288"/>
        <c:axId val="328638848"/>
      </c:lineChart>
      <c:catAx>
        <c:axId val="328620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38848"/>
        <c:crosses val="autoZero"/>
        <c:auto val="1"/>
        <c:lblAlgn val="ctr"/>
        <c:lblOffset val="100"/>
        <c:noMultiLvlLbl val="0"/>
      </c:catAx>
      <c:valAx>
        <c:axId val="3286388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2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495872"/>
        <c:axId val="329785344"/>
      </c:lineChart>
      <c:catAx>
        <c:axId val="330495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785344"/>
        <c:crosses val="autoZero"/>
        <c:auto val="1"/>
        <c:lblAlgn val="ctr"/>
        <c:lblOffset val="100"/>
        <c:noMultiLvlLbl val="0"/>
      </c:catAx>
      <c:valAx>
        <c:axId val="329785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49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065600"/>
        <c:axId val="325849472"/>
      </c:lineChart>
      <c:catAx>
        <c:axId val="331065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49472"/>
        <c:crosses val="autoZero"/>
        <c:auto val="1"/>
        <c:lblAlgn val="ctr"/>
        <c:lblOffset val="100"/>
        <c:noMultiLvlLbl val="0"/>
      </c:catAx>
      <c:valAx>
        <c:axId val="3258494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06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118848"/>
        <c:axId val="331125120"/>
      </c:lineChart>
      <c:catAx>
        <c:axId val="331118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25120"/>
        <c:crosses val="autoZero"/>
        <c:auto val="1"/>
        <c:lblAlgn val="ctr"/>
        <c:lblOffset val="100"/>
        <c:noMultiLvlLbl val="0"/>
      </c:catAx>
      <c:valAx>
        <c:axId val="331125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1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687424"/>
        <c:axId val="331689344"/>
      </c:lineChart>
      <c:catAx>
        <c:axId val="3316874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689344"/>
        <c:crosses val="autoZero"/>
        <c:auto val="1"/>
        <c:lblAlgn val="ctr"/>
        <c:lblOffset val="100"/>
        <c:noMultiLvlLbl val="0"/>
      </c:catAx>
      <c:valAx>
        <c:axId val="331689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68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453376"/>
        <c:axId val="332455296"/>
      </c:lineChart>
      <c:catAx>
        <c:axId val="3324533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455296"/>
        <c:crosses val="autoZero"/>
        <c:auto val="1"/>
        <c:lblAlgn val="ctr"/>
        <c:lblOffset val="100"/>
        <c:noMultiLvlLbl val="0"/>
      </c:catAx>
      <c:valAx>
        <c:axId val="332455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45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315072"/>
        <c:axId val="329316992"/>
      </c:lineChart>
      <c:catAx>
        <c:axId val="329315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16992"/>
        <c:crosses val="autoZero"/>
        <c:auto val="1"/>
        <c:lblAlgn val="ctr"/>
        <c:lblOffset val="100"/>
        <c:noMultiLvlLbl val="0"/>
      </c:catAx>
      <c:valAx>
        <c:axId val="3293169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1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810304"/>
        <c:axId val="333812480"/>
      </c:lineChart>
      <c:catAx>
        <c:axId val="3338103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12480"/>
        <c:crosses val="autoZero"/>
        <c:auto val="1"/>
        <c:lblAlgn val="ctr"/>
        <c:lblOffset val="100"/>
        <c:noMultiLvlLbl val="0"/>
      </c:catAx>
      <c:valAx>
        <c:axId val="333812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1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095680"/>
        <c:axId val="335101952"/>
      </c:lineChart>
      <c:catAx>
        <c:axId val="335095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01952"/>
        <c:crosses val="autoZero"/>
        <c:auto val="1"/>
        <c:lblAlgn val="ctr"/>
        <c:lblOffset val="100"/>
        <c:noMultiLvlLbl val="0"/>
      </c:catAx>
      <c:valAx>
        <c:axId val="3351019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09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495744"/>
        <c:axId val="334497664"/>
      </c:lineChart>
      <c:catAx>
        <c:axId val="3344957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497664"/>
        <c:crosses val="autoZero"/>
        <c:auto val="1"/>
        <c:lblAlgn val="ctr"/>
        <c:lblOffset val="100"/>
        <c:noMultiLvlLbl val="0"/>
      </c:catAx>
      <c:valAx>
        <c:axId val="3344976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49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501504"/>
        <c:axId val="330520064"/>
      </c:lineChart>
      <c:catAx>
        <c:axId val="3305015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20064"/>
        <c:crosses val="autoZero"/>
        <c:auto val="1"/>
        <c:lblAlgn val="ctr"/>
        <c:lblOffset val="100"/>
        <c:noMultiLvlLbl val="0"/>
      </c:catAx>
      <c:valAx>
        <c:axId val="3305200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0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558080"/>
        <c:axId val="334545664"/>
      </c:lineChart>
      <c:catAx>
        <c:axId val="3305580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545664"/>
        <c:crosses val="autoZero"/>
        <c:auto val="1"/>
        <c:lblAlgn val="ctr"/>
        <c:lblOffset val="100"/>
        <c:noMultiLvlLbl val="0"/>
      </c:catAx>
      <c:valAx>
        <c:axId val="3345456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5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192256"/>
        <c:axId val="338198528"/>
      </c:lineChart>
      <c:catAx>
        <c:axId val="3381922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198528"/>
        <c:crosses val="autoZero"/>
        <c:auto val="1"/>
        <c:lblAlgn val="ctr"/>
        <c:lblOffset val="100"/>
        <c:noMultiLvlLbl val="0"/>
      </c:catAx>
      <c:valAx>
        <c:axId val="3381985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19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687104"/>
        <c:axId val="338689024"/>
      </c:lineChart>
      <c:catAx>
        <c:axId val="338687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689024"/>
        <c:crosses val="autoZero"/>
        <c:auto val="1"/>
        <c:lblAlgn val="ctr"/>
        <c:lblOffset val="100"/>
        <c:noMultiLvlLbl val="0"/>
      </c:catAx>
      <c:valAx>
        <c:axId val="338689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68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194368"/>
        <c:axId val="333196288"/>
      </c:lineChart>
      <c:catAx>
        <c:axId val="3331943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96288"/>
        <c:crosses val="autoZero"/>
        <c:auto val="1"/>
        <c:lblAlgn val="ctr"/>
        <c:lblOffset val="100"/>
        <c:noMultiLvlLbl val="0"/>
      </c:catAx>
      <c:valAx>
        <c:axId val="3331962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9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377984"/>
        <c:axId val="340379904"/>
      </c:lineChart>
      <c:catAx>
        <c:axId val="3403779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379904"/>
        <c:crosses val="autoZero"/>
        <c:auto val="1"/>
        <c:lblAlgn val="ctr"/>
        <c:lblOffset val="100"/>
        <c:noMultiLvlLbl val="0"/>
      </c:catAx>
      <c:valAx>
        <c:axId val="340379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37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644416"/>
        <c:axId val="339646336"/>
      </c:lineChart>
      <c:catAx>
        <c:axId val="339644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46336"/>
        <c:crosses val="autoZero"/>
        <c:auto val="1"/>
        <c:lblAlgn val="ctr"/>
        <c:lblOffset val="100"/>
        <c:noMultiLvlLbl val="0"/>
      </c:catAx>
      <c:valAx>
        <c:axId val="339646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4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462016"/>
        <c:axId val="341468288"/>
      </c:lineChart>
      <c:catAx>
        <c:axId val="341462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68288"/>
        <c:crosses val="autoZero"/>
        <c:auto val="1"/>
        <c:lblAlgn val="ctr"/>
        <c:lblOffset val="100"/>
        <c:noMultiLvlLbl val="0"/>
      </c:catAx>
      <c:valAx>
        <c:axId val="3414682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6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9-04%20Shraw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ample_new"/>
      <sheetName val="Sheet7"/>
      <sheetName val="Sheet8"/>
      <sheetName val="Sheet9"/>
      <sheetName val="Sheet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>
        <row r="233">
          <cell r="A233" t="str">
            <v>IPP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74"/>
  <sheetViews>
    <sheetView zoomScaleNormal="100" workbookViewId="0">
      <pane xSplit="1" ySplit="10" topLeftCell="B81" activePane="bottomRight" state="frozen"/>
      <selection activeCell="AF88" sqref="AF88"/>
      <selection pane="topRight" activeCell="AF88" sqref="AF88"/>
      <selection pane="bottomLeft" activeCell="AF88" sqref="AF88"/>
      <selection pane="bottomRight" activeCell="X90" sqref="F90:X9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2079/09/1</v>
      </c>
      <c r="C4" s="197"/>
      <c r="D4" s="197"/>
      <c r="E4" s="198" t="str">
        <f ca="1">IFERROR([1]!DateBStoAD(B4),"")</f>
        <v/>
      </c>
      <c r="F4" s="198"/>
      <c r="G4" s="198"/>
      <c r="H4" s="198" t="str">
        <f ca="1">TEXT(E4,"dddd")</f>
        <v/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157</v>
      </c>
      <c r="C5" s="30">
        <f t="shared" si="0"/>
        <v>171</v>
      </c>
      <c r="D5" s="30">
        <f t="shared" si="0"/>
        <v>178</v>
      </c>
      <c r="E5" s="30">
        <f t="shared" si="0"/>
        <v>173</v>
      </c>
      <c r="F5" s="30">
        <f t="shared" si="0"/>
        <v>171.8</v>
      </c>
      <c r="G5" s="30">
        <f t="shared" si="0"/>
        <v>178.3</v>
      </c>
      <c r="H5" s="30">
        <f t="shared" si="0"/>
        <v>91</v>
      </c>
      <c r="I5" s="30">
        <f t="shared" si="0"/>
        <v>54.9</v>
      </c>
      <c r="J5" s="30">
        <f t="shared" si="0"/>
        <v>0</v>
      </c>
      <c r="K5" s="30">
        <f t="shared" si="0"/>
        <v>0</v>
      </c>
      <c r="L5" s="30">
        <f t="shared" si="0"/>
        <v>45</v>
      </c>
      <c r="M5" s="30">
        <f t="shared" si="0"/>
        <v>48.6</v>
      </c>
      <c r="N5" s="30">
        <f t="shared" si="0"/>
        <v>64</v>
      </c>
      <c r="O5" s="30">
        <f t="shared" si="0"/>
        <v>184.4</v>
      </c>
      <c r="P5" s="30">
        <f t="shared" si="0"/>
        <v>215</v>
      </c>
      <c r="Q5" s="30">
        <f t="shared" si="0"/>
        <v>218</v>
      </c>
      <c r="R5" s="30">
        <f t="shared" si="0"/>
        <v>239.8</v>
      </c>
      <c r="S5" s="30">
        <f t="shared" si="0"/>
        <v>242.3</v>
      </c>
      <c r="T5" s="30">
        <f t="shared" si="0"/>
        <v>221</v>
      </c>
      <c r="U5" s="30">
        <f t="shared" si="0"/>
        <v>52.900000000000006</v>
      </c>
      <c r="V5" s="30">
        <f t="shared" si="0"/>
        <v>45.6</v>
      </c>
      <c r="W5" s="30">
        <f t="shared" si="0"/>
        <v>45.1</v>
      </c>
      <c r="X5" s="30">
        <f t="shared" si="0"/>
        <v>45</v>
      </c>
      <c r="Y5" s="30">
        <f t="shared" si="0"/>
        <v>46</v>
      </c>
      <c r="Z5" s="30">
        <f t="shared" si="0"/>
        <v>40.299999999999997</v>
      </c>
      <c r="AA5" s="30">
        <f t="shared" si="0"/>
        <v>0</v>
      </c>
      <c r="AB5" s="30">
        <f t="shared" si="0"/>
        <v>52</v>
      </c>
      <c r="AC5" s="30">
        <f t="shared" si="0"/>
        <v>51.99</v>
      </c>
      <c r="AD5" s="30">
        <f t="shared" si="0"/>
        <v>59</v>
      </c>
      <c r="AE5" s="30">
        <f t="shared" si="0"/>
        <v>48</v>
      </c>
      <c r="AF5" s="30">
        <f>B78</f>
        <v>165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1640MW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Load=940</v>
      </c>
      <c r="B7" s="35">
        <f t="shared" ref="B7:AF7" si="1">B85</f>
        <v>952.84000000000015</v>
      </c>
      <c r="C7" s="35">
        <f t="shared" si="1"/>
        <v>944.84000000000015</v>
      </c>
      <c r="D7" s="35">
        <f t="shared" si="1"/>
        <v>939.84000000000015</v>
      </c>
      <c r="E7" s="35">
        <f t="shared" si="1"/>
        <v>953.83999999999992</v>
      </c>
      <c r="F7" s="35">
        <f t="shared" si="1"/>
        <v>973.33999999999992</v>
      </c>
      <c r="G7" s="35">
        <f t="shared" si="1"/>
        <v>992.13999999999987</v>
      </c>
      <c r="H7" s="35">
        <f t="shared" si="1"/>
        <v>1031.6399999999999</v>
      </c>
      <c r="I7" s="35">
        <f t="shared" si="1"/>
        <v>1185.8400000000001</v>
      </c>
      <c r="J7" s="35">
        <f t="shared" si="1"/>
        <v>1171.1400000000001</v>
      </c>
      <c r="K7" s="35">
        <f t="shared" si="1"/>
        <v>1524.54</v>
      </c>
      <c r="L7" s="35">
        <f t="shared" si="1"/>
        <v>1538.04</v>
      </c>
      <c r="M7" s="35">
        <f t="shared" si="1"/>
        <v>1640.1399999999999</v>
      </c>
      <c r="N7" s="35">
        <f t="shared" si="1"/>
        <v>1591.44</v>
      </c>
      <c r="O7" s="35">
        <f t="shared" si="1"/>
        <v>1454.54</v>
      </c>
      <c r="P7" s="35">
        <f t="shared" si="1"/>
        <v>1344.8400000000001</v>
      </c>
      <c r="Q7" s="35">
        <f t="shared" si="1"/>
        <v>1307.44</v>
      </c>
      <c r="R7" s="35">
        <f t="shared" si="1"/>
        <v>1259.93</v>
      </c>
      <c r="S7" s="35">
        <f t="shared" si="1"/>
        <v>1227.94</v>
      </c>
      <c r="T7" s="35">
        <f t="shared" si="1"/>
        <v>1257.94</v>
      </c>
      <c r="U7" s="35">
        <f t="shared" si="1"/>
        <v>1259.6400000000001</v>
      </c>
      <c r="V7" s="35">
        <f t="shared" si="1"/>
        <v>1315.5400000000002</v>
      </c>
      <c r="W7" s="35">
        <f t="shared" si="1"/>
        <v>1537.64</v>
      </c>
      <c r="X7" s="35">
        <f t="shared" si="1"/>
        <v>1553.54</v>
      </c>
      <c r="Y7" s="35">
        <f t="shared" si="1"/>
        <v>1514.94</v>
      </c>
      <c r="Z7" s="35">
        <f t="shared" si="1"/>
        <v>1425.94</v>
      </c>
      <c r="AA7" s="35">
        <f t="shared" si="1"/>
        <v>1392.54</v>
      </c>
      <c r="AB7" s="35">
        <f t="shared" si="1"/>
        <v>1254.44</v>
      </c>
      <c r="AC7" s="35">
        <f t="shared" si="1"/>
        <v>1308.01</v>
      </c>
      <c r="AD7" s="35">
        <f t="shared" si="1"/>
        <v>1207.33</v>
      </c>
      <c r="AE7" s="35">
        <f t="shared" si="1"/>
        <v>1018.64</v>
      </c>
      <c r="AF7" s="35">
        <f t="shared" si="1"/>
        <v>978.33999999999992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27.1</v>
      </c>
      <c r="C11" s="45">
        <v>27.1</v>
      </c>
      <c r="D11" s="45">
        <v>27.1</v>
      </c>
      <c r="E11" s="45">
        <v>27.4</v>
      </c>
      <c r="F11" s="45">
        <v>27.4</v>
      </c>
      <c r="G11" s="45">
        <v>27.4</v>
      </c>
      <c r="H11" s="45">
        <v>27.4</v>
      </c>
      <c r="I11" s="45">
        <v>27.4</v>
      </c>
      <c r="J11" s="45">
        <v>27.4</v>
      </c>
      <c r="K11" s="45">
        <v>27.4</v>
      </c>
      <c r="L11" s="45">
        <v>27.4</v>
      </c>
      <c r="M11" s="45">
        <v>27.4</v>
      </c>
      <c r="N11" s="45">
        <v>27.4</v>
      </c>
      <c r="O11" s="45">
        <v>27.4</v>
      </c>
      <c r="P11" s="45">
        <v>27.4</v>
      </c>
      <c r="Q11" s="45">
        <v>27.4</v>
      </c>
      <c r="R11" s="45">
        <v>27.4</v>
      </c>
      <c r="S11" s="45">
        <v>27.4</v>
      </c>
      <c r="T11" s="45">
        <v>27.4</v>
      </c>
      <c r="U11" s="45">
        <v>27.4</v>
      </c>
      <c r="V11" s="45">
        <v>27.4</v>
      </c>
      <c r="W11" s="45">
        <v>27.4</v>
      </c>
      <c r="X11" s="46">
        <v>27.4</v>
      </c>
      <c r="Y11" s="46">
        <v>27.4</v>
      </c>
      <c r="Z11" s="46">
        <v>27.4</v>
      </c>
      <c r="AA11" s="46">
        <v>27.4</v>
      </c>
      <c r="AB11" s="46">
        <v>27.4</v>
      </c>
      <c r="AC11" s="46">
        <v>27.4</v>
      </c>
      <c r="AD11" s="46">
        <v>27.4</v>
      </c>
      <c r="AE11" s="46">
        <v>27.5</v>
      </c>
      <c r="AF11" s="46">
        <v>27.6</v>
      </c>
      <c r="AG11" s="47">
        <v>52.4</v>
      </c>
      <c r="AH11" s="48">
        <f>MAX(B11:AF11)</f>
        <v>27.6</v>
      </c>
      <c r="AI11" s="49">
        <f>MIN(B11:AF11)</f>
        <v>27.1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50.3</v>
      </c>
      <c r="C12" s="45">
        <v>50.3</v>
      </c>
      <c r="D12" s="45">
        <v>50.3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50.5</v>
      </c>
      <c r="K12" s="45">
        <v>50.5</v>
      </c>
      <c r="L12" s="45">
        <v>50.5</v>
      </c>
      <c r="M12" s="45">
        <v>50.5</v>
      </c>
      <c r="N12" s="45">
        <v>50.5</v>
      </c>
      <c r="O12" s="45">
        <v>50.5</v>
      </c>
      <c r="P12" s="45">
        <v>50.5</v>
      </c>
      <c r="Q12" s="45">
        <v>50.5</v>
      </c>
      <c r="R12" s="45">
        <v>50.5</v>
      </c>
      <c r="S12" s="45">
        <v>50.6</v>
      </c>
      <c r="T12" s="45">
        <v>50.6</v>
      </c>
      <c r="U12" s="45">
        <v>50.6</v>
      </c>
      <c r="V12" s="45">
        <v>50.6</v>
      </c>
      <c r="W12" s="45">
        <v>50.6</v>
      </c>
      <c r="X12" s="45">
        <v>50.6</v>
      </c>
      <c r="Y12" s="45">
        <v>50.6</v>
      </c>
      <c r="Z12" s="45">
        <v>50.6</v>
      </c>
      <c r="AA12" s="45">
        <v>50.6</v>
      </c>
      <c r="AB12" s="45">
        <v>50.6</v>
      </c>
      <c r="AC12" s="45">
        <v>50.6</v>
      </c>
      <c r="AD12" s="45">
        <v>50.6</v>
      </c>
      <c r="AE12" s="45">
        <v>50.6</v>
      </c>
      <c r="AF12" s="45">
        <v>50.6</v>
      </c>
      <c r="AG12" s="51">
        <v>50</v>
      </c>
      <c r="AH12" s="48">
        <f t="shared" ref="AH12:AH79" si="2">MAX(B12:AF12)</f>
        <v>50.6</v>
      </c>
      <c r="AI12" s="49">
        <f t="shared" ref="AI12:AI79" si="3">MIN(B12:AF12)</f>
        <v>50.3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23.7</v>
      </c>
      <c r="C13" s="45">
        <v>23.7</v>
      </c>
      <c r="D13" s="45">
        <v>23.7</v>
      </c>
      <c r="E13" s="45">
        <v>24.1</v>
      </c>
      <c r="F13" s="45">
        <v>24.1</v>
      </c>
      <c r="G13" s="45">
        <v>24.1</v>
      </c>
      <c r="H13" s="45">
        <v>24.1</v>
      </c>
      <c r="I13" s="45">
        <v>24.1</v>
      </c>
      <c r="J13" s="45">
        <v>24.1</v>
      </c>
      <c r="K13" s="45">
        <v>24.1</v>
      </c>
      <c r="L13" s="45">
        <v>24.1</v>
      </c>
      <c r="M13" s="45">
        <v>24.1</v>
      </c>
      <c r="N13" s="45">
        <v>24.1</v>
      </c>
      <c r="O13" s="45">
        <v>24.1</v>
      </c>
      <c r="P13" s="45">
        <v>24.1</v>
      </c>
      <c r="Q13" s="45">
        <v>24.1</v>
      </c>
      <c r="R13" s="45">
        <v>24.1</v>
      </c>
      <c r="S13" s="45">
        <v>23.8</v>
      </c>
      <c r="T13" s="45">
        <v>23.8</v>
      </c>
      <c r="U13" s="45">
        <v>23.8</v>
      </c>
      <c r="V13" s="45">
        <v>23.8</v>
      </c>
      <c r="W13" s="45">
        <v>23.8</v>
      </c>
      <c r="X13" s="45">
        <v>23.8</v>
      </c>
      <c r="Y13" s="45">
        <v>23.8</v>
      </c>
      <c r="Z13" s="45">
        <v>23.8</v>
      </c>
      <c r="AA13" s="45">
        <v>23.8</v>
      </c>
      <c r="AB13" s="45">
        <v>23.8</v>
      </c>
      <c r="AC13" s="45">
        <v>23.8</v>
      </c>
      <c r="AD13" s="45">
        <v>23.8</v>
      </c>
      <c r="AE13" s="45">
        <v>23.8</v>
      </c>
      <c r="AF13" s="45">
        <v>23.8</v>
      </c>
      <c r="AG13" s="51">
        <v>45</v>
      </c>
      <c r="AH13" s="48">
        <f t="shared" si="2"/>
        <v>24.1</v>
      </c>
      <c r="AI13" s="49">
        <f t="shared" si="3"/>
        <v>23.7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21</v>
      </c>
      <c r="C15" s="45">
        <v>21</v>
      </c>
      <c r="D15" s="45">
        <v>21</v>
      </c>
      <c r="E15" s="45">
        <v>21</v>
      </c>
      <c r="F15" s="45">
        <v>21</v>
      </c>
      <c r="G15" s="45">
        <v>21</v>
      </c>
      <c r="H15" s="45">
        <v>21</v>
      </c>
      <c r="I15" s="45">
        <v>21</v>
      </c>
      <c r="J15" s="45">
        <v>21</v>
      </c>
      <c r="K15" s="45">
        <v>21</v>
      </c>
      <c r="L15" s="45">
        <v>21</v>
      </c>
      <c r="M15" s="45">
        <v>21</v>
      </c>
      <c r="N15" s="45">
        <v>21</v>
      </c>
      <c r="O15" s="45">
        <v>21</v>
      </c>
      <c r="P15" s="45">
        <v>21</v>
      </c>
      <c r="Q15" s="45">
        <v>21</v>
      </c>
      <c r="R15" s="45">
        <v>21</v>
      </c>
      <c r="S15" s="45">
        <v>21</v>
      </c>
      <c r="T15" s="45">
        <v>21</v>
      </c>
      <c r="U15" s="45">
        <v>21</v>
      </c>
      <c r="V15" s="45">
        <v>21</v>
      </c>
      <c r="W15" s="45">
        <v>21</v>
      </c>
      <c r="X15" s="45">
        <v>21</v>
      </c>
      <c r="Y15" s="45">
        <v>21</v>
      </c>
      <c r="Z15" s="45">
        <v>21</v>
      </c>
      <c r="AA15" s="45">
        <v>21</v>
      </c>
      <c r="AB15" s="45">
        <v>21</v>
      </c>
      <c r="AC15" s="45">
        <v>21</v>
      </c>
      <c r="AD15" s="45">
        <v>21</v>
      </c>
      <c r="AE15" s="45">
        <v>21</v>
      </c>
      <c r="AF15" s="45">
        <v>21</v>
      </c>
      <c r="AG15" s="51">
        <v>36</v>
      </c>
      <c r="AH15" s="48">
        <f t="shared" si="2"/>
        <v>21</v>
      </c>
      <c r="AI15" s="49">
        <f t="shared" si="3"/>
        <v>21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13.3</v>
      </c>
      <c r="C16" s="45">
        <v>13.3</v>
      </c>
      <c r="D16" s="45">
        <v>13.3</v>
      </c>
      <c r="E16" s="45">
        <v>13.9</v>
      </c>
      <c r="F16" s="45">
        <v>13.9</v>
      </c>
      <c r="G16" s="45">
        <v>13.9</v>
      </c>
      <c r="H16" s="45">
        <v>13.9</v>
      </c>
      <c r="I16" s="45">
        <v>13.9</v>
      </c>
      <c r="J16" s="45">
        <v>13.9</v>
      </c>
      <c r="K16" s="45">
        <v>13.9</v>
      </c>
      <c r="L16" s="45">
        <v>13.9</v>
      </c>
      <c r="M16" s="45">
        <v>13.9</v>
      </c>
      <c r="N16" s="45">
        <v>13.9</v>
      </c>
      <c r="O16" s="45">
        <v>13.9</v>
      </c>
      <c r="P16" s="45">
        <v>13.9</v>
      </c>
      <c r="Q16" s="45">
        <v>13.9</v>
      </c>
      <c r="R16" s="45">
        <v>13.9</v>
      </c>
      <c r="S16" s="45">
        <v>13.5</v>
      </c>
      <c r="T16" s="45">
        <v>13.5</v>
      </c>
      <c r="U16" s="45">
        <v>13.5</v>
      </c>
      <c r="V16" s="45">
        <v>13.5</v>
      </c>
      <c r="W16" s="45">
        <v>13.5</v>
      </c>
      <c r="X16" s="45">
        <v>13.5</v>
      </c>
      <c r="Y16" s="45">
        <v>13.5</v>
      </c>
      <c r="Z16" s="45">
        <v>13.5</v>
      </c>
      <c r="AA16" s="45">
        <v>13.5</v>
      </c>
      <c r="AB16" s="45">
        <v>13.5</v>
      </c>
      <c r="AC16" s="45">
        <v>13.5</v>
      </c>
      <c r="AD16" s="45">
        <v>13.5</v>
      </c>
      <c r="AE16" s="45">
        <v>13.5</v>
      </c>
      <c r="AF16" s="45">
        <v>13.5</v>
      </c>
      <c r="AG16" s="52">
        <v>30</v>
      </c>
      <c r="AH16" s="48">
        <f t="shared" si="2"/>
        <v>13.9</v>
      </c>
      <c r="AI16" s="49">
        <f t="shared" si="3"/>
        <v>13.3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11.6</v>
      </c>
      <c r="C17" s="45">
        <v>11.6</v>
      </c>
      <c r="D17" s="45">
        <v>11.6</v>
      </c>
      <c r="E17" s="45">
        <v>11.6</v>
      </c>
      <c r="F17" s="45">
        <v>11.6</v>
      </c>
      <c r="G17" s="45">
        <v>11.6</v>
      </c>
      <c r="H17" s="45">
        <v>11.6</v>
      </c>
      <c r="I17" s="45">
        <v>11.6</v>
      </c>
      <c r="J17" s="45">
        <v>11.6</v>
      </c>
      <c r="K17" s="45">
        <v>11.6</v>
      </c>
      <c r="L17" s="45">
        <v>11.6</v>
      </c>
      <c r="M17" s="45">
        <v>11.6</v>
      </c>
      <c r="N17" s="45">
        <v>11.6</v>
      </c>
      <c r="O17" s="45">
        <v>11.6</v>
      </c>
      <c r="P17" s="45">
        <v>11.6</v>
      </c>
      <c r="Q17" s="45">
        <v>11.6</v>
      </c>
      <c r="R17" s="45">
        <v>11.6</v>
      </c>
      <c r="S17" s="45">
        <v>11.8</v>
      </c>
      <c r="T17" s="45">
        <v>11.8</v>
      </c>
      <c r="U17" s="45">
        <v>11.8</v>
      </c>
      <c r="V17" s="45">
        <v>11.8</v>
      </c>
      <c r="W17" s="45">
        <v>11.8</v>
      </c>
      <c r="X17" s="45">
        <v>11.8</v>
      </c>
      <c r="Y17" s="45">
        <v>11.8</v>
      </c>
      <c r="Z17" s="45">
        <v>11.8</v>
      </c>
      <c r="AA17" s="45">
        <v>11.8</v>
      </c>
      <c r="AB17" s="45">
        <v>11.8</v>
      </c>
      <c r="AC17" s="45">
        <v>11.8</v>
      </c>
      <c r="AD17" s="45">
        <v>11.8</v>
      </c>
      <c r="AE17" s="45">
        <v>11.8</v>
      </c>
      <c r="AF17" s="45">
        <v>11.8</v>
      </c>
      <c r="AG17" s="51">
        <v>24.2</v>
      </c>
      <c r="AH17" s="48">
        <f t="shared" si="2"/>
        <v>11.8</v>
      </c>
      <c r="AI17" s="49">
        <f t="shared" si="3"/>
        <v>11.6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13.2</v>
      </c>
      <c r="C18" s="45">
        <v>13.2</v>
      </c>
      <c r="D18" s="45">
        <v>13.2</v>
      </c>
      <c r="E18" s="45">
        <v>13.2</v>
      </c>
      <c r="F18" s="45">
        <v>13.2</v>
      </c>
      <c r="G18" s="45">
        <v>13.2</v>
      </c>
      <c r="H18" s="45">
        <v>13.2</v>
      </c>
      <c r="I18" s="45">
        <v>13.2</v>
      </c>
      <c r="J18" s="45">
        <v>13.2</v>
      </c>
      <c r="K18" s="45">
        <v>13.2</v>
      </c>
      <c r="L18" s="45">
        <v>13.2</v>
      </c>
      <c r="M18" s="45">
        <v>13.2</v>
      </c>
      <c r="N18" s="45">
        <v>13.2</v>
      </c>
      <c r="O18" s="45">
        <v>13.2</v>
      </c>
      <c r="P18" s="45">
        <v>13.2</v>
      </c>
      <c r="Q18" s="45">
        <v>13.2</v>
      </c>
      <c r="R18" s="45">
        <v>13.2</v>
      </c>
      <c r="S18" s="45">
        <v>13.2</v>
      </c>
      <c r="T18" s="45">
        <v>13.2</v>
      </c>
      <c r="U18" s="45">
        <v>13.2</v>
      </c>
      <c r="V18" s="45">
        <v>13.2</v>
      </c>
      <c r="W18" s="45">
        <v>13.2</v>
      </c>
      <c r="X18" s="45">
        <v>13.2</v>
      </c>
      <c r="Y18" s="45">
        <v>13.2</v>
      </c>
      <c r="Z18" s="45">
        <v>13.2</v>
      </c>
      <c r="AA18" s="45">
        <v>13.2</v>
      </c>
      <c r="AB18" s="45">
        <v>13.2</v>
      </c>
      <c r="AC18" s="45">
        <v>13.2</v>
      </c>
      <c r="AD18" s="45">
        <v>13.2</v>
      </c>
      <c r="AE18" s="45">
        <v>13.2</v>
      </c>
      <c r="AF18" s="45">
        <v>13.2</v>
      </c>
      <c r="AG18" s="51">
        <v>28</v>
      </c>
      <c r="AH18" s="48">
        <f t="shared" si="2"/>
        <v>13.2</v>
      </c>
      <c r="AI18" s="49">
        <f t="shared" si="3"/>
        <v>13.2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14</v>
      </c>
      <c r="C19" s="45">
        <v>14</v>
      </c>
      <c r="D19" s="45">
        <v>14</v>
      </c>
      <c r="E19" s="45">
        <v>14</v>
      </c>
      <c r="F19" s="45">
        <v>14</v>
      </c>
      <c r="G19" s="45">
        <v>14</v>
      </c>
      <c r="H19" s="45">
        <v>14</v>
      </c>
      <c r="I19" s="45">
        <v>14</v>
      </c>
      <c r="J19" s="45">
        <v>14</v>
      </c>
      <c r="K19" s="45">
        <v>14</v>
      </c>
      <c r="L19" s="45">
        <v>14</v>
      </c>
      <c r="M19" s="45">
        <v>14</v>
      </c>
      <c r="N19" s="45">
        <v>14</v>
      </c>
      <c r="O19" s="45">
        <v>14</v>
      </c>
      <c r="P19" s="45">
        <v>14</v>
      </c>
      <c r="Q19" s="45">
        <v>14</v>
      </c>
      <c r="R19" s="45">
        <v>14</v>
      </c>
      <c r="S19" s="45">
        <v>14</v>
      </c>
      <c r="T19" s="45">
        <v>14</v>
      </c>
      <c r="U19" s="45">
        <v>14</v>
      </c>
      <c r="V19" s="45">
        <v>14</v>
      </c>
      <c r="W19" s="45">
        <v>14</v>
      </c>
      <c r="X19" s="45">
        <v>14</v>
      </c>
      <c r="Y19" s="45">
        <v>14</v>
      </c>
      <c r="Z19" s="45">
        <v>14</v>
      </c>
      <c r="AA19" s="45">
        <v>14</v>
      </c>
      <c r="AB19" s="45">
        <v>14</v>
      </c>
      <c r="AC19" s="45">
        <v>14</v>
      </c>
      <c r="AD19" s="45">
        <v>14</v>
      </c>
      <c r="AE19" s="45">
        <v>14</v>
      </c>
      <c r="AF19" s="45">
        <v>14</v>
      </c>
      <c r="AG19" s="52">
        <v>30</v>
      </c>
      <c r="AH19" s="48">
        <f t="shared" si="2"/>
        <v>14</v>
      </c>
      <c r="AI19" s="49">
        <f t="shared" si="3"/>
        <v>14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13.4</v>
      </c>
      <c r="C20" s="45">
        <v>13.4</v>
      </c>
      <c r="D20" s="45">
        <v>13.4</v>
      </c>
      <c r="E20" s="45">
        <v>13.4</v>
      </c>
      <c r="F20" s="45">
        <v>13.4</v>
      </c>
      <c r="G20" s="45">
        <v>13.4</v>
      </c>
      <c r="H20" s="45">
        <v>13.4</v>
      </c>
      <c r="I20" s="45">
        <v>13.4</v>
      </c>
      <c r="J20" s="45">
        <v>13.4</v>
      </c>
      <c r="K20" s="45">
        <v>13.4</v>
      </c>
      <c r="L20" s="45">
        <v>13.4</v>
      </c>
      <c r="M20" s="45">
        <v>13.4</v>
      </c>
      <c r="N20" s="45">
        <v>13.4</v>
      </c>
      <c r="O20" s="45">
        <v>13.4</v>
      </c>
      <c r="P20" s="45">
        <v>13.4</v>
      </c>
      <c r="Q20" s="45">
        <v>13.4</v>
      </c>
      <c r="R20" s="45">
        <v>13.4</v>
      </c>
      <c r="S20" s="45">
        <v>13.4</v>
      </c>
      <c r="T20" s="45">
        <v>13.4</v>
      </c>
      <c r="U20" s="45">
        <v>13.4</v>
      </c>
      <c r="V20" s="45">
        <v>13.4</v>
      </c>
      <c r="W20" s="45">
        <v>13.4</v>
      </c>
      <c r="X20" s="45">
        <v>13.4</v>
      </c>
      <c r="Y20" s="45">
        <v>13.4</v>
      </c>
      <c r="Z20" s="45">
        <v>13.4</v>
      </c>
      <c r="AA20" s="45">
        <v>13.4</v>
      </c>
      <c r="AB20" s="45">
        <v>13.4</v>
      </c>
      <c r="AC20" s="45">
        <v>13.4</v>
      </c>
      <c r="AD20" s="45">
        <v>13.4</v>
      </c>
      <c r="AE20" s="45">
        <v>13.4</v>
      </c>
      <c r="AF20" s="45">
        <v>13.4</v>
      </c>
      <c r="AG20" s="51">
        <v>25</v>
      </c>
      <c r="AH20" s="48">
        <f t="shared" si="2"/>
        <v>13.4</v>
      </c>
      <c r="AI20" s="49">
        <f t="shared" si="3"/>
        <v>13.4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51">
        <v>25</v>
      </c>
      <c r="AH21" s="48">
        <f t="shared" si="2"/>
        <v>0</v>
      </c>
      <c r="AI21" s="49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10</v>
      </c>
      <c r="C23" s="45">
        <v>10</v>
      </c>
      <c r="D23" s="45">
        <v>10</v>
      </c>
      <c r="E23" s="45">
        <v>10</v>
      </c>
      <c r="F23" s="45">
        <v>10</v>
      </c>
      <c r="G23" s="45">
        <v>10</v>
      </c>
      <c r="H23" s="45">
        <v>10</v>
      </c>
      <c r="I23" s="45">
        <v>10</v>
      </c>
      <c r="J23" s="45">
        <v>10</v>
      </c>
      <c r="K23" s="45">
        <v>10</v>
      </c>
      <c r="L23" s="45">
        <v>10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10</v>
      </c>
      <c r="X23" s="45">
        <v>10</v>
      </c>
      <c r="Y23" s="45">
        <v>10</v>
      </c>
      <c r="Z23" s="45">
        <v>10</v>
      </c>
      <c r="AA23" s="45">
        <v>10</v>
      </c>
      <c r="AB23" s="45">
        <v>10</v>
      </c>
      <c r="AC23" s="45">
        <v>10</v>
      </c>
      <c r="AD23" s="45">
        <v>10</v>
      </c>
      <c r="AE23" s="45">
        <v>10</v>
      </c>
      <c r="AF23" s="45">
        <v>10</v>
      </c>
      <c r="AG23" s="51">
        <v>25</v>
      </c>
      <c r="AH23" s="48">
        <f t="shared" si="2"/>
        <v>10</v>
      </c>
      <c r="AI23" s="49">
        <f t="shared" si="3"/>
        <v>10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12.5</v>
      </c>
      <c r="C24" s="45">
        <v>12.5</v>
      </c>
      <c r="D24" s="45">
        <v>12.5</v>
      </c>
      <c r="E24" s="45">
        <v>12.5</v>
      </c>
      <c r="F24" s="45">
        <v>12.5</v>
      </c>
      <c r="G24" s="45">
        <v>12.5</v>
      </c>
      <c r="H24" s="45">
        <v>12.5</v>
      </c>
      <c r="I24" s="45">
        <v>12.5</v>
      </c>
      <c r="J24" s="45">
        <v>12.5</v>
      </c>
      <c r="K24" s="45">
        <v>12.5</v>
      </c>
      <c r="L24" s="45">
        <v>12.5</v>
      </c>
      <c r="M24" s="45">
        <v>12.5</v>
      </c>
      <c r="N24" s="45">
        <v>12.5</v>
      </c>
      <c r="O24" s="45">
        <v>12.5</v>
      </c>
      <c r="P24" s="45">
        <v>12.5</v>
      </c>
      <c r="Q24" s="45">
        <v>12.5</v>
      </c>
      <c r="R24" s="45">
        <v>12.5</v>
      </c>
      <c r="S24" s="45">
        <v>11.8</v>
      </c>
      <c r="T24" s="45">
        <v>11.8</v>
      </c>
      <c r="U24" s="45">
        <v>11.8</v>
      </c>
      <c r="V24" s="45">
        <v>11.8</v>
      </c>
      <c r="W24" s="45">
        <v>11.8</v>
      </c>
      <c r="X24" s="45">
        <v>11.8</v>
      </c>
      <c r="Y24" s="45">
        <v>11.8</v>
      </c>
      <c r="Z24" s="45">
        <v>11.8</v>
      </c>
      <c r="AA24" s="45">
        <v>11.8</v>
      </c>
      <c r="AB24" s="45">
        <v>11.8</v>
      </c>
      <c r="AC24" s="45">
        <v>11.8</v>
      </c>
      <c r="AD24" s="45">
        <v>11.8</v>
      </c>
      <c r="AE24" s="45">
        <v>11.8</v>
      </c>
      <c r="AF24" s="45">
        <v>11.8</v>
      </c>
      <c r="AG24" s="51">
        <v>23.5</v>
      </c>
      <c r="AH24" s="48">
        <f t="shared" si="2"/>
        <v>12.5</v>
      </c>
      <c r="AI24" s="49">
        <f t="shared" si="3"/>
        <v>11.8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5</v>
      </c>
      <c r="C29" s="45">
        <v>5</v>
      </c>
      <c r="D29" s="45">
        <v>5</v>
      </c>
      <c r="E29" s="45">
        <v>5</v>
      </c>
      <c r="F29" s="45">
        <v>5</v>
      </c>
      <c r="G29" s="45">
        <v>5</v>
      </c>
      <c r="H29" s="45">
        <v>5</v>
      </c>
      <c r="I29" s="45">
        <v>5</v>
      </c>
      <c r="J29" s="45">
        <v>5</v>
      </c>
      <c r="K29" s="45">
        <v>5</v>
      </c>
      <c r="L29" s="45">
        <v>5</v>
      </c>
      <c r="M29" s="45">
        <v>5</v>
      </c>
      <c r="N29" s="45">
        <v>5</v>
      </c>
      <c r="O29" s="45">
        <v>5</v>
      </c>
      <c r="P29" s="45">
        <v>5</v>
      </c>
      <c r="Q29" s="45">
        <v>5</v>
      </c>
      <c r="R29" s="45">
        <v>5</v>
      </c>
      <c r="S29" s="45">
        <v>5</v>
      </c>
      <c r="T29" s="45">
        <v>5</v>
      </c>
      <c r="U29" s="45">
        <v>5</v>
      </c>
      <c r="V29" s="45">
        <v>5</v>
      </c>
      <c r="W29" s="45">
        <v>5</v>
      </c>
      <c r="X29" s="45">
        <v>5</v>
      </c>
      <c r="Y29" s="45">
        <v>5</v>
      </c>
      <c r="Z29" s="45">
        <v>5</v>
      </c>
      <c r="AA29" s="45">
        <v>5</v>
      </c>
      <c r="AB29" s="45">
        <v>5</v>
      </c>
      <c r="AC29" s="45">
        <v>5</v>
      </c>
      <c r="AD29" s="45">
        <v>5</v>
      </c>
      <c r="AE29" s="45">
        <v>0</v>
      </c>
      <c r="AF29" s="45">
        <v>0</v>
      </c>
      <c r="AG29" s="51">
        <v>20</v>
      </c>
      <c r="AH29" s="48">
        <f t="shared" si="2"/>
        <v>5</v>
      </c>
      <c r="AI29" s="49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1</v>
      </c>
      <c r="N41" s="45">
        <v>1</v>
      </c>
      <c r="O41" s="45">
        <v>1</v>
      </c>
      <c r="P41" s="45">
        <v>1</v>
      </c>
      <c r="Q41" s="45">
        <v>1</v>
      </c>
      <c r="R41" s="45">
        <v>1</v>
      </c>
      <c r="S41" s="45">
        <v>1</v>
      </c>
      <c r="T41" s="45">
        <v>1</v>
      </c>
      <c r="U41" s="45">
        <v>1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1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200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si="2"/>
        <v>200</v>
      </c>
      <c r="AI42" s="49">
        <f t="shared" si="3"/>
        <v>200</v>
      </c>
      <c r="AK42" s="50"/>
    </row>
    <row r="43" spans="1:88" ht="15.75" thickBot="1" x14ac:dyDescent="0.3">
      <c r="A43" s="58" t="s">
        <v>51</v>
      </c>
      <c r="B43" s="59">
        <v>54</v>
      </c>
      <c r="C43" s="59">
        <v>54</v>
      </c>
      <c r="D43" s="59">
        <v>54</v>
      </c>
      <c r="E43" s="59">
        <v>55</v>
      </c>
      <c r="F43" s="59">
        <v>54</v>
      </c>
      <c r="G43" s="59">
        <f t="shared" ref="G43" si="4">15+30.4</f>
        <v>45.4</v>
      </c>
      <c r="H43" s="59">
        <v>54</v>
      </c>
      <c r="I43" s="59">
        <f>16.3+37.2</f>
        <v>53.5</v>
      </c>
      <c r="J43" s="59">
        <f>16.3+37</f>
        <v>53.3</v>
      </c>
      <c r="K43" s="59">
        <f>16.3+37</f>
        <v>53.3</v>
      </c>
      <c r="L43" s="59">
        <f>15.6+37.2</f>
        <v>52.800000000000004</v>
      </c>
      <c r="M43" s="57">
        <f>14.8+38.6</f>
        <v>53.400000000000006</v>
      </c>
      <c r="N43" s="57">
        <f>15+38.6</f>
        <v>53.6</v>
      </c>
      <c r="O43" s="57">
        <f>15.1+37.6</f>
        <v>52.7</v>
      </c>
      <c r="P43" s="57">
        <f>15.8+37.8</f>
        <v>53.599999999999994</v>
      </c>
      <c r="Q43" s="57">
        <f>15.7+38.9</f>
        <v>54.599999999999994</v>
      </c>
      <c r="R43" s="57">
        <v>55.3</v>
      </c>
      <c r="S43" s="59">
        <f>13.7+40</f>
        <v>53.7</v>
      </c>
      <c r="T43" s="59">
        <f>13.3+40</f>
        <v>53.3</v>
      </c>
      <c r="U43" s="59">
        <f>13.3+37.2</f>
        <v>50.5</v>
      </c>
      <c r="V43" s="59">
        <f>12.9+38.1</f>
        <v>51</v>
      </c>
      <c r="W43" s="59">
        <f>12.7+35.7</f>
        <v>48.400000000000006</v>
      </c>
      <c r="X43" s="59">
        <v>48.400000000000006</v>
      </c>
      <c r="Y43" s="59">
        <f>12.6+30.4</f>
        <v>43</v>
      </c>
      <c r="Z43" s="59">
        <f>13.3+31.6</f>
        <v>44.900000000000006</v>
      </c>
      <c r="AA43" s="59">
        <f>13.4+32.8</f>
        <v>46.199999999999996</v>
      </c>
      <c r="AB43" s="59"/>
      <c r="AC43" s="59">
        <v>44</v>
      </c>
      <c r="AD43" s="59">
        <v>47.4</v>
      </c>
      <c r="AE43" s="59">
        <f>36.8+14.8</f>
        <v>51.599999999999994</v>
      </c>
      <c r="AF43" s="59">
        <f>37+15.6</f>
        <v>52.6</v>
      </c>
      <c r="AG43" s="55">
        <v>240</v>
      </c>
      <c r="AH43" s="48">
        <f t="shared" si="2"/>
        <v>55.3</v>
      </c>
      <c r="AI43" s="49">
        <f t="shared" si="3"/>
        <v>43</v>
      </c>
      <c r="AK43" s="50"/>
    </row>
    <row r="44" spans="1:88" ht="15.75" thickBot="1" x14ac:dyDescent="0.3">
      <c r="A44" s="60" t="s">
        <v>52</v>
      </c>
      <c r="B44" s="61">
        <f t="shared" ref="B44:AG44" si="5">SUM(B11:B42)</f>
        <v>554.40000000000009</v>
      </c>
      <c r="C44" s="61">
        <f t="shared" si="5"/>
        <v>554.40000000000009</v>
      </c>
      <c r="D44" s="61">
        <f t="shared" si="5"/>
        <v>554.40000000000009</v>
      </c>
      <c r="E44" s="61">
        <f t="shared" si="5"/>
        <v>555.9</v>
      </c>
      <c r="F44" s="61">
        <f t="shared" si="5"/>
        <v>555.9</v>
      </c>
      <c r="G44" s="61">
        <f t="shared" si="5"/>
        <v>555.9</v>
      </c>
      <c r="H44" s="61">
        <f t="shared" si="5"/>
        <v>555.9</v>
      </c>
      <c r="I44" s="61">
        <f t="shared" si="5"/>
        <v>555.9</v>
      </c>
      <c r="J44" s="61">
        <f t="shared" si="5"/>
        <v>555.9</v>
      </c>
      <c r="K44" s="61">
        <f t="shared" si="5"/>
        <v>555.9</v>
      </c>
      <c r="L44" s="61">
        <f t="shared" si="5"/>
        <v>555.9</v>
      </c>
      <c r="M44" s="61">
        <f t="shared" si="5"/>
        <v>556.9</v>
      </c>
      <c r="N44" s="61">
        <f t="shared" si="5"/>
        <v>556.9</v>
      </c>
      <c r="O44" s="61">
        <f t="shared" si="5"/>
        <v>556.9</v>
      </c>
      <c r="P44" s="61">
        <f t="shared" si="5"/>
        <v>556.9</v>
      </c>
      <c r="Q44" s="61">
        <f t="shared" si="5"/>
        <v>556.9</v>
      </c>
      <c r="R44" s="61">
        <f t="shared" si="5"/>
        <v>556.9</v>
      </c>
      <c r="S44" s="61">
        <f t="shared" si="5"/>
        <v>555.79999999999995</v>
      </c>
      <c r="T44" s="61">
        <f t="shared" si="5"/>
        <v>555.79999999999995</v>
      </c>
      <c r="U44" s="61">
        <f t="shared" si="5"/>
        <v>555.79999999999995</v>
      </c>
      <c r="V44" s="61">
        <f t="shared" si="5"/>
        <v>554.79999999999995</v>
      </c>
      <c r="W44" s="61">
        <f t="shared" si="5"/>
        <v>554.79999999999995</v>
      </c>
      <c r="X44" s="61">
        <f t="shared" si="5"/>
        <v>554.79999999999995</v>
      </c>
      <c r="Y44" s="61">
        <f t="shared" si="5"/>
        <v>554.79999999999995</v>
      </c>
      <c r="Z44" s="61">
        <f t="shared" si="5"/>
        <v>554.79999999999995</v>
      </c>
      <c r="AA44" s="61">
        <f t="shared" si="5"/>
        <v>554.79999999999995</v>
      </c>
      <c r="AB44" s="61">
        <f t="shared" si="5"/>
        <v>554.79999999999995</v>
      </c>
      <c r="AC44" s="61">
        <f t="shared" si="5"/>
        <v>554.79999999999995</v>
      </c>
      <c r="AD44" s="61">
        <f t="shared" si="5"/>
        <v>554.79999999999995</v>
      </c>
      <c r="AE44" s="61">
        <f t="shared" si="5"/>
        <v>549.9</v>
      </c>
      <c r="AF44" s="61">
        <f t="shared" si="5"/>
        <v>550</v>
      </c>
      <c r="AG44" s="62">
        <f t="shared" si="5"/>
        <v>814.78000000000009</v>
      </c>
      <c r="AH44" s="48">
        <f t="shared" si="2"/>
        <v>556.9</v>
      </c>
      <c r="AI44" s="49">
        <f t="shared" si="3"/>
        <v>549.9</v>
      </c>
      <c r="AK44" s="50"/>
    </row>
    <row r="45" spans="1:88" x14ac:dyDescent="0.25">
      <c r="A45" s="63" t="s">
        <v>53</v>
      </c>
      <c r="B45" s="45">
        <v>15</v>
      </c>
      <c r="C45" s="45">
        <v>15</v>
      </c>
      <c r="D45" s="45">
        <v>15</v>
      </c>
      <c r="E45" s="45">
        <v>15</v>
      </c>
      <c r="F45" s="45">
        <v>15</v>
      </c>
      <c r="G45" s="45">
        <v>35</v>
      </c>
      <c r="H45" s="45">
        <v>20</v>
      </c>
      <c r="I45" s="45">
        <v>130</v>
      </c>
      <c r="J45" s="45">
        <v>130</v>
      </c>
      <c r="K45" s="45">
        <v>420</v>
      </c>
      <c r="L45" s="45">
        <v>420</v>
      </c>
      <c r="M45" s="45">
        <v>456</v>
      </c>
      <c r="N45" s="45">
        <v>400</v>
      </c>
      <c r="O45" s="45">
        <v>250</v>
      </c>
      <c r="P45" s="45">
        <v>50</v>
      </c>
      <c r="Q45" s="45">
        <v>15</v>
      </c>
      <c r="R45" s="45">
        <v>15</v>
      </c>
      <c r="S45" s="45">
        <v>20</v>
      </c>
      <c r="T45" s="45">
        <v>40</v>
      </c>
      <c r="U45" s="45">
        <v>50</v>
      </c>
      <c r="V45" s="45">
        <v>228</v>
      </c>
      <c r="W45" s="45">
        <v>360</v>
      </c>
      <c r="X45" s="45">
        <v>375</v>
      </c>
      <c r="Y45" s="45">
        <v>340</v>
      </c>
      <c r="Z45" s="45">
        <v>250</v>
      </c>
      <c r="AA45" s="45">
        <v>230</v>
      </c>
      <c r="AB45" s="45">
        <v>230</v>
      </c>
      <c r="AC45" s="45">
        <v>150</v>
      </c>
      <c r="AD45" s="45">
        <v>150</v>
      </c>
      <c r="AE45" s="45">
        <v>80</v>
      </c>
      <c r="AF45" s="45">
        <v>61.2</v>
      </c>
      <c r="AG45" s="52">
        <v>456</v>
      </c>
      <c r="AH45" s="48">
        <f t="shared" si="2"/>
        <v>456</v>
      </c>
      <c r="AI45" s="49">
        <f t="shared" si="3"/>
        <v>15</v>
      </c>
      <c r="AK45" s="50"/>
    </row>
    <row r="46" spans="1:88" x14ac:dyDescent="0.25">
      <c r="A46" s="64" t="s">
        <v>54</v>
      </c>
      <c r="B46" s="65">
        <v>48</v>
      </c>
      <c r="C46" s="65">
        <v>48</v>
      </c>
      <c r="D46" s="65">
        <v>48</v>
      </c>
      <c r="E46" s="65">
        <v>48</v>
      </c>
      <c r="F46" s="65">
        <v>48</v>
      </c>
      <c r="G46" s="65">
        <v>48</v>
      </c>
      <c r="H46" s="65">
        <v>48</v>
      </c>
      <c r="I46" s="65">
        <v>48</v>
      </c>
      <c r="J46" s="65">
        <v>48</v>
      </c>
      <c r="K46" s="65">
        <v>48</v>
      </c>
      <c r="L46" s="65">
        <v>48</v>
      </c>
      <c r="M46" s="65">
        <v>46</v>
      </c>
      <c r="N46" s="65">
        <v>46</v>
      </c>
      <c r="O46" s="65">
        <v>46</v>
      </c>
      <c r="P46" s="65">
        <v>46</v>
      </c>
      <c r="Q46" s="65">
        <v>46</v>
      </c>
      <c r="R46" s="65">
        <v>46</v>
      </c>
      <c r="S46" s="65">
        <v>46</v>
      </c>
      <c r="T46" s="65">
        <v>46</v>
      </c>
      <c r="U46" s="65">
        <v>46</v>
      </c>
      <c r="V46" s="65">
        <v>46</v>
      </c>
      <c r="W46" s="65">
        <v>46</v>
      </c>
      <c r="X46" s="65">
        <v>46</v>
      </c>
      <c r="Y46" s="65">
        <v>46</v>
      </c>
      <c r="Z46" s="65">
        <v>46</v>
      </c>
      <c r="AA46" s="65">
        <v>44.5</v>
      </c>
      <c r="AB46" s="65">
        <v>44.5</v>
      </c>
      <c r="AC46" s="65">
        <v>44.5</v>
      </c>
      <c r="AD46" s="65">
        <v>44.6</v>
      </c>
      <c r="AE46" s="65">
        <v>46</v>
      </c>
      <c r="AF46" s="65">
        <v>46</v>
      </c>
      <c r="AG46" s="55">
        <v>60</v>
      </c>
      <c r="AH46" s="48">
        <f t="shared" si="2"/>
        <v>48</v>
      </c>
      <c r="AI46" s="49">
        <f t="shared" si="3"/>
        <v>44.5</v>
      </c>
      <c r="AK46" s="50"/>
    </row>
    <row r="47" spans="1:88" ht="15.75" thickBot="1" x14ac:dyDescent="0.3">
      <c r="A47" s="66" t="s">
        <v>55</v>
      </c>
      <c r="B47" s="67">
        <v>22.1</v>
      </c>
      <c r="C47" s="67">
        <v>22.1</v>
      </c>
      <c r="D47" s="67">
        <v>22.1</v>
      </c>
      <c r="E47" s="67">
        <v>22.1</v>
      </c>
      <c r="F47" s="67">
        <v>22.1</v>
      </c>
      <c r="G47" s="67">
        <v>22.1</v>
      </c>
      <c r="H47" s="67">
        <v>22.1</v>
      </c>
      <c r="I47" s="67">
        <v>22.1</v>
      </c>
      <c r="J47" s="67">
        <v>22.1</v>
      </c>
      <c r="K47" s="67">
        <v>22.1</v>
      </c>
      <c r="L47" s="67">
        <v>22.1</v>
      </c>
      <c r="M47" s="67">
        <v>17.100000000000001</v>
      </c>
      <c r="N47" s="67">
        <v>17.100000000000001</v>
      </c>
      <c r="O47" s="67">
        <v>17.100000000000001</v>
      </c>
      <c r="P47" s="67">
        <v>17.100000000000001</v>
      </c>
      <c r="Q47" s="67">
        <v>17.100000000000001</v>
      </c>
      <c r="R47" s="67">
        <v>17.2</v>
      </c>
      <c r="S47" s="67">
        <v>17.2</v>
      </c>
      <c r="T47" s="67">
        <v>17.2</v>
      </c>
      <c r="U47" s="67">
        <v>17.100000000000001</v>
      </c>
      <c r="V47" s="67">
        <v>17.100000000000001</v>
      </c>
      <c r="W47" s="67">
        <v>17.100000000000001</v>
      </c>
      <c r="X47" s="67">
        <v>17.100000000000001</v>
      </c>
      <c r="Y47" s="67">
        <v>17.100000000000001</v>
      </c>
      <c r="Z47" s="67">
        <v>17.100000000000001</v>
      </c>
      <c r="AA47" s="67">
        <v>18.899999999999999</v>
      </c>
      <c r="AB47" s="67">
        <v>18.899999999999999</v>
      </c>
      <c r="AC47" s="67">
        <v>18.3</v>
      </c>
      <c r="AD47" s="67">
        <v>18.3</v>
      </c>
      <c r="AE47" s="67">
        <v>18.899999999999999</v>
      </c>
      <c r="AF47" s="67">
        <v>18.899999999999999</v>
      </c>
      <c r="AG47" s="68">
        <v>22.1</v>
      </c>
      <c r="AH47" s="48">
        <f t="shared" si="2"/>
        <v>22.1</v>
      </c>
      <c r="AI47" s="49">
        <f t="shared" si="3"/>
        <v>17.100000000000001</v>
      </c>
      <c r="AK47" s="50"/>
    </row>
    <row r="48" spans="1:88" ht="15.75" thickBot="1" x14ac:dyDescent="0.3">
      <c r="A48" s="69" t="s">
        <v>56</v>
      </c>
      <c r="B48" s="61">
        <f t="shared" ref="B48:AG48" si="6">SUM(B45:B47)</f>
        <v>85.1</v>
      </c>
      <c r="C48" s="61">
        <f t="shared" si="6"/>
        <v>85.1</v>
      </c>
      <c r="D48" s="61">
        <f t="shared" si="6"/>
        <v>85.1</v>
      </c>
      <c r="E48" s="61">
        <f t="shared" si="6"/>
        <v>85.1</v>
      </c>
      <c r="F48" s="61">
        <f t="shared" si="6"/>
        <v>85.1</v>
      </c>
      <c r="G48" s="61">
        <f t="shared" si="6"/>
        <v>105.1</v>
      </c>
      <c r="H48" s="61">
        <f t="shared" si="6"/>
        <v>90.1</v>
      </c>
      <c r="I48" s="61">
        <f t="shared" si="6"/>
        <v>200.1</v>
      </c>
      <c r="J48" s="61">
        <f t="shared" si="6"/>
        <v>200.1</v>
      </c>
      <c r="K48" s="61">
        <f t="shared" si="6"/>
        <v>490.1</v>
      </c>
      <c r="L48" s="61">
        <f t="shared" si="6"/>
        <v>490.1</v>
      </c>
      <c r="M48" s="61">
        <f t="shared" si="6"/>
        <v>519.1</v>
      </c>
      <c r="N48" s="61">
        <f t="shared" si="6"/>
        <v>463.1</v>
      </c>
      <c r="O48" s="61">
        <f t="shared" si="6"/>
        <v>313.10000000000002</v>
      </c>
      <c r="P48" s="61">
        <f t="shared" si="6"/>
        <v>113.1</v>
      </c>
      <c r="Q48" s="61">
        <f t="shared" si="6"/>
        <v>78.099999999999994</v>
      </c>
      <c r="R48" s="61">
        <f t="shared" si="6"/>
        <v>78.2</v>
      </c>
      <c r="S48" s="61">
        <f t="shared" si="6"/>
        <v>83.2</v>
      </c>
      <c r="T48" s="61">
        <f t="shared" si="6"/>
        <v>103.2</v>
      </c>
      <c r="U48" s="61">
        <f t="shared" si="6"/>
        <v>113.1</v>
      </c>
      <c r="V48" s="61">
        <f t="shared" si="6"/>
        <v>291.10000000000002</v>
      </c>
      <c r="W48" s="61">
        <f t="shared" si="6"/>
        <v>423.1</v>
      </c>
      <c r="X48" s="61">
        <f t="shared" si="6"/>
        <v>438.1</v>
      </c>
      <c r="Y48" s="61">
        <f t="shared" si="6"/>
        <v>403.1</v>
      </c>
      <c r="Z48" s="61">
        <f t="shared" si="6"/>
        <v>313.10000000000002</v>
      </c>
      <c r="AA48" s="61">
        <f t="shared" si="6"/>
        <v>293.39999999999998</v>
      </c>
      <c r="AB48" s="61">
        <f t="shared" si="6"/>
        <v>293.39999999999998</v>
      </c>
      <c r="AC48" s="61">
        <f t="shared" si="6"/>
        <v>212.8</v>
      </c>
      <c r="AD48" s="61">
        <f t="shared" si="6"/>
        <v>212.9</v>
      </c>
      <c r="AE48" s="61">
        <f t="shared" si="6"/>
        <v>144.9</v>
      </c>
      <c r="AF48" s="61">
        <f t="shared" si="6"/>
        <v>126.1</v>
      </c>
      <c r="AG48" s="62">
        <f t="shared" si="6"/>
        <v>538.1</v>
      </c>
      <c r="AH48" s="48">
        <f t="shared" si="2"/>
        <v>519.1</v>
      </c>
      <c r="AI48" s="49">
        <f t="shared" si="3"/>
        <v>78.099999999999994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48</v>
      </c>
      <c r="I49" s="45">
        <v>120</v>
      </c>
      <c r="J49" s="45">
        <v>141</v>
      </c>
      <c r="K49" s="45">
        <v>141</v>
      </c>
      <c r="L49" s="45">
        <v>141</v>
      </c>
      <c r="M49" s="45">
        <v>141</v>
      </c>
      <c r="N49" s="45">
        <v>141</v>
      </c>
      <c r="O49" s="45">
        <v>140.6</v>
      </c>
      <c r="P49" s="45">
        <v>140.6</v>
      </c>
      <c r="Q49" s="45">
        <v>140.6</v>
      </c>
      <c r="R49" s="45">
        <v>139</v>
      </c>
      <c r="S49" s="45">
        <v>120.7</v>
      </c>
      <c r="T49" s="45">
        <v>95.6</v>
      </c>
      <c r="U49" s="45">
        <v>95.6</v>
      </c>
      <c r="V49" s="45">
        <v>95.6</v>
      </c>
      <c r="W49" s="45">
        <v>139.19999999999999</v>
      </c>
      <c r="X49" s="45">
        <v>139.19999999999999</v>
      </c>
      <c r="Y49" s="45">
        <v>138.6</v>
      </c>
      <c r="Z49" s="45">
        <v>138.6</v>
      </c>
      <c r="AA49" s="45">
        <v>129.80000000000001</v>
      </c>
      <c r="AB49" s="45">
        <v>129.80000000000001</v>
      </c>
      <c r="AC49" s="45">
        <v>129.80000000000001</v>
      </c>
      <c r="AD49" s="45">
        <v>96</v>
      </c>
      <c r="AE49" s="45">
        <v>70.8</v>
      </c>
      <c r="AF49" s="45">
        <v>60.6</v>
      </c>
      <c r="AG49" s="52">
        <v>144</v>
      </c>
      <c r="AH49" s="48">
        <f t="shared" si="2"/>
        <v>141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35.5</v>
      </c>
      <c r="J50" s="65">
        <v>35.700000000000003</v>
      </c>
      <c r="K50" s="65">
        <v>73</v>
      </c>
      <c r="L50" s="65">
        <v>72.3</v>
      </c>
      <c r="M50" s="65">
        <v>72.3</v>
      </c>
      <c r="N50" s="65">
        <v>72.3</v>
      </c>
      <c r="O50" s="65">
        <v>70.2</v>
      </c>
      <c r="P50" s="65">
        <v>70.2</v>
      </c>
      <c r="Q50" s="65">
        <v>70.2</v>
      </c>
      <c r="R50" s="45">
        <v>70.2</v>
      </c>
      <c r="S50" s="65">
        <v>56.1</v>
      </c>
      <c r="T50" s="65">
        <v>58</v>
      </c>
      <c r="U50" s="65">
        <v>60</v>
      </c>
      <c r="V50" s="65">
        <v>60</v>
      </c>
      <c r="W50" s="65">
        <v>69.5</v>
      </c>
      <c r="X50" s="65">
        <v>70.400000000000006</v>
      </c>
      <c r="Y50" s="65">
        <v>68.5</v>
      </c>
      <c r="Z50" s="65">
        <v>68.5</v>
      </c>
      <c r="AA50" s="65">
        <v>69.7</v>
      </c>
      <c r="AB50" s="65">
        <v>69.7</v>
      </c>
      <c r="AC50" s="65">
        <v>69.7</v>
      </c>
      <c r="AD50" s="65">
        <v>30</v>
      </c>
      <c r="AE50" s="65">
        <v>26</v>
      </c>
      <c r="AF50" s="65">
        <v>28.1</v>
      </c>
      <c r="AG50" s="55">
        <v>70</v>
      </c>
      <c r="AH50" s="48">
        <f t="shared" si="2"/>
        <v>73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35</v>
      </c>
      <c r="C51" s="65">
        <v>35</v>
      </c>
      <c r="D51" s="65">
        <v>16</v>
      </c>
      <c r="E51" s="65">
        <v>21.5</v>
      </c>
      <c r="F51" s="65">
        <v>46</v>
      </c>
      <c r="G51" s="65">
        <v>46</v>
      </c>
      <c r="H51" s="65">
        <v>46</v>
      </c>
      <c r="I51" s="65">
        <v>70</v>
      </c>
      <c r="J51" s="65">
        <v>70</v>
      </c>
      <c r="K51" s="65">
        <v>70</v>
      </c>
      <c r="L51" s="65">
        <v>68.7</v>
      </c>
      <c r="M51" s="65">
        <v>68.7</v>
      </c>
      <c r="N51" s="65">
        <v>68.7</v>
      </c>
      <c r="O51" s="65">
        <v>67.2</v>
      </c>
      <c r="P51" s="65">
        <v>67.2</v>
      </c>
      <c r="Q51" s="65">
        <v>67.2</v>
      </c>
      <c r="R51" s="45">
        <v>45.4</v>
      </c>
      <c r="S51" s="65">
        <v>33.1</v>
      </c>
      <c r="T51" s="65">
        <v>41.1</v>
      </c>
      <c r="U51" s="65">
        <v>52</v>
      </c>
      <c r="V51" s="65">
        <v>52</v>
      </c>
      <c r="W51" s="65">
        <v>68.5</v>
      </c>
      <c r="X51" s="65">
        <v>69</v>
      </c>
      <c r="Y51" s="65">
        <v>68.400000000000006</v>
      </c>
      <c r="Z51" s="65">
        <v>68.400000000000006</v>
      </c>
      <c r="AA51" s="65">
        <v>68</v>
      </c>
      <c r="AB51" s="65">
        <v>68</v>
      </c>
      <c r="AC51" s="65">
        <v>68</v>
      </c>
      <c r="AD51" s="65">
        <v>55</v>
      </c>
      <c r="AE51" s="65">
        <v>55</v>
      </c>
      <c r="AF51" s="65">
        <v>52.5</v>
      </c>
      <c r="AG51" s="55">
        <v>69</v>
      </c>
      <c r="AH51" s="48">
        <f t="shared" si="2"/>
        <v>70</v>
      </c>
      <c r="AI51" s="49">
        <f t="shared" si="3"/>
        <v>16</v>
      </c>
      <c r="AK51" s="50"/>
    </row>
    <row r="52" spans="1:41" x14ac:dyDescent="0.25">
      <c r="A52" s="54" t="s">
        <v>60</v>
      </c>
      <c r="B52" s="57">
        <v>61</v>
      </c>
      <c r="C52" s="57">
        <v>61</v>
      </c>
      <c r="D52" s="57">
        <v>61</v>
      </c>
      <c r="E52" s="57">
        <v>61</v>
      </c>
      <c r="F52" s="57">
        <v>61</v>
      </c>
      <c r="G52" s="57">
        <v>61</v>
      </c>
      <c r="H52" s="57">
        <v>61</v>
      </c>
      <c r="I52" s="57">
        <v>61</v>
      </c>
      <c r="J52" s="57">
        <v>61.2</v>
      </c>
      <c r="K52" s="57">
        <v>61.2</v>
      </c>
      <c r="L52" s="57">
        <v>61.2</v>
      </c>
      <c r="M52" s="57">
        <v>61.2</v>
      </c>
      <c r="N52" s="57">
        <v>61.2</v>
      </c>
      <c r="O52" s="57">
        <v>61.2</v>
      </c>
      <c r="P52" s="57">
        <v>61.2</v>
      </c>
      <c r="Q52" s="57">
        <v>61.2</v>
      </c>
      <c r="R52" s="45">
        <v>61.2</v>
      </c>
      <c r="S52" s="45">
        <v>61</v>
      </c>
      <c r="T52" s="45">
        <v>61</v>
      </c>
      <c r="U52" s="45">
        <v>61</v>
      </c>
      <c r="V52" s="45">
        <v>61</v>
      </c>
      <c r="W52" s="65">
        <v>61</v>
      </c>
      <c r="X52" s="65">
        <v>61</v>
      </c>
      <c r="Y52" s="65">
        <v>61</v>
      </c>
      <c r="Z52" s="65">
        <v>61</v>
      </c>
      <c r="AA52" s="65">
        <v>61</v>
      </c>
      <c r="AB52" s="65">
        <v>61</v>
      </c>
      <c r="AC52" s="65">
        <v>61</v>
      </c>
      <c r="AD52" s="57">
        <v>61</v>
      </c>
      <c r="AE52" s="57">
        <v>61.2</v>
      </c>
      <c r="AF52" s="57">
        <v>61.2</v>
      </c>
      <c r="AG52" s="55">
        <v>60</v>
      </c>
      <c r="AH52" s="48">
        <f t="shared" si="2"/>
        <v>61.2</v>
      </c>
      <c r="AI52" s="49">
        <f t="shared" si="3"/>
        <v>61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29</v>
      </c>
      <c r="N53" s="57">
        <v>26</v>
      </c>
      <c r="O53" s="57">
        <v>26</v>
      </c>
      <c r="P53" s="57">
        <v>26</v>
      </c>
      <c r="Q53" s="57">
        <v>26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65">
        <v>26.3</v>
      </c>
      <c r="X53" s="65">
        <v>26.3</v>
      </c>
      <c r="Y53" s="65">
        <v>25.9</v>
      </c>
      <c r="Z53" s="65">
        <v>25.9</v>
      </c>
      <c r="AA53" s="65">
        <v>25.9</v>
      </c>
      <c r="AB53" s="65">
        <v>25.9</v>
      </c>
      <c r="AC53" s="65">
        <v>25.9</v>
      </c>
      <c r="AD53" s="65">
        <v>25.9</v>
      </c>
      <c r="AE53" s="57">
        <v>0</v>
      </c>
      <c r="AF53" s="57">
        <v>0</v>
      </c>
      <c r="AG53" s="55">
        <v>30</v>
      </c>
      <c r="AH53" s="48">
        <f t="shared" si="2"/>
        <v>29</v>
      </c>
      <c r="AI53" s="49">
        <f t="shared" si="3"/>
        <v>0</v>
      </c>
      <c r="AK53" s="50"/>
    </row>
    <row r="54" spans="1:41" x14ac:dyDescent="0.25">
      <c r="A54" s="54" t="s">
        <v>62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4</v>
      </c>
      <c r="O54" s="65">
        <v>6</v>
      </c>
      <c r="P54" s="65">
        <v>8</v>
      </c>
      <c r="Q54" s="65">
        <v>10</v>
      </c>
      <c r="R54" s="45">
        <v>10</v>
      </c>
      <c r="S54" s="45">
        <v>10</v>
      </c>
      <c r="T54" s="45">
        <v>10</v>
      </c>
      <c r="U54" s="45">
        <v>10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65">
        <v>0</v>
      </c>
      <c r="AF54" s="65">
        <v>0</v>
      </c>
      <c r="AG54" s="55">
        <v>25</v>
      </c>
      <c r="AH54" s="48">
        <f t="shared" si="2"/>
        <v>10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45">
        <v>17.100000000000001</v>
      </c>
      <c r="S55" s="45">
        <v>17.100000000000001</v>
      </c>
      <c r="T55" s="45">
        <v>17.100000000000001</v>
      </c>
      <c r="U55" s="45">
        <v>17.100000000000001</v>
      </c>
      <c r="V55" s="45">
        <v>17.100000000000001</v>
      </c>
      <c r="W55" s="45">
        <v>17.100000000000001</v>
      </c>
      <c r="X55" s="45">
        <v>17.100000000000001</v>
      </c>
      <c r="Y55" s="45">
        <v>17.100000000000001</v>
      </c>
      <c r="Z55" s="45">
        <v>17.100000000000001</v>
      </c>
      <c r="AA55" s="45">
        <v>17.100000000000001</v>
      </c>
      <c r="AB55" s="45">
        <v>17.100000000000001</v>
      </c>
      <c r="AC55" s="45">
        <v>17.100000000000001</v>
      </c>
      <c r="AD55" s="45">
        <v>17.100000000000001</v>
      </c>
      <c r="AE55" s="45">
        <v>17.100000000000001</v>
      </c>
      <c r="AF55" s="45">
        <v>17.100000000000001</v>
      </c>
      <c r="AG55" s="55">
        <v>24</v>
      </c>
      <c r="AH55" s="48">
        <f t="shared" si="2"/>
        <v>17.100000000000001</v>
      </c>
      <c r="AI55" s="49">
        <f t="shared" si="3"/>
        <v>17.100000000000001</v>
      </c>
      <c r="AK55" s="50"/>
    </row>
    <row r="56" spans="1:41" x14ac:dyDescent="0.25">
      <c r="A56" s="54" t="s">
        <v>64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14.6</v>
      </c>
      <c r="C57" s="65">
        <v>14.6</v>
      </c>
      <c r="D57" s="65">
        <v>14.6</v>
      </c>
      <c r="E57" s="65">
        <v>14.6</v>
      </c>
      <c r="F57" s="65">
        <v>14.6</v>
      </c>
      <c r="G57" s="65">
        <v>14.6</v>
      </c>
      <c r="H57" s="65">
        <v>14.6</v>
      </c>
      <c r="I57" s="65">
        <v>14.6</v>
      </c>
      <c r="J57" s="65">
        <v>14.6</v>
      </c>
      <c r="K57" s="65">
        <v>14.6</v>
      </c>
      <c r="L57" s="65">
        <v>14.6</v>
      </c>
      <c r="M57" s="65">
        <v>14.6</v>
      </c>
      <c r="N57" s="65">
        <v>14.6</v>
      </c>
      <c r="O57" s="65">
        <v>14.6</v>
      </c>
      <c r="P57" s="65">
        <v>14.6</v>
      </c>
      <c r="Q57" s="65">
        <v>14.6</v>
      </c>
      <c r="R57" s="65">
        <v>14.99</v>
      </c>
      <c r="S57" s="65">
        <v>15.3</v>
      </c>
      <c r="T57" s="65">
        <v>15.3</v>
      </c>
      <c r="U57" s="65">
        <v>15.3</v>
      </c>
      <c r="V57" s="65">
        <v>15.3</v>
      </c>
      <c r="W57" s="65">
        <v>15.3</v>
      </c>
      <c r="X57" s="65">
        <v>15.3</v>
      </c>
      <c r="Y57" s="65">
        <v>15.3</v>
      </c>
      <c r="Z57" s="65">
        <v>15.3</v>
      </c>
      <c r="AA57" s="65">
        <v>15.3</v>
      </c>
      <c r="AB57" s="65">
        <v>15.3</v>
      </c>
      <c r="AC57" s="65">
        <v>15.3</v>
      </c>
      <c r="AD57" s="65">
        <v>15.3</v>
      </c>
      <c r="AE57" s="65">
        <v>15.3</v>
      </c>
      <c r="AF57" s="65">
        <v>15.3</v>
      </c>
      <c r="AG57" s="55">
        <v>14.1</v>
      </c>
      <c r="AH57" s="48">
        <f t="shared" si="2"/>
        <v>15.3</v>
      </c>
      <c r="AI57" s="49">
        <f t="shared" si="3"/>
        <v>14.6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7</v>
      </c>
      <c r="C58" s="65">
        <v>7</v>
      </c>
      <c r="D58" s="65">
        <v>7</v>
      </c>
      <c r="E58" s="65">
        <v>7</v>
      </c>
      <c r="F58" s="65">
        <v>7</v>
      </c>
      <c r="G58" s="65">
        <v>7</v>
      </c>
      <c r="H58" s="65">
        <v>7</v>
      </c>
      <c r="I58" s="65">
        <v>7</v>
      </c>
      <c r="J58" s="65">
        <v>7</v>
      </c>
      <c r="K58" s="65">
        <v>7</v>
      </c>
      <c r="L58" s="65">
        <v>7</v>
      </c>
      <c r="M58" s="65">
        <v>7</v>
      </c>
      <c r="N58" s="65">
        <v>7</v>
      </c>
      <c r="O58" s="65">
        <v>7</v>
      </c>
      <c r="P58" s="65">
        <v>7</v>
      </c>
      <c r="Q58" s="65">
        <v>7</v>
      </c>
      <c r="R58" s="65">
        <v>7</v>
      </c>
      <c r="S58" s="65">
        <v>7.2</v>
      </c>
      <c r="T58" s="65">
        <v>7.2</v>
      </c>
      <c r="U58" s="65">
        <v>7.2</v>
      </c>
      <c r="V58" s="65">
        <v>7.2</v>
      </c>
      <c r="W58" s="65">
        <v>7.2</v>
      </c>
      <c r="X58" s="65">
        <v>7.2</v>
      </c>
      <c r="Y58" s="65">
        <v>7.2</v>
      </c>
      <c r="Z58" s="65">
        <v>7.2</v>
      </c>
      <c r="AA58" s="65">
        <v>7.2</v>
      </c>
      <c r="AB58" s="65">
        <v>7.2</v>
      </c>
      <c r="AC58" s="65">
        <v>7.2</v>
      </c>
      <c r="AD58" s="65">
        <v>7.2</v>
      </c>
      <c r="AE58" s="65">
        <v>7.2</v>
      </c>
      <c r="AF58" s="65">
        <v>7.2</v>
      </c>
      <c r="AG58" s="55">
        <v>14</v>
      </c>
      <c r="AH58" s="48">
        <f t="shared" si="2"/>
        <v>7.2</v>
      </c>
      <c r="AI58" s="49">
        <f t="shared" si="3"/>
        <v>7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5.0999999999999996</v>
      </c>
      <c r="T59" s="65">
        <v>5.0999999999999996</v>
      </c>
      <c r="U59" s="65">
        <v>5.0999999999999996</v>
      </c>
      <c r="V59" s="65">
        <v>5.0999999999999996</v>
      </c>
      <c r="W59" s="65">
        <v>5.0999999999999996</v>
      </c>
      <c r="X59" s="65">
        <v>5.0999999999999996</v>
      </c>
      <c r="Y59" s="65">
        <v>5.0999999999999996</v>
      </c>
      <c r="Z59" s="65">
        <v>5.0999999999999996</v>
      </c>
      <c r="AA59" s="65">
        <v>5.0999999999999996</v>
      </c>
      <c r="AB59" s="65">
        <v>5.0999999999999996</v>
      </c>
      <c r="AC59" s="65">
        <v>5.0999999999999996</v>
      </c>
      <c r="AD59" s="65">
        <v>5.0999999999999996</v>
      </c>
      <c r="AE59" s="65">
        <v>5.0999999999999996</v>
      </c>
      <c r="AF59" s="65">
        <v>5.0999999999999996</v>
      </c>
      <c r="AG59" s="55">
        <v>10.050000000000001</v>
      </c>
      <c r="AH59" s="48">
        <f t="shared" si="2"/>
        <v>6.5</v>
      </c>
      <c r="AI59" s="49">
        <f t="shared" si="3"/>
        <v>5.0999999999999996</v>
      </c>
      <c r="AK59" s="50"/>
    </row>
    <row r="60" spans="1:41" x14ac:dyDescent="0.25">
      <c r="A60" s="54" t="s">
        <v>68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>
        <v>3.6</v>
      </c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7">SUM(B49:B61)</f>
        <v>148.33999999999997</v>
      </c>
      <c r="C62" s="61">
        <f t="shared" si="7"/>
        <v>148.33999999999997</v>
      </c>
      <c r="D62" s="61">
        <f t="shared" si="7"/>
        <v>129.33999999999997</v>
      </c>
      <c r="E62" s="61">
        <f t="shared" si="7"/>
        <v>134.83999999999997</v>
      </c>
      <c r="F62" s="61">
        <f t="shared" si="7"/>
        <v>159.33999999999997</v>
      </c>
      <c r="G62" s="61">
        <f t="shared" si="7"/>
        <v>159.33999999999997</v>
      </c>
      <c r="H62" s="61">
        <f t="shared" si="7"/>
        <v>207.33999999999997</v>
      </c>
      <c r="I62" s="61">
        <f t="shared" si="7"/>
        <v>338.84000000000009</v>
      </c>
      <c r="J62" s="61">
        <f t="shared" si="7"/>
        <v>360.24000000000007</v>
      </c>
      <c r="K62" s="61">
        <f t="shared" si="7"/>
        <v>397.54000000000008</v>
      </c>
      <c r="L62" s="61">
        <f t="shared" si="7"/>
        <v>395.54000000000008</v>
      </c>
      <c r="M62" s="61">
        <f t="shared" si="7"/>
        <v>424.54000000000008</v>
      </c>
      <c r="N62" s="61">
        <f t="shared" si="7"/>
        <v>425.54000000000008</v>
      </c>
      <c r="O62" s="61">
        <f t="shared" si="7"/>
        <v>423.54000000000008</v>
      </c>
      <c r="P62" s="61">
        <f t="shared" si="7"/>
        <v>425.54000000000008</v>
      </c>
      <c r="Q62" s="61">
        <f t="shared" si="7"/>
        <v>427.54000000000008</v>
      </c>
      <c r="R62" s="61">
        <f t="shared" si="7"/>
        <v>378.53000000000009</v>
      </c>
      <c r="S62" s="61">
        <f t="shared" si="7"/>
        <v>332.74000000000007</v>
      </c>
      <c r="T62" s="61">
        <f t="shared" si="7"/>
        <v>317.54000000000008</v>
      </c>
      <c r="U62" s="61">
        <f t="shared" si="7"/>
        <v>330.44000000000011</v>
      </c>
      <c r="V62" s="61">
        <f t="shared" si="7"/>
        <v>320.44000000000011</v>
      </c>
      <c r="W62" s="61">
        <f t="shared" si="7"/>
        <v>416.34000000000009</v>
      </c>
      <c r="X62" s="61">
        <f t="shared" si="7"/>
        <v>417.74000000000012</v>
      </c>
      <c r="Y62" s="61">
        <f t="shared" si="7"/>
        <v>414.24000000000007</v>
      </c>
      <c r="Z62" s="61">
        <f t="shared" si="7"/>
        <v>414.24000000000007</v>
      </c>
      <c r="AA62" s="61">
        <f t="shared" si="7"/>
        <v>406.24000000000007</v>
      </c>
      <c r="AB62" s="61">
        <f t="shared" si="7"/>
        <v>406.24000000000007</v>
      </c>
      <c r="AC62" s="61">
        <f t="shared" si="7"/>
        <v>406.24000000000007</v>
      </c>
      <c r="AD62" s="61">
        <f t="shared" si="7"/>
        <v>319.74000000000007</v>
      </c>
      <c r="AE62" s="61">
        <f t="shared" si="7"/>
        <v>264.84000000000003</v>
      </c>
      <c r="AF62" s="61">
        <f t="shared" si="7"/>
        <v>254.23999999999995</v>
      </c>
      <c r="AG62" s="62">
        <f t="shared" si="7"/>
        <v>489.91</v>
      </c>
      <c r="AH62" s="48">
        <f t="shared" si="2"/>
        <v>427.54000000000008</v>
      </c>
      <c r="AI62" s="49">
        <f t="shared" si="3"/>
        <v>129.33999999999997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61</v>
      </c>
      <c r="L63" s="45">
        <v>59.1</v>
      </c>
      <c r="M63" s="45">
        <v>58.8</v>
      </c>
      <c r="N63" s="45">
        <v>59.6</v>
      </c>
      <c r="O63" s="45">
        <v>59</v>
      </c>
      <c r="P63" s="45">
        <v>40.1</v>
      </c>
      <c r="Q63" s="45">
        <v>19.899999999999999</v>
      </c>
      <c r="R63" s="45">
        <v>19.7</v>
      </c>
      <c r="S63" s="45">
        <v>9.9</v>
      </c>
      <c r="T63" s="45">
        <v>20</v>
      </c>
      <c r="U63" s="45">
        <v>19.600000000000001</v>
      </c>
      <c r="V63" s="45">
        <v>58.5</v>
      </c>
      <c r="W63" s="45">
        <v>59.6</v>
      </c>
      <c r="X63" s="45">
        <v>59.6</v>
      </c>
      <c r="Y63" s="45">
        <v>59.6</v>
      </c>
      <c r="Z63" s="45">
        <v>59.6</v>
      </c>
      <c r="AA63" s="45">
        <v>59.6</v>
      </c>
      <c r="AB63" s="45"/>
      <c r="AC63" s="45">
        <v>53</v>
      </c>
      <c r="AD63" s="45">
        <v>45</v>
      </c>
      <c r="AE63" s="45">
        <v>0</v>
      </c>
      <c r="AF63" s="45">
        <v>0</v>
      </c>
      <c r="AG63" s="52">
        <v>60</v>
      </c>
      <c r="AH63" s="48">
        <f t="shared" si="2"/>
        <v>61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14.5</v>
      </c>
      <c r="L64" s="65">
        <v>27.4</v>
      </c>
      <c r="M64" s="65">
        <v>26.2</v>
      </c>
      <c r="N64" s="65">
        <v>27.6</v>
      </c>
      <c r="O64" s="65">
        <v>27.8</v>
      </c>
      <c r="P64" s="65">
        <v>18.2</v>
      </c>
      <c r="Q64" s="65">
        <v>7.3</v>
      </c>
      <c r="R64" s="65">
        <v>6.3</v>
      </c>
      <c r="S64" s="65">
        <v>4.8</v>
      </c>
      <c r="T64" s="65">
        <v>14</v>
      </c>
      <c r="U64" s="65">
        <v>14.4</v>
      </c>
      <c r="V64" s="65">
        <v>27.7</v>
      </c>
      <c r="W64" s="65">
        <v>28</v>
      </c>
      <c r="X64" s="65">
        <v>28</v>
      </c>
      <c r="Y64" s="65">
        <v>28</v>
      </c>
      <c r="Z64" s="65">
        <v>28</v>
      </c>
      <c r="AA64" s="65">
        <v>28</v>
      </c>
      <c r="AB64" s="65"/>
      <c r="AC64" s="65">
        <v>21.47</v>
      </c>
      <c r="AD64" s="65">
        <v>16.8</v>
      </c>
      <c r="AE64" s="45">
        <v>0</v>
      </c>
      <c r="AF64" s="45">
        <v>0</v>
      </c>
      <c r="AG64" s="55">
        <v>32</v>
      </c>
      <c r="AH64" s="48">
        <f t="shared" si="2"/>
        <v>28</v>
      </c>
      <c r="AI64" s="49">
        <f t="shared" si="3"/>
        <v>0</v>
      </c>
      <c r="AK64" s="50"/>
    </row>
    <row r="65" spans="1:37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5.5</v>
      </c>
      <c r="L65" s="67">
        <v>10</v>
      </c>
      <c r="M65" s="67">
        <v>9.6</v>
      </c>
      <c r="N65" s="67">
        <v>10.1</v>
      </c>
      <c r="O65" s="67">
        <v>10.199999999999999</v>
      </c>
      <c r="P65" s="67">
        <v>6.6</v>
      </c>
      <c r="Q65" s="67">
        <v>2.7</v>
      </c>
      <c r="R65" s="67">
        <v>2.2999999999999998</v>
      </c>
      <c r="S65" s="67">
        <v>1.7</v>
      </c>
      <c r="T65" s="67">
        <v>5.0999999999999996</v>
      </c>
      <c r="U65" s="67">
        <v>5.3</v>
      </c>
      <c r="V65" s="67">
        <v>10.1</v>
      </c>
      <c r="W65" s="67">
        <v>10.199999999999999</v>
      </c>
      <c r="X65" s="67">
        <v>10.199999999999999</v>
      </c>
      <c r="Y65" s="67">
        <v>10.199999999999999</v>
      </c>
      <c r="Z65" s="67">
        <v>10.199999999999999</v>
      </c>
      <c r="AA65" s="67">
        <v>10.199999999999999</v>
      </c>
      <c r="AB65" s="67"/>
      <c r="AC65" s="67">
        <v>7.7</v>
      </c>
      <c r="AD65" s="67">
        <v>6.1</v>
      </c>
      <c r="AE65" s="45">
        <v>0</v>
      </c>
      <c r="AF65" s="45">
        <v>0</v>
      </c>
      <c r="AG65" s="68">
        <v>14</v>
      </c>
      <c r="AH65" s="48">
        <f t="shared" si="2"/>
        <v>10.199999999999999</v>
      </c>
      <c r="AI65" s="49">
        <f t="shared" si="3"/>
        <v>0</v>
      </c>
      <c r="AK65" s="50"/>
    </row>
    <row r="66" spans="1:37" ht="15.75" thickBot="1" x14ac:dyDescent="0.3">
      <c r="A66" s="74" t="s">
        <v>74</v>
      </c>
      <c r="B66" s="61">
        <f t="shared" ref="B66:AG66" si="8">SUM(B63:B65)</f>
        <v>0</v>
      </c>
      <c r="C66" s="61">
        <f t="shared" si="8"/>
        <v>0</v>
      </c>
      <c r="D66" s="61">
        <f t="shared" si="8"/>
        <v>0</v>
      </c>
      <c r="E66" s="61">
        <f t="shared" si="8"/>
        <v>0</v>
      </c>
      <c r="F66" s="61">
        <f t="shared" si="8"/>
        <v>0</v>
      </c>
      <c r="G66" s="61">
        <f t="shared" si="8"/>
        <v>0</v>
      </c>
      <c r="H66" s="61">
        <f t="shared" si="8"/>
        <v>0</v>
      </c>
      <c r="I66" s="61">
        <f t="shared" si="8"/>
        <v>0</v>
      </c>
      <c r="J66" s="61">
        <f t="shared" si="8"/>
        <v>0</v>
      </c>
      <c r="K66" s="61">
        <f t="shared" si="8"/>
        <v>81</v>
      </c>
      <c r="L66" s="61">
        <f t="shared" si="8"/>
        <v>96.5</v>
      </c>
      <c r="M66" s="61">
        <f t="shared" si="8"/>
        <v>94.6</v>
      </c>
      <c r="N66" s="61">
        <f t="shared" si="8"/>
        <v>97.3</v>
      </c>
      <c r="O66" s="61">
        <f t="shared" si="8"/>
        <v>97</v>
      </c>
      <c r="P66" s="61">
        <f t="shared" si="8"/>
        <v>64.899999999999991</v>
      </c>
      <c r="Q66" s="61">
        <f t="shared" si="8"/>
        <v>29.9</v>
      </c>
      <c r="R66" s="61">
        <f t="shared" si="8"/>
        <v>28.3</v>
      </c>
      <c r="S66" s="61">
        <f t="shared" si="8"/>
        <v>16.399999999999999</v>
      </c>
      <c r="T66" s="61">
        <f t="shared" si="8"/>
        <v>39.1</v>
      </c>
      <c r="U66" s="61">
        <f t="shared" si="8"/>
        <v>39.299999999999997</v>
      </c>
      <c r="V66" s="61">
        <f t="shared" si="8"/>
        <v>96.3</v>
      </c>
      <c r="W66" s="61">
        <f t="shared" si="8"/>
        <v>97.8</v>
      </c>
      <c r="X66" s="61">
        <f t="shared" si="8"/>
        <v>97.8</v>
      </c>
      <c r="Y66" s="61">
        <f t="shared" si="8"/>
        <v>97.8</v>
      </c>
      <c r="Z66" s="61">
        <f t="shared" si="8"/>
        <v>97.8</v>
      </c>
      <c r="AA66" s="61">
        <f t="shared" si="8"/>
        <v>97.8</v>
      </c>
      <c r="AB66" s="61">
        <f t="shared" si="8"/>
        <v>0</v>
      </c>
      <c r="AC66" s="61">
        <f t="shared" si="8"/>
        <v>82.17</v>
      </c>
      <c r="AD66" s="61">
        <f t="shared" si="8"/>
        <v>67.899999999999991</v>
      </c>
      <c r="AE66" s="61">
        <f t="shared" si="8"/>
        <v>0</v>
      </c>
      <c r="AF66" s="61">
        <f t="shared" si="8"/>
        <v>0</v>
      </c>
      <c r="AG66" s="62">
        <f t="shared" si="8"/>
        <v>106</v>
      </c>
      <c r="AH66" s="48">
        <f t="shared" si="2"/>
        <v>97.8</v>
      </c>
      <c r="AI66" s="49">
        <f t="shared" si="3"/>
        <v>0</v>
      </c>
      <c r="AK66" s="50"/>
    </row>
    <row r="67" spans="1:37" x14ac:dyDescent="0.25">
      <c r="A67" s="44" t="s">
        <v>75</v>
      </c>
      <c r="B67" s="45">
        <v>58</v>
      </c>
      <c r="C67" s="45">
        <v>55</v>
      </c>
      <c r="D67" s="45">
        <v>59</v>
      </c>
      <c r="E67" s="45">
        <v>63</v>
      </c>
      <c r="F67" s="45">
        <v>58</v>
      </c>
      <c r="G67" s="45">
        <v>58.3</v>
      </c>
      <c r="H67" s="45">
        <v>65</v>
      </c>
      <c r="I67" s="45">
        <v>46</v>
      </c>
      <c r="J67" s="45">
        <v>54.9</v>
      </c>
      <c r="K67" s="45">
        <v>0</v>
      </c>
      <c r="L67" s="45">
        <v>0</v>
      </c>
      <c r="M67" s="45">
        <v>45</v>
      </c>
      <c r="N67" s="45">
        <v>48.6</v>
      </c>
      <c r="O67" s="45">
        <v>64</v>
      </c>
      <c r="P67" s="45">
        <v>67.400000000000006</v>
      </c>
      <c r="Q67" s="45">
        <v>63.2</v>
      </c>
      <c r="R67" s="45">
        <v>55</v>
      </c>
      <c r="S67" s="45">
        <v>71.8</v>
      </c>
      <c r="T67" s="45">
        <v>73.2</v>
      </c>
      <c r="U67" s="45">
        <v>61</v>
      </c>
      <c r="V67" s="45">
        <v>45.7</v>
      </c>
      <c r="W67" s="45">
        <v>45.6</v>
      </c>
      <c r="X67" s="45">
        <v>45.1</v>
      </c>
      <c r="Y67" s="45">
        <v>45</v>
      </c>
      <c r="Z67" s="45">
        <v>41</v>
      </c>
      <c r="AA67" s="45">
        <v>40.299999999999997</v>
      </c>
      <c r="AB67" s="45"/>
      <c r="AC67" s="45">
        <v>52</v>
      </c>
      <c r="AD67" s="45">
        <v>51.99</v>
      </c>
      <c r="AE67" s="45">
        <v>59</v>
      </c>
      <c r="AF67" s="45">
        <v>48</v>
      </c>
      <c r="AG67" s="52"/>
      <c r="AH67" s="48">
        <f t="shared" si="2"/>
        <v>73.2</v>
      </c>
      <c r="AI67" s="49">
        <f t="shared" si="3"/>
        <v>0</v>
      </c>
      <c r="AK67" s="50"/>
    </row>
    <row r="68" spans="1:37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/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65">
        <v>107</v>
      </c>
      <c r="C69" s="65">
        <v>102</v>
      </c>
      <c r="D69" s="65">
        <v>112</v>
      </c>
      <c r="E69" s="65">
        <v>115</v>
      </c>
      <c r="F69" s="65">
        <v>115</v>
      </c>
      <c r="G69" s="65">
        <v>113.5</v>
      </c>
      <c r="H69" s="65">
        <v>113.3</v>
      </c>
      <c r="I69" s="65">
        <v>45</v>
      </c>
      <c r="J69" s="65">
        <v>0</v>
      </c>
      <c r="K69" s="65">
        <v>-100</v>
      </c>
      <c r="L69" s="65">
        <v>-101</v>
      </c>
      <c r="M69" s="65">
        <v>-74.900000000000006</v>
      </c>
      <c r="N69" s="65">
        <v>-102</v>
      </c>
      <c r="O69" s="65">
        <v>-12</v>
      </c>
      <c r="P69" s="65">
        <v>117</v>
      </c>
      <c r="Q69" s="65">
        <v>151.80000000000001</v>
      </c>
      <c r="R69" s="65">
        <v>163</v>
      </c>
      <c r="S69" s="65">
        <v>168</v>
      </c>
      <c r="T69" s="65">
        <v>169.1</v>
      </c>
      <c r="U69" s="65">
        <v>160</v>
      </c>
      <c r="V69" s="65">
        <v>7.2</v>
      </c>
      <c r="W69" s="65">
        <v>-2</v>
      </c>
      <c r="X69" s="65">
        <v>-3.6</v>
      </c>
      <c r="Y69" s="65">
        <v>-2.85</v>
      </c>
      <c r="Z69" s="65">
        <v>5</v>
      </c>
      <c r="AA69" s="65">
        <v>-9</v>
      </c>
      <c r="AB69" s="65"/>
      <c r="AC69" s="65">
        <v>-3</v>
      </c>
      <c r="AD69" s="65">
        <v>-4</v>
      </c>
      <c r="AE69" s="65">
        <v>-2</v>
      </c>
      <c r="AF69" s="65">
        <v>-2</v>
      </c>
      <c r="AG69" s="75"/>
      <c r="AH69" s="48">
        <f t="shared" si="2"/>
        <v>169.1</v>
      </c>
      <c r="AI69" s="49">
        <f t="shared" si="3"/>
        <v>-102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/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/>
      <c r="AC71" s="45">
        <v>0</v>
      </c>
      <c r="AD71" s="45">
        <v>0</v>
      </c>
      <c r="AE71" s="45">
        <v>0</v>
      </c>
      <c r="AF71" s="45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/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/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/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/>
      <c r="AC75" s="76">
        <v>0</v>
      </c>
      <c r="AD75" s="76">
        <v>0</v>
      </c>
      <c r="AE75" s="76">
        <v>0</v>
      </c>
      <c r="AF75" s="76">
        <v>0</v>
      </c>
      <c r="AG75" s="75"/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/>
      <c r="AC76" s="79">
        <v>0</v>
      </c>
      <c r="AD76" s="79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/>
      <c r="AC77" s="79">
        <v>0</v>
      </c>
      <c r="AD77" s="79">
        <v>0</v>
      </c>
      <c r="AE77" s="79">
        <v>0</v>
      </c>
      <c r="AF77" s="79">
        <v>0</v>
      </c>
      <c r="AG77" s="80"/>
      <c r="AH77" s="48">
        <f t="shared" si="2"/>
        <v>0</v>
      </c>
      <c r="AI77" s="49">
        <f t="shared" si="3"/>
        <v>0</v>
      </c>
      <c r="AK77" s="50"/>
    </row>
    <row r="78" spans="1:37" ht="15.75" thickBot="1" x14ac:dyDescent="0.3">
      <c r="A78" s="74" t="s">
        <v>86</v>
      </c>
      <c r="B78" s="61">
        <f t="shared" ref="B78:AF78" si="9">SUMIF(B67:B77,"&gt;0")</f>
        <v>165</v>
      </c>
      <c r="C78" s="61">
        <f t="shared" si="9"/>
        <v>157</v>
      </c>
      <c r="D78" s="61">
        <f t="shared" si="9"/>
        <v>171</v>
      </c>
      <c r="E78" s="61">
        <f t="shared" si="9"/>
        <v>178</v>
      </c>
      <c r="F78" s="61">
        <f t="shared" si="9"/>
        <v>173</v>
      </c>
      <c r="G78" s="61">
        <f t="shared" si="9"/>
        <v>171.8</v>
      </c>
      <c r="H78" s="61">
        <f t="shared" si="9"/>
        <v>178.3</v>
      </c>
      <c r="I78" s="61">
        <f t="shared" si="9"/>
        <v>91</v>
      </c>
      <c r="J78" s="61">
        <f t="shared" si="9"/>
        <v>54.9</v>
      </c>
      <c r="K78" s="61">
        <f t="shared" si="9"/>
        <v>0</v>
      </c>
      <c r="L78" s="61">
        <f t="shared" si="9"/>
        <v>0</v>
      </c>
      <c r="M78" s="61">
        <f t="shared" si="9"/>
        <v>45</v>
      </c>
      <c r="N78" s="61">
        <f t="shared" si="9"/>
        <v>48.6</v>
      </c>
      <c r="O78" s="61">
        <f t="shared" si="9"/>
        <v>64</v>
      </c>
      <c r="P78" s="61">
        <f t="shared" si="9"/>
        <v>184.4</v>
      </c>
      <c r="Q78" s="61">
        <f t="shared" si="9"/>
        <v>215</v>
      </c>
      <c r="R78" s="61">
        <f t="shared" si="9"/>
        <v>218</v>
      </c>
      <c r="S78" s="61">
        <f t="shared" si="9"/>
        <v>239.8</v>
      </c>
      <c r="T78" s="61">
        <f t="shared" si="9"/>
        <v>242.3</v>
      </c>
      <c r="U78" s="61">
        <f t="shared" si="9"/>
        <v>221</v>
      </c>
      <c r="V78" s="61">
        <f t="shared" si="9"/>
        <v>52.900000000000006</v>
      </c>
      <c r="W78" s="61">
        <f t="shared" si="9"/>
        <v>45.6</v>
      </c>
      <c r="X78" s="61">
        <f t="shared" si="9"/>
        <v>45.1</v>
      </c>
      <c r="Y78" s="61">
        <f t="shared" si="9"/>
        <v>45</v>
      </c>
      <c r="Z78" s="61">
        <f t="shared" si="9"/>
        <v>46</v>
      </c>
      <c r="AA78" s="61">
        <f t="shared" si="9"/>
        <v>40.299999999999997</v>
      </c>
      <c r="AB78" s="61">
        <f t="shared" si="9"/>
        <v>0</v>
      </c>
      <c r="AC78" s="61">
        <f t="shared" si="9"/>
        <v>52</v>
      </c>
      <c r="AD78" s="61">
        <f t="shared" si="9"/>
        <v>51.99</v>
      </c>
      <c r="AE78" s="61">
        <f t="shared" si="9"/>
        <v>59</v>
      </c>
      <c r="AF78" s="61">
        <f t="shared" si="9"/>
        <v>48</v>
      </c>
      <c r="AG78" s="81">
        <f>SUM(AG67:AG77)</f>
        <v>0</v>
      </c>
      <c r="AH78" s="48">
        <f t="shared" si="2"/>
        <v>242.3</v>
      </c>
      <c r="AI78" s="49">
        <f t="shared" si="3"/>
        <v>0</v>
      </c>
      <c r="AK78" s="50"/>
    </row>
    <row r="79" spans="1:37" x14ac:dyDescent="0.25">
      <c r="A79" s="44" t="s">
        <v>87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82">
        <v>39</v>
      </c>
      <c r="AH79" s="48">
        <f t="shared" si="2"/>
        <v>0</v>
      </c>
      <c r="AI79" s="49">
        <f t="shared" si="3"/>
        <v>0</v>
      </c>
      <c r="AK79" s="50"/>
    </row>
    <row r="80" spans="1:37" x14ac:dyDescent="0.25">
      <c r="A80" s="54" t="s">
        <v>88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5">
        <v>14.4</v>
      </c>
      <c r="AH80" s="48">
        <f t="shared" ref="AH80:AH113" si="10">MAX(B80:AF80)</f>
        <v>0</v>
      </c>
      <c r="AI80" s="49">
        <f t="shared" ref="AI80:AI113" si="11">MIN(B80:AF80)</f>
        <v>0</v>
      </c>
      <c r="AK80" s="50"/>
    </row>
    <row r="81" spans="1:37" ht="15.75" thickBot="1" x14ac:dyDescent="0.3">
      <c r="A81" s="78" t="s">
        <v>89</v>
      </c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80">
        <v>2</v>
      </c>
      <c r="AH81" s="48">
        <f t="shared" si="10"/>
        <v>0</v>
      </c>
      <c r="AI81" s="49">
        <f t="shared" si="11"/>
        <v>0</v>
      </c>
    </row>
    <row r="82" spans="1:37" ht="15.75" thickBot="1" x14ac:dyDescent="0.3">
      <c r="A82" s="74" t="s">
        <v>90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10"/>
        <v>0</v>
      </c>
      <c r="AI82" s="49">
        <f t="shared" si="11"/>
        <v>0</v>
      </c>
    </row>
    <row r="83" spans="1:37" ht="15.75" thickBot="1" x14ac:dyDescent="0.3">
      <c r="A83" s="74" t="s">
        <v>91</v>
      </c>
      <c r="B83" s="83">
        <f t="shared" ref="B83:AG83" si="12">B44+B48+B66+B62+B78+B82</f>
        <v>952.84000000000015</v>
      </c>
      <c r="C83" s="83">
        <f t="shared" si="12"/>
        <v>944.84000000000015</v>
      </c>
      <c r="D83" s="83">
        <f t="shared" si="12"/>
        <v>939.84000000000015</v>
      </c>
      <c r="E83" s="83">
        <f t="shared" si="12"/>
        <v>953.83999999999992</v>
      </c>
      <c r="F83" s="83">
        <f t="shared" si="12"/>
        <v>973.33999999999992</v>
      </c>
      <c r="G83" s="83">
        <f t="shared" si="12"/>
        <v>992.13999999999987</v>
      </c>
      <c r="H83" s="83">
        <f t="shared" si="12"/>
        <v>1031.6399999999999</v>
      </c>
      <c r="I83" s="83">
        <f t="shared" si="12"/>
        <v>1185.8400000000001</v>
      </c>
      <c r="J83" s="83">
        <f t="shared" si="12"/>
        <v>1171.1400000000001</v>
      </c>
      <c r="K83" s="83">
        <f t="shared" si="12"/>
        <v>1524.54</v>
      </c>
      <c r="L83" s="83">
        <f t="shared" si="12"/>
        <v>1538.04</v>
      </c>
      <c r="M83" s="83">
        <f t="shared" si="12"/>
        <v>1640.1399999999999</v>
      </c>
      <c r="N83" s="83">
        <f t="shared" si="12"/>
        <v>1591.44</v>
      </c>
      <c r="O83" s="83">
        <f t="shared" si="12"/>
        <v>1454.54</v>
      </c>
      <c r="P83" s="83">
        <f t="shared" si="12"/>
        <v>1344.8400000000001</v>
      </c>
      <c r="Q83" s="83">
        <f t="shared" si="12"/>
        <v>1307.44</v>
      </c>
      <c r="R83" s="83">
        <f t="shared" si="12"/>
        <v>1259.93</v>
      </c>
      <c r="S83" s="83">
        <f t="shared" si="12"/>
        <v>1227.94</v>
      </c>
      <c r="T83" s="83">
        <f t="shared" si="12"/>
        <v>1257.94</v>
      </c>
      <c r="U83" s="83">
        <f t="shared" si="12"/>
        <v>1259.6400000000001</v>
      </c>
      <c r="V83" s="83">
        <f t="shared" si="12"/>
        <v>1315.5400000000002</v>
      </c>
      <c r="W83" s="83">
        <f t="shared" si="12"/>
        <v>1537.64</v>
      </c>
      <c r="X83" s="83">
        <f t="shared" si="12"/>
        <v>1553.54</v>
      </c>
      <c r="Y83" s="83">
        <f t="shared" si="12"/>
        <v>1514.94</v>
      </c>
      <c r="Z83" s="83">
        <f t="shared" si="12"/>
        <v>1425.94</v>
      </c>
      <c r="AA83" s="83">
        <f t="shared" si="12"/>
        <v>1392.54</v>
      </c>
      <c r="AB83" s="83">
        <f t="shared" si="12"/>
        <v>1254.44</v>
      </c>
      <c r="AC83" s="83">
        <f t="shared" si="12"/>
        <v>1308.01</v>
      </c>
      <c r="AD83" s="83">
        <f t="shared" si="12"/>
        <v>1207.33</v>
      </c>
      <c r="AE83" s="83">
        <f t="shared" si="12"/>
        <v>1018.64</v>
      </c>
      <c r="AF83" s="83">
        <f t="shared" si="12"/>
        <v>978.33999999999992</v>
      </c>
      <c r="AG83" s="62">
        <f t="shared" si="12"/>
        <v>2004.1900000000003</v>
      </c>
      <c r="AH83" s="48">
        <f t="shared" si="10"/>
        <v>1640.1399999999999</v>
      </c>
      <c r="AI83" s="49">
        <f t="shared" si="11"/>
        <v>939.84000000000015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10"/>
        <v>0</v>
      </c>
      <c r="AI84" s="49">
        <f t="shared" si="11"/>
        <v>0</v>
      </c>
    </row>
    <row r="85" spans="1:37" ht="15.75" thickBot="1" x14ac:dyDescent="0.3">
      <c r="A85" s="74" t="s">
        <v>93</v>
      </c>
      <c r="B85" s="83">
        <f t="shared" ref="B85:AF85" si="13">B83+B84</f>
        <v>952.84000000000015</v>
      </c>
      <c r="C85" s="83">
        <f t="shared" si="13"/>
        <v>944.84000000000015</v>
      </c>
      <c r="D85" s="83">
        <f t="shared" si="13"/>
        <v>939.84000000000015</v>
      </c>
      <c r="E85" s="83">
        <f t="shared" si="13"/>
        <v>953.83999999999992</v>
      </c>
      <c r="F85" s="83">
        <f t="shared" si="13"/>
        <v>973.33999999999992</v>
      </c>
      <c r="G85" s="83">
        <f t="shared" si="13"/>
        <v>992.13999999999987</v>
      </c>
      <c r="H85" s="83">
        <f t="shared" si="13"/>
        <v>1031.6399999999999</v>
      </c>
      <c r="I85" s="83">
        <f t="shared" si="13"/>
        <v>1185.8400000000001</v>
      </c>
      <c r="J85" s="83">
        <f t="shared" si="13"/>
        <v>1171.1400000000001</v>
      </c>
      <c r="K85" s="83">
        <f t="shared" si="13"/>
        <v>1524.54</v>
      </c>
      <c r="L85" s="83">
        <f t="shared" si="13"/>
        <v>1538.04</v>
      </c>
      <c r="M85" s="83">
        <f t="shared" si="13"/>
        <v>1640.1399999999999</v>
      </c>
      <c r="N85" s="83">
        <f t="shared" si="13"/>
        <v>1591.44</v>
      </c>
      <c r="O85" s="83">
        <f t="shared" si="13"/>
        <v>1454.54</v>
      </c>
      <c r="P85" s="83">
        <f t="shared" si="13"/>
        <v>1344.8400000000001</v>
      </c>
      <c r="Q85" s="83">
        <f t="shared" si="13"/>
        <v>1307.44</v>
      </c>
      <c r="R85" s="83">
        <f t="shared" si="13"/>
        <v>1259.93</v>
      </c>
      <c r="S85" s="83">
        <f t="shared" si="13"/>
        <v>1227.94</v>
      </c>
      <c r="T85" s="83">
        <f t="shared" si="13"/>
        <v>1257.94</v>
      </c>
      <c r="U85" s="83">
        <f t="shared" si="13"/>
        <v>1259.6400000000001</v>
      </c>
      <c r="V85" s="83">
        <f t="shared" si="13"/>
        <v>1315.5400000000002</v>
      </c>
      <c r="W85" s="83">
        <f t="shared" si="13"/>
        <v>1537.64</v>
      </c>
      <c r="X85" s="83">
        <f t="shared" si="13"/>
        <v>1553.54</v>
      </c>
      <c r="Y85" s="83">
        <f t="shared" si="13"/>
        <v>1514.94</v>
      </c>
      <c r="Z85" s="83">
        <f t="shared" si="13"/>
        <v>1425.94</v>
      </c>
      <c r="AA85" s="83">
        <f t="shared" si="13"/>
        <v>1392.54</v>
      </c>
      <c r="AB85" s="83">
        <f t="shared" si="13"/>
        <v>1254.44</v>
      </c>
      <c r="AC85" s="83">
        <f t="shared" si="13"/>
        <v>1308.01</v>
      </c>
      <c r="AD85" s="83">
        <f t="shared" si="13"/>
        <v>1207.33</v>
      </c>
      <c r="AE85" s="83">
        <f t="shared" si="13"/>
        <v>1018.64</v>
      </c>
      <c r="AF85" s="83">
        <f t="shared" si="13"/>
        <v>978.33999999999992</v>
      </c>
      <c r="AG85" s="81">
        <f>AG82+AG78+AG66+AG62+AG44+AG84</f>
        <v>1466.0900000000001</v>
      </c>
      <c r="AH85" s="48">
        <f t="shared" si="10"/>
        <v>1640.1399999999999</v>
      </c>
      <c r="AI85" s="49">
        <f t="shared" si="11"/>
        <v>939.84000000000015</v>
      </c>
    </row>
    <row r="86" spans="1:37" ht="15.75" thickBot="1" x14ac:dyDescent="0.3">
      <c r="A86" s="74" t="s">
        <v>94</v>
      </c>
      <c r="B86" s="83">
        <f t="shared" ref="B86:AF86" si="14">B85-B93</f>
        <v>952.84000000000015</v>
      </c>
      <c r="C86" s="83">
        <f t="shared" si="14"/>
        <v>944.84000000000015</v>
      </c>
      <c r="D86" s="83">
        <f t="shared" si="14"/>
        <v>939.84000000000015</v>
      </c>
      <c r="E86" s="83">
        <f t="shared" si="14"/>
        <v>953.83999999999992</v>
      </c>
      <c r="F86" s="83">
        <f t="shared" si="14"/>
        <v>973.33999999999992</v>
      </c>
      <c r="G86" s="83">
        <f t="shared" si="14"/>
        <v>992.13999999999987</v>
      </c>
      <c r="H86" s="83">
        <f t="shared" si="14"/>
        <v>1031.6399999999999</v>
      </c>
      <c r="I86" s="83">
        <f t="shared" si="14"/>
        <v>1185.8400000000001</v>
      </c>
      <c r="J86" s="83">
        <f t="shared" si="14"/>
        <v>1171.1400000000001</v>
      </c>
      <c r="K86" s="83">
        <f t="shared" si="14"/>
        <v>1424.54</v>
      </c>
      <c r="L86" s="83">
        <f t="shared" si="14"/>
        <v>1437.04</v>
      </c>
      <c r="M86" s="83">
        <f t="shared" si="14"/>
        <v>1565.2399999999998</v>
      </c>
      <c r="N86" s="83">
        <f t="shared" si="14"/>
        <v>1489.44</v>
      </c>
      <c r="O86" s="83">
        <f t="shared" si="14"/>
        <v>1442.54</v>
      </c>
      <c r="P86" s="83">
        <f t="shared" si="14"/>
        <v>1344.8400000000001</v>
      </c>
      <c r="Q86" s="83">
        <f t="shared" si="14"/>
        <v>1307.44</v>
      </c>
      <c r="R86" s="83">
        <f t="shared" si="14"/>
        <v>1259.93</v>
      </c>
      <c r="S86" s="83">
        <f t="shared" si="14"/>
        <v>1227.94</v>
      </c>
      <c r="T86" s="83">
        <f t="shared" si="14"/>
        <v>1257.94</v>
      </c>
      <c r="U86" s="83">
        <f t="shared" si="14"/>
        <v>1259.6400000000001</v>
      </c>
      <c r="V86" s="83">
        <f t="shared" si="14"/>
        <v>1315.5400000000002</v>
      </c>
      <c r="W86" s="83">
        <f t="shared" si="14"/>
        <v>1535.64</v>
      </c>
      <c r="X86" s="83">
        <f t="shared" si="14"/>
        <v>1549.94</v>
      </c>
      <c r="Y86" s="83">
        <f t="shared" si="14"/>
        <v>1512.0900000000001</v>
      </c>
      <c r="Z86" s="83">
        <f t="shared" si="14"/>
        <v>1425.94</v>
      </c>
      <c r="AA86" s="83">
        <f t="shared" si="14"/>
        <v>1383.54</v>
      </c>
      <c r="AB86" s="83">
        <f t="shared" si="14"/>
        <v>1254.44</v>
      </c>
      <c r="AC86" s="83">
        <f t="shared" si="14"/>
        <v>1305.01</v>
      </c>
      <c r="AD86" s="83">
        <f t="shared" si="14"/>
        <v>1203.33</v>
      </c>
      <c r="AE86" s="83">
        <f t="shared" si="14"/>
        <v>1016.64</v>
      </c>
      <c r="AF86" s="83">
        <f t="shared" si="14"/>
        <v>976.33999999999992</v>
      </c>
      <c r="AG86" s="81"/>
      <c r="AH86" s="48">
        <f t="shared" si="10"/>
        <v>1565.2399999999998</v>
      </c>
      <c r="AI86" s="49">
        <f t="shared" si="11"/>
        <v>939.84000000000015</v>
      </c>
    </row>
    <row r="87" spans="1:37" x14ac:dyDescent="0.25">
      <c r="A87" s="44" t="s">
        <v>78</v>
      </c>
      <c r="B87" s="76">
        <f t="shared" ref="B87:AF87" si="15">IF(B70&lt;0,B70*-1,0)</f>
        <v>0</v>
      </c>
      <c r="C87" s="76">
        <f t="shared" si="15"/>
        <v>0</v>
      </c>
      <c r="D87" s="76">
        <f t="shared" si="15"/>
        <v>0</v>
      </c>
      <c r="E87" s="76">
        <f t="shared" si="15"/>
        <v>0</v>
      </c>
      <c r="F87" s="76">
        <f t="shared" si="15"/>
        <v>0</v>
      </c>
      <c r="G87" s="76">
        <f t="shared" si="15"/>
        <v>0</v>
      </c>
      <c r="H87" s="76">
        <f t="shared" si="15"/>
        <v>0</v>
      </c>
      <c r="I87" s="76">
        <f t="shared" si="15"/>
        <v>0</v>
      </c>
      <c r="J87" s="76">
        <f t="shared" si="15"/>
        <v>0</v>
      </c>
      <c r="K87" s="76">
        <f t="shared" si="15"/>
        <v>0</v>
      </c>
      <c r="L87" s="76">
        <f t="shared" si="15"/>
        <v>0</v>
      </c>
      <c r="M87" s="76">
        <f t="shared" si="15"/>
        <v>0</v>
      </c>
      <c r="N87" s="76">
        <f t="shared" si="15"/>
        <v>0</v>
      </c>
      <c r="O87" s="76">
        <f t="shared" si="15"/>
        <v>0</v>
      </c>
      <c r="P87" s="76">
        <f t="shared" si="15"/>
        <v>0</v>
      </c>
      <c r="Q87" s="76">
        <f t="shared" si="15"/>
        <v>0</v>
      </c>
      <c r="R87" s="76">
        <f t="shared" si="15"/>
        <v>0</v>
      </c>
      <c r="S87" s="76">
        <f t="shared" si="15"/>
        <v>0</v>
      </c>
      <c r="T87" s="76">
        <f t="shared" si="15"/>
        <v>0</v>
      </c>
      <c r="U87" s="76">
        <f t="shared" si="15"/>
        <v>0</v>
      </c>
      <c r="V87" s="76">
        <f t="shared" si="15"/>
        <v>0</v>
      </c>
      <c r="W87" s="76">
        <f t="shared" si="15"/>
        <v>0</v>
      </c>
      <c r="X87" s="76">
        <f t="shared" si="15"/>
        <v>0</v>
      </c>
      <c r="Y87" s="76">
        <f t="shared" si="15"/>
        <v>0</v>
      </c>
      <c r="Z87" s="76">
        <f t="shared" si="15"/>
        <v>0</v>
      </c>
      <c r="AA87" s="76">
        <f t="shared" si="15"/>
        <v>0</v>
      </c>
      <c r="AB87" s="76">
        <f t="shared" si="15"/>
        <v>0</v>
      </c>
      <c r="AC87" s="76">
        <f t="shared" si="15"/>
        <v>0</v>
      </c>
      <c r="AD87" s="76">
        <f t="shared" si="15"/>
        <v>0</v>
      </c>
      <c r="AE87" s="76">
        <f t="shared" si="15"/>
        <v>0</v>
      </c>
      <c r="AF87" s="76">
        <f t="shared" si="15"/>
        <v>0</v>
      </c>
      <c r="AG87" s="52"/>
      <c r="AH87" s="48">
        <f t="shared" si="10"/>
        <v>0</v>
      </c>
      <c r="AI87" s="49">
        <f t="shared" si="11"/>
        <v>0</v>
      </c>
    </row>
    <row r="88" spans="1:37" x14ac:dyDescent="0.25">
      <c r="A88" s="54" t="s">
        <v>76</v>
      </c>
      <c r="B88" s="76">
        <f t="shared" ref="B88:AF88" si="16">IF(B68&lt;0,B68*-1,0)</f>
        <v>0</v>
      </c>
      <c r="C88" s="76">
        <f t="shared" si="16"/>
        <v>0</v>
      </c>
      <c r="D88" s="76">
        <f t="shared" si="16"/>
        <v>0</v>
      </c>
      <c r="E88" s="76">
        <f t="shared" si="16"/>
        <v>0</v>
      </c>
      <c r="F88" s="76">
        <f t="shared" si="16"/>
        <v>0</v>
      </c>
      <c r="G88" s="76">
        <f t="shared" si="16"/>
        <v>0</v>
      </c>
      <c r="H88" s="76">
        <f t="shared" si="16"/>
        <v>0</v>
      </c>
      <c r="I88" s="76">
        <f t="shared" si="16"/>
        <v>0</v>
      </c>
      <c r="J88" s="76">
        <f t="shared" si="16"/>
        <v>0</v>
      </c>
      <c r="K88" s="76">
        <f t="shared" si="16"/>
        <v>0</v>
      </c>
      <c r="L88" s="76">
        <f t="shared" si="16"/>
        <v>0</v>
      </c>
      <c r="M88" s="76">
        <f t="shared" si="16"/>
        <v>0</v>
      </c>
      <c r="N88" s="76">
        <f t="shared" si="16"/>
        <v>0</v>
      </c>
      <c r="O88" s="76">
        <f t="shared" si="16"/>
        <v>0</v>
      </c>
      <c r="P88" s="76">
        <f t="shared" si="16"/>
        <v>0</v>
      </c>
      <c r="Q88" s="76">
        <f t="shared" si="16"/>
        <v>0</v>
      </c>
      <c r="R88" s="76">
        <f t="shared" si="16"/>
        <v>0</v>
      </c>
      <c r="S88" s="76">
        <f t="shared" si="16"/>
        <v>0</v>
      </c>
      <c r="T88" s="76">
        <f t="shared" si="16"/>
        <v>0</v>
      </c>
      <c r="U88" s="76">
        <f t="shared" si="16"/>
        <v>0</v>
      </c>
      <c r="V88" s="76">
        <f t="shared" si="16"/>
        <v>0</v>
      </c>
      <c r="W88" s="76">
        <f t="shared" si="16"/>
        <v>0</v>
      </c>
      <c r="X88" s="76">
        <f t="shared" si="16"/>
        <v>0</v>
      </c>
      <c r="Y88" s="76">
        <f t="shared" si="16"/>
        <v>0</v>
      </c>
      <c r="Z88" s="76">
        <f t="shared" si="16"/>
        <v>0</v>
      </c>
      <c r="AA88" s="76">
        <f t="shared" si="16"/>
        <v>0</v>
      </c>
      <c r="AB88" s="76">
        <f t="shared" si="16"/>
        <v>0</v>
      </c>
      <c r="AC88" s="76">
        <f t="shared" si="16"/>
        <v>0</v>
      </c>
      <c r="AD88" s="76">
        <f t="shared" si="16"/>
        <v>0</v>
      </c>
      <c r="AE88" s="76">
        <f t="shared" si="16"/>
        <v>0</v>
      </c>
      <c r="AF88" s="76">
        <f t="shared" si="16"/>
        <v>0</v>
      </c>
      <c r="AG88" s="55"/>
      <c r="AH88" s="48">
        <f t="shared" si="10"/>
        <v>0</v>
      </c>
      <c r="AI88" s="49">
        <f t="shared" si="11"/>
        <v>0</v>
      </c>
    </row>
    <row r="89" spans="1:37" x14ac:dyDescent="0.25">
      <c r="A89" s="78" t="s">
        <v>95</v>
      </c>
      <c r="B89" s="76">
        <f t="shared" ref="B89:AF89" si="17">IF(B71&lt;0,B71*-1,0)</f>
        <v>0</v>
      </c>
      <c r="C89" s="76">
        <f t="shared" si="17"/>
        <v>0</v>
      </c>
      <c r="D89" s="76">
        <f t="shared" si="17"/>
        <v>0</v>
      </c>
      <c r="E89" s="76">
        <f t="shared" si="17"/>
        <v>0</v>
      </c>
      <c r="F89" s="76">
        <f t="shared" si="17"/>
        <v>0</v>
      </c>
      <c r="G89" s="76">
        <f t="shared" si="17"/>
        <v>0</v>
      </c>
      <c r="H89" s="76">
        <f t="shared" si="17"/>
        <v>0</v>
      </c>
      <c r="I89" s="76">
        <f t="shared" si="17"/>
        <v>0</v>
      </c>
      <c r="J89" s="76">
        <f t="shared" si="17"/>
        <v>0</v>
      </c>
      <c r="K89" s="76">
        <f t="shared" si="17"/>
        <v>0</v>
      </c>
      <c r="L89" s="76">
        <f t="shared" si="17"/>
        <v>0</v>
      </c>
      <c r="M89" s="76">
        <f t="shared" si="17"/>
        <v>0</v>
      </c>
      <c r="N89" s="76">
        <f t="shared" si="17"/>
        <v>0</v>
      </c>
      <c r="O89" s="76">
        <f t="shared" si="17"/>
        <v>0</v>
      </c>
      <c r="P89" s="76">
        <f t="shared" si="17"/>
        <v>0</v>
      </c>
      <c r="Q89" s="76">
        <f t="shared" si="17"/>
        <v>0</v>
      </c>
      <c r="R89" s="76">
        <f t="shared" si="17"/>
        <v>0</v>
      </c>
      <c r="S89" s="76">
        <f t="shared" si="17"/>
        <v>0</v>
      </c>
      <c r="T89" s="76">
        <f t="shared" si="17"/>
        <v>0</v>
      </c>
      <c r="U89" s="76">
        <f t="shared" si="17"/>
        <v>0</v>
      </c>
      <c r="V89" s="76">
        <f t="shared" si="17"/>
        <v>0</v>
      </c>
      <c r="W89" s="76">
        <f t="shared" si="17"/>
        <v>0</v>
      </c>
      <c r="X89" s="76">
        <f t="shared" si="17"/>
        <v>0</v>
      </c>
      <c r="Y89" s="76">
        <f t="shared" si="17"/>
        <v>0</v>
      </c>
      <c r="Z89" s="76">
        <f t="shared" si="17"/>
        <v>0</v>
      </c>
      <c r="AA89" s="76">
        <f t="shared" si="17"/>
        <v>0</v>
      </c>
      <c r="AB89" s="76">
        <f t="shared" si="17"/>
        <v>0</v>
      </c>
      <c r="AC89" s="76">
        <f t="shared" si="17"/>
        <v>0</v>
      </c>
      <c r="AD89" s="76">
        <f t="shared" si="17"/>
        <v>0</v>
      </c>
      <c r="AE89" s="76">
        <f t="shared" si="17"/>
        <v>0</v>
      </c>
      <c r="AF89" s="76">
        <f t="shared" si="17"/>
        <v>0</v>
      </c>
      <c r="AG89" s="86"/>
      <c r="AH89" s="48">
        <f t="shared" si="10"/>
        <v>0</v>
      </c>
      <c r="AI89" s="49">
        <f t="shared" si="11"/>
        <v>0</v>
      </c>
    </row>
    <row r="90" spans="1:37" x14ac:dyDescent="0.25">
      <c r="A90" s="78" t="s">
        <v>96</v>
      </c>
      <c r="B90" s="76">
        <f t="shared" ref="B90:AF90" si="18">IF(B69&lt;0,B69*-1,0)</f>
        <v>0</v>
      </c>
      <c r="C90" s="76">
        <f t="shared" si="18"/>
        <v>0</v>
      </c>
      <c r="D90" s="76">
        <f t="shared" si="18"/>
        <v>0</v>
      </c>
      <c r="E90" s="76">
        <f t="shared" si="18"/>
        <v>0</v>
      </c>
      <c r="F90" s="76">
        <f t="shared" si="18"/>
        <v>0</v>
      </c>
      <c r="G90" s="76">
        <f t="shared" si="18"/>
        <v>0</v>
      </c>
      <c r="H90" s="76">
        <f t="shared" si="18"/>
        <v>0</v>
      </c>
      <c r="I90" s="76">
        <f t="shared" si="18"/>
        <v>0</v>
      </c>
      <c r="J90" s="76">
        <f t="shared" si="18"/>
        <v>0</v>
      </c>
      <c r="K90" s="76">
        <f t="shared" si="18"/>
        <v>100</v>
      </c>
      <c r="L90" s="76">
        <f t="shared" si="18"/>
        <v>101</v>
      </c>
      <c r="M90" s="76">
        <f t="shared" si="18"/>
        <v>74.900000000000006</v>
      </c>
      <c r="N90" s="76">
        <f t="shared" si="18"/>
        <v>102</v>
      </c>
      <c r="O90" s="76">
        <f t="shared" si="18"/>
        <v>12</v>
      </c>
      <c r="P90" s="76">
        <f t="shared" si="18"/>
        <v>0</v>
      </c>
      <c r="Q90" s="76">
        <f t="shared" si="18"/>
        <v>0</v>
      </c>
      <c r="R90" s="76">
        <f t="shared" si="18"/>
        <v>0</v>
      </c>
      <c r="S90" s="76">
        <f t="shared" si="18"/>
        <v>0</v>
      </c>
      <c r="T90" s="76">
        <f t="shared" si="18"/>
        <v>0</v>
      </c>
      <c r="U90" s="76">
        <f t="shared" si="18"/>
        <v>0</v>
      </c>
      <c r="V90" s="76">
        <f t="shared" si="18"/>
        <v>0</v>
      </c>
      <c r="W90" s="76">
        <f t="shared" si="18"/>
        <v>2</v>
      </c>
      <c r="X90" s="76">
        <f t="shared" si="18"/>
        <v>3.6</v>
      </c>
      <c r="Y90" s="76">
        <f t="shared" si="18"/>
        <v>2.85</v>
      </c>
      <c r="Z90" s="76">
        <f t="shared" si="18"/>
        <v>0</v>
      </c>
      <c r="AA90" s="76">
        <f t="shared" si="18"/>
        <v>9</v>
      </c>
      <c r="AB90" s="76">
        <f t="shared" si="18"/>
        <v>0</v>
      </c>
      <c r="AC90" s="76">
        <f t="shared" si="18"/>
        <v>3</v>
      </c>
      <c r="AD90" s="76">
        <f t="shared" si="18"/>
        <v>4</v>
      </c>
      <c r="AE90" s="76">
        <f t="shared" si="18"/>
        <v>2</v>
      </c>
      <c r="AF90" s="76">
        <f t="shared" si="18"/>
        <v>2</v>
      </c>
      <c r="AG90" s="86"/>
      <c r="AH90" s="48">
        <f t="shared" si="10"/>
        <v>102</v>
      </c>
      <c r="AI90" s="49">
        <f t="shared" si="11"/>
        <v>0</v>
      </c>
    </row>
    <row r="91" spans="1:37" x14ac:dyDescent="0.25">
      <c r="A91" s="78" t="s">
        <v>75</v>
      </c>
      <c r="B91" s="76">
        <f t="shared" ref="B91:AF91" si="19">IF(B67&lt;0,B67*-1,0)</f>
        <v>0</v>
      </c>
      <c r="C91" s="76">
        <f t="shared" si="19"/>
        <v>0</v>
      </c>
      <c r="D91" s="76">
        <f t="shared" si="19"/>
        <v>0</v>
      </c>
      <c r="E91" s="76">
        <f t="shared" si="19"/>
        <v>0</v>
      </c>
      <c r="F91" s="76">
        <f t="shared" si="19"/>
        <v>0</v>
      </c>
      <c r="G91" s="76">
        <f t="shared" si="19"/>
        <v>0</v>
      </c>
      <c r="H91" s="76">
        <f t="shared" si="19"/>
        <v>0</v>
      </c>
      <c r="I91" s="76">
        <f t="shared" si="19"/>
        <v>0</v>
      </c>
      <c r="J91" s="76">
        <f t="shared" si="19"/>
        <v>0</v>
      </c>
      <c r="K91" s="76">
        <f t="shared" si="19"/>
        <v>0</v>
      </c>
      <c r="L91" s="76">
        <f t="shared" si="19"/>
        <v>0</v>
      </c>
      <c r="M91" s="76">
        <f t="shared" si="19"/>
        <v>0</v>
      </c>
      <c r="N91" s="76">
        <f t="shared" si="19"/>
        <v>0</v>
      </c>
      <c r="O91" s="76">
        <f t="shared" si="19"/>
        <v>0</v>
      </c>
      <c r="P91" s="76">
        <f t="shared" si="19"/>
        <v>0</v>
      </c>
      <c r="Q91" s="76">
        <f t="shared" si="19"/>
        <v>0</v>
      </c>
      <c r="R91" s="76">
        <f t="shared" si="19"/>
        <v>0</v>
      </c>
      <c r="S91" s="76">
        <f t="shared" si="19"/>
        <v>0</v>
      </c>
      <c r="T91" s="76">
        <f t="shared" si="19"/>
        <v>0</v>
      </c>
      <c r="U91" s="76">
        <f t="shared" si="19"/>
        <v>0</v>
      </c>
      <c r="V91" s="76">
        <f t="shared" si="19"/>
        <v>0</v>
      </c>
      <c r="W91" s="76">
        <f t="shared" si="19"/>
        <v>0</v>
      </c>
      <c r="X91" s="76">
        <f t="shared" si="19"/>
        <v>0</v>
      </c>
      <c r="Y91" s="76">
        <f t="shared" si="19"/>
        <v>0</v>
      </c>
      <c r="Z91" s="76">
        <f t="shared" si="19"/>
        <v>0</v>
      </c>
      <c r="AA91" s="76">
        <f t="shared" si="19"/>
        <v>0</v>
      </c>
      <c r="AB91" s="76">
        <f t="shared" si="19"/>
        <v>0</v>
      </c>
      <c r="AC91" s="76">
        <f t="shared" si="19"/>
        <v>0</v>
      </c>
      <c r="AD91" s="76">
        <f t="shared" si="19"/>
        <v>0</v>
      </c>
      <c r="AE91" s="76">
        <f t="shared" si="19"/>
        <v>0</v>
      </c>
      <c r="AF91" s="76">
        <f t="shared" si="19"/>
        <v>0</v>
      </c>
      <c r="AG91" s="86"/>
      <c r="AH91" s="48">
        <f t="shared" si="10"/>
        <v>0</v>
      </c>
      <c r="AI91" s="49">
        <f t="shared" si="11"/>
        <v>0</v>
      </c>
    </row>
    <row r="92" spans="1:37" ht="15.75" thickBot="1" x14ac:dyDescent="0.3">
      <c r="A92" s="78" t="s">
        <v>97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>
        <v>0</v>
      </c>
      <c r="AA92" s="79">
        <v>0</v>
      </c>
      <c r="AB92" s="79">
        <v>0</v>
      </c>
      <c r="AC92" s="79"/>
      <c r="AD92" s="79"/>
      <c r="AE92" s="79"/>
      <c r="AF92" s="79"/>
      <c r="AG92" s="80"/>
      <c r="AH92" s="48">
        <f t="shared" si="10"/>
        <v>0</v>
      </c>
      <c r="AI92" s="49">
        <f t="shared" si="11"/>
        <v>0</v>
      </c>
    </row>
    <row r="93" spans="1:37" ht="15.75" thickBot="1" x14ac:dyDescent="0.3">
      <c r="A93" s="87" t="s">
        <v>98</v>
      </c>
      <c r="B93" s="61">
        <f t="shared" ref="B93:AF93" si="20">SUM(B87:B92)</f>
        <v>0</v>
      </c>
      <c r="C93" s="61">
        <f t="shared" si="20"/>
        <v>0</v>
      </c>
      <c r="D93" s="61">
        <f t="shared" si="20"/>
        <v>0</v>
      </c>
      <c r="E93" s="61">
        <f t="shared" si="20"/>
        <v>0</v>
      </c>
      <c r="F93" s="61">
        <f t="shared" si="20"/>
        <v>0</v>
      </c>
      <c r="G93" s="61">
        <f t="shared" si="20"/>
        <v>0</v>
      </c>
      <c r="H93" s="61">
        <f t="shared" si="20"/>
        <v>0</v>
      </c>
      <c r="I93" s="61">
        <f t="shared" si="20"/>
        <v>0</v>
      </c>
      <c r="J93" s="61">
        <f t="shared" si="20"/>
        <v>0</v>
      </c>
      <c r="K93" s="61">
        <f t="shared" si="20"/>
        <v>100</v>
      </c>
      <c r="L93" s="61">
        <f t="shared" si="20"/>
        <v>101</v>
      </c>
      <c r="M93" s="61">
        <f t="shared" si="20"/>
        <v>74.900000000000006</v>
      </c>
      <c r="N93" s="61">
        <f t="shared" si="20"/>
        <v>102</v>
      </c>
      <c r="O93" s="61">
        <f t="shared" si="20"/>
        <v>12</v>
      </c>
      <c r="P93" s="61">
        <f t="shared" si="20"/>
        <v>0</v>
      </c>
      <c r="Q93" s="61">
        <f t="shared" si="20"/>
        <v>0</v>
      </c>
      <c r="R93" s="61">
        <f t="shared" si="20"/>
        <v>0</v>
      </c>
      <c r="S93" s="61">
        <f t="shared" si="20"/>
        <v>0</v>
      </c>
      <c r="T93" s="61">
        <f t="shared" si="20"/>
        <v>0</v>
      </c>
      <c r="U93" s="61">
        <f t="shared" si="20"/>
        <v>0</v>
      </c>
      <c r="V93" s="61">
        <f t="shared" si="20"/>
        <v>0</v>
      </c>
      <c r="W93" s="61">
        <f t="shared" si="20"/>
        <v>2</v>
      </c>
      <c r="X93" s="61">
        <f t="shared" si="20"/>
        <v>3.6</v>
      </c>
      <c r="Y93" s="61">
        <f t="shared" si="20"/>
        <v>2.85</v>
      </c>
      <c r="Z93" s="61">
        <f t="shared" si="20"/>
        <v>0</v>
      </c>
      <c r="AA93" s="61">
        <f t="shared" si="20"/>
        <v>9</v>
      </c>
      <c r="AB93" s="61">
        <f t="shared" si="20"/>
        <v>0</v>
      </c>
      <c r="AC93" s="61">
        <f t="shared" si="20"/>
        <v>3</v>
      </c>
      <c r="AD93" s="61">
        <f t="shared" si="20"/>
        <v>4</v>
      </c>
      <c r="AE93" s="61">
        <f t="shared" si="20"/>
        <v>2</v>
      </c>
      <c r="AF93" s="61">
        <f t="shared" si="20"/>
        <v>2</v>
      </c>
      <c r="AG93" s="81"/>
      <c r="AH93" s="48">
        <f t="shared" si="10"/>
        <v>102</v>
      </c>
      <c r="AI93" s="49">
        <f t="shared" si="11"/>
        <v>0</v>
      </c>
      <c r="AK93" s="50"/>
    </row>
    <row r="94" spans="1:37" ht="15.75" thickBot="1" x14ac:dyDescent="0.3">
      <c r="A94" s="74" t="s">
        <v>99</v>
      </c>
      <c r="B94" s="61">
        <f t="shared" ref="B94:AF94" si="21">B78-B93</f>
        <v>165</v>
      </c>
      <c r="C94" s="61">
        <f t="shared" si="21"/>
        <v>157</v>
      </c>
      <c r="D94" s="61">
        <f t="shared" si="21"/>
        <v>171</v>
      </c>
      <c r="E94" s="61">
        <f t="shared" si="21"/>
        <v>178</v>
      </c>
      <c r="F94" s="61">
        <f t="shared" si="21"/>
        <v>173</v>
      </c>
      <c r="G94" s="61">
        <f t="shared" si="21"/>
        <v>171.8</v>
      </c>
      <c r="H94" s="61">
        <f t="shared" si="21"/>
        <v>178.3</v>
      </c>
      <c r="I94" s="61">
        <f t="shared" si="21"/>
        <v>91</v>
      </c>
      <c r="J94" s="61">
        <f t="shared" si="21"/>
        <v>54.9</v>
      </c>
      <c r="K94" s="61">
        <f t="shared" si="21"/>
        <v>-100</v>
      </c>
      <c r="L94" s="61">
        <f t="shared" si="21"/>
        <v>-101</v>
      </c>
      <c r="M94" s="61">
        <f t="shared" si="21"/>
        <v>-29.900000000000006</v>
      </c>
      <c r="N94" s="61">
        <f t="shared" si="21"/>
        <v>-53.4</v>
      </c>
      <c r="O94" s="61">
        <f t="shared" si="21"/>
        <v>52</v>
      </c>
      <c r="P94" s="61">
        <f t="shared" si="21"/>
        <v>184.4</v>
      </c>
      <c r="Q94" s="61">
        <f t="shared" si="21"/>
        <v>215</v>
      </c>
      <c r="R94" s="61">
        <f t="shared" si="21"/>
        <v>218</v>
      </c>
      <c r="S94" s="61">
        <f t="shared" si="21"/>
        <v>239.8</v>
      </c>
      <c r="T94" s="61">
        <f t="shared" si="21"/>
        <v>242.3</v>
      </c>
      <c r="U94" s="61">
        <f t="shared" si="21"/>
        <v>221</v>
      </c>
      <c r="V94" s="61">
        <f t="shared" si="21"/>
        <v>52.900000000000006</v>
      </c>
      <c r="W94" s="61">
        <f t="shared" si="21"/>
        <v>43.6</v>
      </c>
      <c r="X94" s="61">
        <f t="shared" si="21"/>
        <v>41.5</v>
      </c>
      <c r="Y94" s="61">
        <f t="shared" si="21"/>
        <v>42.15</v>
      </c>
      <c r="Z94" s="61">
        <f t="shared" si="21"/>
        <v>46</v>
      </c>
      <c r="AA94" s="61">
        <f t="shared" si="21"/>
        <v>31.299999999999997</v>
      </c>
      <c r="AB94" s="61">
        <f t="shared" si="21"/>
        <v>0</v>
      </c>
      <c r="AC94" s="61">
        <f t="shared" si="21"/>
        <v>49</v>
      </c>
      <c r="AD94" s="61">
        <f t="shared" si="21"/>
        <v>47.99</v>
      </c>
      <c r="AE94" s="61">
        <f t="shared" si="21"/>
        <v>57</v>
      </c>
      <c r="AF94" s="61">
        <f t="shared" si="21"/>
        <v>46</v>
      </c>
      <c r="AG94" s="81"/>
      <c r="AH94" s="48">
        <f t="shared" si="10"/>
        <v>242.3</v>
      </c>
      <c r="AI94" s="49">
        <f t="shared" si="11"/>
        <v>-101</v>
      </c>
    </row>
    <row r="95" spans="1:37" x14ac:dyDescent="0.25">
      <c r="A95" s="88" t="s">
        <v>100</v>
      </c>
      <c r="B95" s="89">
        <v>49.8</v>
      </c>
      <c r="C95" s="89">
        <v>49.8</v>
      </c>
      <c r="D95" s="89">
        <v>49.8</v>
      </c>
      <c r="E95" s="89">
        <v>49.9</v>
      </c>
      <c r="F95" s="89">
        <v>49.81</v>
      </c>
      <c r="G95" s="89">
        <v>49.98</v>
      </c>
      <c r="H95" s="89">
        <v>49.86</v>
      </c>
      <c r="I95" s="89">
        <v>49.9</v>
      </c>
      <c r="J95" s="89">
        <v>49.75</v>
      </c>
      <c r="K95" s="89">
        <v>49.6</v>
      </c>
      <c r="L95" s="89">
        <v>49.76</v>
      </c>
      <c r="M95" s="89">
        <v>50.271000000000001</v>
      </c>
      <c r="N95" s="89">
        <v>50.05</v>
      </c>
      <c r="O95" s="89">
        <v>49.997</v>
      </c>
      <c r="P95" s="89">
        <v>49.951000000000001</v>
      </c>
      <c r="Q95" s="89">
        <v>49.96</v>
      </c>
      <c r="R95" s="89">
        <v>50.000999999999998</v>
      </c>
      <c r="S95" s="89">
        <v>50.137999999999998</v>
      </c>
      <c r="T95" s="89">
        <v>164</v>
      </c>
      <c r="U95" s="89">
        <v>49.773000000000003</v>
      </c>
      <c r="V95" s="89">
        <v>49.895000000000003</v>
      </c>
      <c r="W95" s="89">
        <v>50.024000000000001</v>
      </c>
      <c r="X95" s="89">
        <v>50.031999999999996</v>
      </c>
      <c r="Y95" s="89">
        <v>50.14</v>
      </c>
      <c r="Z95" s="89">
        <v>50.012</v>
      </c>
      <c r="AA95" s="89">
        <v>49.923000000000002</v>
      </c>
      <c r="AB95" s="89"/>
      <c r="AC95" s="89">
        <v>50.030999999999999</v>
      </c>
      <c r="AD95" s="89">
        <v>49.973999999999997</v>
      </c>
      <c r="AE95" s="89">
        <v>49.941000000000003</v>
      </c>
      <c r="AF95" s="89">
        <v>49.823</v>
      </c>
      <c r="AG95" s="90"/>
      <c r="AH95" s="48">
        <f t="shared" si="10"/>
        <v>164</v>
      </c>
      <c r="AI95" s="49">
        <f t="shared" si="11"/>
        <v>49.6</v>
      </c>
    </row>
    <row r="96" spans="1:37" x14ac:dyDescent="0.25">
      <c r="A96" s="91" t="s">
        <v>101</v>
      </c>
      <c r="B96" s="65">
        <v>129</v>
      </c>
      <c r="C96" s="65">
        <v>129</v>
      </c>
      <c r="D96" s="65">
        <v>129</v>
      </c>
      <c r="E96" s="65">
        <v>128.5</v>
      </c>
      <c r="F96" s="65">
        <v>127.2</v>
      </c>
      <c r="G96" s="65">
        <v>128.5</v>
      </c>
      <c r="H96" s="65">
        <v>127.1</v>
      </c>
      <c r="I96" s="65">
        <v>125.5</v>
      </c>
      <c r="J96" s="65">
        <v>124.2</v>
      </c>
      <c r="K96" s="65">
        <v>126.6</v>
      </c>
      <c r="L96" s="65">
        <v>127.3</v>
      </c>
      <c r="M96" s="65">
        <v>125.7</v>
      </c>
      <c r="N96" s="65">
        <v>124.9</v>
      </c>
      <c r="O96" s="65">
        <v>123</v>
      </c>
      <c r="P96" s="65">
        <v>126.4</v>
      </c>
      <c r="Q96" s="65">
        <v>125</v>
      </c>
      <c r="R96" s="65">
        <v>125.6</v>
      </c>
      <c r="S96" s="65">
        <v>125.9</v>
      </c>
      <c r="T96" s="65">
        <v>126.3</v>
      </c>
      <c r="U96" s="65">
        <v>125.4</v>
      </c>
      <c r="V96" s="65">
        <v>128.5</v>
      </c>
      <c r="W96" s="65">
        <v>126.1</v>
      </c>
      <c r="X96" s="65">
        <v>126.3</v>
      </c>
      <c r="Y96" s="65">
        <v>126.5</v>
      </c>
      <c r="Z96" s="65">
        <v>128</v>
      </c>
      <c r="AA96" s="65">
        <v>128.1</v>
      </c>
      <c r="AB96" s="65"/>
      <c r="AC96" s="65">
        <v>130.19999999999999</v>
      </c>
      <c r="AD96" s="65">
        <v>130</v>
      </c>
      <c r="AE96" s="65">
        <v>129.9</v>
      </c>
      <c r="AF96" s="65">
        <v>128.6</v>
      </c>
      <c r="AG96" s="92"/>
      <c r="AH96" s="48">
        <f t="shared" si="10"/>
        <v>130.19999999999999</v>
      </c>
      <c r="AI96" s="49">
        <f t="shared" si="11"/>
        <v>123</v>
      </c>
    </row>
    <row r="97" spans="1:35" x14ac:dyDescent="0.25">
      <c r="A97" s="91" t="s">
        <v>102</v>
      </c>
      <c r="B97" s="65">
        <v>133</v>
      </c>
      <c r="C97" s="65">
        <v>133</v>
      </c>
      <c r="D97" s="65">
        <v>133</v>
      </c>
      <c r="E97" s="65">
        <v>132.80000000000001</v>
      </c>
      <c r="F97" s="65">
        <v>131.9</v>
      </c>
      <c r="G97" s="65">
        <v>132.5</v>
      </c>
      <c r="H97" s="65">
        <v>131.69999999999999</v>
      </c>
      <c r="I97" s="65">
        <v>129.69999999999999</v>
      </c>
      <c r="J97" s="65">
        <v>128.69999999999999</v>
      </c>
      <c r="K97" s="65">
        <v>129.69999999999999</v>
      </c>
      <c r="L97" s="65">
        <v>129.5</v>
      </c>
      <c r="M97" s="65">
        <v>129.1</v>
      </c>
      <c r="N97" s="65">
        <v>127.5</v>
      </c>
      <c r="O97" s="65">
        <v>125.9</v>
      </c>
      <c r="P97" s="65">
        <v>127.8</v>
      </c>
      <c r="Q97" s="65">
        <v>127.8</v>
      </c>
      <c r="R97" s="65">
        <v>128.30000000000001</v>
      </c>
      <c r="S97" s="65">
        <v>128.69999999999999</v>
      </c>
      <c r="T97" s="65">
        <v>128.69999999999999</v>
      </c>
      <c r="U97" s="65">
        <v>128.1</v>
      </c>
      <c r="V97" s="65">
        <v>130.4</v>
      </c>
      <c r="W97" s="65">
        <v>127.8</v>
      </c>
      <c r="X97" s="65">
        <v>128</v>
      </c>
      <c r="Y97" s="65">
        <v>128.30000000000001</v>
      </c>
      <c r="Z97" s="65">
        <v>129.69999999999999</v>
      </c>
      <c r="AA97" s="65">
        <v>130</v>
      </c>
      <c r="AB97" s="65"/>
      <c r="AC97" s="65">
        <v>132.1</v>
      </c>
      <c r="AD97" s="65">
        <v>131.19999999999999</v>
      </c>
      <c r="AE97" s="65">
        <v>132.9</v>
      </c>
      <c r="AF97" s="65">
        <v>132.30000000000001</v>
      </c>
      <c r="AG97" s="92"/>
      <c r="AH97" s="48">
        <f t="shared" si="10"/>
        <v>133</v>
      </c>
      <c r="AI97" s="49">
        <f t="shared" si="11"/>
        <v>125.9</v>
      </c>
    </row>
    <row r="98" spans="1:35" x14ac:dyDescent="0.25">
      <c r="A98" s="91" t="s">
        <v>103</v>
      </c>
      <c r="B98" s="65">
        <v>130</v>
      </c>
      <c r="C98" s="65">
        <v>130</v>
      </c>
      <c r="D98" s="65">
        <v>130</v>
      </c>
      <c r="E98" s="65">
        <v>130.80000000000001</v>
      </c>
      <c r="F98" s="65">
        <v>131</v>
      </c>
      <c r="G98" s="65">
        <v>130</v>
      </c>
      <c r="H98" s="65">
        <v>129.9</v>
      </c>
      <c r="I98" s="65">
        <v>127.8</v>
      </c>
      <c r="J98" s="65">
        <v>125.5</v>
      </c>
      <c r="K98" s="65">
        <v>128</v>
      </c>
      <c r="L98" s="65">
        <v>126.8</v>
      </c>
      <c r="M98" s="65">
        <v>127.4</v>
      </c>
      <c r="N98" s="65">
        <v>128.30000000000001</v>
      </c>
      <c r="O98" s="65">
        <v>129.19999999999999</v>
      </c>
      <c r="P98" s="65">
        <v>129.4</v>
      </c>
      <c r="Q98" s="65">
        <v>131.5</v>
      </c>
      <c r="R98" s="65">
        <v>129.5</v>
      </c>
      <c r="S98" s="65">
        <v>128.19999999999999</v>
      </c>
      <c r="T98" s="65">
        <v>127.8</v>
      </c>
      <c r="U98" s="65">
        <v>128.1</v>
      </c>
      <c r="V98" s="65">
        <v>129</v>
      </c>
      <c r="W98" s="65">
        <v>126.8</v>
      </c>
      <c r="X98" s="65">
        <v>129.80000000000001</v>
      </c>
      <c r="Y98" s="65">
        <v>129.9</v>
      </c>
      <c r="Z98" s="65">
        <v>132.4</v>
      </c>
      <c r="AA98" s="65">
        <v>131.9</v>
      </c>
      <c r="AB98" s="65"/>
      <c r="AC98" s="65">
        <v>131.6</v>
      </c>
      <c r="AD98" s="65">
        <v>133.19999999999999</v>
      </c>
      <c r="AE98" s="65">
        <v>130.9</v>
      </c>
      <c r="AF98" s="65">
        <v>131.5</v>
      </c>
      <c r="AG98" s="92"/>
      <c r="AH98" s="48">
        <f t="shared" si="10"/>
        <v>133.19999999999999</v>
      </c>
      <c r="AI98" s="49">
        <f t="shared" si="11"/>
        <v>125.5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0"/>
        <v>0</v>
      </c>
      <c r="AI99" s="49">
        <f t="shared" si="11"/>
        <v>0</v>
      </c>
    </row>
    <row r="100" spans="1:35" x14ac:dyDescent="0.25">
      <c r="A100" s="93" t="s">
        <v>105</v>
      </c>
      <c r="B100" s="94">
        <v>131</v>
      </c>
      <c r="C100" s="94">
        <v>131</v>
      </c>
      <c r="D100" s="94">
        <v>131</v>
      </c>
      <c r="E100" s="94">
        <v>133.5</v>
      </c>
      <c r="F100" s="94">
        <v>131.19999999999999</v>
      </c>
      <c r="G100" s="94">
        <v>132.5</v>
      </c>
      <c r="H100" s="94">
        <v>135.69999999999999</v>
      </c>
      <c r="I100" s="94">
        <v>134.5</v>
      </c>
      <c r="J100" s="94">
        <v>132.1</v>
      </c>
      <c r="K100" s="94">
        <v>132.1</v>
      </c>
      <c r="L100" s="94">
        <v>132.4</v>
      </c>
      <c r="M100" s="94">
        <v>132.6</v>
      </c>
      <c r="N100" s="94">
        <v>133.80000000000001</v>
      </c>
      <c r="O100" s="94">
        <v>132.19999999999999</v>
      </c>
      <c r="P100" s="94">
        <v>135.4</v>
      </c>
      <c r="Q100" s="94">
        <v>136.30000000000001</v>
      </c>
      <c r="R100" s="94">
        <v>135</v>
      </c>
      <c r="S100" s="94">
        <v>134.9</v>
      </c>
      <c r="T100" s="94">
        <v>132.69999999999999</v>
      </c>
      <c r="U100" s="94">
        <v>132.4</v>
      </c>
      <c r="V100" s="94">
        <v>134.69999999999999</v>
      </c>
      <c r="W100" s="94">
        <v>132.4</v>
      </c>
      <c r="X100" s="94">
        <v>134</v>
      </c>
      <c r="Y100" s="94">
        <v>131.4</v>
      </c>
      <c r="Z100" s="94">
        <v>134.5</v>
      </c>
      <c r="AA100" s="94">
        <v>132.6</v>
      </c>
      <c r="AB100" s="94"/>
      <c r="AC100" s="94">
        <v>133.80000000000001</v>
      </c>
      <c r="AD100" s="94">
        <v>131.19999999999999</v>
      </c>
      <c r="AE100" s="94">
        <v>135.4</v>
      </c>
      <c r="AF100" s="94">
        <v>134</v>
      </c>
      <c r="AG100" s="95"/>
      <c r="AH100" s="48">
        <f t="shared" si="10"/>
        <v>136.30000000000001</v>
      </c>
      <c r="AI100" s="49">
        <f t="shared" si="11"/>
        <v>131</v>
      </c>
    </row>
    <row r="101" spans="1:35" x14ac:dyDescent="0.25">
      <c r="A101" s="91" t="s">
        <v>106</v>
      </c>
      <c r="B101" s="65">
        <v>134</v>
      </c>
      <c r="C101" s="65">
        <v>134</v>
      </c>
      <c r="D101" s="65">
        <v>134</v>
      </c>
      <c r="E101" s="65">
        <v>134.9</v>
      </c>
      <c r="F101" s="65">
        <v>130.30000000000001</v>
      </c>
      <c r="G101" s="65">
        <v>131.69999999999999</v>
      </c>
      <c r="H101" s="65">
        <v>134.5</v>
      </c>
      <c r="I101" s="65">
        <v>133</v>
      </c>
      <c r="J101" s="65">
        <v>129.5</v>
      </c>
      <c r="K101" s="65">
        <v>133.6</v>
      </c>
      <c r="L101" s="65">
        <v>129.19999999999999</v>
      </c>
      <c r="M101" s="65">
        <v>130.69999999999999</v>
      </c>
      <c r="N101" s="65">
        <v>133.5</v>
      </c>
      <c r="O101" s="65">
        <v>129.9</v>
      </c>
      <c r="P101" s="65">
        <v>128.19999999999999</v>
      </c>
      <c r="Q101" s="65">
        <v>135.5</v>
      </c>
      <c r="R101" s="65">
        <v>130.6</v>
      </c>
      <c r="S101" s="65">
        <v>130.9</v>
      </c>
      <c r="T101" s="65">
        <v>128.4</v>
      </c>
      <c r="U101" s="65">
        <v>127.4</v>
      </c>
      <c r="V101" s="65">
        <v>132</v>
      </c>
      <c r="W101" s="65">
        <v>126.8</v>
      </c>
      <c r="X101" s="65">
        <v>132</v>
      </c>
      <c r="Y101" s="65">
        <v>130.19999999999999</v>
      </c>
      <c r="Z101" s="65">
        <v>131.6</v>
      </c>
      <c r="AA101" s="65">
        <v>130.5</v>
      </c>
      <c r="AB101" s="65"/>
      <c r="AC101" s="65">
        <v>133</v>
      </c>
      <c r="AD101" s="65">
        <v>134.19999999999999</v>
      </c>
      <c r="AE101" s="65">
        <v>126.98</v>
      </c>
      <c r="AF101" s="65">
        <v>132.30000000000001</v>
      </c>
      <c r="AG101" s="92"/>
      <c r="AH101" s="48">
        <f t="shared" si="10"/>
        <v>135.5</v>
      </c>
      <c r="AI101" s="49">
        <f t="shared" si="11"/>
        <v>126.8</v>
      </c>
    </row>
    <row r="102" spans="1:35" ht="15.75" thickBot="1" x14ac:dyDescent="0.3">
      <c r="A102" s="91" t="s">
        <v>107</v>
      </c>
      <c r="B102" s="96">
        <v>67</v>
      </c>
      <c r="C102" s="96">
        <v>67</v>
      </c>
      <c r="D102" s="96">
        <v>67</v>
      </c>
      <c r="E102" s="96">
        <v>66.900000000000006</v>
      </c>
      <c r="F102" s="96">
        <v>66.599999999999994</v>
      </c>
      <c r="G102" s="96">
        <v>66.599999999999994</v>
      </c>
      <c r="H102" s="96">
        <v>66.099999999999994</v>
      </c>
      <c r="I102" s="96">
        <v>65.099999999999994</v>
      </c>
      <c r="J102" s="96">
        <v>64.7</v>
      </c>
      <c r="K102" s="96">
        <v>64.900000000000006</v>
      </c>
      <c r="L102" s="96">
        <v>64.8</v>
      </c>
      <c r="M102" s="96">
        <v>64.5</v>
      </c>
      <c r="N102" s="96">
        <v>64.2</v>
      </c>
      <c r="O102" s="96">
        <v>63.1</v>
      </c>
      <c r="P102" s="96">
        <v>64.2</v>
      </c>
      <c r="Q102" s="96">
        <v>64.3</v>
      </c>
      <c r="R102" s="96">
        <v>65</v>
      </c>
      <c r="S102" s="96">
        <v>65.099999999999994</v>
      </c>
      <c r="T102" s="96">
        <v>64.599999999999994</v>
      </c>
      <c r="U102" s="96">
        <v>64.400000000000006</v>
      </c>
      <c r="V102" s="96">
        <v>65.400000000000006</v>
      </c>
      <c r="W102" s="96">
        <v>63.9</v>
      </c>
      <c r="X102" s="96">
        <v>64.2</v>
      </c>
      <c r="Y102" s="96">
        <v>64.3</v>
      </c>
      <c r="Z102" s="96">
        <v>64.900000000000006</v>
      </c>
      <c r="AA102" s="96">
        <v>65.099999999999994</v>
      </c>
      <c r="AB102" s="96"/>
      <c r="AC102" s="96">
        <v>66.3</v>
      </c>
      <c r="AD102" s="96">
        <v>66.2</v>
      </c>
      <c r="AE102" s="96">
        <v>66.5</v>
      </c>
      <c r="AF102" s="96">
        <v>66.2</v>
      </c>
      <c r="AG102" s="97"/>
      <c r="AH102" s="48">
        <f t="shared" si="10"/>
        <v>67</v>
      </c>
      <c r="AI102" s="49">
        <f t="shared" si="11"/>
        <v>63.1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0"/>
        <v>0</v>
      </c>
      <c r="AI103" s="49">
        <f t="shared" si="11"/>
        <v>0</v>
      </c>
    </row>
    <row r="104" spans="1:35" ht="15.75" thickBot="1" x14ac:dyDescent="0.3">
      <c r="A104" s="99" t="s">
        <v>108</v>
      </c>
      <c r="B104" s="100">
        <f t="shared" ref="B104:AF104" si="22">SUM(B16,B22,B25:B26,B52,B54:B55,B57,B59,B105:B109,B131,B137,B143,B152,B154,B166,B173,B176:B177,B184,B186,B188,B192:B194,B196:B198,B203,B209:B210,B212:B214,B222,B227)</f>
        <v>97.699999999999989</v>
      </c>
      <c r="C104" s="100">
        <f t="shared" si="22"/>
        <v>98.639999999999986</v>
      </c>
      <c r="D104" s="100">
        <f t="shared" si="22"/>
        <v>55.539999999999992</v>
      </c>
      <c r="E104" s="100">
        <f t="shared" si="22"/>
        <v>90.039999999999992</v>
      </c>
      <c r="F104" s="100">
        <f t="shared" si="22"/>
        <v>94.54</v>
      </c>
      <c r="G104" s="100">
        <f t="shared" si="22"/>
        <v>116.74000000000001</v>
      </c>
      <c r="H104" s="100">
        <f t="shared" si="22"/>
        <v>158.24</v>
      </c>
      <c r="I104" s="100">
        <f t="shared" si="22"/>
        <v>189.53999999999996</v>
      </c>
      <c r="J104" s="100">
        <f t="shared" si="22"/>
        <v>244.03999999999996</v>
      </c>
      <c r="K104" s="100">
        <f t="shared" si="22"/>
        <v>291.03999999999996</v>
      </c>
      <c r="L104" s="100">
        <f t="shared" si="22"/>
        <v>302.04000000000002</v>
      </c>
      <c r="M104" s="100">
        <f t="shared" si="22"/>
        <v>305.24</v>
      </c>
      <c r="N104" s="100">
        <f t="shared" si="22"/>
        <v>280.04000000000002</v>
      </c>
      <c r="O104" s="100">
        <f t="shared" si="22"/>
        <v>264.23999999999995</v>
      </c>
      <c r="P104" s="100">
        <f t="shared" si="22"/>
        <v>261.64000000000004</v>
      </c>
      <c r="Q104" s="100">
        <f t="shared" si="22"/>
        <v>261.89999999999998</v>
      </c>
      <c r="R104" s="100">
        <f t="shared" si="22"/>
        <v>254.59000000000003</v>
      </c>
      <c r="S104" s="100">
        <f t="shared" si="22"/>
        <v>255.59999999999997</v>
      </c>
      <c r="T104" s="100">
        <f t="shared" si="22"/>
        <v>253.1</v>
      </c>
      <c r="U104" s="100">
        <f t="shared" si="22"/>
        <v>262.39999999999998</v>
      </c>
      <c r="V104" s="100">
        <f t="shared" si="22"/>
        <v>301.2</v>
      </c>
      <c r="W104" s="100">
        <f t="shared" si="22"/>
        <v>368.9</v>
      </c>
      <c r="X104" s="100">
        <f t="shared" si="22"/>
        <v>385.90000000000003</v>
      </c>
      <c r="Y104" s="100">
        <f t="shared" si="22"/>
        <v>379.29999999999995</v>
      </c>
      <c r="Z104" s="100">
        <f t="shared" si="22"/>
        <v>360.79999999999995</v>
      </c>
      <c r="AA104" s="100">
        <f t="shared" si="22"/>
        <v>346.77</v>
      </c>
      <c r="AB104" s="100">
        <f t="shared" si="22"/>
        <v>141.1</v>
      </c>
      <c r="AC104" s="100">
        <f t="shared" si="22"/>
        <v>257.40000000000003</v>
      </c>
      <c r="AD104" s="100">
        <f t="shared" si="22"/>
        <v>230.89999999999998</v>
      </c>
      <c r="AE104" s="100">
        <f t="shared" si="22"/>
        <v>175.60000000000002</v>
      </c>
      <c r="AF104" s="100">
        <f t="shared" si="22"/>
        <v>140.80000000000004</v>
      </c>
      <c r="AG104" s="101"/>
      <c r="AH104" s="48">
        <f t="shared" si="10"/>
        <v>385.90000000000003</v>
      </c>
      <c r="AI104" s="49">
        <f t="shared" si="11"/>
        <v>55.539999999999992</v>
      </c>
    </row>
    <row r="105" spans="1:35" x14ac:dyDescent="0.25">
      <c r="A105" s="88" t="s">
        <v>109</v>
      </c>
      <c r="B105" s="102">
        <v>4.5</v>
      </c>
      <c r="C105" s="102">
        <v>4.5</v>
      </c>
      <c r="D105" s="102">
        <v>-1</v>
      </c>
      <c r="E105" s="102">
        <v>0.8</v>
      </c>
      <c r="F105" s="102">
        <v>6.8</v>
      </c>
      <c r="G105" s="102">
        <v>6.8</v>
      </c>
      <c r="H105" s="102">
        <v>22.9</v>
      </c>
      <c r="I105" s="102">
        <v>34.799999999999997</v>
      </c>
      <c r="J105" s="102">
        <v>33.1</v>
      </c>
      <c r="K105" s="102">
        <v>24.7</v>
      </c>
      <c r="L105" s="102">
        <v>34.6</v>
      </c>
      <c r="M105" s="102">
        <v>29.4</v>
      </c>
      <c r="N105" s="102">
        <v>33.799999999999997</v>
      </c>
      <c r="O105" s="102">
        <v>46.9</v>
      </c>
      <c r="P105" s="102">
        <v>54.2</v>
      </c>
      <c r="Q105" s="102">
        <v>49</v>
      </c>
      <c r="R105" s="102">
        <v>46</v>
      </c>
      <c r="S105" s="102">
        <v>36.299999999999997</v>
      </c>
      <c r="T105" s="102">
        <v>33.4</v>
      </c>
      <c r="U105" s="102">
        <v>33.299999999999997</v>
      </c>
      <c r="V105" s="102">
        <v>23.9</v>
      </c>
      <c r="W105" s="102">
        <v>30.4</v>
      </c>
      <c r="X105" s="102">
        <v>27.8</v>
      </c>
      <c r="Y105" s="102">
        <v>30.2</v>
      </c>
      <c r="Z105" s="102">
        <v>36</v>
      </c>
      <c r="AA105" s="102">
        <v>41.3</v>
      </c>
      <c r="AB105" s="102"/>
      <c r="AC105" s="102">
        <v>35.6</v>
      </c>
      <c r="AD105" s="102">
        <v>20.399999999999999</v>
      </c>
      <c r="AE105" s="102">
        <v>28.2</v>
      </c>
      <c r="AF105" s="102">
        <v>25.3</v>
      </c>
      <c r="AG105" s="103">
        <v>75</v>
      </c>
      <c r="AH105" s="48">
        <f t="shared" si="10"/>
        <v>54.2</v>
      </c>
      <c r="AI105" s="49">
        <f t="shared" si="11"/>
        <v>-1</v>
      </c>
    </row>
    <row r="106" spans="1:35" x14ac:dyDescent="0.25">
      <c r="A106" s="91" t="s">
        <v>110</v>
      </c>
      <c r="B106" s="104">
        <v>13.6</v>
      </c>
      <c r="C106" s="104">
        <v>13.6</v>
      </c>
      <c r="D106" s="104">
        <v>8</v>
      </c>
      <c r="E106" s="104">
        <v>9.6</v>
      </c>
      <c r="F106" s="104">
        <v>16.899999999999999</v>
      </c>
      <c r="G106" s="104">
        <v>15.8</v>
      </c>
      <c r="H106" s="104">
        <v>39.1</v>
      </c>
      <c r="I106" s="104">
        <v>53</v>
      </c>
      <c r="J106" s="104">
        <v>50.1</v>
      </c>
      <c r="K106" s="104">
        <v>39.6</v>
      </c>
      <c r="L106" s="104">
        <v>53.6</v>
      </c>
      <c r="M106" s="104">
        <v>44.6</v>
      </c>
      <c r="N106" s="104">
        <v>53.1</v>
      </c>
      <c r="O106" s="104">
        <v>68.599999999999994</v>
      </c>
      <c r="P106" s="104">
        <v>80.5</v>
      </c>
      <c r="Q106" s="104">
        <v>73.3</v>
      </c>
      <c r="R106" s="104">
        <v>75</v>
      </c>
      <c r="S106" s="104">
        <v>56.1</v>
      </c>
      <c r="T106" s="104">
        <v>52.4</v>
      </c>
      <c r="U106" s="104">
        <v>51.1</v>
      </c>
      <c r="V106" s="104">
        <v>39.5</v>
      </c>
      <c r="W106" s="104">
        <v>48</v>
      </c>
      <c r="X106" s="104">
        <v>42.7</v>
      </c>
      <c r="Y106" s="104">
        <v>46.6</v>
      </c>
      <c r="Z106" s="104">
        <v>54.7</v>
      </c>
      <c r="AA106" s="104">
        <v>62.2</v>
      </c>
      <c r="AB106" s="104"/>
      <c r="AC106" s="104">
        <v>53.3</v>
      </c>
      <c r="AD106" s="104">
        <v>46.2</v>
      </c>
      <c r="AE106" s="104">
        <v>44.4</v>
      </c>
      <c r="AF106" s="104">
        <v>41.3</v>
      </c>
      <c r="AG106" s="103">
        <v>240</v>
      </c>
      <c r="AH106" s="48">
        <f t="shared" si="10"/>
        <v>80.5</v>
      </c>
      <c r="AI106" s="49">
        <f t="shared" si="11"/>
        <v>8</v>
      </c>
    </row>
    <row r="107" spans="1:35" x14ac:dyDescent="0.25">
      <c r="A107" s="91" t="s">
        <v>111</v>
      </c>
      <c r="B107" s="104">
        <v>-90</v>
      </c>
      <c r="C107" s="104">
        <v>-90</v>
      </c>
      <c r="D107" s="104">
        <v>-90</v>
      </c>
      <c r="E107" s="104">
        <f>-45.4-48.3</f>
        <v>-93.699999999999989</v>
      </c>
      <c r="F107" s="104">
        <f>-46.4-49.7</f>
        <v>-96.1</v>
      </c>
      <c r="G107" s="104">
        <f>-40.7-44.3</f>
        <v>-85</v>
      </c>
      <c r="H107" s="104">
        <f>-39.3-42</f>
        <v>-81.3</v>
      </c>
      <c r="I107" s="104">
        <f>-46.5-42.4</f>
        <v>-88.9</v>
      </c>
      <c r="J107" s="104">
        <f>-29.5-31.9</f>
        <v>-61.4</v>
      </c>
      <c r="K107" s="104">
        <f>-24.4-14.4</f>
        <v>-38.799999999999997</v>
      </c>
      <c r="L107" s="104">
        <f>-48.8-19.7</f>
        <v>-68.5</v>
      </c>
      <c r="M107" s="104">
        <v>-51.8</v>
      </c>
      <c r="N107" s="104">
        <v>-82</v>
      </c>
      <c r="O107" s="104">
        <v>-54</v>
      </c>
      <c r="P107" s="104">
        <v>-65</v>
      </c>
      <c r="Q107" s="104">
        <v>-42</v>
      </c>
      <c r="R107" s="104">
        <v>-46</v>
      </c>
      <c r="S107" s="104">
        <f>-8.3-10.8</f>
        <v>-19.100000000000001</v>
      </c>
      <c r="T107" s="104">
        <f>-3.6-8.9</f>
        <v>-12.5</v>
      </c>
      <c r="U107" s="104">
        <v>-4.8</v>
      </c>
      <c r="V107" s="104">
        <f>-4-15</f>
        <v>-19</v>
      </c>
      <c r="W107" s="104">
        <f>3-5.6</f>
        <v>-2.5999999999999996</v>
      </c>
      <c r="X107" s="104">
        <v>7.6</v>
      </c>
      <c r="Y107" s="104">
        <v>1.8</v>
      </c>
      <c r="Z107" s="104">
        <f>1.2-7.2</f>
        <v>-6</v>
      </c>
      <c r="AA107" s="104">
        <f>-2.4-11.4</f>
        <v>-13.8</v>
      </c>
      <c r="AB107" s="104"/>
      <c r="AC107" s="104">
        <v>-54</v>
      </c>
      <c r="AD107" s="104">
        <v>-56.3</v>
      </c>
      <c r="AE107" s="104">
        <v>-68</v>
      </c>
      <c r="AF107" s="104">
        <v>-90</v>
      </c>
      <c r="AG107" s="103">
        <v>240</v>
      </c>
      <c r="AH107" s="48">
        <f t="shared" si="10"/>
        <v>7.6</v>
      </c>
      <c r="AI107" s="49">
        <f t="shared" si="11"/>
        <v>-96.1</v>
      </c>
    </row>
    <row r="108" spans="1:35" x14ac:dyDescent="0.25">
      <c r="A108" s="91" t="s">
        <v>112</v>
      </c>
      <c r="B108" s="104">
        <v>-3</v>
      </c>
      <c r="C108" s="104">
        <v>-3</v>
      </c>
      <c r="D108" s="104">
        <v>-4</v>
      </c>
      <c r="E108" s="104">
        <v>-4.5999999999999996</v>
      </c>
      <c r="F108" s="104">
        <v>-2.4</v>
      </c>
      <c r="G108" s="104">
        <v>-1.7</v>
      </c>
      <c r="H108" s="104">
        <v>-1.8</v>
      </c>
      <c r="I108" s="104">
        <v>2.7</v>
      </c>
      <c r="J108" s="104">
        <v>7.6</v>
      </c>
      <c r="K108" s="104">
        <v>47.2</v>
      </c>
      <c r="L108" s="104">
        <v>46.1</v>
      </c>
      <c r="M108" s="104">
        <v>46.6</v>
      </c>
      <c r="N108" s="104">
        <v>47.4</v>
      </c>
      <c r="O108" s="104">
        <v>53.4</v>
      </c>
      <c r="P108" s="104">
        <v>40.6</v>
      </c>
      <c r="Q108" s="104">
        <v>29.2</v>
      </c>
      <c r="R108" s="104">
        <v>26.8</v>
      </c>
      <c r="S108" s="104">
        <v>31.2</v>
      </c>
      <c r="T108" s="104">
        <v>28.7</v>
      </c>
      <c r="U108" s="104">
        <v>31.7</v>
      </c>
      <c r="V108" s="104">
        <v>51.5</v>
      </c>
      <c r="W108" s="104">
        <v>58</v>
      </c>
      <c r="X108" s="104">
        <v>62.7</v>
      </c>
      <c r="Y108" s="104">
        <v>62.2</v>
      </c>
      <c r="Z108" s="104">
        <v>60.4</v>
      </c>
      <c r="AA108" s="104">
        <v>59.5</v>
      </c>
      <c r="AB108" s="104"/>
      <c r="AC108" s="104">
        <v>49.8</v>
      </c>
      <c r="AD108" s="104">
        <v>40.5</v>
      </c>
      <c r="AE108" s="104">
        <v>4.8</v>
      </c>
      <c r="AF108" s="104">
        <v>0</v>
      </c>
      <c r="AG108" s="103">
        <v>60</v>
      </c>
      <c r="AH108" s="48">
        <f t="shared" si="10"/>
        <v>62.7</v>
      </c>
      <c r="AI108" s="49">
        <f t="shared" si="11"/>
        <v>-4.5999999999999996</v>
      </c>
    </row>
    <row r="109" spans="1:35" x14ac:dyDescent="0.25">
      <c r="A109" s="105" t="s">
        <v>113</v>
      </c>
      <c r="B109" s="106">
        <v>31</v>
      </c>
      <c r="C109" s="106">
        <v>31</v>
      </c>
      <c r="D109" s="106" t="s">
        <v>114</v>
      </c>
      <c r="E109" s="106">
        <v>34.799999999999997</v>
      </c>
      <c r="F109" s="106">
        <v>26.2</v>
      </c>
      <c r="G109" s="106">
        <v>37.700000000000003</v>
      </c>
      <c r="H109" s="106">
        <v>36.200000000000003</v>
      </c>
      <c r="I109" s="106">
        <v>44.8</v>
      </c>
      <c r="J109" s="106">
        <v>71.3</v>
      </c>
      <c r="K109" s="106">
        <v>75</v>
      </c>
      <c r="L109" s="106">
        <v>92.9</v>
      </c>
      <c r="M109" s="106">
        <v>93.1</v>
      </c>
      <c r="N109" s="106">
        <v>80.400000000000006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64.2</v>
      </c>
      <c r="W109" s="106">
        <v>94</v>
      </c>
      <c r="X109" s="106">
        <v>104</v>
      </c>
      <c r="Y109" s="106">
        <v>97.4</v>
      </c>
      <c r="Z109" s="106">
        <v>74.599999999999994</v>
      </c>
      <c r="AA109" s="106">
        <v>56.47</v>
      </c>
      <c r="AB109" s="106"/>
      <c r="AC109" s="106">
        <v>31.6</v>
      </c>
      <c r="AD109" s="106">
        <v>39</v>
      </c>
      <c r="AE109" s="106">
        <v>24.9</v>
      </c>
      <c r="AF109" s="106">
        <v>22.9</v>
      </c>
      <c r="AG109" s="107">
        <v>120</v>
      </c>
      <c r="AH109" s="48">
        <f t="shared" si="10"/>
        <v>104</v>
      </c>
      <c r="AI109" s="49">
        <f t="shared" si="11"/>
        <v>0</v>
      </c>
    </row>
    <row r="110" spans="1:35" x14ac:dyDescent="0.25">
      <c r="A110" s="105" t="s">
        <v>115</v>
      </c>
      <c r="B110" s="106">
        <v>46</v>
      </c>
      <c r="C110" s="106">
        <v>46</v>
      </c>
      <c r="D110" s="106">
        <v>49</v>
      </c>
      <c r="E110" s="106">
        <v>53.2</v>
      </c>
      <c r="F110" s="106">
        <v>46.2</v>
      </c>
      <c r="G110" s="106">
        <v>48.7</v>
      </c>
      <c r="H110" s="106">
        <v>42.6</v>
      </c>
      <c r="I110" s="106">
        <v>47.9</v>
      </c>
      <c r="J110" s="106">
        <v>57</v>
      </c>
      <c r="K110" s="106">
        <v>97</v>
      </c>
      <c r="L110" s="106">
        <v>67.900000000000006</v>
      </c>
      <c r="M110" s="106">
        <v>91.6</v>
      </c>
      <c r="N110" s="106">
        <v>57.1</v>
      </c>
      <c r="O110" s="106">
        <v>77</v>
      </c>
      <c r="P110" s="106">
        <v>40.5</v>
      </c>
      <c r="Q110" s="106">
        <v>64.5</v>
      </c>
      <c r="R110" s="106">
        <v>56.8</v>
      </c>
      <c r="S110" s="106">
        <v>71</v>
      </c>
      <c r="T110" s="106">
        <v>78.3</v>
      </c>
      <c r="U110" s="106">
        <v>82.1</v>
      </c>
      <c r="V110" s="106">
        <v>43.1</v>
      </c>
      <c r="W110" s="106">
        <v>57.4</v>
      </c>
      <c r="X110" s="106">
        <v>66.2</v>
      </c>
      <c r="Y110" s="106">
        <v>64.400000000000006</v>
      </c>
      <c r="Z110" s="106">
        <v>48.2</v>
      </c>
      <c r="AA110" s="106">
        <v>33.4</v>
      </c>
      <c r="AB110" s="106"/>
      <c r="AC110" s="106">
        <v>21.2</v>
      </c>
      <c r="AD110" s="106">
        <v>22.3</v>
      </c>
      <c r="AE110" s="106">
        <v>23.3</v>
      </c>
      <c r="AF110" s="106">
        <v>29.3</v>
      </c>
      <c r="AG110" s="107"/>
      <c r="AH110" s="48">
        <f t="shared" si="10"/>
        <v>97</v>
      </c>
      <c r="AI110" s="49">
        <f t="shared" si="11"/>
        <v>21.2</v>
      </c>
    </row>
    <row r="111" spans="1:35" x14ac:dyDescent="0.25">
      <c r="A111" s="105" t="s">
        <v>116</v>
      </c>
      <c r="B111" s="106">
        <v>48</v>
      </c>
      <c r="C111" s="106">
        <v>48</v>
      </c>
      <c r="D111" s="106">
        <v>40</v>
      </c>
      <c r="E111" s="106">
        <v>44.9</v>
      </c>
      <c r="F111" s="106">
        <v>43.4</v>
      </c>
      <c r="G111" s="106">
        <v>46.1</v>
      </c>
      <c r="H111" s="106">
        <v>27.2</v>
      </c>
      <c r="I111" s="106">
        <v>11.8</v>
      </c>
      <c r="J111" s="106">
        <v>12.8</v>
      </c>
      <c r="K111" s="106">
        <v>52.1</v>
      </c>
      <c r="L111" s="106">
        <v>31</v>
      </c>
      <c r="M111" s="106">
        <v>41</v>
      </c>
      <c r="N111" s="106">
        <v>32.9</v>
      </c>
      <c r="O111" s="106">
        <v>8.6</v>
      </c>
      <c r="P111" s="106">
        <v>-8.6999999999999993</v>
      </c>
      <c r="Q111" s="106">
        <v>7.8</v>
      </c>
      <c r="R111" s="106">
        <v>4.8</v>
      </c>
      <c r="S111" s="106">
        <v>8.5</v>
      </c>
      <c r="T111" s="106">
        <v>23.5</v>
      </c>
      <c r="U111" s="106">
        <v>35.5</v>
      </c>
      <c r="V111" s="106">
        <v>37.9</v>
      </c>
      <c r="W111" s="106">
        <v>37.9</v>
      </c>
      <c r="X111" s="106">
        <v>47.5</v>
      </c>
      <c r="Y111" s="106">
        <v>64.400000000000006</v>
      </c>
      <c r="Z111" s="106">
        <v>36</v>
      </c>
      <c r="AA111" s="106">
        <v>28</v>
      </c>
      <c r="AB111" s="106"/>
      <c r="AC111" s="106">
        <v>19.399999999999999</v>
      </c>
      <c r="AD111" s="106">
        <v>23.9</v>
      </c>
      <c r="AE111" s="106">
        <v>24.5</v>
      </c>
      <c r="AF111" s="106">
        <v>29.3</v>
      </c>
      <c r="AG111" s="108"/>
      <c r="AH111" s="48">
        <f t="shared" si="10"/>
        <v>64.400000000000006</v>
      </c>
      <c r="AI111" s="49">
        <f t="shared" si="11"/>
        <v>-8.6999999999999993</v>
      </c>
    </row>
    <row r="112" spans="1:35" x14ac:dyDescent="0.25">
      <c r="A112" s="109" t="s">
        <v>117</v>
      </c>
      <c r="B112" s="94">
        <v>25</v>
      </c>
      <c r="C112" s="94">
        <v>25</v>
      </c>
      <c r="D112" s="94">
        <v>27</v>
      </c>
      <c r="E112" s="94">
        <v>26</v>
      </c>
      <c r="F112" s="94">
        <v>25.8</v>
      </c>
      <c r="G112" s="94">
        <v>24.7</v>
      </c>
      <c r="H112" s="94">
        <v>19.100000000000001</v>
      </c>
      <c r="I112" s="94">
        <v>15.5</v>
      </c>
      <c r="J112" s="94">
        <v>10.3</v>
      </c>
      <c r="K112" s="94">
        <v>5.0999999999999996</v>
      </c>
      <c r="L112" s="94">
        <v>0</v>
      </c>
      <c r="M112" s="94">
        <v>0</v>
      </c>
      <c r="N112" s="94">
        <v>2.7</v>
      </c>
      <c r="O112" s="94">
        <v>3</v>
      </c>
      <c r="P112" s="94">
        <v>6.7</v>
      </c>
      <c r="Q112" s="94">
        <v>10.199999999999999</v>
      </c>
      <c r="R112" s="94">
        <v>14.1</v>
      </c>
      <c r="S112" s="94">
        <v>11.1</v>
      </c>
      <c r="T112" s="94">
        <v>10.9</v>
      </c>
      <c r="U112" s="94">
        <v>1.6</v>
      </c>
      <c r="V112" s="94">
        <v>-2.8</v>
      </c>
      <c r="W112" s="94">
        <v>-18</v>
      </c>
      <c r="X112" s="94">
        <v>-15.3</v>
      </c>
      <c r="Y112" s="94">
        <v>-12.8</v>
      </c>
      <c r="Z112" s="94">
        <v>36.299999999999997</v>
      </c>
      <c r="AA112" s="94">
        <v>-1.9</v>
      </c>
      <c r="AB112" s="94"/>
      <c r="AC112" s="94">
        <v>5</v>
      </c>
      <c r="AD112" s="94">
        <v>12.1</v>
      </c>
      <c r="AE112" s="94">
        <v>22</v>
      </c>
      <c r="AF112" s="94">
        <v>23</v>
      </c>
      <c r="AG112" s="108"/>
      <c r="AH112" s="48">
        <f t="shared" si="10"/>
        <v>36.299999999999997</v>
      </c>
      <c r="AI112" s="49">
        <f t="shared" si="11"/>
        <v>-18</v>
      </c>
    </row>
    <row r="113" spans="1:37" ht="15.75" thickBot="1" x14ac:dyDescent="0.3">
      <c r="A113" s="109" t="s">
        <v>118</v>
      </c>
      <c r="B113" s="94">
        <v>51</v>
      </c>
      <c r="C113" s="94">
        <v>51</v>
      </c>
      <c r="D113" s="94">
        <v>48</v>
      </c>
      <c r="E113" s="94">
        <v>51</v>
      </c>
      <c r="F113" s="94">
        <v>57.1</v>
      </c>
      <c r="G113" s="94">
        <v>47.5</v>
      </c>
      <c r="H113" s="94">
        <v>50.2</v>
      </c>
      <c r="I113" s="94">
        <v>61.8</v>
      </c>
      <c r="J113" s="94">
        <v>37.6</v>
      </c>
      <c r="K113" s="94">
        <v>16.399999999999999</v>
      </c>
      <c r="L113" s="94">
        <v>41.6</v>
      </c>
      <c r="M113" s="94">
        <v>26.2</v>
      </c>
      <c r="N113" s="94">
        <v>50</v>
      </c>
      <c r="O113" s="94">
        <v>43</v>
      </c>
      <c r="P113" s="94">
        <v>55.3</v>
      </c>
      <c r="Q113" s="94">
        <v>36</v>
      </c>
      <c r="R113" s="94">
        <v>39.1</v>
      </c>
      <c r="S113" s="94">
        <v>21.6</v>
      </c>
      <c r="T113" s="94">
        <v>19.399999999999999</v>
      </c>
      <c r="U113" s="94">
        <v>13.5</v>
      </c>
      <c r="V113" s="94">
        <v>34</v>
      </c>
      <c r="W113" s="94">
        <v>22</v>
      </c>
      <c r="X113" s="94">
        <v>15</v>
      </c>
      <c r="Y113" s="94">
        <v>21.9</v>
      </c>
      <c r="Z113" s="94">
        <v>31.5</v>
      </c>
      <c r="AA113" s="94">
        <v>40.299999999999997</v>
      </c>
      <c r="AB113" s="94"/>
      <c r="AC113" s="94">
        <v>39.799999999999997</v>
      </c>
      <c r="AD113" s="94">
        <v>39.1</v>
      </c>
      <c r="AE113" s="94">
        <v>44.9</v>
      </c>
      <c r="AF113" s="94">
        <v>59.8</v>
      </c>
      <c r="AG113" s="108"/>
      <c r="AH113" s="48">
        <f t="shared" si="10"/>
        <v>61.8</v>
      </c>
      <c r="AI113" s="49">
        <f t="shared" si="11"/>
        <v>13.5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23">SUM(B115:B219)</f>
        <v>0</v>
      </c>
      <c r="C220" s="125">
        <f t="shared" si="23"/>
        <v>0</v>
      </c>
      <c r="D220" s="125">
        <f t="shared" si="23"/>
        <v>0</v>
      </c>
      <c r="E220" s="125">
        <f t="shared" si="23"/>
        <v>0</v>
      </c>
      <c r="F220" s="125">
        <f t="shared" si="23"/>
        <v>0</v>
      </c>
      <c r="G220" s="125">
        <f t="shared" si="23"/>
        <v>0</v>
      </c>
      <c r="H220" s="125">
        <f t="shared" si="23"/>
        <v>0</v>
      </c>
      <c r="I220" s="125">
        <f t="shared" si="23"/>
        <v>0</v>
      </c>
      <c r="J220" s="125">
        <f t="shared" si="23"/>
        <v>0</v>
      </c>
      <c r="K220" s="125">
        <f t="shared" si="23"/>
        <v>0</v>
      </c>
      <c r="L220" s="125">
        <f t="shared" si="23"/>
        <v>0</v>
      </c>
      <c r="M220" s="125">
        <f t="shared" si="23"/>
        <v>0</v>
      </c>
      <c r="N220" s="125">
        <f t="shared" si="23"/>
        <v>0</v>
      </c>
      <c r="O220" s="125">
        <f t="shared" si="23"/>
        <v>0</v>
      </c>
      <c r="P220" s="125">
        <f t="shared" si="23"/>
        <v>0</v>
      </c>
      <c r="Q220" s="125">
        <f t="shared" si="23"/>
        <v>0</v>
      </c>
      <c r="R220" s="125">
        <f t="shared" si="23"/>
        <v>0</v>
      </c>
      <c r="S220" s="125">
        <f t="shared" si="23"/>
        <v>0</v>
      </c>
      <c r="T220" s="125">
        <f t="shared" si="23"/>
        <v>0</v>
      </c>
      <c r="U220" s="125">
        <f t="shared" si="23"/>
        <v>0</v>
      </c>
      <c r="V220" s="125">
        <f t="shared" si="23"/>
        <v>0</v>
      </c>
      <c r="W220" s="125">
        <f t="shared" si="23"/>
        <v>0</v>
      </c>
      <c r="X220" s="125">
        <f t="shared" si="23"/>
        <v>0</v>
      </c>
      <c r="Y220" s="125">
        <f t="shared" si="23"/>
        <v>0</v>
      </c>
      <c r="Z220" s="125">
        <f t="shared" si="23"/>
        <v>0</v>
      </c>
      <c r="AA220" s="125">
        <f t="shared" si="23"/>
        <v>0</v>
      </c>
      <c r="AB220" s="125">
        <f t="shared" si="23"/>
        <v>0</v>
      </c>
      <c r="AC220" s="125">
        <f t="shared" si="23"/>
        <v>0</v>
      </c>
      <c r="AD220" s="125">
        <f t="shared" si="23"/>
        <v>0</v>
      </c>
      <c r="AE220" s="125">
        <f t="shared" si="23"/>
        <v>0</v>
      </c>
      <c r="AF220" s="126">
        <f t="shared" si="23"/>
        <v>0</v>
      </c>
      <c r="AG220" s="127">
        <f t="shared" si="23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24">AF222</f>
        <v>0</v>
      </c>
      <c r="C222" s="129">
        <v>0.3</v>
      </c>
      <c r="D222" s="129">
        <f t="shared" ref="D222:P227" si="25">C222</f>
        <v>0.3</v>
      </c>
      <c r="E222" s="129">
        <f t="shared" si="25"/>
        <v>0.3</v>
      </c>
      <c r="F222" s="129">
        <f t="shared" si="25"/>
        <v>0.3</v>
      </c>
      <c r="G222" s="129">
        <f t="shared" si="25"/>
        <v>0.3</v>
      </c>
      <c r="H222" s="129">
        <f t="shared" si="25"/>
        <v>0.3</v>
      </c>
      <c r="I222" s="129">
        <f t="shared" si="25"/>
        <v>0.3</v>
      </c>
      <c r="J222" s="129">
        <f t="shared" si="25"/>
        <v>0.3</v>
      </c>
      <c r="K222" s="129">
        <f t="shared" si="25"/>
        <v>0.3</v>
      </c>
      <c r="L222" s="129">
        <f t="shared" si="25"/>
        <v>0.3</v>
      </c>
      <c r="M222" s="129">
        <f t="shared" si="25"/>
        <v>0.3</v>
      </c>
      <c r="N222" s="129">
        <f t="shared" si="25"/>
        <v>0.3</v>
      </c>
      <c r="O222" s="129">
        <f t="shared" si="25"/>
        <v>0.3</v>
      </c>
      <c r="P222" s="129">
        <f t="shared" si="25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x14ac:dyDescent="0.25">
      <c r="A223" s="91" t="s">
        <v>227</v>
      </c>
      <c r="B223" s="117">
        <f t="shared" si="24"/>
        <v>0</v>
      </c>
      <c r="C223" s="117">
        <v>0.4</v>
      </c>
      <c r="D223" s="117">
        <f t="shared" si="25"/>
        <v>0.4</v>
      </c>
      <c r="E223" s="117">
        <f t="shared" si="25"/>
        <v>0.4</v>
      </c>
      <c r="F223" s="117">
        <f t="shared" si="25"/>
        <v>0.4</v>
      </c>
      <c r="G223" s="117">
        <f t="shared" si="25"/>
        <v>0.4</v>
      </c>
      <c r="H223" s="117">
        <f t="shared" si="25"/>
        <v>0.4</v>
      </c>
      <c r="I223" s="117">
        <f t="shared" si="25"/>
        <v>0.4</v>
      </c>
      <c r="J223" s="117">
        <f t="shared" si="25"/>
        <v>0.4</v>
      </c>
      <c r="K223" s="117">
        <f t="shared" si="25"/>
        <v>0.4</v>
      </c>
      <c r="L223" s="117">
        <f t="shared" si="25"/>
        <v>0.4</v>
      </c>
      <c r="M223" s="117">
        <f t="shared" si="25"/>
        <v>0.4</v>
      </c>
      <c r="N223" s="117">
        <f t="shared" si="25"/>
        <v>0.4</v>
      </c>
      <c r="O223" s="117">
        <f t="shared" si="25"/>
        <v>0.4</v>
      </c>
      <c r="P223" s="117">
        <f t="shared" si="25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24"/>
        <v>0</v>
      </c>
      <c r="C224" s="117">
        <v>1.5</v>
      </c>
      <c r="D224" s="117">
        <f t="shared" si="25"/>
        <v>1.5</v>
      </c>
      <c r="E224" s="117">
        <f t="shared" si="25"/>
        <v>1.5</v>
      </c>
      <c r="F224" s="117">
        <f t="shared" si="25"/>
        <v>1.5</v>
      </c>
      <c r="G224" s="117">
        <f t="shared" si="25"/>
        <v>1.5</v>
      </c>
      <c r="H224" s="117">
        <f t="shared" si="25"/>
        <v>1.5</v>
      </c>
      <c r="I224" s="117">
        <f t="shared" si="25"/>
        <v>1.5</v>
      </c>
      <c r="J224" s="117">
        <f t="shared" si="25"/>
        <v>1.5</v>
      </c>
      <c r="K224" s="117">
        <f t="shared" si="25"/>
        <v>1.5</v>
      </c>
      <c r="L224" s="117">
        <f t="shared" si="25"/>
        <v>1.5</v>
      </c>
      <c r="M224" s="117">
        <f t="shared" si="25"/>
        <v>1.5</v>
      </c>
      <c r="N224" s="117">
        <f t="shared" si="25"/>
        <v>1.5</v>
      </c>
      <c r="O224" s="117">
        <f t="shared" si="25"/>
        <v>1.5</v>
      </c>
      <c r="P224" s="117">
        <f t="shared" si="25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24"/>
        <v>0</v>
      </c>
      <c r="C225" s="117">
        <v>0.3</v>
      </c>
      <c r="D225" s="117">
        <f t="shared" si="25"/>
        <v>0.3</v>
      </c>
      <c r="E225" s="117">
        <f t="shared" si="25"/>
        <v>0.3</v>
      </c>
      <c r="F225" s="117">
        <f t="shared" si="25"/>
        <v>0.3</v>
      </c>
      <c r="G225" s="117">
        <f t="shared" si="25"/>
        <v>0.3</v>
      </c>
      <c r="H225" s="117">
        <f t="shared" si="25"/>
        <v>0.3</v>
      </c>
      <c r="I225" s="117">
        <f t="shared" si="25"/>
        <v>0.3</v>
      </c>
      <c r="J225" s="117">
        <f t="shared" si="25"/>
        <v>0.3</v>
      </c>
      <c r="K225" s="117">
        <f t="shared" si="25"/>
        <v>0.3</v>
      </c>
      <c r="L225" s="117">
        <f t="shared" si="25"/>
        <v>0.3</v>
      </c>
      <c r="M225" s="117">
        <f t="shared" si="25"/>
        <v>0.3</v>
      </c>
      <c r="N225" s="117">
        <f t="shared" si="25"/>
        <v>0.3</v>
      </c>
      <c r="O225" s="117">
        <f t="shared" si="25"/>
        <v>0.3</v>
      </c>
      <c r="P225" s="117">
        <f t="shared" si="25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24"/>
        <v>0</v>
      </c>
      <c r="C226" s="117">
        <v>0.4</v>
      </c>
      <c r="D226" s="117">
        <f t="shared" si="25"/>
        <v>0.4</v>
      </c>
      <c r="E226" s="117">
        <f t="shared" si="25"/>
        <v>0.4</v>
      </c>
      <c r="F226" s="117">
        <f t="shared" si="25"/>
        <v>0.4</v>
      </c>
      <c r="G226" s="117">
        <f t="shared" si="25"/>
        <v>0.4</v>
      </c>
      <c r="H226" s="117">
        <f t="shared" si="25"/>
        <v>0.4</v>
      </c>
      <c r="I226" s="117">
        <f t="shared" si="25"/>
        <v>0.4</v>
      </c>
      <c r="J226" s="117">
        <f t="shared" si="25"/>
        <v>0.4</v>
      </c>
      <c r="K226" s="117">
        <f t="shared" si="25"/>
        <v>0.4</v>
      </c>
      <c r="L226" s="117">
        <f t="shared" si="25"/>
        <v>0.4</v>
      </c>
      <c r="M226" s="117">
        <f t="shared" si="25"/>
        <v>0.4</v>
      </c>
      <c r="N226" s="117">
        <f t="shared" si="25"/>
        <v>0.4</v>
      </c>
      <c r="O226" s="117">
        <f t="shared" si="25"/>
        <v>0.4</v>
      </c>
      <c r="P226" s="117">
        <f t="shared" si="25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24"/>
        <v>0</v>
      </c>
      <c r="C227" s="121">
        <v>0.64</v>
      </c>
      <c r="D227" s="121">
        <f t="shared" si="25"/>
        <v>0.64</v>
      </c>
      <c r="E227" s="121">
        <f t="shared" si="25"/>
        <v>0.64</v>
      </c>
      <c r="F227" s="121">
        <f t="shared" si="25"/>
        <v>0.64</v>
      </c>
      <c r="G227" s="121">
        <f t="shared" si="25"/>
        <v>0.64</v>
      </c>
      <c r="H227" s="121">
        <f t="shared" si="25"/>
        <v>0.64</v>
      </c>
      <c r="I227" s="121">
        <f t="shared" si="25"/>
        <v>0.64</v>
      </c>
      <c r="J227" s="121">
        <f t="shared" si="25"/>
        <v>0.64</v>
      </c>
      <c r="K227" s="121">
        <f t="shared" si="25"/>
        <v>0.64</v>
      </c>
      <c r="L227" s="121">
        <f t="shared" si="25"/>
        <v>0.64</v>
      </c>
      <c r="M227" s="121">
        <f t="shared" si="25"/>
        <v>0.64</v>
      </c>
      <c r="N227" s="121">
        <f t="shared" si="25"/>
        <v>0.64</v>
      </c>
      <c r="O227" s="121">
        <f t="shared" si="25"/>
        <v>0.64</v>
      </c>
      <c r="P227" s="121">
        <f t="shared" si="25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6">SUM(B222:B227)</f>
        <v>0</v>
      </c>
      <c r="C228" s="125">
        <f t="shared" si="26"/>
        <v>3.54</v>
      </c>
      <c r="D228" s="125">
        <f t="shared" si="26"/>
        <v>3.54</v>
      </c>
      <c r="E228" s="125">
        <f t="shared" si="26"/>
        <v>3.54</v>
      </c>
      <c r="F228" s="125">
        <f t="shared" si="26"/>
        <v>3.54</v>
      </c>
      <c r="G228" s="125">
        <f t="shared" si="26"/>
        <v>3.54</v>
      </c>
      <c r="H228" s="125">
        <f t="shared" si="26"/>
        <v>3.54</v>
      </c>
      <c r="I228" s="125">
        <f t="shared" si="26"/>
        <v>3.54</v>
      </c>
      <c r="J228" s="125">
        <f t="shared" si="26"/>
        <v>3.54</v>
      </c>
      <c r="K228" s="125">
        <f t="shared" si="26"/>
        <v>3.54</v>
      </c>
      <c r="L228" s="125">
        <f t="shared" si="26"/>
        <v>3.54</v>
      </c>
      <c r="M228" s="125">
        <f t="shared" si="26"/>
        <v>3.54</v>
      </c>
      <c r="N228" s="125">
        <f t="shared" si="26"/>
        <v>3.54</v>
      </c>
      <c r="O228" s="125">
        <f t="shared" si="26"/>
        <v>3.54</v>
      </c>
      <c r="P228" s="125">
        <f t="shared" si="26"/>
        <v>3.54</v>
      </c>
      <c r="Q228" s="125">
        <f t="shared" si="26"/>
        <v>0</v>
      </c>
      <c r="R228" s="125">
        <f t="shared" si="26"/>
        <v>0</v>
      </c>
      <c r="S228" s="125">
        <f t="shared" si="26"/>
        <v>0</v>
      </c>
      <c r="T228" s="125">
        <f t="shared" si="26"/>
        <v>0</v>
      </c>
      <c r="U228" s="125">
        <f t="shared" si="26"/>
        <v>0</v>
      </c>
      <c r="V228" s="125">
        <f t="shared" si="26"/>
        <v>0</v>
      </c>
      <c r="W228" s="125">
        <f t="shared" si="26"/>
        <v>0</v>
      </c>
      <c r="X228" s="125">
        <f t="shared" si="26"/>
        <v>0</v>
      </c>
      <c r="Y228" s="125">
        <f t="shared" si="26"/>
        <v>0</v>
      </c>
      <c r="Z228" s="125">
        <f t="shared" si="26"/>
        <v>0</v>
      </c>
      <c r="AA228" s="125">
        <f t="shared" si="26"/>
        <v>0</v>
      </c>
      <c r="AB228" s="125">
        <f t="shared" si="26"/>
        <v>0</v>
      </c>
      <c r="AC228" s="125">
        <f t="shared" si="26"/>
        <v>0</v>
      </c>
      <c r="AD228" s="125">
        <f t="shared" si="26"/>
        <v>0</v>
      </c>
      <c r="AE228" s="125">
        <f t="shared" si="26"/>
        <v>0</v>
      </c>
      <c r="AF228" s="125">
        <f t="shared" si="26"/>
        <v>0</v>
      </c>
      <c r="AG228" s="134">
        <f t="shared" si="26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1640.1399999999999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1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2079/09/1)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2079/09/1)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7">B85</f>
        <v>952.84000000000015</v>
      </c>
      <c r="U242" s="159">
        <f t="shared" si="27"/>
        <v>944.84000000000015</v>
      </c>
      <c r="V242" s="159">
        <f t="shared" si="27"/>
        <v>939.84000000000015</v>
      </c>
      <c r="W242" s="159">
        <f t="shared" si="27"/>
        <v>953.83999999999992</v>
      </c>
      <c r="X242" s="159">
        <f t="shared" si="27"/>
        <v>973.33999999999992</v>
      </c>
      <c r="Y242" s="159">
        <f t="shared" si="27"/>
        <v>992.13999999999987</v>
      </c>
      <c r="Z242" s="159">
        <f t="shared" si="27"/>
        <v>1031.6399999999999</v>
      </c>
      <c r="AA242" s="159">
        <f t="shared" si="27"/>
        <v>1185.8400000000001</v>
      </c>
      <c r="AB242" s="159">
        <f t="shared" si="27"/>
        <v>1171.1400000000001</v>
      </c>
      <c r="AC242" s="159">
        <f t="shared" si="27"/>
        <v>1524.54</v>
      </c>
      <c r="AD242" s="159">
        <f t="shared" si="27"/>
        <v>1538.04</v>
      </c>
      <c r="AE242" s="159">
        <f t="shared" si="27"/>
        <v>1640.1399999999999</v>
      </c>
      <c r="AF242" s="159">
        <f t="shared" si="27"/>
        <v>1591.44</v>
      </c>
      <c r="AG242" s="159">
        <f t="shared" si="27"/>
        <v>1454.54</v>
      </c>
      <c r="AH242" s="159">
        <f t="shared" si="27"/>
        <v>1344.8400000000001</v>
      </c>
      <c r="AI242" s="159">
        <f t="shared" si="27"/>
        <v>1307.44</v>
      </c>
      <c r="AJ242" s="159">
        <f t="shared" si="27"/>
        <v>1259.93</v>
      </c>
      <c r="AK242" s="159">
        <f t="shared" si="27"/>
        <v>1227.94</v>
      </c>
      <c r="AL242" s="159">
        <f t="shared" si="27"/>
        <v>1257.94</v>
      </c>
      <c r="AM242" s="159">
        <f t="shared" si="27"/>
        <v>1259.6400000000001</v>
      </c>
      <c r="AN242" s="159">
        <f t="shared" si="27"/>
        <v>1315.5400000000002</v>
      </c>
      <c r="AO242" s="159">
        <f t="shared" si="27"/>
        <v>1537.64</v>
      </c>
      <c r="AP242" s="159">
        <f t="shared" si="27"/>
        <v>1553.54</v>
      </c>
      <c r="AQ242" s="159">
        <f t="shared" si="27"/>
        <v>1514.94</v>
      </c>
      <c r="AR242" s="159">
        <f t="shared" si="27"/>
        <v>1425.94</v>
      </c>
      <c r="AS242" s="159">
        <f t="shared" si="27"/>
        <v>1392.54</v>
      </c>
      <c r="AT242" s="159">
        <f t="shared" si="27"/>
        <v>1254.44</v>
      </c>
      <c r="AU242" s="159">
        <f t="shared" si="27"/>
        <v>1308.01</v>
      </c>
      <c r="AV242" s="159">
        <f t="shared" si="27"/>
        <v>1207.33</v>
      </c>
      <c r="AW242" s="159">
        <f t="shared" si="27"/>
        <v>1018.64</v>
      </c>
      <c r="AX242" s="159">
        <f t="shared" si="27"/>
        <v>978.33999999999992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8">C227</f>
        <v>0.64</v>
      </c>
      <c r="C263" s="162">
        <f t="shared" si="28"/>
        <v>0.64</v>
      </c>
      <c r="D263" s="162">
        <f t="shared" si="28"/>
        <v>0.64</v>
      </c>
      <c r="E263" s="162">
        <f t="shared" si="28"/>
        <v>0.64</v>
      </c>
      <c r="F263" s="162">
        <f t="shared" si="28"/>
        <v>0.64</v>
      </c>
      <c r="G263" s="162">
        <f t="shared" si="28"/>
        <v>0.64</v>
      </c>
      <c r="H263" s="162">
        <f t="shared" si="28"/>
        <v>0.64</v>
      </c>
      <c r="I263" s="162">
        <f t="shared" si="28"/>
        <v>0.64</v>
      </c>
      <c r="J263" s="162">
        <f t="shared" si="28"/>
        <v>0.64</v>
      </c>
      <c r="K263" s="162">
        <f t="shared" si="28"/>
        <v>0.64</v>
      </c>
      <c r="L263" s="162">
        <f t="shared" si="28"/>
        <v>0.64</v>
      </c>
      <c r="M263" s="162">
        <f t="shared" si="28"/>
        <v>0.64</v>
      </c>
      <c r="N263" s="162">
        <f t="shared" si="28"/>
        <v>0.64</v>
      </c>
      <c r="O263" s="162">
        <f t="shared" si="28"/>
        <v>0.64</v>
      </c>
      <c r="P263" s="162">
        <f t="shared" si="28"/>
        <v>0</v>
      </c>
      <c r="Q263" s="162">
        <f t="shared" si="28"/>
        <v>0</v>
      </c>
      <c r="R263" s="162">
        <f t="shared" si="28"/>
        <v>0</v>
      </c>
      <c r="S263" s="162">
        <f t="shared" si="28"/>
        <v>0</v>
      </c>
      <c r="T263" s="162">
        <f t="shared" si="28"/>
        <v>0</v>
      </c>
      <c r="U263" s="162">
        <f t="shared" si="28"/>
        <v>0</v>
      </c>
      <c r="V263" s="162">
        <f t="shared" si="28"/>
        <v>0</v>
      </c>
      <c r="W263" s="162">
        <f t="shared" si="28"/>
        <v>0</v>
      </c>
      <c r="X263" s="162">
        <f t="shared" si="28"/>
        <v>0</v>
      </c>
      <c r="Y263" s="162">
        <f t="shared" si="28"/>
        <v>0</v>
      </c>
      <c r="Z263" s="162">
        <f t="shared" si="28"/>
        <v>0</v>
      </c>
      <c r="AA263" s="162">
        <f t="shared" si="28"/>
        <v>0</v>
      </c>
      <c r="AB263" s="162">
        <f t="shared" si="28"/>
        <v>0</v>
      </c>
      <c r="AC263" s="162">
        <f t="shared" si="28"/>
        <v>0</v>
      </c>
      <c r="AD263" s="162">
        <f t="shared" si="28"/>
        <v>0</v>
      </c>
      <c r="AE263" s="162">
        <f t="shared" si="28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9">IF(B231&lt;100,"",B231-520)</f>
        <v/>
      </c>
      <c r="C264" s="163" t="str">
        <f t="shared" si="29"/>
        <v/>
      </c>
      <c r="D264" s="163" t="str">
        <f t="shared" si="29"/>
        <v/>
      </c>
      <c r="E264" s="163" t="str">
        <f t="shared" si="29"/>
        <v/>
      </c>
      <c r="F264" s="163" t="str">
        <f t="shared" si="29"/>
        <v/>
      </c>
      <c r="G264" s="163" t="str">
        <f t="shared" si="29"/>
        <v/>
      </c>
      <c r="H264" s="163" t="str">
        <f t="shared" si="29"/>
        <v/>
      </c>
      <c r="I264" s="163" t="str">
        <f t="shared" si="29"/>
        <v/>
      </c>
      <c r="J264" s="163" t="str">
        <f t="shared" si="29"/>
        <v/>
      </c>
      <c r="K264" s="163" t="str">
        <f t="shared" si="29"/>
        <v/>
      </c>
      <c r="L264" s="163" t="str">
        <f t="shared" si="29"/>
        <v/>
      </c>
      <c r="M264" s="163" t="str">
        <f t="shared" si="29"/>
        <v/>
      </c>
      <c r="N264" s="163" t="str">
        <f t="shared" si="29"/>
        <v/>
      </c>
      <c r="O264" s="163" t="str">
        <f t="shared" si="29"/>
        <v/>
      </c>
      <c r="P264" s="163" t="str">
        <f t="shared" si="29"/>
        <v/>
      </c>
      <c r="Q264" s="163" t="str">
        <f t="shared" si="29"/>
        <v/>
      </c>
      <c r="R264" s="163" t="str">
        <f t="shared" si="29"/>
        <v/>
      </c>
      <c r="S264" s="163" t="str">
        <f t="shared" si="29"/>
        <v/>
      </c>
      <c r="T264" s="163" t="str">
        <f t="shared" si="29"/>
        <v/>
      </c>
      <c r="U264" s="163" t="str">
        <f t="shared" si="29"/>
        <v/>
      </c>
      <c r="V264" s="163" t="str">
        <f t="shared" si="29"/>
        <v/>
      </c>
      <c r="W264" s="163" t="str">
        <f t="shared" si="29"/>
        <v/>
      </c>
      <c r="X264" s="163" t="str">
        <f t="shared" si="29"/>
        <v/>
      </c>
      <c r="Y264" s="163" t="str">
        <f t="shared" si="29"/>
        <v/>
      </c>
      <c r="Z264" s="163" t="str">
        <f t="shared" si="29"/>
        <v/>
      </c>
      <c r="AA264" s="163" t="str">
        <f t="shared" si="29"/>
        <v/>
      </c>
      <c r="AB264" s="163" t="str">
        <f t="shared" si="29"/>
        <v/>
      </c>
      <c r="AC264" s="163" t="str">
        <f t="shared" si="29"/>
        <v/>
      </c>
      <c r="AD264" s="163" t="str">
        <f t="shared" si="29"/>
        <v/>
      </c>
      <c r="AE264" s="163" t="str">
        <f t="shared" si="29"/>
        <v/>
      </c>
      <c r="AF264" s="163" t="str">
        <f t="shared" si="29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0">IF(B232&lt;100,"",B232-620)</f>
        <v/>
      </c>
      <c r="C265" s="163" t="str">
        <f t="shared" si="30"/>
        <v/>
      </c>
      <c r="D265" s="163" t="str">
        <f t="shared" si="30"/>
        <v/>
      </c>
      <c r="E265" s="163" t="str">
        <f t="shared" si="30"/>
        <v/>
      </c>
      <c r="F265" s="163" t="str">
        <f t="shared" si="30"/>
        <v/>
      </c>
      <c r="G265" s="163" t="str">
        <f t="shared" si="30"/>
        <v/>
      </c>
      <c r="H265" s="163" t="str">
        <f t="shared" si="30"/>
        <v/>
      </c>
      <c r="I265" s="163" t="str">
        <f t="shared" si="30"/>
        <v/>
      </c>
      <c r="J265" s="163" t="str">
        <f t="shared" si="30"/>
        <v/>
      </c>
      <c r="K265" s="163" t="str">
        <f t="shared" si="30"/>
        <v/>
      </c>
      <c r="L265" s="163" t="str">
        <f t="shared" si="30"/>
        <v/>
      </c>
      <c r="M265" s="163" t="str">
        <f t="shared" si="30"/>
        <v/>
      </c>
      <c r="N265" s="163" t="str">
        <f t="shared" si="30"/>
        <v/>
      </c>
      <c r="O265" s="163" t="str">
        <f t="shared" si="30"/>
        <v/>
      </c>
      <c r="P265" s="163" t="str">
        <f t="shared" si="30"/>
        <v/>
      </c>
      <c r="Q265" s="163" t="str">
        <f t="shared" si="30"/>
        <v/>
      </c>
      <c r="R265" s="163" t="str">
        <f t="shared" si="30"/>
        <v/>
      </c>
      <c r="S265" s="163" t="str">
        <f t="shared" si="30"/>
        <v/>
      </c>
      <c r="T265" s="163" t="str">
        <f t="shared" si="30"/>
        <v/>
      </c>
      <c r="U265" s="163" t="str">
        <f t="shared" si="30"/>
        <v/>
      </c>
      <c r="V265" s="163" t="str">
        <f t="shared" si="30"/>
        <v/>
      </c>
      <c r="W265" s="163" t="str">
        <f t="shared" si="30"/>
        <v/>
      </c>
      <c r="X265" s="163" t="str">
        <f t="shared" si="30"/>
        <v/>
      </c>
      <c r="Y265" s="163" t="str">
        <f t="shared" si="30"/>
        <v/>
      </c>
      <c r="Z265" s="163" t="str">
        <f t="shared" si="30"/>
        <v/>
      </c>
      <c r="AA265" s="163" t="str">
        <f t="shared" si="30"/>
        <v/>
      </c>
      <c r="AB265" s="163" t="str">
        <f t="shared" si="30"/>
        <v/>
      </c>
      <c r="AC265" s="163" t="str">
        <f t="shared" si="30"/>
        <v/>
      </c>
      <c r="AD265" s="163" t="str">
        <f t="shared" si="30"/>
        <v/>
      </c>
      <c r="AE265" s="163" t="str">
        <f t="shared" si="30"/>
        <v/>
      </c>
      <c r="AF265" s="163" t="str">
        <f t="shared" si="30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1">IF(B233&lt;100,"",B233-330)</f>
        <v/>
      </c>
      <c r="C266" s="163" t="str">
        <f t="shared" si="31"/>
        <v/>
      </c>
      <c r="D266" s="163" t="str">
        <f t="shared" si="31"/>
        <v/>
      </c>
      <c r="E266" s="163" t="str">
        <f t="shared" si="31"/>
        <v/>
      </c>
      <c r="F266" s="163" t="str">
        <f t="shared" si="31"/>
        <v/>
      </c>
      <c r="G266" s="163" t="str">
        <f t="shared" si="31"/>
        <v/>
      </c>
      <c r="H266" s="163" t="str">
        <f t="shared" si="31"/>
        <v/>
      </c>
      <c r="I266" s="163" t="str">
        <f t="shared" si="31"/>
        <v/>
      </c>
      <c r="J266" s="163" t="str">
        <f t="shared" si="31"/>
        <v/>
      </c>
      <c r="K266" s="163" t="str">
        <f t="shared" si="31"/>
        <v/>
      </c>
      <c r="L266" s="163" t="str">
        <f t="shared" si="31"/>
        <v/>
      </c>
      <c r="M266" s="163" t="str">
        <f t="shared" si="31"/>
        <v/>
      </c>
      <c r="N266" s="163" t="str">
        <f t="shared" si="31"/>
        <v/>
      </c>
      <c r="O266" s="163" t="str">
        <f t="shared" si="31"/>
        <v/>
      </c>
      <c r="P266" s="163" t="str">
        <f t="shared" si="31"/>
        <v/>
      </c>
      <c r="Q266" s="163" t="str">
        <f t="shared" si="31"/>
        <v/>
      </c>
      <c r="R266" s="163" t="str">
        <f t="shared" si="31"/>
        <v/>
      </c>
      <c r="S266" s="163" t="str">
        <f t="shared" si="31"/>
        <v/>
      </c>
      <c r="T266" s="163" t="str">
        <f t="shared" si="31"/>
        <v/>
      </c>
      <c r="U266" s="163" t="str">
        <f t="shared" si="31"/>
        <v/>
      </c>
      <c r="V266" s="163" t="str">
        <f t="shared" si="31"/>
        <v/>
      </c>
      <c r="W266" s="163" t="str">
        <f t="shared" si="31"/>
        <v/>
      </c>
      <c r="X266" s="163" t="str">
        <f t="shared" si="31"/>
        <v/>
      </c>
      <c r="Y266" s="163" t="str">
        <f t="shared" si="31"/>
        <v/>
      </c>
      <c r="Z266" s="163" t="str">
        <f t="shared" si="31"/>
        <v/>
      </c>
      <c r="AA266" s="163" t="str">
        <f t="shared" si="31"/>
        <v/>
      </c>
      <c r="AB266" s="163" t="str">
        <f t="shared" si="31"/>
        <v/>
      </c>
      <c r="AC266" s="163" t="str">
        <f t="shared" si="31"/>
        <v/>
      </c>
      <c r="AD266" s="163" t="str">
        <f t="shared" si="31"/>
        <v/>
      </c>
      <c r="AE266" s="163" t="str">
        <f t="shared" si="31"/>
        <v/>
      </c>
      <c r="AF266" s="163" t="str">
        <f t="shared" si="31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2">IF(B234&lt;100,"",B234-1500)</f>
        <v/>
      </c>
      <c r="C267" s="163" t="str">
        <f t="shared" si="32"/>
        <v/>
      </c>
      <c r="D267" s="163" t="str">
        <f t="shared" si="32"/>
        <v/>
      </c>
      <c r="E267" s="163" t="str">
        <f t="shared" si="32"/>
        <v/>
      </c>
      <c r="F267" s="163" t="str">
        <f t="shared" si="32"/>
        <v/>
      </c>
      <c r="G267" s="163" t="str">
        <f t="shared" si="32"/>
        <v/>
      </c>
      <c r="H267" s="163" t="str">
        <f t="shared" si="32"/>
        <v/>
      </c>
      <c r="I267" s="163" t="str">
        <f t="shared" si="32"/>
        <v/>
      </c>
      <c r="J267" s="163" t="str">
        <f t="shared" si="32"/>
        <v/>
      </c>
      <c r="K267" s="163" t="str">
        <f t="shared" si="32"/>
        <v/>
      </c>
      <c r="L267" s="163" t="str">
        <f t="shared" si="32"/>
        <v/>
      </c>
      <c r="M267" s="163" t="str">
        <f t="shared" si="32"/>
        <v/>
      </c>
      <c r="N267" s="163" t="str">
        <f t="shared" si="32"/>
        <v/>
      </c>
      <c r="O267" s="163" t="str">
        <f t="shared" si="32"/>
        <v/>
      </c>
      <c r="P267" s="163" t="str">
        <f t="shared" si="32"/>
        <v/>
      </c>
      <c r="Q267" s="163" t="str">
        <f t="shared" si="32"/>
        <v/>
      </c>
      <c r="R267" s="163" t="str">
        <f t="shared" si="32"/>
        <v/>
      </c>
      <c r="S267" s="163" t="str">
        <f t="shared" si="32"/>
        <v/>
      </c>
      <c r="T267" s="163" t="str">
        <f t="shared" si="32"/>
        <v/>
      </c>
      <c r="U267" s="163" t="str">
        <f t="shared" si="32"/>
        <v/>
      </c>
      <c r="V267" s="163" t="str">
        <f t="shared" si="32"/>
        <v/>
      </c>
      <c r="W267" s="163" t="str">
        <f t="shared" si="32"/>
        <v/>
      </c>
      <c r="X267" s="163" t="str">
        <f t="shared" si="32"/>
        <v/>
      </c>
      <c r="Y267" s="163" t="str">
        <f t="shared" si="32"/>
        <v/>
      </c>
      <c r="Z267" s="163" t="str">
        <f t="shared" si="32"/>
        <v/>
      </c>
      <c r="AA267" s="163" t="str">
        <f t="shared" si="32"/>
        <v/>
      </c>
      <c r="AB267" s="163" t="str">
        <f t="shared" si="32"/>
        <v/>
      </c>
      <c r="AC267" s="163" t="str">
        <f t="shared" si="32"/>
        <v/>
      </c>
      <c r="AD267" s="163" t="str">
        <f t="shared" si="32"/>
        <v/>
      </c>
      <c r="AE267" s="163" t="str">
        <f t="shared" si="32"/>
        <v/>
      </c>
      <c r="AF267" s="163" t="str">
        <f t="shared" si="32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1973" priority="16">
      <formula>$AH11=0</formula>
    </cfRule>
  </conditionalFormatting>
  <conditionalFormatting sqref="B8 M8 S8 AB8">
    <cfRule type="expression" dxfId="1972" priority="243">
      <formula>C$9&lt;8/24</formula>
    </cfRule>
    <cfRule type="expression" dxfId="1971" priority="242">
      <formula>AND(C$9&gt;=8/24,C$9&lt;14/24)</formula>
    </cfRule>
    <cfRule type="expression" dxfId="1970" priority="241">
      <formula>AND(C$9&gt;=14/24,C$9&lt;20/24)</formula>
    </cfRule>
  </conditionalFormatting>
  <conditionalFormatting sqref="B49:I51">
    <cfRule type="expression" dxfId="1969" priority="125">
      <formula>AND(B$9&gt;=14/24,B$9&lt;20/24)</formula>
    </cfRule>
    <cfRule type="expression" dxfId="1968" priority="126">
      <formula>AND(B$9&gt;=8/24,B$9&lt;14/24)</formula>
    </cfRule>
    <cfRule type="expression" dxfId="1967" priority="124">
      <formula>B$9&gt;=20/24</formula>
    </cfRule>
    <cfRule type="expression" dxfId="1966" priority="127">
      <formula>B$9&lt;8/24</formula>
    </cfRule>
  </conditionalFormatting>
  <conditionalFormatting sqref="B49:Q60">
    <cfRule type="expression" dxfId="1965" priority="96">
      <formula>B49&gt;$AG49</formula>
    </cfRule>
  </conditionalFormatting>
  <conditionalFormatting sqref="B54:Q60">
    <cfRule type="expression" dxfId="1964" priority="100">
      <formula>B$9&lt;8/24</formula>
    </cfRule>
    <cfRule type="expression" dxfId="1963" priority="99">
      <formula>AND(B$9&gt;=8/24,B$9&lt;14/24)</formula>
    </cfRule>
    <cfRule type="expression" dxfId="1962" priority="98">
      <formula>AND(B$9&gt;=14/24,B$9&lt;20/24)</formula>
    </cfRule>
    <cfRule type="expression" dxfId="1961" priority="97">
      <formula>B$9&gt;=20/24</formula>
    </cfRule>
  </conditionalFormatting>
  <conditionalFormatting sqref="B11:R11">
    <cfRule type="expression" dxfId="1960" priority="141">
      <formula>B$9&gt;=20/24</formula>
    </cfRule>
    <cfRule type="expression" dxfId="1959" priority="142">
      <formula>AND(B$9&gt;=14/24,B$9&lt;20/24)</formula>
    </cfRule>
    <cfRule type="expression" dxfId="1958" priority="144">
      <formula>B$9&lt;8/24</formula>
    </cfRule>
    <cfRule type="expression" dxfId="1957" priority="143">
      <formula>AND(B$9&gt;=8/24,B$9&lt;14/24)</formula>
    </cfRule>
  </conditionalFormatting>
  <conditionalFormatting sqref="B12:R14 B28:AF31 B33:AF33 C63:AF65 B63:B66 C66:AG66 B79:B83 C83:AG83 B84:AF85">
    <cfRule type="expression" dxfId="1956" priority="122">
      <formula>B$9&lt;8/24</formula>
    </cfRule>
    <cfRule type="expression" dxfId="1955" priority="121">
      <formula>AND(B$9&gt;=8/24,B$9&lt;14/24)</formula>
    </cfRule>
    <cfRule type="expression" dxfId="1954" priority="120">
      <formula>AND(B$9&gt;=14/24,B$9&lt;20/24)</formula>
    </cfRule>
  </conditionalFormatting>
  <conditionalFormatting sqref="B11:W11">
    <cfRule type="expression" dxfId="1953" priority="136">
      <formula>B11&gt;$AG11</formula>
    </cfRule>
  </conditionalFormatting>
  <conditionalFormatting sqref="B9:AF10 X11:AF11 B15:AF15 B17:AF18 B220:AF220 B222:B228 D222:AF228 U241:AF241">
    <cfRule type="expression" dxfId="1952" priority="237">
      <formula>B$9&lt;8/24</formula>
    </cfRule>
    <cfRule type="expression" dxfId="1951" priority="236">
      <formula>AND(B$9&gt;=8/24,B$9&lt;14/24)</formula>
    </cfRule>
    <cfRule type="expression" dxfId="1950" priority="235">
      <formula>AND(B$9&gt;=14/24,B$9&lt;20/24)</formula>
    </cfRule>
  </conditionalFormatting>
  <conditionalFormatting sqref="B16:AF16">
    <cfRule type="expression" dxfId="1949" priority="107">
      <formula>AND(B$9&gt;=14/24,B$9&lt;20/24)</formula>
    </cfRule>
    <cfRule type="expression" dxfId="1948" priority="108">
      <formula>AND(B$9&gt;=8/24,B$9&lt;14/24)</formula>
    </cfRule>
    <cfRule type="expression" dxfId="1947" priority="109">
      <formula>B$9&lt;8/24</formula>
    </cfRule>
    <cfRule type="expression" dxfId="1946" priority="106">
      <formula>B$9&gt;=20/24</formula>
    </cfRule>
  </conditionalFormatting>
  <conditionalFormatting sqref="B19:AF20">
    <cfRule type="expression" dxfId="1945" priority="19">
      <formula>AND(B$9&gt;=14/24,B$9&lt;20/24)</formula>
    </cfRule>
    <cfRule type="expression" dxfId="1944" priority="18">
      <formula>B$9&gt;=20/24</formula>
    </cfRule>
    <cfRule type="expression" dxfId="1943" priority="20">
      <formula>AND(B$9&gt;=8/24,B$9&lt;14/24)</formula>
    </cfRule>
    <cfRule type="expression" dxfId="1942" priority="21">
      <formula>B$9&lt;8/24</formula>
    </cfRule>
  </conditionalFormatting>
  <conditionalFormatting sqref="B19:AF27">
    <cfRule type="expression" dxfId="1941" priority="27">
      <formula>B19&gt;$AG19</formula>
    </cfRule>
  </conditionalFormatting>
  <conditionalFormatting sqref="B21:AF27">
    <cfRule type="expression" dxfId="1940" priority="88">
      <formula>B$9&gt;=20/24</formula>
    </cfRule>
    <cfRule type="expression" dxfId="1939" priority="91">
      <formula>B$9&lt;8/24</formula>
    </cfRule>
    <cfRule type="expression" dxfId="1938" priority="90">
      <formula>AND(B$9&gt;=8/24,B$9&lt;14/24)</formula>
    </cfRule>
    <cfRule type="expression" dxfId="1937" priority="89">
      <formula>AND(B$9&gt;=14/24,B$9&lt;20/24)</formula>
    </cfRule>
  </conditionalFormatting>
  <conditionalFormatting sqref="B28:AF31 B33:AF33 C63:AF65 B63:B66 C66:AG66 B12:R14 B79:B83 C83:AG83 B84:AF85">
    <cfRule type="expression" dxfId="1936" priority="119">
      <formula>B$9&gt;=20/24</formula>
    </cfRule>
  </conditionalFormatting>
  <conditionalFormatting sqref="B28:AF33 B44:AG44 C61:AG62 B61:B66 C63:AF65 C66:AG66">
    <cfRule type="expression" dxfId="1935" priority="114">
      <formula>B28&gt;$AG28</formula>
    </cfRule>
  </conditionalFormatting>
  <conditionalFormatting sqref="B32:AF32">
    <cfRule type="expression" dxfId="1934" priority="95">
      <formula>B$9&lt;8/24</formula>
    </cfRule>
    <cfRule type="expression" dxfId="1933" priority="92">
      <formula>B$9&gt;=20/24</formula>
    </cfRule>
    <cfRule type="expression" dxfId="1932" priority="93">
      <formula>AND(B$9&gt;=14/24,B$9&lt;20/24)</formula>
    </cfRule>
    <cfRule type="expression" dxfId="1931" priority="94">
      <formula>AND(B$9&gt;=8/24,B$9&lt;14/24)</formula>
    </cfRule>
  </conditionalFormatting>
  <conditionalFormatting sqref="B34:AF40">
    <cfRule type="expression" dxfId="1930" priority="1">
      <formula>B34&gt;$AG34</formula>
    </cfRule>
  </conditionalFormatting>
  <conditionalFormatting sqref="B34:AF41">
    <cfRule type="expression" dxfId="1929" priority="3">
      <formula>AND(B$9&gt;=14/24,B$9&lt;20/24)</formula>
    </cfRule>
    <cfRule type="expression" dxfId="1928" priority="4">
      <formula>AND(B$9&gt;=8/24,B$9&lt;14/24)</formula>
    </cfRule>
    <cfRule type="expression" dxfId="1927" priority="5">
      <formula>B$9&lt;8/24</formula>
    </cfRule>
    <cfRule type="expression" dxfId="1926" priority="2">
      <formula>B$9&gt;=20/24</formula>
    </cfRule>
  </conditionalFormatting>
  <conditionalFormatting sqref="B41:AF43">
    <cfRule type="expression" dxfId="1925" priority="123">
      <formula>B41&gt;$AG41</formula>
    </cfRule>
  </conditionalFormatting>
  <conditionalFormatting sqref="B42:AF43">
    <cfRule type="expression" dxfId="1924" priority="129">
      <formula>AND(B$9&gt;=14/24,B$9&lt;20/24)</formula>
    </cfRule>
    <cfRule type="expression" dxfId="1923" priority="128">
      <formula>B$9&gt;=20/24</formula>
    </cfRule>
    <cfRule type="expression" dxfId="1922" priority="131">
      <formula>B$9&lt;8/24</formula>
    </cfRule>
    <cfRule type="expression" dxfId="1921" priority="130">
      <formula>AND(B$9&gt;=8/24,B$9&lt;14/24)</formula>
    </cfRule>
  </conditionalFormatting>
  <conditionalFormatting sqref="B67:AF78">
    <cfRule type="expression" dxfId="1920" priority="85">
      <formula>B$9&lt;8/24</formula>
    </cfRule>
    <cfRule type="expression" dxfId="1919" priority="84">
      <formula>AND(B$9&gt;=8/24,B$9&lt;14/24)</formula>
    </cfRule>
    <cfRule type="expression" dxfId="1918" priority="83">
      <formula>AND(B$9&gt;=14/24,B$9&lt;20/24)</formula>
    </cfRule>
    <cfRule type="expression" dxfId="1917" priority="82">
      <formula>B$9&gt;=20/24</formula>
    </cfRule>
  </conditionalFormatting>
  <conditionalFormatting sqref="B87:AF103">
    <cfRule type="expression" dxfId="1912" priority="62">
      <formula>AND(B$9&gt;=8/24,B$9&lt;14/24)</formula>
    </cfRule>
    <cfRule type="expression" dxfId="1911" priority="63">
      <formula>B$9&lt;8/24</formula>
    </cfRule>
    <cfRule type="expression" dxfId="1910" priority="61">
      <formula>AND(B$9&gt;=14/24,B$9&lt;20/24)</formula>
    </cfRule>
    <cfRule type="expression" dxfId="1909" priority="60">
      <formula>B$9&gt;=20/24</formula>
    </cfRule>
  </conditionalFormatting>
  <conditionalFormatting sqref="B105:AF112">
    <cfRule type="expression" dxfId="1908" priority="37">
      <formula>B$9&lt;8/24</formula>
    </cfRule>
    <cfRule type="expression" dxfId="1907" priority="35">
      <formula>AND(B$9&gt;=14/24,B$9&lt;20/24)</formula>
    </cfRule>
    <cfRule type="expression" dxfId="1906" priority="34">
      <formula>B$9&gt;=20/24</formula>
    </cfRule>
    <cfRule type="expression" dxfId="1905" priority="36">
      <formula>AND(B$9&gt;=8/24,B$9&lt;14/24)</formula>
    </cfRule>
  </conditionalFormatting>
  <conditionalFormatting sqref="C45:AF47 B45:B48 C48:AG48">
    <cfRule type="expression" dxfId="1900" priority="72">
      <formula>B$9&lt;8/24</formula>
    </cfRule>
    <cfRule type="expression" dxfId="1899" priority="71">
      <formula>AND(B$9&gt;=8/24,B$9&lt;14/24)</formula>
    </cfRule>
    <cfRule type="expression" dxfId="1898" priority="70">
      <formula>AND(B$9&gt;=14/24,B$9&lt;20/24)</formula>
    </cfRule>
    <cfRule type="expression" dxfId="1897" priority="69">
      <formula>B$9&gt;=20/24</formula>
    </cfRule>
    <cfRule type="expression" dxfId="1896" priority="68">
      <formula>B45&gt;$AG45</formula>
    </cfRule>
  </conditionalFormatting>
  <conditionalFormatting sqref="J49:AF51">
    <cfRule type="expression" dxfId="1895" priority="147">
      <formula>AND(J$9&gt;=14/24,J$9&lt;20/24)</formula>
    </cfRule>
    <cfRule type="expression" dxfId="1894" priority="148">
      <formula>AND(J$9&gt;=8/24,J$9&lt;14/24)</formula>
    </cfRule>
    <cfRule type="expression" dxfId="1893" priority="149">
      <formula>J$9&lt;8/24</formula>
    </cfRule>
    <cfRule type="expression" dxfId="1892" priority="146">
      <formula>J$9&gt;=20/24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R52:V55 W54:AF55">
    <cfRule type="expression" dxfId="1891" priority="164">
      <formula>R$9&gt;=20/24</formula>
    </cfRule>
    <cfRule type="expression" dxfId="1890" priority="165">
      <formula>AND(R$9&gt;=14/24,R$9&lt;20/24)</formula>
    </cfRule>
    <cfRule type="expression" dxfId="1889" priority="166">
      <formula>AND(R$9&gt;=8/24,R$9&lt;14/24)</formula>
    </cfRule>
    <cfRule type="expression" dxfId="1888" priority="167">
      <formula>R$9&lt;8/24</formula>
    </cfRule>
  </conditionalFormatting>
  <conditionalFormatting sqref="R52:V55 AE53:AF55 W54:AD55">
    <cfRule type="expression" dxfId="1887" priority="163">
      <formula>R52&gt;$AG52</formula>
    </cfRule>
  </conditionalFormatting>
  <conditionalFormatting sqref="R49:AF51">
    <cfRule type="expression" dxfId="1886" priority="145">
      <formula>R49&gt;$AG49</formula>
    </cfRule>
  </conditionalFormatting>
  <conditionalFormatting sqref="R56:AF60">
    <cfRule type="expression" dxfId="1885" priority="29">
      <formula>R56&gt;$AG56</formula>
    </cfRule>
    <cfRule type="expression" dxfId="1884" priority="32">
      <formula>AND(R$9&gt;=8/24,R$9&lt;14/24)</formula>
    </cfRule>
    <cfRule type="expression" dxfId="1883" priority="33">
      <formula>R$9&lt;8/24</formula>
    </cfRule>
    <cfRule type="expression" dxfId="1882" priority="31">
      <formula>AND(R$9&gt;=14/24,R$9&lt;20/24)</formula>
    </cfRule>
    <cfRule type="expression" dxfId="1881" priority="30">
      <formula>R$9&gt;=20/24</formula>
    </cfRule>
  </conditionalFormatting>
  <conditionalFormatting sqref="S8 AB8 B8 M8">
    <cfRule type="expression" dxfId="1880" priority="240">
      <formula>C$9&gt;=20/24</formula>
    </cfRule>
  </conditionalFormatting>
  <conditionalFormatting sqref="S8">
    <cfRule type="expression" dxfId="1879" priority="211">
      <formula>AND(U$9&gt;=8/24,U$9&lt;14/24)</formula>
    </cfRule>
    <cfRule type="expression" dxfId="1878" priority="212">
      <formula>U$9&lt;8/24</formula>
    </cfRule>
    <cfRule type="expression" dxfId="1877" priority="209">
      <formula>U$9&gt;=20/24</formula>
    </cfRule>
    <cfRule type="expression" dxfId="1876" priority="210">
      <formula>AND(U$9&gt;=14/24,U$9&lt;20/24)</formula>
    </cfRule>
  </conditionalFormatting>
  <conditionalFormatting sqref="S11:W14 X12:AF14 C79:AF82">
    <cfRule type="expression" dxfId="1875" priority="191">
      <formula>C$9&gt;=20/24</formula>
    </cfRule>
    <cfRule type="expression" dxfId="1874" priority="192">
      <formula>AND(C$9&gt;=14/24,C$9&lt;20/24)</formula>
    </cfRule>
    <cfRule type="expression" dxfId="1873" priority="193">
      <formula>AND(C$9&gt;=8/24,C$9&lt;14/24)</formula>
    </cfRule>
    <cfRule type="expression" dxfId="1872" priority="194">
      <formula>C$9&lt;8/24</formula>
    </cfRule>
  </conditionalFormatting>
  <conditionalFormatting sqref="S11:AF11 B12:AF18">
    <cfRule type="expression" dxfId="1871" priority="228">
      <formula>B11&gt;$AG11</formula>
    </cfRule>
  </conditionalFormatting>
  <conditionalFormatting sqref="T241">
    <cfRule type="expression" dxfId="1870" priority="256">
      <formula>AX$9&lt;8/24</formula>
    </cfRule>
    <cfRule type="expression" dxfId="1869" priority="253">
      <formula>AX$9&gt;=20/24</formula>
    </cfRule>
    <cfRule type="expression" dxfId="1868" priority="254">
      <formula>AND(AX$9&gt;=14/24,AX$9&lt;20/24)</formula>
    </cfRule>
    <cfRule type="expression" dxfId="1867" priority="255">
      <formula>AND(AX$9&gt;=8/24,AX$9&lt;14/24)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W52:AC53 AD53">
    <cfRule type="expression" dxfId="1866" priority="170">
      <formula>AND(W$9&gt;=14/24,W$9&lt;20/24)</formula>
    </cfRule>
    <cfRule type="expression" dxfId="1865" priority="171">
      <formula>AND(W$9&gt;=8/24,W$9&lt;14/24)</formula>
    </cfRule>
    <cfRule type="expression" dxfId="1864" priority="172">
      <formula>W$9&lt;8/24</formula>
    </cfRule>
    <cfRule type="expression" dxfId="1863" priority="169">
      <formula>W$9&gt;=20/24</formula>
    </cfRule>
    <cfRule type="expression" dxfId="1862" priority="168">
      <formula>W52&gt;$AG52</formula>
    </cfRule>
  </conditionalFormatting>
  <conditionalFormatting sqref="X11:AF11 B15:AF15 B17:AF18 B9:AF10 B220:AF220 B222:B228 D222:AF228 U241:AF241">
    <cfRule type="expression" dxfId="1861" priority="234">
      <formula>B$9&gt;=20/24</formula>
    </cfRule>
  </conditionalFormatting>
  <conditionalFormatting sqref="AB8">
    <cfRule type="expression" dxfId="1860" priority="207">
      <formula>AND(AD$9&gt;=8/24,AD$9&lt;14/24)</formula>
    </cfRule>
    <cfRule type="expression" dxfId="1859" priority="208">
      <formula>AD$9&lt;8/24</formula>
    </cfRule>
    <cfRule type="expression" dxfId="1858" priority="205">
      <formula>AD$9&gt;=20/24</formula>
    </cfRule>
    <cfRule type="expression" dxfId="1857" priority="206">
      <formula>AND(AD$9&gt;=14/24,AD$9&lt;20/24)</formula>
    </cfRule>
  </conditionalFormatting>
  <conditionalFormatting sqref="AD52:AF52">
    <cfRule type="expression" dxfId="1856" priority="186">
      <formula>AD52&gt;$AG52</formula>
    </cfRule>
  </conditionalFormatting>
  <conditionalFormatting sqref="AG241">
    <cfRule type="expression" dxfId="1855" priority="245">
      <formula>B$9&gt;=20/24</formula>
    </cfRule>
    <cfRule type="expression" dxfId="1854" priority="246">
      <formula>AND(B$9&gt;=14/24,B$9&lt;20/24)</formula>
    </cfRule>
    <cfRule type="expression" dxfId="1853" priority="247">
      <formula>AND(B$9&gt;=8/24,B$9&lt;14/24)</formula>
    </cfRule>
    <cfRule type="expression" dxfId="1852" priority="248">
      <formula>B$9&lt;8/24</formula>
    </cfRule>
  </conditionalFormatting>
  <conditionalFormatting sqref="AH241:AX241">
    <cfRule type="expression" dxfId="1851" priority="249">
      <formula>AG$9&gt;=20/24</formula>
    </cfRule>
    <cfRule type="expression" dxfId="1850" priority="250">
      <formula>AND(AG$9&gt;=14/24,AG$9&lt;20/24)</formula>
    </cfRule>
    <cfRule type="expression" dxfId="1849" priority="251">
      <formula>AND(AG$9&gt;=8/24,AG$9&lt;14/24)</formula>
    </cfRule>
    <cfRule type="expression" dxfId="1848" priority="252">
      <formula>AG$9&lt;8/24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7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5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6" id="{46421473-ADFA-44A2-8CA5-B1B49F29DCB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5" id="{13B10149-D122-48E5-A354-0AF5CE6C38E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8" id="{F8D82019-234B-4E6D-A6B4-13765F1978C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57" id="{16BFF435-CDBD-45C6-880D-85FE5B0B46F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45" id="{062120B6-DEDF-4ACE-9297-AC792BA6F15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4" id="{E9F45E98-5676-4457-A30A-1A492D37078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7" id="{A63CD6AF-A321-4046-8F51-C8D6D39C5FB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46" id="{C21290A6-0F01-4BCD-BDDF-A9A43377FA3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B113:AF113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274"/>
  <sheetViews>
    <sheetView zoomScale="85" zoomScaleNormal="85" workbookViewId="0">
      <pane xSplit="1" ySplit="10" topLeftCell="B59" activePane="bottomRight" state="frozen"/>
      <selection activeCell="AF88" sqref="AF88"/>
      <selection pane="topRight" activeCell="AF88" sqref="AF88"/>
      <selection pane="bottomLeft" activeCell="AF88" sqref="AF88"/>
      <selection pane="bottomRight" activeCell="B70" sqref="B70:AF7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2079/09/2</v>
      </c>
      <c r="C4" s="197"/>
      <c r="D4" s="197"/>
      <c r="E4" s="198" t="str">
        <f ca="1">IFERROR([1]!DateBStoAD(B4),"")</f>
        <v/>
      </c>
      <c r="F4" s="198"/>
      <c r="G4" s="198"/>
      <c r="H4" s="198" t="str">
        <f ca="1">TEXT(E4,"dddd")</f>
        <v/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170</v>
      </c>
      <c r="C5" s="30">
        <f t="shared" si="0"/>
        <v>135</v>
      </c>
      <c r="D5" s="30">
        <f t="shared" si="0"/>
        <v>157</v>
      </c>
      <c r="E5" s="30">
        <f t="shared" si="0"/>
        <v>154</v>
      </c>
      <c r="F5" s="30">
        <f t="shared" si="0"/>
        <v>154.19999999999999</v>
      </c>
      <c r="G5" s="30">
        <f t="shared" si="0"/>
        <v>152</v>
      </c>
      <c r="H5" s="30">
        <f t="shared" si="0"/>
        <v>136</v>
      </c>
      <c r="I5" s="30">
        <f t="shared" si="0"/>
        <v>59.2</v>
      </c>
      <c r="J5" s="30">
        <f t="shared" si="0"/>
        <v>47</v>
      </c>
      <c r="K5" s="30">
        <f t="shared" si="0"/>
        <v>59.5</v>
      </c>
      <c r="L5" s="30">
        <f t="shared" si="0"/>
        <v>50.2</v>
      </c>
      <c r="M5" s="30">
        <f t="shared" si="0"/>
        <v>47.7</v>
      </c>
      <c r="N5" s="30">
        <f t="shared" si="0"/>
        <v>48.4</v>
      </c>
      <c r="O5" s="30">
        <f t="shared" si="0"/>
        <v>51.9</v>
      </c>
      <c r="P5" s="30">
        <f t="shared" si="0"/>
        <v>47.1</v>
      </c>
      <c r="Q5" s="30">
        <f t="shared" si="0"/>
        <v>51.2</v>
      </c>
      <c r="R5" s="30">
        <f t="shared" si="0"/>
        <v>61.2</v>
      </c>
      <c r="S5" s="30">
        <f t="shared" si="0"/>
        <v>142.5</v>
      </c>
      <c r="T5" s="30">
        <f t="shared" si="0"/>
        <v>151.5</v>
      </c>
      <c r="U5" s="30">
        <f t="shared" si="0"/>
        <v>51</v>
      </c>
      <c r="V5" s="30">
        <f t="shared" si="0"/>
        <v>77</v>
      </c>
      <c r="W5" s="30">
        <f t="shared" si="0"/>
        <v>51.1</v>
      </c>
      <c r="X5" s="30">
        <f t="shared" si="0"/>
        <v>47</v>
      </c>
      <c r="Y5" s="30">
        <f t="shared" si="0"/>
        <v>45</v>
      </c>
      <c r="Z5" s="30">
        <f t="shared" si="0"/>
        <v>44.4</v>
      </c>
      <c r="AA5" s="30">
        <f t="shared" si="0"/>
        <v>43.5</v>
      </c>
      <c r="AB5" s="30">
        <f t="shared" si="0"/>
        <v>56</v>
      </c>
      <c r="AC5" s="30">
        <f t="shared" si="0"/>
        <v>55.8</v>
      </c>
      <c r="AD5" s="30">
        <f t="shared" si="0"/>
        <v>42</v>
      </c>
      <c r="AE5" s="30">
        <f t="shared" si="0"/>
        <v>56</v>
      </c>
      <c r="AF5" s="30">
        <f>B78</f>
        <v>111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1451MW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Load=939</v>
      </c>
      <c r="B7" s="35">
        <f t="shared" ref="B7:AF7" si="1">B85</f>
        <v>1030.8389999999999</v>
      </c>
      <c r="C7" s="35">
        <f t="shared" si="1"/>
        <v>969.53899999999999</v>
      </c>
      <c r="D7" s="35">
        <f t="shared" si="1"/>
        <v>966.73900000000003</v>
      </c>
      <c r="E7" s="35">
        <f t="shared" si="1"/>
        <v>947.63900000000001</v>
      </c>
      <c r="F7" s="35">
        <f t="shared" si="1"/>
        <v>970.63900000000001</v>
      </c>
      <c r="G7" s="35">
        <f t="shared" si="1"/>
        <v>1031.739</v>
      </c>
      <c r="H7" s="35">
        <f t="shared" si="1"/>
        <v>1046.799</v>
      </c>
      <c r="I7" s="35">
        <f t="shared" si="1"/>
        <v>1157.5989999999999</v>
      </c>
      <c r="J7" s="35">
        <f t="shared" si="1"/>
        <v>1239.039</v>
      </c>
      <c r="K7" s="35">
        <f t="shared" si="1"/>
        <v>1320.028</v>
      </c>
      <c r="L7" s="35">
        <f t="shared" si="1"/>
        <v>1386.1289999999999</v>
      </c>
      <c r="M7" s="35">
        <f t="shared" si="1"/>
        <v>1431.6789999999999</v>
      </c>
      <c r="N7" s="35">
        <f t="shared" si="1"/>
        <v>1450.739</v>
      </c>
      <c r="O7" s="35">
        <f t="shared" si="1"/>
        <v>1420.4389999999999</v>
      </c>
      <c r="P7" s="35">
        <f t="shared" si="1"/>
        <v>1321.239</v>
      </c>
      <c r="Q7" s="35">
        <f t="shared" si="1"/>
        <v>1217.5389999999998</v>
      </c>
      <c r="R7" s="35">
        <f t="shared" si="1"/>
        <v>1158.4390000000001</v>
      </c>
      <c r="S7" s="35">
        <f t="shared" si="1"/>
        <v>1121.739</v>
      </c>
      <c r="T7" s="35">
        <f t="shared" si="1"/>
        <v>1109.3389999999999</v>
      </c>
      <c r="U7" s="35">
        <f t="shared" si="1"/>
        <v>1156.1389999999999</v>
      </c>
      <c r="V7" s="35">
        <f t="shared" si="1"/>
        <v>1205.739</v>
      </c>
      <c r="W7" s="35">
        <f t="shared" si="1"/>
        <v>1375.6390000000001</v>
      </c>
      <c r="X7" s="35">
        <f t="shared" si="1"/>
        <v>1391.539</v>
      </c>
      <c r="Y7" s="35">
        <f t="shared" si="1"/>
        <v>1348.539</v>
      </c>
      <c r="Z7" s="35">
        <f t="shared" si="1"/>
        <v>1301.739</v>
      </c>
      <c r="AA7" s="35">
        <f t="shared" si="1"/>
        <v>1254.4390000000001</v>
      </c>
      <c r="AB7" s="35">
        <f t="shared" si="1"/>
        <v>1220.239</v>
      </c>
      <c r="AC7" s="35">
        <f t="shared" si="1"/>
        <v>1164.9390000000001</v>
      </c>
      <c r="AD7" s="35">
        <f t="shared" si="1"/>
        <v>1150.9390000000001</v>
      </c>
      <c r="AE7" s="35">
        <f t="shared" si="1"/>
        <v>1032.4390000000001</v>
      </c>
      <c r="AF7" s="35">
        <f t="shared" si="1"/>
        <v>939.13900000000001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27.6</v>
      </c>
      <c r="C11" s="45">
        <v>27.6</v>
      </c>
      <c r="D11" s="45">
        <v>27.6</v>
      </c>
      <c r="E11" s="45">
        <v>27.6</v>
      </c>
      <c r="F11" s="45">
        <v>27.6</v>
      </c>
      <c r="G11" s="45">
        <v>27.4</v>
      </c>
      <c r="H11" s="45">
        <v>27.4</v>
      </c>
      <c r="I11" s="45">
        <v>27.4</v>
      </c>
      <c r="J11" s="45">
        <v>27.4</v>
      </c>
      <c r="K11" s="45">
        <v>27.4</v>
      </c>
      <c r="L11" s="45">
        <v>27.4</v>
      </c>
      <c r="M11" s="45">
        <v>27.4</v>
      </c>
      <c r="N11" s="45">
        <v>26.5</v>
      </c>
      <c r="O11" s="45">
        <v>26.6</v>
      </c>
      <c r="P11" s="45">
        <v>26.6</v>
      </c>
      <c r="Q11" s="45">
        <v>26.6</v>
      </c>
      <c r="R11" s="45">
        <v>26.6</v>
      </c>
      <c r="S11" s="45">
        <v>26.6</v>
      </c>
      <c r="T11" s="45">
        <v>26.6</v>
      </c>
      <c r="U11" s="45">
        <v>26.6</v>
      </c>
      <c r="V11" s="45">
        <v>26.6</v>
      </c>
      <c r="W11" s="45">
        <v>26.6</v>
      </c>
      <c r="X11" s="45">
        <v>26.6</v>
      </c>
      <c r="Y11" s="45">
        <v>26.6</v>
      </c>
      <c r="Z11" s="45">
        <v>26.6</v>
      </c>
      <c r="AA11" s="45">
        <v>26.6</v>
      </c>
      <c r="AB11" s="45">
        <v>26.6</v>
      </c>
      <c r="AC11" s="45">
        <v>26.6</v>
      </c>
      <c r="AD11" s="45">
        <v>26.6</v>
      </c>
      <c r="AE11" s="45">
        <v>26.6</v>
      </c>
      <c r="AF11" s="45">
        <v>26.6</v>
      </c>
      <c r="AG11" s="47">
        <v>52.4</v>
      </c>
      <c r="AH11" s="48">
        <f>MAX(B11:AF11)</f>
        <v>27.6</v>
      </c>
      <c r="AI11" s="49">
        <f>MIN(B11:AF11)</f>
        <v>26.5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50.6</v>
      </c>
      <c r="C12" s="45">
        <v>50.6</v>
      </c>
      <c r="D12" s="45">
        <v>50.6</v>
      </c>
      <c r="E12" s="45">
        <v>50.6</v>
      </c>
      <c r="F12" s="45">
        <v>50.6</v>
      </c>
      <c r="G12" s="45">
        <v>50.6</v>
      </c>
      <c r="H12" s="45">
        <v>50.6</v>
      </c>
      <c r="I12" s="45">
        <v>50.6</v>
      </c>
      <c r="J12" s="45">
        <v>50.6</v>
      </c>
      <c r="K12" s="45">
        <v>50.6</v>
      </c>
      <c r="L12" s="45">
        <v>50.6</v>
      </c>
      <c r="M12" s="45">
        <v>50.74</v>
      </c>
      <c r="N12" s="45">
        <v>50.5</v>
      </c>
      <c r="O12" s="45">
        <v>50.5</v>
      </c>
      <c r="P12" s="45">
        <v>50.5</v>
      </c>
      <c r="Q12" s="45">
        <v>50.5</v>
      </c>
      <c r="R12" s="45">
        <v>50.5</v>
      </c>
      <c r="S12" s="45">
        <v>50.5</v>
      </c>
      <c r="T12" s="45">
        <v>50.5</v>
      </c>
      <c r="U12" s="45">
        <v>50.5</v>
      </c>
      <c r="V12" s="45">
        <v>50.4</v>
      </c>
      <c r="W12" s="45">
        <v>50.4</v>
      </c>
      <c r="X12" s="45">
        <v>50.4</v>
      </c>
      <c r="Y12" s="45">
        <v>50.4</v>
      </c>
      <c r="Z12" s="45">
        <v>50.4</v>
      </c>
      <c r="AA12" s="45">
        <v>50.4</v>
      </c>
      <c r="AB12" s="45">
        <v>50.4</v>
      </c>
      <c r="AC12" s="45">
        <v>50.4</v>
      </c>
      <c r="AD12" s="45">
        <v>50.4</v>
      </c>
      <c r="AE12" s="45">
        <v>50.4</v>
      </c>
      <c r="AF12" s="45">
        <v>50.4</v>
      </c>
      <c r="AG12" s="51">
        <v>50</v>
      </c>
      <c r="AH12" s="48">
        <f t="shared" ref="AH12:AH79" si="2">MAX(B12:AF12)</f>
        <v>50.74</v>
      </c>
      <c r="AI12" s="49">
        <f t="shared" ref="AI12:AI79" si="3">MIN(B12:AF12)</f>
        <v>50.4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23.8</v>
      </c>
      <c r="C13" s="45">
        <v>23.8</v>
      </c>
      <c r="D13" s="45">
        <v>23.8</v>
      </c>
      <c r="E13" s="45">
        <v>23.8</v>
      </c>
      <c r="F13" s="45">
        <v>23.8</v>
      </c>
      <c r="G13" s="45">
        <v>24.8</v>
      </c>
      <c r="H13" s="45">
        <v>24.8</v>
      </c>
      <c r="I13" s="45">
        <v>24.8</v>
      </c>
      <c r="J13" s="45">
        <v>25</v>
      </c>
      <c r="K13" s="45">
        <v>25</v>
      </c>
      <c r="L13" s="45">
        <v>25</v>
      </c>
      <c r="M13" s="45">
        <v>24.6</v>
      </c>
      <c r="N13" s="45">
        <v>23.9</v>
      </c>
      <c r="O13" s="45">
        <v>23.9</v>
      </c>
      <c r="P13" s="45">
        <v>23.9</v>
      </c>
      <c r="Q13" s="45">
        <v>23.9</v>
      </c>
      <c r="R13" s="45">
        <v>23.9</v>
      </c>
      <c r="S13" s="45">
        <v>23.9</v>
      </c>
      <c r="T13" s="45">
        <v>23.9</v>
      </c>
      <c r="U13" s="45">
        <v>23.9</v>
      </c>
      <c r="V13" s="45">
        <v>23.9</v>
      </c>
      <c r="W13" s="45">
        <v>23.9</v>
      </c>
      <c r="X13" s="45">
        <v>23.9</v>
      </c>
      <c r="Y13" s="45">
        <v>23.9</v>
      </c>
      <c r="Z13" s="45">
        <v>23.9</v>
      </c>
      <c r="AA13" s="45">
        <v>23.9</v>
      </c>
      <c r="AB13" s="45">
        <v>23.9</v>
      </c>
      <c r="AC13" s="45">
        <v>23.9</v>
      </c>
      <c r="AD13" s="45">
        <v>23.9</v>
      </c>
      <c r="AE13" s="45">
        <v>23.9</v>
      </c>
      <c r="AF13" s="45">
        <v>23.9</v>
      </c>
      <c r="AG13" s="51">
        <v>45</v>
      </c>
      <c r="AH13" s="48">
        <f t="shared" si="2"/>
        <v>25</v>
      </c>
      <c r="AI13" s="49">
        <f t="shared" si="3"/>
        <v>23.8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21</v>
      </c>
      <c r="C15" s="45">
        <v>21</v>
      </c>
      <c r="D15" s="45">
        <v>21</v>
      </c>
      <c r="E15" s="45">
        <v>21</v>
      </c>
      <c r="F15" s="45">
        <v>21</v>
      </c>
      <c r="G15" s="45">
        <v>21</v>
      </c>
      <c r="H15" s="45">
        <v>21</v>
      </c>
      <c r="I15" s="45">
        <v>21</v>
      </c>
      <c r="J15" s="45">
        <v>21</v>
      </c>
      <c r="K15" s="45">
        <v>21</v>
      </c>
      <c r="L15" s="45">
        <v>21</v>
      </c>
      <c r="M15" s="45">
        <v>21</v>
      </c>
      <c r="N15" s="45">
        <v>21</v>
      </c>
      <c r="O15" s="45">
        <v>21</v>
      </c>
      <c r="P15" s="45">
        <v>21</v>
      </c>
      <c r="Q15" s="45">
        <v>21</v>
      </c>
      <c r="R15" s="45">
        <v>21</v>
      </c>
      <c r="S15" s="45">
        <v>21</v>
      </c>
      <c r="T15" s="45">
        <v>21</v>
      </c>
      <c r="U15" s="45">
        <v>21</v>
      </c>
      <c r="V15" s="45">
        <v>21</v>
      </c>
      <c r="W15" s="45">
        <v>21</v>
      </c>
      <c r="X15" s="45">
        <v>21</v>
      </c>
      <c r="Y15" s="45">
        <v>21</v>
      </c>
      <c r="Z15" s="45">
        <v>21</v>
      </c>
      <c r="AA15" s="45">
        <v>21</v>
      </c>
      <c r="AB15" s="45">
        <v>21</v>
      </c>
      <c r="AC15" s="45">
        <v>21</v>
      </c>
      <c r="AD15" s="45">
        <v>21</v>
      </c>
      <c r="AE15" s="45">
        <v>21</v>
      </c>
      <c r="AF15" s="45">
        <v>21</v>
      </c>
      <c r="AG15" s="51">
        <v>36</v>
      </c>
      <c r="AH15" s="48">
        <f t="shared" si="2"/>
        <v>21</v>
      </c>
      <c r="AI15" s="49">
        <f t="shared" si="3"/>
        <v>21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13.5</v>
      </c>
      <c r="C16" s="45">
        <v>13.5</v>
      </c>
      <c r="D16" s="45">
        <v>13.5</v>
      </c>
      <c r="E16" s="45">
        <v>13.5</v>
      </c>
      <c r="F16" s="45">
        <v>13.5</v>
      </c>
      <c r="G16" s="45">
        <v>13.5</v>
      </c>
      <c r="H16" s="45">
        <v>13.5</v>
      </c>
      <c r="I16" s="45">
        <v>13.5</v>
      </c>
      <c r="J16" s="45">
        <v>13.9</v>
      </c>
      <c r="K16" s="45">
        <v>13.9</v>
      </c>
      <c r="L16" s="45">
        <v>13.9</v>
      </c>
      <c r="M16" s="45">
        <v>13.9</v>
      </c>
      <c r="N16" s="45">
        <v>13.9</v>
      </c>
      <c r="O16" s="45">
        <v>13.9</v>
      </c>
      <c r="P16" s="45">
        <v>13.9</v>
      </c>
      <c r="Q16" s="45">
        <v>13.9</v>
      </c>
      <c r="R16" s="45">
        <v>13.9</v>
      </c>
      <c r="S16" s="45">
        <v>13.9</v>
      </c>
      <c r="T16" s="45">
        <v>13.9</v>
      </c>
      <c r="U16" s="45">
        <v>13.9</v>
      </c>
      <c r="V16" s="45">
        <v>13.1</v>
      </c>
      <c r="W16" s="45">
        <v>13.1</v>
      </c>
      <c r="X16" s="45">
        <v>14.3</v>
      </c>
      <c r="Y16" s="45">
        <v>14.3</v>
      </c>
      <c r="Z16" s="45">
        <v>14.3</v>
      </c>
      <c r="AA16" s="45">
        <v>14.3</v>
      </c>
      <c r="AB16" s="45">
        <v>14.3</v>
      </c>
      <c r="AC16" s="45">
        <v>14.3</v>
      </c>
      <c r="AD16" s="45">
        <v>14.3</v>
      </c>
      <c r="AE16" s="45">
        <v>14.3</v>
      </c>
      <c r="AF16" s="45">
        <v>14.3</v>
      </c>
      <c r="AG16" s="52">
        <v>30</v>
      </c>
      <c r="AH16" s="48">
        <f t="shared" si="2"/>
        <v>14.3</v>
      </c>
      <c r="AI16" s="49">
        <f t="shared" si="3"/>
        <v>13.1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11.8</v>
      </c>
      <c r="C17" s="45">
        <v>11.8</v>
      </c>
      <c r="D17" s="45">
        <v>11.8</v>
      </c>
      <c r="E17" s="45">
        <v>11.8</v>
      </c>
      <c r="F17" s="45">
        <v>11.8</v>
      </c>
      <c r="G17" s="45">
        <v>11.8</v>
      </c>
      <c r="H17" s="45">
        <v>11.8</v>
      </c>
      <c r="I17" s="45">
        <v>11.8</v>
      </c>
      <c r="J17" s="45">
        <v>12</v>
      </c>
      <c r="K17" s="45">
        <v>12</v>
      </c>
      <c r="L17" s="45">
        <v>12</v>
      </c>
      <c r="M17" s="45">
        <v>12</v>
      </c>
      <c r="N17" s="45">
        <v>12</v>
      </c>
      <c r="O17" s="45">
        <v>12</v>
      </c>
      <c r="P17" s="45">
        <v>12</v>
      </c>
      <c r="Q17" s="45">
        <v>12</v>
      </c>
      <c r="R17" s="45">
        <v>12</v>
      </c>
      <c r="S17" s="45">
        <v>12</v>
      </c>
      <c r="T17" s="45">
        <v>12</v>
      </c>
      <c r="U17" s="45">
        <v>12</v>
      </c>
      <c r="V17" s="45">
        <v>12</v>
      </c>
      <c r="W17" s="45">
        <v>12</v>
      </c>
      <c r="X17" s="45">
        <v>12</v>
      </c>
      <c r="Y17" s="45">
        <v>12</v>
      </c>
      <c r="Z17" s="45">
        <v>12</v>
      </c>
      <c r="AA17" s="45">
        <v>12</v>
      </c>
      <c r="AB17" s="45">
        <v>12</v>
      </c>
      <c r="AC17" s="45">
        <v>12</v>
      </c>
      <c r="AD17" s="45">
        <v>12</v>
      </c>
      <c r="AE17" s="45">
        <v>12</v>
      </c>
      <c r="AF17" s="45">
        <v>12</v>
      </c>
      <c r="AG17" s="51">
        <v>24.2</v>
      </c>
      <c r="AH17" s="48">
        <f t="shared" si="2"/>
        <v>12</v>
      </c>
      <c r="AI17" s="49">
        <f t="shared" si="3"/>
        <v>11.8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13.2</v>
      </c>
      <c r="C18" s="45">
        <v>13.2</v>
      </c>
      <c r="D18" s="45">
        <v>13.2</v>
      </c>
      <c r="E18" s="45">
        <v>13.2</v>
      </c>
      <c r="F18" s="45">
        <v>13.2</v>
      </c>
      <c r="G18" s="45">
        <v>13.2</v>
      </c>
      <c r="H18" s="45">
        <v>13.2</v>
      </c>
      <c r="I18" s="45">
        <v>13.2</v>
      </c>
      <c r="J18" s="45">
        <v>13.2</v>
      </c>
      <c r="K18" s="45">
        <v>13.2</v>
      </c>
      <c r="L18" s="45">
        <v>13.2</v>
      </c>
      <c r="M18" s="45">
        <v>13.2</v>
      </c>
      <c r="N18" s="45">
        <v>13.2</v>
      </c>
      <c r="O18" s="45">
        <v>13.2</v>
      </c>
      <c r="P18" s="45">
        <v>13.2</v>
      </c>
      <c r="Q18" s="45">
        <v>13.2</v>
      </c>
      <c r="R18" s="45">
        <v>13.2</v>
      </c>
      <c r="S18" s="45">
        <v>13.2</v>
      </c>
      <c r="T18" s="45">
        <v>13.2</v>
      </c>
      <c r="U18" s="45">
        <v>13.2</v>
      </c>
      <c r="V18" s="45">
        <v>13.2</v>
      </c>
      <c r="W18" s="45">
        <v>13.2</v>
      </c>
      <c r="X18" s="45">
        <v>13.2</v>
      </c>
      <c r="Y18" s="45">
        <v>13.2</v>
      </c>
      <c r="Z18" s="45">
        <v>13.2</v>
      </c>
      <c r="AA18" s="45">
        <v>13.2</v>
      </c>
      <c r="AB18" s="45">
        <v>13.2</v>
      </c>
      <c r="AC18" s="45">
        <v>13.2</v>
      </c>
      <c r="AD18" s="45">
        <v>13.2</v>
      </c>
      <c r="AE18" s="45">
        <v>13.2</v>
      </c>
      <c r="AF18" s="45">
        <v>13.2</v>
      </c>
      <c r="AG18" s="51">
        <v>28</v>
      </c>
      <c r="AH18" s="48">
        <f t="shared" si="2"/>
        <v>13.2</v>
      </c>
      <c r="AI18" s="49">
        <f t="shared" si="3"/>
        <v>13.2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14</v>
      </c>
      <c r="C19" s="45">
        <v>14</v>
      </c>
      <c r="D19" s="45">
        <v>14</v>
      </c>
      <c r="E19" s="45">
        <v>14</v>
      </c>
      <c r="F19" s="45">
        <v>14</v>
      </c>
      <c r="G19" s="45">
        <v>14</v>
      </c>
      <c r="H19" s="45">
        <v>14</v>
      </c>
      <c r="I19" s="45">
        <v>14</v>
      </c>
      <c r="J19" s="45">
        <v>14</v>
      </c>
      <c r="K19" s="45">
        <v>14</v>
      </c>
      <c r="L19" s="45">
        <v>14</v>
      </c>
      <c r="M19" s="45">
        <v>14</v>
      </c>
      <c r="N19" s="45">
        <v>14</v>
      </c>
      <c r="O19" s="45">
        <v>14</v>
      </c>
      <c r="P19" s="45">
        <v>14</v>
      </c>
      <c r="Q19" s="45">
        <v>14</v>
      </c>
      <c r="R19" s="45">
        <v>14</v>
      </c>
      <c r="S19" s="45">
        <v>14</v>
      </c>
      <c r="T19" s="45">
        <v>14</v>
      </c>
      <c r="U19" s="45">
        <v>14</v>
      </c>
      <c r="V19" s="45">
        <v>14</v>
      </c>
      <c r="W19" s="45">
        <v>14</v>
      </c>
      <c r="X19" s="45">
        <v>14</v>
      </c>
      <c r="Y19" s="45">
        <v>14</v>
      </c>
      <c r="Z19" s="45">
        <v>14</v>
      </c>
      <c r="AA19" s="45">
        <v>14</v>
      </c>
      <c r="AB19" s="45">
        <v>14</v>
      </c>
      <c r="AC19" s="45">
        <v>14</v>
      </c>
      <c r="AD19" s="45">
        <v>14</v>
      </c>
      <c r="AE19" s="45">
        <v>14</v>
      </c>
      <c r="AF19" s="45">
        <v>14</v>
      </c>
      <c r="AG19" s="52">
        <v>30</v>
      </c>
      <c r="AH19" s="48">
        <f t="shared" si="2"/>
        <v>14</v>
      </c>
      <c r="AI19" s="49">
        <f t="shared" si="3"/>
        <v>14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13.4</v>
      </c>
      <c r="C20" s="45">
        <v>13.4</v>
      </c>
      <c r="D20" s="45">
        <v>13.4</v>
      </c>
      <c r="E20" s="45">
        <v>13.4</v>
      </c>
      <c r="F20" s="45">
        <v>13.4</v>
      </c>
      <c r="G20" s="45">
        <v>13.4</v>
      </c>
      <c r="H20" s="45">
        <v>13.4</v>
      </c>
      <c r="I20" s="45">
        <v>13.4</v>
      </c>
      <c r="J20" s="45">
        <v>13.4</v>
      </c>
      <c r="K20" s="45">
        <v>13.4</v>
      </c>
      <c r="L20" s="45">
        <v>13.4</v>
      </c>
      <c r="M20" s="45">
        <v>13.4</v>
      </c>
      <c r="N20" s="45">
        <v>13.4</v>
      </c>
      <c r="O20" s="45">
        <v>13.4</v>
      </c>
      <c r="P20" s="45">
        <v>13.4</v>
      </c>
      <c r="Q20" s="45">
        <v>13.4</v>
      </c>
      <c r="R20" s="45">
        <v>13.4</v>
      </c>
      <c r="S20" s="45">
        <v>13.4</v>
      </c>
      <c r="T20" s="45">
        <v>13.4</v>
      </c>
      <c r="U20" s="45">
        <v>13.4</v>
      </c>
      <c r="V20" s="45">
        <v>13.4</v>
      </c>
      <c r="W20" s="45">
        <v>13.4</v>
      </c>
      <c r="X20" s="45">
        <v>13.4</v>
      </c>
      <c r="Y20" s="45">
        <v>13.4</v>
      </c>
      <c r="Z20" s="45">
        <v>13.4</v>
      </c>
      <c r="AA20" s="45">
        <v>13.4</v>
      </c>
      <c r="AB20" s="45">
        <v>13.4</v>
      </c>
      <c r="AC20" s="45">
        <v>13.4</v>
      </c>
      <c r="AD20" s="45">
        <v>13.4</v>
      </c>
      <c r="AE20" s="45">
        <v>13.4</v>
      </c>
      <c r="AF20" s="45">
        <v>13.4</v>
      </c>
      <c r="AG20" s="51">
        <v>25</v>
      </c>
      <c r="AH20" s="48">
        <f t="shared" si="2"/>
        <v>13.4</v>
      </c>
      <c r="AI20" s="49">
        <f t="shared" si="3"/>
        <v>13.4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51">
        <v>25</v>
      </c>
      <c r="AH21" s="48">
        <f t="shared" si="2"/>
        <v>0</v>
      </c>
      <c r="AI21" s="49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13.5</v>
      </c>
      <c r="C23" s="45">
        <v>13.5</v>
      </c>
      <c r="D23" s="45">
        <v>13.5</v>
      </c>
      <c r="E23" s="45">
        <v>13.5</v>
      </c>
      <c r="F23" s="45">
        <v>13.5</v>
      </c>
      <c r="G23" s="45">
        <v>13.5</v>
      </c>
      <c r="H23" s="45">
        <v>13.5</v>
      </c>
      <c r="I23" s="45">
        <v>13.5</v>
      </c>
      <c r="J23" s="45">
        <v>13.5</v>
      </c>
      <c r="K23" s="45">
        <v>13.5</v>
      </c>
      <c r="L23" s="45">
        <v>13.5</v>
      </c>
      <c r="M23" s="45">
        <v>13.5</v>
      </c>
      <c r="N23" s="45">
        <v>13.5</v>
      </c>
      <c r="O23" s="45">
        <v>13.5</v>
      </c>
      <c r="P23" s="45">
        <v>13.5</v>
      </c>
      <c r="Q23" s="45">
        <v>13.5</v>
      </c>
      <c r="R23" s="45">
        <v>13.5</v>
      </c>
      <c r="S23" s="45">
        <v>13.5</v>
      </c>
      <c r="T23" s="45">
        <v>13.5</v>
      </c>
      <c r="U23" s="45">
        <v>13.5</v>
      </c>
      <c r="V23" s="45">
        <v>13.6</v>
      </c>
      <c r="W23" s="45">
        <v>13.6</v>
      </c>
      <c r="X23" s="45">
        <v>13.6</v>
      </c>
      <c r="Y23" s="45">
        <v>13.6</v>
      </c>
      <c r="Z23" s="45">
        <v>13.6</v>
      </c>
      <c r="AA23" s="45">
        <v>13.6</v>
      </c>
      <c r="AB23" s="45">
        <v>13.6</v>
      </c>
      <c r="AC23" s="45">
        <v>13.6</v>
      </c>
      <c r="AD23" s="45">
        <v>13.6</v>
      </c>
      <c r="AE23" s="45">
        <v>13.6</v>
      </c>
      <c r="AF23" s="45">
        <v>13.6</v>
      </c>
      <c r="AG23" s="51">
        <v>25</v>
      </c>
      <c r="AH23" s="48">
        <f t="shared" si="2"/>
        <v>13.6</v>
      </c>
      <c r="AI23" s="49">
        <f t="shared" si="3"/>
        <v>13.5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11.8</v>
      </c>
      <c r="C24" s="45">
        <v>11.8</v>
      </c>
      <c r="D24" s="45">
        <v>11.8</v>
      </c>
      <c r="E24" s="45">
        <v>11.8</v>
      </c>
      <c r="F24" s="45">
        <v>11.8</v>
      </c>
      <c r="G24" s="45">
        <v>11.8</v>
      </c>
      <c r="H24" s="45">
        <v>11.8</v>
      </c>
      <c r="I24" s="45">
        <v>11.8</v>
      </c>
      <c r="J24" s="45">
        <v>11.8</v>
      </c>
      <c r="K24" s="45">
        <v>11.8</v>
      </c>
      <c r="L24" s="45">
        <v>11.8</v>
      </c>
      <c r="M24" s="45">
        <v>11.8</v>
      </c>
      <c r="N24" s="45">
        <v>11.8</v>
      </c>
      <c r="O24" s="45">
        <v>11.8</v>
      </c>
      <c r="P24" s="45">
        <v>11.8</v>
      </c>
      <c r="Q24" s="45">
        <v>11.8</v>
      </c>
      <c r="R24" s="45">
        <v>11.8</v>
      </c>
      <c r="S24" s="45">
        <v>11.8</v>
      </c>
      <c r="T24" s="45">
        <v>11.8</v>
      </c>
      <c r="U24" s="45">
        <v>11.8</v>
      </c>
      <c r="V24" s="45">
        <v>11.5</v>
      </c>
      <c r="W24" s="45">
        <v>11.5</v>
      </c>
      <c r="X24" s="45">
        <v>11.5</v>
      </c>
      <c r="Y24" s="45">
        <v>11.5</v>
      </c>
      <c r="Z24" s="45">
        <v>11.5</v>
      </c>
      <c r="AA24" s="45">
        <v>11.5</v>
      </c>
      <c r="AB24" s="45">
        <v>11.5</v>
      </c>
      <c r="AC24" s="45">
        <v>11.5</v>
      </c>
      <c r="AD24" s="45">
        <v>11.5</v>
      </c>
      <c r="AE24" s="45">
        <v>11.5</v>
      </c>
      <c r="AF24" s="45">
        <v>11.5</v>
      </c>
      <c r="AG24" s="51">
        <v>23.5</v>
      </c>
      <c r="AH24" s="48">
        <f t="shared" si="2"/>
        <v>11.8</v>
      </c>
      <c r="AI24" s="49">
        <f t="shared" si="3"/>
        <v>11.5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7.0990000000000002</v>
      </c>
      <c r="C26" s="45">
        <v>7.0990000000000002</v>
      </c>
      <c r="D26" s="45">
        <v>7.0990000000000002</v>
      </c>
      <c r="E26" s="45">
        <v>7.0990000000000002</v>
      </c>
      <c r="F26" s="45">
        <v>7.0990000000000002</v>
      </c>
      <c r="G26" s="45">
        <v>7.0990000000000002</v>
      </c>
      <c r="H26" s="45">
        <v>7.0990000000000002</v>
      </c>
      <c r="I26" s="45">
        <v>7.0990000000000002</v>
      </c>
      <c r="J26" s="45">
        <v>7.0990000000000002</v>
      </c>
      <c r="K26" s="45">
        <v>7.0990000000000002</v>
      </c>
      <c r="L26" s="45">
        <v>7.0990000000000002</v>
      </c>
      <c r="M26" s="45">
        <v>7.0990000000000002</v>
      </c>
      <c r="N26" s="45">
        <v>7.0990000000000002</v>
      </c>
      <c r="O26" s="45">
        <v>7.0990000000000002</v>
      </c>
      <c r="P26" s="45">
        <v>7.0990000000000002</v>
      </c>
      <c r="Q26" s="45">
        <v>7.0990000000000002</v>
      </c>
      <c r="R26" s="45">
        <v>7.0990000000000002</v>
      </c>
      <c r="S26" s="45">
        <v>7.0990000000000002</v>
      </c>
      <c r="T26" s="45">
        <v>7.0990000000000002</v>
      </c>
      <c r="U26" s="45">
        <v>7.0990000000000002</v>
      </c>
      <c r="V26" s="45">
        <v>7.0990000000000002</v>
      </c>
      <c r="W26" s="45">
        <v>7.0990000000000002</v>
      </c>
      <c r="X26" s="45">
        <v>7.0990000000000002</v>
      </c>
      <c r="Y26" s="45">
        <v>7.0990000000000002</v>
      </c>
      <c r="Z26" s="45">
        <v>7.0990000000000002</v>
      </c>
      <c r="AA26" s="45">
        <v>7.0990000000000002</v>
      </c>
      <c r="AB26" s="45">
        <v>7.0990000000000002</v>
      </c>
      <c r="AC26" s="45">
        <v>7.0990000000000002</v>
      </c>
      <c r="AD26" s="45">
        <v>7.0990000000000002</v>
      </c>
      <c r="AE26" s="45">
        <v>7.0990000000000002</v>
      </c>
      <c r="AF26" s="45">
        <v>7.0990000000000002</v>
      </c>
      <c r="AG26" s="51">
        <v>22.1</v>
      </c>
      <c r="AH26" s="48">
        <f t="shared" si="2"/>
        <v>7.0990000000000002</v>
      </c>
      <c r="AI26" s="49">
        <f t="shared" si="3"/>
        <v>7.0990000000000002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1</v>
      </c>
      <c r="N41" s="45">
        <v>1</v>
      </c>
      <c r="O41" s="45">
        <v>1</v>
      </c>
      <c r="P41" s="45">
        <v>1</v>
      </c>
      <c r="Q41" s="45">
        <v>1</v>
      </c>
      <c r="R41" s="45">
        <v>1</v>
      </c>
      <c r="S41" s="45">
        <v>1</v>
      </c>
      <c r="T41" s="45">
        <v>1</v>
      </c>
      <c r="U41" s="45">
        <v>1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1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200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si="2"/>
        <v>200</v>
      </c>
      <c r="AI42" s="49">
        <f t="shared" si="3"/>
        <v>200</v>
      </c>
      <c r="AK42" s="50"/>
    </row>
    <row r="43" spans="1:88" ht="15.75" thickBot="1" x14ac:dyDescent="0.3">
      <c r="A43" s="58" t="s">
        <v>51</v>
      </c>
      <c r="B43" s="59">
        <v>52.6</v>
      </c>
      <c r="C43" s="59">
        <v>52.6</v>
      </c>
      <c r="D43" s="59">
        <f>37.7+16.1</f>
        <v>53.800000000000004</v>
      </c>
      <c r="E43" s="59">
        <v>54</v>
      </c>
      <c r="F43" s="59">
        <v>53.9</v>
      </c>
      <c r="G43" s="59">
        <v>53.2</v>
      </c>
      <c r="H43" s="59">
        <v>53.2</v>
      </c>
      <c r="I43" s="59">
        <v>52.4</v>
      </c>
      <c r="J43" s="59">
        <v>52.4</v>
      </c>
      <c r="K43" s="59">
        <v>52.4</v>
      </c>
      <c r="L43" s="59">
        <f>37.2+14.8</f>
        <v>52</v>
      </c>
      <c r="M43" s="57">
        <f>36.9+14.8</f>
        <v>51.7</v>
      </c>
      <c r="N43" s="57">
        <f>35.4+14.5</f>
        <v>49.9</v>
      </c>
      <c r="O43" s="57">
        <f>14.4+36.1</f>
        <v>50.5</v>
      </c>
      <c r="P43" s="57">
        <f>36.7+15</f>
        <v>51.7</v>
      </c>
      <c r="Q43" s="57">
        <f>37.1+15.3</f>
        <v>52.400000000000006</v>
      </c>
      <c r="R43" s="57">
        <f>38.7+15.2</f>
        <v>53.900000000000006</v>
      </c>
      <c r="S43" s="57">
        <f>38.7+15.2</f>
        <v>53.900000000000006</v>
      </c>
      <c r="T43" s="57">
        <f>14.9+36.5</f>
        <v>51.4</v>
      </c>
      <c r="U43" s="59">
        <f>14.5+34.6</f>
        <v>49.1</v>
      </c>
      <c r="V43" s="59">
        <v>50.1</v>
      </c>
      <c r="W43" s="59">
        <f>12.5+36</f>
        <v>48.5</v>
      </c>
      <c r="X43" s="59">
        <f>12.6+34.7</f>
        <v>47.300000000000004</v>
      </c>
      <c r="Y43" s="59">
        <f>12.8+34.7</f>
        <v>47.5</v>
      </c>
      <c r="Z43" s="59">
        <f t="shared" ref="Z43:AA43" si="4">12.8+34.7</f>
        <v>47.5</v>
      </c>
      <c r="AA43" s="59">
        <f t="shared" si="4"/>
        <v>47.5</v>
      </c>
      <c r="AB43" s="59">
        <f>12.7+31.2</f>
        <v>43.9</v>
      </c>
      <c r="AC43" s="59">
        <f>13+34.2</f>
        <v>47.2</v>
      </c>
      <c r="AD43" s="59">
        <f>13+37.3</f>
        <v>50.3</v>
      </c>
      <c r="AE43" s="59">
        <v>51.6</v>
      </c>
      <c r="AF43" s="59">
        <f>14.1+39</f>
        <v>53.1</v>
      </c>
      <c r="AG43" s="55">
        <v>240</v>
      </c>
      <c r="AH43" s="48">
        <f t="shared" si="2"/>
        <v>54</v>
      </c>
      <c r="AI43" s="49">
        <f t="shared" si="3"/>
        <v>43.9</v>
      </c>
      <c r="AK43" s="50"/>
    </row>
    <row r="44" spans="1:88" ht="15.75" thickBot="1" x14ac:dyDescent="0.3">
      <c r="A44" s="60" t="s">
        <v>52</v>
      </c>
      <c r="B44" s="61">
        <f t="shared" ref="B44:AG44" si="5">SUM(B11:B42)</f>
        <v>559.99900000000002</v>
      </c>
      <c r="C44" s="61">
        <f t="shared" si="5"/>
        <v>559.99900000000002</v>
      </c>
      <c r="D44" s="61">
        <f t="shared" si="5"/>
        <v>559.99900000000002</v>
      </c>
      <c r="E44" s="61">
        <f t="shared" si="5"/>
        <v>559.99900000000002</v>
      </c>
      <c r="F44" s="61">
        <f t="shared" si="5"/>
        <v>559.99900000000002</v>
      </c>
      <c r="G44" s="61">
        <f t="shared" si="5"/>
        <v>560.79899999999998</v>
      </c>
      <c r="H44" s="61">
        <f t="shared" si="5"/>
        <v>560.79899999999998</v>
      </c>
      <c r="I44" s="61">
        <f t="shared" si="5"/>
        <v>560.79899999999998</v>
      </c>
      <c r="J44" s="61">
        <f t="shared" si="5"/>
        <v>561.59899999999993</v>
      </c>
      <c r="K44" s="61">
        <f t="shared" si="5"/>
        <v>561.59899999999993</v>
      </c>
      <c r="L44" s="61">
        <f t="shared" si="5"/>
        <v>561.59899999999993</v>
      </c>
      <c r="M44" s="61">
        <f t="shared" si="5"/>
        <v>562.33899999999994</v>
      </c>
      <c r="N44" s="61">
        <f t="shared" si="5"/>
        <v>560.49900000000002</v>
      </c>
      <c r="O44" s="61">
        <f t="shared" si="5"/>
        <v>560.59899999999993</v>
      </c>
      <c r="P44" s="61">
        <f t="shared" si="5"/>
        <v>560.59899999999993</v>
      </c>
      <c r="Q44" s="61">
        <f t="shared" si="5"/>
        <v>560.59899999999993</v>
      </c>
      <c r="R44" s="61">
        <f t="shared" si="5"/>
        <v>560.59899999999993</v>
      </c>
      <c r="S44" s="61">
        <f t="shared" si="5"/>
        <v>560.59899999999993</v>
      </c>
      <c r="T44" s="61">
        <f t="shared" si="5"/>
        <v>560.59899999999993</v>
      </c>
      <c r="U44" s="61">
        <f t="shared" si="5"/>
        <v>560.59899999999993</v>
      </c>
      <c r="V44" s="61">
        <f t="shared" si="5"/>
        <v>558.49900000000002</v>
      </c>
      <c r="W44" s="61">
        <f t="shared" si="5"/>
        <v>558.49900000000002</v>
      </c>
      <c r="X44" s="61">
        <f t="shared" si="5"/>
        <v>559.69900000000007</v>
      </c>
      <c r="Y44" s="61">
        <f t="shared" si="5"/>
        <v>559.69900000000007</v>
      </c>
      <c r="Z44" s="61">
        <f t="shared" si="5"/>
        <v>559.69900000000007</v>
      </c>
      <c r="AA44" s="61">
        <f t="shared" si="5"/>
        <v>559.69900000000007</v>
      </c>
      <c r="AB44" s="61">
        <f t="shared" si="5"/>
        <v>559.69900000000007</v>
      </c>
      <c r="AC44" s="61">
        <f t="shared" si="5"/>
        <v>559.69900000000007</v>
      </c>
      <c r="AD44" s="61">
        <f t="shared" si="5"/>
        <v>559.69900000000007</v>
      </c>
      <c r="AE44" s="61">
        <f t="shared" si="5"/>
        <v>559.69900000000007</v>
      </c>
      <c r="AF44" s="61">
        <f t="shared" si="5"/>
        <v>559.69900000000007</v>
      </c>
      <c r="AG44" s="62">
        <f t="shared" si="5"/>
        <v>814.78000000000009</v>
      </c>
      <c r="AH44" s="48">
        <f t="shared" si="2"/>
        <v>562.33899999999994</v>
      </c>
      <c r="AI44" s="49">
        <f t="shared" si="3"/>
        <v>558.49900000000002</v>
      </c>
      <c r="AK44" s="50"/>
    </row>
    <row r="45" spans="1:88" x14ac:dyDescent="0.25">
      <c r="A45" s="63" t="s">
        <v>53</v>
      </c>
      <c r="B45" s="45">
        <v>55</v>
      </c>
      <c r="C45" s="45">
        <v>12</v>
      </c>
      <c r="D45" s="45">
        <v>30.1</v>
      </c>
      <c r="E45" s="45">
        <v>15</v>
      </c>
      <c r="F45" s="45">
        <v>15</v>
      </c>
      <c r="G45" s="45">
        <v>45</v>
      </c>
      <c r="H45" s="45">
        <v>35</v>
      </c>
      <c r="I45" s="45">
        <v>100</v>
      </c>
      <c r="J45" s="45">
        <v>200</v>
      </c>
      <c r="K45" s="45">
        <v>260</v>
      </c>
      <c r="L45" s="45">
        <v>290</v>
      </c>
      <c r="M45" s="164">
        <v>325</v>
      </c>
      <c r="N45" s="45">
        <v>350</v>
      </c>
      <c r="O45" s="45">
        <v>305</v>
      </c>
      <c r="P45" s="45">
        <v>160</v>
      </c>
      <c r="Q45" s="45">
        <v>110</v>
      </c>
      <c r="R45" s="45">
        <v>105</v>
      </c>
      <c r="S45" s="45">
        <v>85</v>
      </c>
      <c r="T45" s="45">
        <v>25</v>
      </c>
      <c r="U45" s="45">
        <v>50</v>
      </c>
      <c r="V45" s="45">
        <v>160</v>
      </c>
      <c r="W45" s="45">
        <v>210</v>
      </c>
      <c r="X45" s="45">
        <v>210</v>
      </c>
      <c r="Y45" s="45">
        <v>185</v>
      </c>
      <c r="Z45" s="45">
        <v>185</v>
      </c>
      <c r="AA45" s="45">
        <v>165</v>
      </c>
      <c r="AB45" s="45">
        <v>165</v>
      </c>
      <c r="AC45" s="45">
        <v>130</v>
      </c>
      <c r="AD45" s="45">
        <v>130</v>
      </c>
      <c r="AE45" s="45">
        <v>80</v>
      </c>
      <c r="AF45" s="45">
        <v>15</v>
      </c>
      <c r="AG45" s="52">
        <v>456</v>
      </c>
      <c r="AH45" s="48">
        <f t="shared" si="2"/>
        <v>350</v>
      </c>
      <c r="AI45" s="49">
        <f t="shared" si="3"/>
        <v>12</v>
      </c>
      <c r="AK45" s="50"/>
    </row>
    <row r="46" spans="1:88" x14ac:dyDescent="0.25">
      <c r="A46" s="64" t="s">
        <v>54</v>
      </c>
      <c r="B46" s="65">
        <v>46</v>
      </c>
      <c r="C46" s="65">
        <v>46</v>
      </c>
      <c r="D46" s="65">
        <v>46</v>
      </c>
      <c r="E46" s="65">
        <v>46</v>
      </c>
      <c r="F46" s="65">
        <v>46</v>
      </c>
      <c r="G46" s="65">
        <v>45</v>
      </c>
      <c r="H46" s="65">
        <v>45</v>
      </c>
      <c r="I46" s="65">
        <v>46</v>
      </c>
      <c r="J46" s="65">
        <v>46</v>
      </c>
      <c r="K46" s="65">
        <v>46</v>
      </c>
      <c r="L46" s="65">
        <v>46</v>
      </c>
      <c r="M46" s="165">
        <v>46</v>
      </c>
      <c r="N46" s="65">
        <v>46</v>
      </c>
      <c r="O46" s="65">
        <v>46</v>
      </c>
      <c r="P46" s="65">
        <v>46</v>
      </c>
      <c r="Q46" s="65">
        <v>46</v>
      </c>
      <c r="R46" s="65">
        <v>46</v>
      </c>
      <c r="S46" s="65">
        <v>46</v>
      </c>
      <c r="T46" s="65">
        <v>46</v>
      </c>
      <c r="U46" s="65">
        <v>46</v>
      </c>
      <c r="V46" s="65">
        <v>46</v>
      </c>
      <c r="W46" s="65">
        <v>46</v>
      </c>
      <c r="X46" s="65">
        <v>46</v>
      </c>
      <c r="Y46" s="65">
        <v>46</v>
      </c>
      <c r="Z46" s="65">
        <v>46</v>
      </c>
      <c r="AA46" s="65">
        <v>46</v>
      </c>
      <c r="AB46" s="65">
        <v>46</v>
      </c>
      <c r="AC46" s="65">
        <v>46</v>
      </c>
      <c r="AD46" s="65">
        <v>46</v>
      </c>
      <c r="AE46" s="65">
        <v>46</v>
      </c>
      <c r="AF46" s="65">
        <v>46</v>
      </c>
      <c r="AG46" s="55">
        <v>60</v>
      </c>
      <c r="AH46" s="48">
        <f t="shared" si="2"/>
        <v>46</v>
      </c>
      <c r="AI46" s="49">
        <f t="shared" si="3"/>
        <v>45</v>
      </c>
      <c r="AK46" s="50"/>
    </row>
    <row r="47" spans="1:88" ht="15.75" thickBot="1" x14ac:dyDescent="0.3">
      <c r="A47" s="66" t="s">
        <v>55</v>
      </c>
      <c r="B47" s="67">
        <v>18.899999999999999</v>
      </c>
      <c r="C47" s="67">
        <v>0</v>
      </c>
      <c r="D47" s="67">
        <v>19</v>
      </c>
      <c r="E47" s="67">
        <v>19</v>
      </c>
      <c r="F47" s="67">
        <v>19</v>
      </c>
      <c r="G47" s="67">
        <v>18.5</v>
      </c>
      <c r="H47" s="67">
        <v>18.96</v>
      </c>
      <c r="I47" s="67">
        <v>18.899999999999999</v>
      </c>
      <c r="J47" s="67">
        <v>18.899999999999999</v>
      </c>
      <c r="K47" s="67">
        <v>18.989999999999998</v>
      </c>
      <c r="L47" s="67">
        <v>18.989999999999998</v>
      </c>
      <c r="M47" s="166">
        <v>18.5</v>
      </c>
      <c r="N47" s="67">
        <v>17.3</v>
      </c>
      <c r="O47" s="67">
        <v>17.3</v>
      </c>
      <c r="P47" s="67">
        <v>17.3</v>
      </c>
      <c r="Q47" s="67">
        <v>17.3</v>
      </c>
      <c r="R47" s="67">
        <v>17.3</v>
      </c>
      <c r="S47" s="67">
        <v>16.3</v>
      </c>
      <c r="T47" s="67">
        <v>16.3</v>
      </c>
      <c r="U47" s="67">
        <v>16.3</v>
      </c>
      <c r="V47" s="67">
        <v>16.3</v>
      </c>
      <c r="W47" s="67">
        <v>16.3</v>
      </c>
      <c r="X47" s="67">
        <v>18.3</v>
      </c>
      <c r="Y47" s="67">
        <v>18.3</v>
      </c>
      <c r="Z47" s="67">
        <v>18.3</v>
      </c>
      <c r="AA47" s="67">
        <v>18.399999999999999</v>
      </c>
      <c r="AB47" s="67">
        <v>18.399999999999999</v>
      </c>
      <c r="AC47" s="67">
        <v>18.3</v>
      </c>
      <c r="AD47" s="67">
        <v>18.3</v>
      </c>
      <c r="AE47" s="67">
        <v>18.3</v>
      </c>
      <c r="AF47" s="67">
        <v>18.3</v>
      </c>
      <c r="AG47" s="68">
        <v>22.1</v>
      </c>
      <c r="AH47" s="48">
        <f t="shared" si="2"/>
        <v>19</v>
      </c>
      <c r="AI47" s="49">
        <f t="shared" si="3"/>
        <v>0</v>
      </c>
      <c r="AK47" s="50"/>
    </row>
    <row r="48" spans="1:88" ht="15.75" thickBot="1" x14ac:dyDescent="0.3">
      <c r="A48" s="69" t="s">
        <v>56</v>
      </c>
      <c r="B48" s="61">
        <f t="shared" ref="B48:AG48" si="6">SUM(B45:B47)</f>
        <v>119.9</v>
      </c>
      <c r="C48" s="61">
        <f t="shared" si="6"/>
        <v>58</v>
      </c>
      <c r="D48" s="61">
        <f t="shared" si="6"/>
        <v>95.1</v>
      </c>
      <c r="E48" s="61">
        <f t="shared" si="6"/>
        <v>80</v>
      </c>
      <c r="F48" s="61">
        <f t="shared" si="6"/>
        <v>80</v>
      </c>
      <c r="G48" s="61">
        <f t="shared" si="6"/>
        <v>108.5</v>
      </c>
      <c r="H48" s="61">
        <f t="shared" si="6"/>
        <v>98.960000000000008</v>
      </c>
      <c r="I48" s="61">
        <f t="shared" si="6"/>
        <v>164.9</v>
      </c>
      <c r="J48" s="61">
        <f t="shared" si="6"/>
        <v>264.89999999999998</v>
      </c>
      <c r="K48" s="61">
        <f t="shared" si="6"/>
        <v>324.99</v>
      </c>
      <c r="L48" s="61">
        <f t="shared" si="6"/>
        <v>354.99</v>
      </c>
      <c r="M48" s="61">
        <f t="shared" si="6"/>
        <v>389.5</v>
      </c>
      <c r="N48" s="61">
        <f t="shared" si="6"/>
        <v>413.3</v>
      </c>
      <c r="O48" s="61">
        <f t="shared" si="6"/>
        <v>368.3</v>
      </c>
      <c r="P48" s="61">
        <f t="shared" si="6"/>
        <v>223.3</v>
      </c>
      <c r="Q48" s="61">
        <f t="shared" si="6"/>
        <v>173.3</v>
      </c>
      <c r="R48" s="61">
        <f t="shared" si="6"/>
        <v>168.3</v>
      </c>
      <c r="S48" s="61">
        <f t="shared" si="6"/>
        <v>147.30000000000001</v>
      </c>
      <c r="T48" s="61">
        <f t="shared" si="6"/>
        <v>87.3</v>
      </c>
      <c r="U48" s="61">
        <f t="shared" si="6"/>
        <v>112.3</v>
      </c>
      <c r="V48" s="61">
        <f t="shared" si="6"/>
        <v>222.3</v>
      </c>
      <c r="W48" s="61">
        <f t="shared" si="6"/>
        <v>272.3</v>
      </c>
      <c r="X48" s="61">
        <f t="shared" si="6"/>
        <v>274.3</v>
      </c>
      <c r="Y48" s="61">
        <f t="shared" si="6"/>
        <v>249.3</v>
      </c>
      <c r="Z48" s="61">
        <f t="shared" si="6"/>
        <v>249.3</v>
      </c>
      <c r="AA48" s="61">
        <f t="shared" si="6"/>
        <v>229.4</v>
      </c>
      <c r="AB48" s="61">
        <f t="shared" si="6"/>
        <v>229.4</v>
      </c>
      <c r="AC48" s="61">
        <f t="shared" si="6"/>
        <v>194.3</v>
      </c>
      <c r="AD48" s="61">
        <f t="shared" si="6"/>
        <v>194.3</v>
      </c>
      <c r="AE48" s="61">
        <f t="shared" si="6"/>
        <v>144.30000000000001</v>
      </c>
      <c r="AF48" s="61">
        <f t="shared" si="6"/>
        <v>79.3</v>
      </c>
      <c r="AG48" s="62">
        <f t="shared" si="6"/>
        <v>538.1</v>
      </c>
      <c r="AH48" s="48">
        <f t="shared" si="2"/>
        <v>413.3</v>
      </c>
      <c r="AI48" s="49">
        <f t="shared" si="3"/>
        <v>58</v>
      </c>
      <c r="AK48" s="50"/>
    </row>
    <row r="49" spans="1:41" x14ac:dyDescent="0.25">
      <c r="A49" s="44" t="s">
        <v>57</v>
      </c>
      <c r="B49" s="45">
        <v>43.6</v>
      </c>
      <c r="C49" s="45">
        <v>28</v>
      </c>
      <c r="D49" s="45">
        <v>0</v>
      </c>
      <c r="E49" s="45">
        <v>0</v>
      </c>
      <c r="F49" s="45">
        <v>0</v>
      </c>
      <c r="G49" s="45">
        <v>0</v>
      </c>
      <c r="H49" s="45">
        <v>25.2</v>
      </c>
      <c r="I49" s="45">
        <v>90</v>
      </c>
      <c r="J49" s="45">
        <v>128</v>
      </c>
      <c r="K49" s="45">
        <v>141.9</v>
      </c>
      <c r="L49" s="45">
        <v>141.5</v>
      </c>
      <c r="M49" s="45">
        <v>141.5</v>
      </c>
      <c r="N49" s="45">
        <v>141.4</v>
      </c>
      <c r="O49" s="45">
        <v>141.4</v>
      </c>
      <c r="P49" s="45">
        <v>141.80000000000001</v>
      </c>
      <c r="Q49" s="45">
        <v>141.80000000000001</v>
      </c>
      <c r="R49" s="45">
        <v>127.8</v>
      </c>
      <c r="S49" s="45">
        <v>117.1</v>
      </c>
      <c r="T49" s="45">
        <v>91.3</v>
      </c>
      <c r="U49" s="45">
        <v>103</v>
      </c>
      <c r="V49" s="45">
        <v>118</v>
      </c>
      <c r="W49" s="45">
        <v>118</v>
      </c>
      <c r="X49" s="45">
        <v>141.6</v>
      </c>
      <c r="Y49" s="45">
        <v>141.6</v>
      </c>
      <c r="Z49" s="45">
        <v>141.6</v>
      </c>
      <c r="AA49" s="45">
        <v>141.6</v>
      </c>
      <c r="AB49" s="45">
        <v>141.5</v>
      </c>
      <c r="AC49" s="45">
        <v>112</v>
      </c>
      <c r="AD49" s="45">
        <v>95.9</v>
      </c>
      <c r="AE49" s="45">
        <v>81</v>
      </c>
      <c r="AF49" s="45">
        <v>41</v>
      </c>
      <c r="AG49" s="52">
        <v>144</v>
      </c>
      <c r="AH49" s="48">
        <f t="shared" si="2"/>
        <v>141.9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26.2</v>
      </c>
      <c r="C50" s="65">
        <v>0</v>
      </c>
      <c r="D50" s="65">
        <v>0</v>
      </c>
      <c r="E50" s="65">
        <v>0</v>
      </c>
      <c r="F50" s="65">
        <v>0</v>
      </c>
      <c r="G50" s="65">
        <v>35</v>
      </c>
      <c r="H50" s="65">
        <v>43.4</v>
      </c>
      <c r="I50" s="65">
        <v>47</v>
      </c>
      <c r="J50" s="65">
        <v>64.3</v>
      </c>
      <c r="K50" s="65">
        <v>60</v>
      </c>
      <c r="L50" s="65">
        <v>70.2</v>
      </c>
      <c r="M50" s="65">
        <v>70.7</v>
      </c>
      <c r="N50" s="65">
        <v>70.900000000000006</v>
      </c>
      <c r="O50" s="65">
        <v>70.900000000000006</v>
      </c>
      <c r="P50" s="65">
        <v>71.5</v>
      </c>
      <c r="Q50" s="65">
        <v>60</v>
      </c>
      <c r="R50" s="45">
        <v>49.6</v>
      </c>
      <c r="S50" s="65">
        <v>49.6</v>
      </c>
      <c r="T50" s="65">
        <v>50.9</v>
      </c>
      <c r="U50" s="65">
        <v>50.9</v>
      </c>
      <c r="V50" s="65">
        <v>70.3</v>
      </c>
      <c r="W50" s="65">
        <v>70.3</v>
      </c>
      <c r="X50" s="65">
        <v>70.3</v>
      </c>
      <c r="Y50" s="65">
        <v>70.3</v>
      </c>
      <c r="Z50" s="65">
        <v>70.3</v>
      </c>
      <c r="AA50" s="65">
        <v>70.3</v>
      </c>
      <c r="AB50" s="65">
        <v>59.1</v>
      </c>
      <c r="AC50" s="65">
        <v>61</v>
      </c>
      <c r="AD50" s="65">
        <v>50.9</v>
      </c>
      <c r="AE50" s="65">
        <v>19.7</v>
      </c>
      <c r="AF50" s="65">
        <v>21.1</v>
      </c>
      <c r="AG50" s="55">
        <v>70</v>
      </c>
      <c r="AH50" s="48">
        <f t="shared" si="2"/>
        <v>71.5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56.8</v>
      </c>
      <c r="C51" s="65">
        <v>57.7</v>
      </c>
      <c r="D51" s="65">
        <v>64.599999999999994</v>
      </c>
      <c r="E51" s="65">
        <v>38.6</v>
      </c>
      <c r="F51" s="65">
        <v>64.599999999999994</v>
      </c>
      <c r="G51" s="65">
        <v>47.5</v>
      </c>
      <c r="H51" s="65">
        <v>40.5</v>
      </c>
      <c r="I51" s="65">
        <v>32</v>
      </c>
      <c r="J51" s="65">
        <v>33.9</v>
      </c>
      <c r="K51" s="65">
        <v>42.8</v>
      </c>
      <c r="L51" s="65">
        <v>60.5</v>
      </c>
      <c r="M51" s="65">
        <v>64</v>
      </c>
      <c r="N51" s="65">
        <v>68.3</v>
      </c>
      <c r="O51" s="65">
        <v>68.3</v>
      </c>
      <c r="P51" s="65">
        <v>60.2</v>
      </c>
      <c r="Q51" s="65">
        <v>45</v>
      </c>
      <c r="R51" s="45">
        <v>45</v>
      </c>
      <c r="S51" s="65">
        <v>46</v>
      </c>
      <c r="T51" s="65">
        <v>44.7</v>
      </c>
      <c r="U51" s="65">
        <v>45.8</v>
      </c>
      <c r="V51" s="65">
        <v>58.5</v>
      </c>
      <c r="W51" s="65">
        <v>58.5</v>
      </c>
      <c r="X51" s="65">
        <v>68.400000000000006</v>
      </c>
      <c r="Y51" s="65">
        <v>68.400000000000006</v>
      </c>
      <c r="Z51" s="65">
        <v>68.400000000000006</v>
      </c>
      <c r="AA51" s="65">
        <v>68.400000000000006</v>
      </c>
      <c r="AB51" s="65">
        <v>56.9</v>
      </c>
      <c r="AC51" s="65">
        <v>56.2</v>
      </c>
      <c r="AD51" s="65">
        <v>68.599999999999994</v>
      </c>
      <c r="AE51" s="65">
        <v>60</v>
      </c>
      <c r="AF51" s="65">
        <v>69</v>
      </c>
      <c r="AG51" s="55">
        <v>69</v>
      </c>
      <c r="AH51" s="48">
        <f t="shared" si="2"/>
        <v>69</v>
      </c>
      <c r="AI51" s="49">
        <f t="shared" si="3"/>
        <v>32</v>
      </c>
      <c r="AK51" s="50"/>
    </row>
    <row r="52" spans="1:41" x14ac:dyDescent="0.25">
      <c r="A52" s="54" t="s">
        <v>60</v>
      </c>
      <c r="B52" s="57">
        <v>61</v>
      </c>
      <c r="C52" s="57">
        <v>61.2</v>
      </c>
      <c r="D52" s="57">
        <v>60.4</v>
      </c>
      <c r="E52" s="57">
        <v>60.4</v>
      </c>
      <c r="F52" s="57">
        <v>60.4</v>
      </c>
      <c r="G52" s="57">
        <v>60.2</v>
      </c>
      <c r="H52" s="57">
        <v>60</v>
      </c>
      <c r="I52" s="57">
        <v>60.96</v>
      </c>
      <c r="J52" s="57">
        <v>60.4</v>
      </c>
      <c r="K52" s="57">
        <v>60.4</v>
      </c>
      <c r="L52" s="57">
        <v>60.4</v>
      </c>
      <c r="M52" s="57">
        <v>60.4</v>
      </c>
      <c r="N52" s="57">
        <v>60.4</v>
      </c>
      <c r="O52" s="57">
        <v>60.4</v>
      </c>
      <c r="P52" s="57">
        <v>60.4</v>
      </c>
      <c r="Q52" s="57">
        <v>60.4</v>
      </c>
      <c r="R52" s="45">
        <v>60.4</v>
      </c>
      <c r="S52" s="45">
        <v>60.4</v>
      </c>
      <c r="T52" s="45">
        <v>60.7</v>
      </c>
      <c r="U52" s="45">
        <v>60.7</v>
      </c>
      <c r="V52" s="45">
        <v>60.3</v>
      </c>
      <c r="W52" s="45">
        <v>60.3</v>
      </c>
      <c r="X52" s="45">
        <v>60.3</v>
      </c>
      <c r="Y52" s="45">
        <v>60.3</v>
      </c>
      <c r="Z52" s="45">
        <v>60.3</v>
      </c>
      <c r="AA52" s="45">
        <v>60.3</v>
      </c>
      <c r="AB52" s="65">
        <v>60.7</v>
      </c>
      <c r="AC52" s="65">
        <v>60.7</v>
      </c>
      <c r="AD52" s="57">
        <v>60.7</v>
      </c>
      <c r="AE52" s="57">
        <v>60.7</v>
      </c>
      <c r="AF52" s="57">
        <v>60.9</v>
      </c>
      <c r="AG52" s="55">
        <v>60</v>
      </c>
      <c r="AH52" s="48">
        <f t="shared" si="2"/>
        <v>61.2</v>
      </c>
      <c r="AI52" s="49">
        <f t="shared" si="3"/>
        <v>60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13.2</v>
      </c>
      <c r="H53" s="57">
        <v>13.6</v>
      </c>
      <c r="I53" s="57">
        <v>13.6</v>
      </c>
      <c r="J53" s="57">
        <v>15</v>
      </c>
      <c r="K53" s="57">
        <v>29.998999999999999</v>
      </c>
      <c r="L53" s="57">
        <v>26.1</v>
      </c>
      <c r="M53" s="57">
        <v>25.7</v>
      </c>
      <c r="N53" s="57">
        <v>14.9</v>
      </c>
      <c r="O53" s="57">
        <v>14.9</v>
      </c>
      <c r="P53" s="57">
        <v>15</v>
      </c>
      <c r="Q53" s="57">
        <v>13.5</v>
      </c>
      <c r="R53" s="57">
        <v>13.5</v>
      </c>
      <c r="S53" s="57">
        <v>15</v>
      </c>
      <c r="T53" s="45">
        <v>14.9</v>
      </c>
      <c r="U53" s="45">
        <v>14.9</v>
      </c>
      <c r="V53" s="45">
        <v>14.7</v>
      </c>
      <c r="W53" s="45">
        <v>14.7</v>
      </c>
      <c r="X53" s="45">
        <v>14.7</v>
      </c>
      <c r="Y53" s="45">
        <v>14.7</v>
      </c>
      <c r="Z53" s="45">
        <v>14.7</v>
      </c>
      <c r="AA53" s="45">
        <v>14.7</v>
      </c>
      <c r="AB53" s="65">
        <v>12.8</v>
      </c>
      <c r="AC53" s="65">
        <v>12.9</v>
      </c>
      <c r="AD53" s="65">
        <v>12.9</v>
      </c>
      <c r="AE53" s="65">
        <v>12.9</v>
      </c>
      <c r="AF53" s="57">
        <v>0</v>
      </c>
      <c r="AG53" s="55">
        <v>30</v>
      </c>
      <c r="AH53" s="48">
        <f t="shared" si="2"/>
        <v>29.998999999999999</v>
      </c>
      <c r="AI53" s="49">
        <f t="shared" si="3"/>
        <v>0</v>
      </c>
      <c r="AK53" s="50"/>
    </row>
    <row r="54" spans="1:41" x14ac:dyDescent="0.25">
      <c r="A54" s="54" t="s">
        <v>62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4</v>
      </c>
      <c r="O54" s="65">
        <v>4</v>
      </c>
      <c r="P54" s="65">
        <v>4</v>
      </c>
      <c r="Q54" s="65">
        <v>4</v>
      </c>
      <c r="R54" s="65">
        <v>6</v>
      </c>
      <c r="S54" s="65">
        <v>6</v>
      </c>
      <c r="T54" s="45">
        <v>4</v>
      </c>
      <c r="U54" s="45">
        <v>4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25</v>
      </c>
      <c r="AH54" s="48">
        <f t="shared" si="2"/>
        <v>6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0</v>
      </c>
      <c r="D55" s="65">
        <v>17</v>
      </c>
      <c r="E55" s="65">
        <v>17</v>
      </c>
      <c r="F55" s="65">
        <v>17</v>
      </c>
      <c r="G55" s="65">
        <v>17.5</v>
      </c>
      <c r="H55" s="65">
        <v>17.5</v>
      </c>
      <c r="I55" s="65">
        <v>17.5</v>
      </c>
      <c r="J55" s="65">
        <v>17.600000000000001</v>
      </c>
      <c r="K55" s="65">
        <v>17.600000000000001</v>
      </c>
      <c r="L55" s="65">
        <v>17.600000000000001</v>
      </c>
      <c r="M55" s="65">
        <v>17.600000000000001</v>
      </c>
      <c r="N55" s="65">
        <v>17.600000000000001</v>
      </c>
      <c r="O55" s="65">
        <v>17.600000000000001</v>
      </c>
      <c r="P55" s="65">
        <v>17.600000000000001</v>
      </c>
      <c r="Q55" s="65">
        <v>17.600000000000001</v>
      </c>
      <c r="R55" s="65">
        <v>17.600000000000001</v>
      </c>
      <c r="S55" s="65">
        <v>17.600000000000001</v>
      </c>
      <c r="T55" s="65">
        <v>17.600000000000001</v>
      </c>
      <c r="U55" s="65">
        <v>17.600000000000001</v>
      </c>
      <c r="V55" s="45">
        <v>17.100000000000001</v>
      </c>
      <c r="W55" s="45">
        <v>17.100000000000001</v>
      </c>
      <c r="X55" s="45">
        <v>17.100000000000001</v>
      </c>
      <c r="Y55" s="45">
        <v>17.100000000000001</v>
      </c>
      <c r="Z55" s="45">
        <v>17.100000000000001</v>
      </c>
      <c r="AA55" s="45">
        <v>17.100000000000001</v>
      </c>
      <c r="AB55" s="45">
        <v>17.100000000000001</v>
      </c>
      <c r="AC55" s="45">
        <v>17.100000000000001</v>
      </c>
      <c r="AD55" s="45">
        <v>17.100000000000001</v>
      </c>
      <c r="AE55" s="45">
        <v>17.100000000000001</v>
      </c>
      <c r="AF55" s="45">
        <v>17.100000000000001</v>
      </c>
      <c r="AG55" s="55">
        <v>24</v>
      </c>
      <c r="AH55" s="48">
        <f t="shared" si="2"/>
        <v>17.600000000000001</v>
      </c>
      <c r="AI55" s="49">
        <f t="shared" si="3"/>
        <v>0</v>
      </c>
      <c r="AK55" s="50"/>
    </row>
    <row r="56" spans="1:41" x14ac:dyDescent="0.25">
      <c r="A56" s="54" t="s">
        <v>64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14.6</v>
      </c>
      <c r="C57" s="65">
        <v>14</v>
      </c>
      <c r="D57" s="65">
        <v>14</v>
      </c>
      <c r="E57" s="65">
        <v>14</v>
      </c>
      <c r="F57" s="65">
        <v>14</v>
      </c>
      <c r="G57" s="65">
        <v>14.1</v>
      </c>
      <c r="H57" s="65">
        <v>14.1</v>
      </c>
      <c r="I57" s="65">
        <v>14.1</v>
      </c>
      <c r="J57" s="65">
        <v>13.4</v>
      </c>
      <c r="K57" s="65">
        <v>13</v>
      </c>
      <c r="L57" s="65">
        <v>13</v>
      </c>
      <c r="M57" s="65">
        <v>13</v>
      </c>
      <c r="N57" s="65">
        <v>14.1</v>
      </c>
      <c r="O57" s="65">
        <v>14.1</v>
      </c>
      <c r="P57" s="65">
        <v>14.1</v>
      </c>
      <c r="Q57" s="65">
        <v>14.1</v>
      </c>
      <c r="R57" s="65">
        <v>14.1</v>
      </c>
      <c r="S57" s="65">
        <v>14.1</v>
      </c>
      <c r="T57" s="65">
        <v>14.1</v>
      </c>
      <c r="U57" s="65">
        <v>14.1</v>
      </c>
      <c r="V57" s="65">
        <v>14.3</v>
      </c>
      <c r="W57" s="65">
        <v>14.3</v>
      </c>
      <c r="X57" s="65">
        <v>14.3</v>
      </c>
      <c r="Y57" s="65">
        <v>14.3</v>
      </c>
      <c r="Z57" s="65">
        <v>14.3</v>
      </c>
      <c r="AA57" s="65">
        <v>14.3</v>
      </c>
      <c r="AB57" s="65">
        <v>14.3</v>
      </c>
      <c r="AC57" s="65">
        <v>14.3</v>
      </c>
      <c r="AD57" s="65">
        <v>14.3</v>
      </c>
      <c r="AE57" s="65">
        <v>14.3</v>
      </c>
      <c r="AF57" s="65">
        <v>14.3</v>
      </c>
      <c r="AG57" s="55">
        <v>14.1</v>
      </c>
      <c r="AH57" s="48">
        <f t="shared" si="2"/>
        <v>14.6</v>
      </c>
      <c r="AI57" s="49">
        <f t="shared" si="3"/>
        <v>13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7</v>
      </c>
      <c r="C58" s="65">
        <v>7</v>
      </c>
      <c r="D58" s="65">
        <v>7</v>
      </c>
      <c r="E58" s="65">
        <v>7</v>
      </c>
      <c r="F58" s="65">
        <v>7</v>
      </c>
      <c r="G58" s="65">
        <v>7.4</v>
      </c>
      <c r="H58" s="65">
        <v>7.4</v>
      </c>
      <c r="I58" s="65">
        <v>7.4</v>
      </c>
      <c r="J58" s="65">
        <v>7.4</v>
      </c>
      <c r="K58" s="65">
        <v>7.4</v>
      </c>
      <c r="L58" s="65">
        <v>7.4</v>
      </c>
      <c r="M58" s="65">
        <v>7.4</v>
      </c>
      <c r="N58" s="65">
        <v>7.4</v>
      </c>
      <c r="O58" s="65">
        <v>7.4</v>
      </c>
      <c r="P58" s="65">
        <v>7.4</v>
      </c>
      <c r="Q58" s="65">
        <v>7.4</v>
      </c>
      <c r="R58" s="65">
        <v>7.4</v>
      </c>
      <c r="S58" s="65">
        <v>7.4</v>
      </c>
      <c r="T58" s="65">
        <v>7.4</v>
      </c>
      <c r="U58" s="65">
        <v>7.4</v>
      </c>
      <c r="V58" s="65">
        <v>7.4</v>
      </c>
      <c r="W58" s="65">
        <v>7.4</v>
      </c>
      <c r="X58" s="65">
        <v>7.4</v>
      </c>
      <c r="Y58" s="65">
        <v>7.4</v>
      </c>
      <c r="Z58" s="65">
        <v>7.4</v>
      </c>
      <c r="AA58" s="65">
        <v>7.4</v>
      </c>
      <c r="AB58" s="65">
        <v>7.4</v>
      </c>
      <c r="AC58" s="65">
        <v>7.4</v>
      </c>
      <c r="AD58" s="65">
        <v>7.4</v>
      </c>
      <c r="AE58" s="65">
        <v>7.4</v>
      </c>
      <c r="AF58" s="65">
        <v>7.4</v>
      </c>
      <c r="AG58" s="55">
        <v>14</v>
      </c>
      <c r="AH58" s="48">
        <f t="shared" si="2"/>
        <v>7.4</v>
      </c>
      <c r="AI58" s="49">
        <f t="shared" si="3"/>
        <v>7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6.2</v>
      </c>
      <c r="H59" s="65">
        <v>6.2</v>
      </c>
      <c r="I59" s="65">
        <v>6.2</v>
      </c>
      <c r="J59" s="65">
        <v>6.2</v>
      </c>
      <c r="K59" s="65">
        <v>6.2</v>
      </c>
      <c r="L59" s="65">
        <v>6.2</v>
      </c>
      <c r="M59" s="65">
        <v>6.2</v>
      </c>
      <c r="N59" s="65">
        <v>6.2</v>
      </c>
      <c r="O59" s="65">
        <v>6.2</v>
      </c>
      <c r="P59" s="65">
        <v>6.2</v>
      </c>
      <c r="Q59" s="65">
        <v>6.2</v>
      </c>
      <c r="R59" s="65">
        <v>6.2</v>
      </c>
      <c r="S59" s="65">
        <v>6.2</v>
      </c>
      <c r="T59" s="65">
        <v>6.2</v>
      </c>
      <c r="U59" s="65">
        <v>6.2</v>
      </c>
      <c r="V59" s="65">
        <v>6.2</v>
      </c>
      <c r="W59" s="65">
        <v>6.2</v>
      </c>
      <c r="X59" s="65">
        <v>6.2</v>
      </c>
      <c r="Y59" s="65">
        <v>6.2</v>
      </c>
      <c r="Z59" s="65">
        <v>6.2</v>
      </c>
      <c r="AA59" s="65">
        <v>6.2</v>
      </c>
      <c r="AB59" s="65">
        <v>6.2</v>
      </c>
      <c r="AC59" s="65">
        <v>6.2</v>
      </c>
      <c r="AD59" s="65">
        <v>6.2</v>
      </c>
      <c r="AE59" s="65">
        <v>6.2</v>
      </c>
      <c r="AF59" s="65">
        <v>6.2</v>
      </c>
      <c r="AG59" s="55">
        <v>10.050000000000001</v>
      </c>
      <c r="AH59" s="48">
        <f t="shared" si="2"/>
        <v>6.5</v>
      </c>
      <c r="AI59" s="49">
        <f t="shared" si="3"/>
        <v>6.2</v>
      </c>
      <c r="AK59" s="50"/>
    </row>
    <row r="60" spans="1:41" x14ac:dyDescent="0.25">
      <c r="A60" s="54" t="s">
        <v>68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>
        <v>3.6</v>
      </c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7">SUM(B49:B61)</f>
        <v>239.93999999999997</v>
      </c>
      <c r="C62" s="61">
        <f t="shared" si="7"/>
        <v>181.54</v>
      </c>
      <c r="D62" s="61">
        <f t="shared" si="7"/>
        <v>176.64</v>
      </c>
      <c r="E62" s="61">
        <f t="shared" si="7"/>
        <v>150.63999999999999</v>
      </c>
      <c r="F62" s="61">
        <f t="shared" si="7"/>
        <v>176.64</v>
      </c>
      <c r="G62" s="61">
        <f t="shared" si="7"/>
        <v>208.23999999999995</v>
      </c>
      <c r="H62" s="61">
        <f t="shared" si="7"/>
        <v>235.03999999999996</v>
      </c>
      <c r="I62" s="61">
        <f t="shared" si="7"/>
        <v>295.90000000000003</v>
      </c>
      <c r="J62" s="61">
        <f t="shared" si="7"/>
        <v>353.34000000000003</v>
      </c>
      <c r="K62" s="61">
        <f t="shared" si="7"/>
        <v>386.43900000000002</v>
      </c>
      <c r="L62" s="61">
        <f t="shared" si="7"/>
        <v>410.04</v>
      </c>
      <c r="M62" s="61">
        <f t="shared" si="7"/>
        <v>413.64</v>
      </c>
      <c r="N62" s="61">
        <f t="shared" si="7"/>
        <v>412.34000000000003</v>
      </c>
      <c r="O62" s="61">
        <f t="shared" si="7"/>
        <v>412.34000000000003</v>
      </c>
      <c r="P62" s="61">
        <f t="shared" si="7"/>
        <v>405.34000000000003</v>
      </c>
      <c r="Q62" s="61">
        <f t="shared" si="7"/>
        <v>377.14000000000004</v>
      </c>
      <c r="R62" s="61">
        <f t="shared" si="7"/>
        <v>354.74000000000007</v>
      </c>
      <c r="S62" s="61">
        <f t="shared" si="7"/>
        <v>346.54</v>
      </c>
      <c r="T62" s="61">
        <f t="shared" si="7"/>
        <v>318.94</v>
      </c>
      <c r="U62" s="61">
        <f t="shared" si="7"/>
        <v>331.74</v>
      </c>
      <c r="V62" s="61">
        <f t="shared" si="7"/>
        <v>373.94000000000005</v>
      </c>
      <c r="W62" s="61">
        <f t="shared" si="7"/>
        <v>373.94000000000005</v>
      </c>
      <c r="X62" s="61">
        <f t="shared" si="7"/>
        <v>407.44</v>
      </c>
      <c r="Y62" s="61">
        <f t="shared" si="7"/>
        <v>407.44</v>
      </c>
      <c r="Z62" s="61">
        <f t="shared" si="7"/>
        <v>407.44</v>
      </c>
      <c r="AA62" s="61">
        <f t="shared" si="7"/>
        <v>407.44</v>
      </c>
      <c r="AB62" s="61">
        <f t="shared" si="7"/>
        <v>383.14000000000004</v>
      </c>
      <c r="AC62" s="61">
        <f t="shared" si="7"/>
        <v>354.94</v>
      </c>
      <c r="AD62" s="61">
        <f t="shared" si="7"/>
        <v>341.14000000000004</v>
      </c>
      <c r="AE62" s="61">
        <f t="shared" si="7"/>
        <v>286.44</v>
      </c>
      <c r="AF62" s="61">
        <f t="shared" si="7"/>
        <v>244.14</v>
      </c>
      <c r="AG62" s="62">
        <f t="shared" si="7"/>
        <v>489.91</v>
      </c>
      <c r="AH62" s="48">
        <f t="shared" si="2"/>
        <v>413.64</v>
      </c>
      <c r="AI62" s="49">
        <f t="shared" si="3"/>
        <v>150.63999999999999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11</v>
      </c>
      <c r="N63" s="45">
        <v>12</v>
      </c>
      <c r="O63" s="45">
        <v>20.7</v>
      </c>
      <c r="P63" s="45">
        <v>25.1</v>
      </c>
      <c r="Q63" s="45">
        <v>10.3</v>
      </c>
      <c r="R63" s="45">
        <v>14.7</v>
      </c>
      <c r="S63" s="45">
        <v>0</v>
      </c>
      <c r="T63" s="45">
        <v>0</v>
      </c>
      <c r="U63" s="45">
        <v>0</v>
      </c>
      <c r="V63" s="45">
        <v>0</v>
      </c>
      <c r="W63" s="45">
        <v>59.8</v>
      </c>
      <c r="X63" s="45">
        <v>59.8</v>
      </c>
      <c r="Y63" s="45">
        <v>49.5</v>
      </c>
      <c r="Z63" s="45">
        <v>25</v>
      </c>
      <c r="AA63" s="45">
        <v>9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>
        <v>60</v>
      </c>
      <c r="AH63" s="48">
        <f t="shared" si="2"/>
        <v>59.8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3.7</v>
      </c>
      <c r="N64" s="65">
        <v>3.5</v>
      </c>
      <c r="O64" s="65">
        <v>7.4</v>
      </c>
      <c r="P64" s="65">
        <v>11</v>
      </c>
      <c r="Q64" s="65">
        <v>6.7</v>
      </c>
      <c r="R64" s="65">
        <v>6.5</v>
      </c>
      <c r="S64" s="65">
        <v>4.5</v>
      </c>
      <c r="T64" s="65">
        <v>0</v>
      </c>
      <c r="U64" s="65">
        <v>0</v>
      </c>
      <c r="V64" s="65">
        <v>0</v>
      </c>
      <c r="W64" s="65">
        <v>25</v>
      </c>
      <c r="X64" s="65">
        <v>28.7</v>
      </c>
      <c r="Y64" s="65">
        <v>26.1</v>
      </c>
      <c r="Z64" s="65">
        <v>12.3</v>
      </c>
      <c r="AA64" s="65">
        <v>3.3</v>
      </c>
      <c r="AB64" s="65">
        <v>3.3</v>
      </c>
      <c r="AC64" s="65">
        <v>0</v>
      </c>
      <c r="AD64" s="65">
        <v>0</v>
      </c>
      <c r="AE64" s="65">
        <v>0</v>
      </c>
      <c r="AF64" s="65">
        <v>0</v>
      </c>
      <c r="AG64" s="55">
        <v>32</v>
      </c>
      <c r="AH64" s="48">
        <f t="shared" si="2"/>
        <v>28.7</v>
      </c>
      <c r="AI64" s="49">
        <f t="shared" si="3"/>
        <v>0</v>
      </c>
      <c r="AK64" s="50"/>
    </row>
    <row r="65" spans="1:37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1.3</v>
      </c>
      <c r="N65" s="67">
        <v>1.4</v>
      </c>
      <c r="O65" s="67">
        <v>2.7</v>
      </c>
      <c r="P65" s="67">
        <v>4</v>
      </c>
      <c r="Q65" s="67">
        <v>2.4</v>
      </c>
      <c r="R65" s="67">
        <v>2.4</v>
      </c>
      <c r="S65" s="67">
        <v>1.6</v>
      </c>
      <c r="T65" s="67">
        <v>0</v>
      </c>
      <c r="U65" s="67">
        <v>0</v>
      </c>
      <c r="V65" s="67">
        <v>0</v>
      </c>
      <c r="W65" s="67">
        <v>9.1</v>
      </c>
      <c r="X65" s="67">
        <v>10.5</v>
      </c>
      <c r="Y65" s="67">
        <v>9.5</v>
      </c>
      <c r="Z65" s="67">
        <v>3</v>
      </c>
      <c r="AA65" s="67">
        <v>1.2</v>
      </c>
      <c r="AB65" s="67">
        <v>1.2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8">
        <f t="shared" si="2"/>
        <v>10.5</v>
      </c>
      <c r="AI65" s="49">
        <f t="shared" si="3"/>
        <v>0</v>
      </c>
      <c r="AK65" s="50"/>
    </row>
    <row r="66" spans="1:37" ht="15.75" thickBot="1" x14ac:dyDescent="0.3">
      <c r="A66" s="74" t="s">
        <v>74</v>
      </c>
      <c r="B66" s="61">
        <f t="shared" ref="B66:AG66" si="8">SUM(B63:B65)</f>
        <v>0</v>
      </c>
      <c r="C66" s="61">
        <f t="shared" si="8"/>
        <v>0</v>
      </c>
      <c r="D66" s="61">
        <f t="shared" si="8"/>
        <v>0</v>
      </c>
      <c r="E66" s="61">
        <f t="shared" si="8"/>
        <v>0</v>
      </c>
      <c r="F66" s="61">
        <f t="shared" si="8"/>
        <v>0</v>
      </c>
      <c r="G66" s="61">
        <f t="shared" si="8"/>
        <v>0</v>
      </c>
      <c r="H66" s="61">
        <f t="shared" si="8"/>
        <v>0</v>
      </c>
      <c r="I66" s="61">
        <f t="shared" si="8"/>
        <v>0</v>
      </c>
      <c r="J66" s="61">
        <f t="shared" si="8"/>
        <v>0</v>
      </c>
      <c r="K66" s="61">
        <f t="shared" si="8"/>
        <v>0</v>
      </c>
      <c r="L66" s="61">
        <f t="shared" si="8"/>
        <v>0</v>
      </c>
      <c r="M66" s="61">
        <f t="shared" si="8"/>
        <v>16</v>
      </c>
      <c r="N66" s="61">
        <f t="shared" si="8"/>
        <v>16.899999999999999</v>
      </c>
      <c r="O66" s="61">
        <f t="shared" si="8"/>
        <v>30.8</v>
      </c>
      <c r="P66" s="61">
        <f t="shared" si="8"/>
        <v>40.1</v>
      </c>
      <c r="Q66" s="61">
        <f t="shared" si="8"/>
        <v>19.399999999999999</v>
      </c>
      <c r="R66" s="61">
        <f t="shared" si="8"/>
        <v>23.599999999999998</v>
      </c>
      <c r="S66" s="61">
        <f t="shared" si="8"/>
        <v>6.1</v>
      </c>
      <c r="T66" s="61">
        <f t="shared" si="8"/>
        <v>0</v>
      </c>
      <c r="U66" s="61">
        <f t="shared" si="8"/>
        <v>0</v>
      </c>
      <c r="V66" s="61">
        <f t="shared" si="8"/>
        <v>0</v>
      </c>
      <c r="W66" s="61">
        <f t="shared" si="8"/>
        <v>93.899999999999991</v>
      </c>
      <c r="X66" s="61">
        <f t="shared" si="8"/>
        <v>99</v>
      </c>
      <c r="Y66" s="61">
        <f t="shared" si="8"/>
        <v>85.1</v>
      </c>
      <c r="Z66" s="61">
        <f t="shared" si="8"/>
        <v>40.299999999999997</v>
      </c>
      <c r="AA66" s="61">
        <f t="shared" si="8"/>
        <v>13.5</v>
      </c>
      <c r="AB66" s="61">
        <f t="shared" si="8"/>
        <v>4.5</v>
      </c>
      <c r="AC66" s="61">
        <f t="shared" si="8"/>
        <v>0</v>
      </c>
      <c r="AD66" s="61">
        <f t="shared" si="8"/>
        <v>0</v>
      </c>
      <c r="AE66" s="61">
        <f t="shared" si="8"/>
        <v>0</v>
      </c>
      <c r="AF66" s="61">
        <f t="shared" si="8"/>
        <v>0</v>
      </c>
      <c r="AG66" s="62">
        <f t="shared" si="8"/>
        <v>106</v>
      </c>
      <c r="AH66" s="48">
        <f t="shared" si="2"/>
        <v>99</v>
      </c>
      <c r="AI66" s="49">
        <f t="shared" si="3"/>
        <v>0</v>
      </c>
      <c r="AK66" s="50"/>
    </row>
    <row r="67" spans="1:37" x14ac:dyDescent="0.25">
      <c r="A67" s="44" t="s">
        <v>75</v>
      </c>
      <c r="B67" s="45">
        <v>63</v>
      </c>
      <c r="C67" s="45">
        <v>70</v>
      </c>
      <c r="D67" s="45">
        <v>45</v>
      </c>
      <c r="E67" s="45">
        <v>54</v>
      </c>
      <c r="F67" s="45">
        <v>62</v>
      </c>
      <c r="G67" s="45">
        <v>61.2</v>
      </c>
      <c r="H67" s="45">
        <v>59</v>
      </c>
      <c r="I67" s="45">
        <v>60</v>
      </c>
      <c r="J67" s="45">
        <v>59.2</v>
      </c>
      <c r="K67" s="45">
        <v>44</v>
      </c>
      <c r="L67" s="45">
        <v>41.4</v>
      </c>
      <c r="M67" s="45">
        <v>44.2</v>
      </c>
      <c r="N67" s="45">
        <v>47.2</v>
      </c>
      <c r="O67" s="45">
        <v>48.4</v>
      </c>
      <c r="P67" s="45">
        <v>47.9</v>
      </c>
      <c r="Q67" s="45">
        <v>43.6</v>
      </c>
      <c r="R67" s="45">
        <v>46.2</v>
      </c>
      <c r="S67" s="45">
        <v>61.2</v>
      </c>
      <c r="T67" s="45">
        <v>46.7</v>
      </c>
      <c r="U67" s="45">
        <v>50.9</v>
      </c>
      <c r="V67" s="45">
        <v>45</v>
      </c>
      <c r="W67" s="45">
        <v>47.8</v>
      </c>
      <c r="X67" s="45">
        <v>50.1</v>
      </c>
      <c r="Y67" s="45">
        <v>47</v>
      </c>
      <c r="Z67" s="45">
        <v>45</v>
      </c>
      <c r="AA67" s="45">
        <v>44.4</v>
      </c>
      <c r="AB67" s="45">
        <v>43.5</v>
      </c>
      <c r="AC67" s="45">
        <v>51</v>
      </c>
      <c r="AD67" s="45">
        <v>55.8</v>
      </c>
      <c r="AE67" s="45">
        <v>42</v>
      </c>
      <c r="AF67" s="45">
        <v>46</v>
      </c>
      <c r="AG67" s="52"/>
      <c r="AH67" s="48">
        <f t="shared" si="2"/>
        <v>70</v>
      </c>
      <c r="AI67" s="49">
        <f t="shared" si="3"/>
        <v>41.4</v>
      </c>
      <c r="AK67" s="50"/>
    </row>
    <row r="68" spans="1:37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65">
        <v>48</v>
      </c>
      <c r="C69" s="65">
        <v>100</v>
      </c>
      <c r="D69" s="65">
        <v>90</v>
      </c>
      <c r="E69" s="65">
        <v>103</v>
      </c>
      <c r="F69" s="65">
        <v>92</v>
      </c>
      <c r="G69" s="65">
        <v>93</v>
      </c>
      <c r="H69" s="65">
        <v>93</v>
      </c>
      <c r="I69" s="65">
        <v>76</v>
      </c>
      <c r="J69" s="65">
        <v>0</v>
      </c>
      <c r="K69" s="65">
        <v>3</v>
      </c>
      <c r="L69" s="65">
        <v>18.100000000000001</v>
      </c>
      <c r="M69" s="65">
        <v>6</v>
      </c>
      <c r="N69" s="65">
        <v>0.5</v>
      </c>
      <c r="O69" s="65">
        <v>-7</v>
      </c>
      <c r="P69" s="65">
        <v>4</v>
      </c>
      <c r="Q69" s="65">
        <v>3.5</v>
      </c>
      <c r="R69" s="65">
        <v>5</v>
      </c>
      <c r="S69" s="65">
        <v>-8.9</v>
      </c>
      <c r="T69" s="65">
        <v>95.8</v>
      </c>
      <c r="U69" s="65">
        <v>100.6</v>
      </c>
      <c r="V69" s="65">
        <v>6</v>
      </c>
      <c r="W69" s="65">
        <v>29.2</v>
      </c>
      <c r="X69" s="65">
        <v>1</v>
      </c>
      <c r="Y69" s="65">
        <v>0</v>
      </c>
      <c r="Z69" s="65">
        <v>0</v>
      </c>
      <c r="AA69" s="65">
        <v>0</v>
      </c>
      <c r="AB69" s="65">
        <v>0</v>
      </c>
      <c r="AC69" s="65">
        <v>5</v>
      </c>
      <c r="AD69" s="65">
        <v>-5</v>
      </c>
      <c r="AE69" s="65">
        <v>-6</v>
      </c>
      <c r="AF69" s="65">
        <v>10</v>
      </c>
      <c r="AG69" s="75"/>
      <c r="AH69" s="48">
        <f t="shared" si="2"/>
        <v>103</v>
      </c>
      <c r="AI69" s="49">
        <f t="shared" si="3"/>
        <v>-8.9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75"/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>
        <v>0</v>
      </c>
      <c r="AC76" s="79">
        <v>0</v>
      </c>
      <c r="AD76" s="79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/>
      <c r="AH77" s="48">
        <f t="shared" si="2"/>
        <v>0</v>
      </c>
      <c r="AI77" s="49">
        <f t="shared" si="3"/>
        <v>0</v>
      </c>
      <c r="AK77" s="50"/>
    </row>
    <row r="78" spans="1:37" ht="15.75" thickBot="1" x14ac:dyDescent="0.3">
      <c r="A78" s="74" t="s">
        <v>86</v>
      </c>
      <c r="B78" s="61">
        <f t="shared" ref="B78:AF78" si="9">SUMIF(B67:B77,"&gt;0")</f>
        <v>111</v>
      </c>
      <c r="C78" s="61">
        <f t="shared" si="9"/>
        <v>170</v>
      </c>
      <c r="D78" s="61">
        <f t="shared" si="9"/>
        <v>135</v>
      </c>
      <c r="E78" s="61">
        <f t="shared" si="9"/>
        <v>157</v>
      </c>
      <c r="F78" s="61">
        <f t="shared" si="9"/>
        <v>154</v>
      </c>
      <c r="G78" s="61">
        <f t="shared" si="9"/>
        <v>154.19999999999999</v>
      </c>
      <c r="H78" s="61">
        <f t="shared" si="9"/>
        <v>152</v>
      </c>
      <c r="I78" s="61">
        <f t="shared" si="9"/>
        <v>136</v>
      </c>
      <c r="J78" s="61">
        <f t="shared" si="9"/>
        <v>59.2</v>
      </c>
      <c r="K78" s="61">
        <f t="shared" si="9"/>
        <v>47</v>
      </c>
      <c r="L78" s="61">
        <f t="shared" si="9"/>
        <v>59.5</v>
      </c>
      <c r="M78" s="61">
        <f t="shared" si="9"/>
        <v>50.2</v>
      </c>
      <c r="N78" s="61">
        <f t="shared" si="9"/>
        <v>47.7</v>
      </c>
      <c r="O78" s="61">
        <f t="shared" si="9"/>
        <v>48.4</v>
      </c>
      <c r="P78" s="61">
        <f t="shared" si="9"/>
        <v>51.9</v>
      </c>
      <c r="Q78" s="61">
        <f t="shared" si="9"/>
        <v>47.1</v>
      </c>
      <c r="R78" s="61">
        <f t="shared" si="9"/>
        <v>51.2</v>
      </c>
      <c r="S78" s="61">
        <f t="shared" si="9"/>
        <v>61.2</v>
      </c>
      <c r="T78" s="61">
        <f t="shared" si="9"/>
        <v>142.5</v>
      </c>
      <c r="U78" s="61">
        <f t="shared" si="9"/>
        <v>151.5</v>
      </c>
      <c r="V78" s="61">
        <f t="shared" si="9"/>
        <v>51</v>
      </c>
      <c r="W78" s="61">
        <f t="shared" si="9"/>
        <v>77</v>
      </c>
      <c r="X78" s="61">
        <f t="shared" si="9"/>
        <v>51.1</v>
      </c>
      <c r="Y78" s="61">
        <f t="shared" si="9"/>
        <v>47</v>
      </c>
      <c r="Z78" s="61">
        <f t="shared" si="9"/>
        <v>45</v>
      </c>
      <c r="AA78" s="61">
        <f t="shared" si="9"/>
        <v>44.4</v>
      </c>
      <c r="AB78" s="61">
        <f t="shared" si="9"/>
        <v>43.5</v>
      </c>
      <c r="AC78" s="61">
        <f t="shared" si="9"/>
        <v>56</v>
      </c>
      <c r="AD78" s="61">
        <f t="shared" si="9"/>
        <v>55.8</v>
      </c>
      <c r="AE78" s="61">
        <f t="shared" si="9"/>
        <v>42</v>
      </c>
      <c r="AF78" s="61">
        <f t="shared" si="9"/>
        <v>56</v>
      </c>
      <c r="AG78" s="81">
        <f>SUM(AG67:AG77)</f>
        <v>0</v>
      </c>
      <c r="AH78" s="48">
        <f t="shared" si="2"/>
        <v>170</v>
      </c>
      <c r="AI78" s="49">
        <f t="shared" si="3"/>
        <v>42</v>
      </c>
      <c r="AK78" s="50"/>
    </row>
    <row r="79" spans="1:37" x14ac:dyDescent="0.25">
      <c r="A79" s="44" t="s">
        <v>87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/>
      <c r="AC79" s="76"/>
      <c r="AD79" s="76"/>
      <c r="AE79" s="76"/>
      <c r="AF79" s="76"/>
      <c r="AG79" s="82">
        <v>39</v>
      </c>
      <c r="AH79" s="48">
        <f t="shared" si="2"/>
        <v>0</v>
      </c>
      <c r="AI79" s="49">
        <f t="shared" si="3"/>
        <v>0</v>
      </c>
      <c r="AK79" s="50"/>
    </row>
    <row r="80" spans="1:37" x14ac:dyDescent="0.25">
      <c r="A80" s="54" t="s">
        <v>88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/>
      <c r="AC80" s="77"/>
      <c r="AD80" s="77"/>
      <c r="AE80" s="77"/>
      <c r="AF80" s="77"/>
      <c r="AG80" s="75">
        <v>14.4</v>
      </c>
      <c r="AH80" s="48">
        <f t="shared" ref="AH80:AH113" si="10">MAX(B80:AF80)</f>
        <v>0</v>
      </c>
      <c r="AI80" s="49">
        <f t="shared" ref="AI80:AI113" si="11">MIN(B80:AF80)</f>
        <v>0</v>
      </c>
      <c r="AK80" s="50"/>
    </row>
    <row r="81" spans="1:37" ht="15.75" thickBot="1" x14ac:dyDescent="0.3">
      <c r="A81" s="78" t="s">
        <v>89</v>
      </c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/>
      <c r="AC81" s="79"/>
      <c r="AD81" s="79"/>
      <c r="AE81" s="79"/>
      <c r="AF81" s="79"/>
      <c r="AG81" s="80">
        <v>2</v>
      </c>
      <c r="AH81" s="48">
        <f t="shared" si="10"/>
        <v>0</v>
      </c>
      <c r="AI81" s="49">
        <f t="shared" si="11"/>
        <v>0</v>
      </c>
    </row>
    <row r="82" spans="1:37" ht="15.75" thickBot="1" x14ac:dyDescent="0.3">
      <c r="A82" s="74" t="s">
        <v>90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10"/>
        <v>0</v>
      </c>
      <c r="AI82" s="49">
        <f t="shared" si="11"/>
        <v>0</v>
      </c>
    </row>
    <row r="83" spans="1:37" ht="15.75" thickBot="1" x14ac:dyDescent="0.3">
      <c r="A83" s="74" t="s">
        <v>91</v>
      </c>
      <c r="B83" s="83">
        <f t="shared" ref="B83:AG83" si="12">B44+B48+B66+B62+B78+B82</f>
        <v>1030.8389999999999</v>
      </c>
      <c r="C83" s="83">
        <f t="shared" si="12"/>
        <v>969.53899999999999</v>
      </c>
      <c r="D83" s="83">
        <f t="shared" si="12"/>
        <v>966.73900000000003</v>
      </c>
      <c r="E83" s="83">
        <f t="shared" si="12"/>
        <v>947.63900000000001</v>
      </c>
      <c r="F83" s="83">
        <f t="shared" si="12"/>
        <v>970.63900000000001</v>
      </c>
      <c r="G83" s="83">
        <f t="shared" si="12"/>
        <v>1031.739</v>
      </c>
      <c r="H83" s="83">
        <f t="shared" si="12"/>
        <v>1046.799</v>
      </c>
      <c r="I83" s="83">
        <f t="shared" si="12"/>
        <v>1157.5989999999999</v>
      </c>
      <c r="J83" s="83">
        <f t="shared" si="12"/>
        <v>1239.039</v>
      </c>
      <c r="K83" s="83">
        <f t="shared" si="12"/>
        <v>1320.028</v>
      </c>
      <c r="L83" s="83">
        <f t="shared" si="12"/>
        <v>1386.1289999999999</v>
      </c>
      <c r="M83" s="83">
        <f t="shared" si="12"/>
        <v>1431.6789999999999</v>
      </c>
      <c r="N83" s="83">
        <f t="shared" si="12"/>
        <v>1450.739</v>
      </c>
      <c r="O83" s="83">
        <f t="shared" si="12"/>
        <v>1420.4389999999999</v>
      </c>
      <c r="P83" s="83">
        <f t="shared" si="12"/>
        <v>1281.239</v>
      </c>
      <c r="Q83" s="83">
        <f t="shared" si="12"/>
        <v>1177.5389999999998</v>
      </c>
      <c r="R83" s="83">
        <f t="shared" si="12"/>
        <v>1158.4390000000001</v>
      </c>
      <c r="S83" s="83">
        <f t="shared" si="12"/>
        <v>1121.739</v>
      </c>
      <c r="T83" s="83">
        <f t="shared" si="12"/>
        <v>1109.3389999999999</v>
      </c>
      <c r="U83" s="83">
        <f t="shared" si="12"/>
        <v>1156.1389999999999</v>
      </c>
      <c r="V83" s="83">
        <f t="shared" si="12"/>
        <v>1205.739</v>
      </c>
      <c r="W83" s="83">
        <f t="shared" si="12"/>
        <v>1375.6390000000001</v>
      </c>
      <c r="X83" s="83">
        <f t="shared" si="12"/>
        <v>1391.539</v>
      </c>
      <c r="Y83" s="83">
        <f t="shared" si="12"/>
        <v>1348.539</v>
      </c>
      <c r="Z83" s="83">
        <f t="shared" si="12"/>
        <v>1301.739</v>
      </c>
      <c r="AA83" s="83">
        <f t="shared" si="12"/>
        <v>1254.4390000000001</v>
      </c>
      <c r="AB83" s="83">
        <f t="shared" si="12"/>
        <v>1220.239</v>
      </c>
      <c r="AC83" s="83">
        <f t="shared" si="12"/>
        <v>1164.9390000000001</v>
      </c>
      <c r="AD83" s="83">
        <f t="shared" si="12"/>
        <v>1150.9390000000001</v>
      </c>
      <c r="AE83" s="83">
        <f t="shared" si="12"/>
        <v>1032.4390000000001</v>
      </c>
      <c r="AF83" s="83">
        <f t="shared" si="12"/>
        <v>939.13900000000001</v>
      </c>
      <c r="AG83" s="62">
        <f t="shared" si="12"/>
        <v>2004.1900000000003</v>
      </c>
      <c r="AH83" s="48">
        <f t="shared" si="10"/>
        <v>1450.739</v>
      </c>
      <c r="AI83" s="49">
        <f t="shared" si="11"/>
        <v>939.13900000000001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>
        <v>40</v>
      </c>
      <c r="Q84" s="85">
        <v>40</v>
      </c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10"/>
        <v>40</v>
      </c>
      <c r="AI84" s="49">
        <f t="shared" si="11"/>
        <v>40</v>
      </c>
    </row>
    <row r="85" spans="1:37" ht="15.75" thickBot="1" x14ac:dyDescent="0.3">
      <c r="A85" s="74" t="s">
        <v>93</v>
      </c>
      <c r="B85" s="83">
        <f t="shared" ref="B85:AF85" si="13">B83+B84</f>
        <v>1030.8389999999999</v>
      </c>
      <c r="C85" s="83">
        <f t="shared" si="13"/>
        <v>969.53899999999999</v>
      </c>
      <c r="D85" s="83">
        <f t="shared" si="13"/>
        <v>966.73900000000003</v>
      </c>
      <c r="E85" s="83">
        <f t="shared" si="13"/>
        <v>947.63900000000001</v>
      </c>
      <c r="F85" s="83">
        <f t="shared" si="13"/>
        <v>970.63900000000001</v>
      </c>
      <c r="G85" s="83">
        <f t="shared" si="13"/>
        <v>1031.739</v>
      </c>
      <c r="H85" s="83">
        <f t="shared" si="13"/>
        <v>1046.799</v>
      </c>
      <c r="I85" s="83">
        <f t="shared" si="13"/>
        <v>1157.5989999999999</v>
      </c>
      <c r="J85" s="83">
        <f t="shared" si="13"/>
        <v>1239.039</v>
      </c>
      <c r="K85" s="83">
        <f t="shared" si="13"/>
        <v>1320.028</v>
      </c>
      <c r="L85" s="83">
        <f t="shared" si="13"/>
        <v>1386.1289999999999</v>
      </c>
      <c r="M85" s="83">
        <f t="shared" si="13"/>
        <v>1431.6789999999999</v>
      </c>
      <c r="N85" s="83">
        <f t="shared" si="13"/>
        <v>1450.739</v>
      </c>
      <c r="O85" s="83">
        <f t="shared" si="13"/>
        <v>1420.4389999999999</v>
      </c>
      <c r="P85" s="83">
        <f t="shared" si="13"/>
        <v>1321.239</v>
      </c>
      <c r="Q85" s="83">
        <f t="shared" si="13"/>
        <v>1217.5389999999998</v>
      </c>
      <c r="R85" s="83">
        <f t="shared" si="13"/>
        <v>1158.4390000000001</v>
      </c>
      <c r="S85" s="83">
        <f t="shared" si="13"/>
        <v>1121.739</v>
      </c>
      <c r="T85" s="83">
        <f t="shared" si="13"/>
        <v>1109.3389999999999</v>
      </c>
      <c r="U85" s="83">
        <f t="shared" si="13"/>
        <v>1156.1389999999999</v>
      </c>
      <c r="V85" s="83">
        <f t="shared" si="13"/>
        <v>1205.739</v>
      </c>
      <c r="W85" s="83">
        <f t="shared" si="13"/>
        <v>1375.6390000000001</v>
      </c>
      <c r="X85" s="83">
        <f t="shared" si="13"/>
        <v>1391.539</v>
      </c>
      <c r="Y85" s="83">
        <f t="shared" si="13"/>
        <v>1348.539</v>
      </c>
      <c r="Z85" s="83">
        <f t="shared" si="13"/>
        <v>1301.739</v>
      </c>
      <c r="AA85" s="83">
        <f t="shared" si="13"/>
        <v>1254.4390000000001</v>
      </c>
      <c r="AB85" s="83">
        <f t="shared" si="13"/>
        <v>1220.239</v>
      </c>
      <c r="AC85" s="83">
        <f t="shared" si="13"/>
        <v>1164.9390000000001</v>
      </c>
      <c r="AD85" s="83">
        <f t="shared" si="13"/>
        <v>1150.9390000000001</v>
      </c>
      <c r="AE85" s="83">
        <f t="shared" si="13"/>
        <v>1032.4390000000001</v>
      </c>
      <c r="AF85" s="83">
        <f t="shared" si="13"/>
        <v>939.13900000000001</v>
      </c>
      <c r="AG85" s="81">
        <f>AG82+AG78+AG66+AG62+AG44+AG84</f>
        <v>1466.0900000000001</v>
      </c>
      <c r="AH85" s="48">
        <f t="shared" si="10"/>
        <v>1450.739</v>
      </c>
      <c r="AI85" s="49">
        <f t="shared" si="11"/>
        <v>939.13900000000001</v>
      </c>
    </row>
    <row r="86" spans="1:37" ht="15.75" thickBot="1" x14ac:dyDescent="0.3">
      <c r="A86" s="74" t="s">
        <v>94</v>
      </c>
      <c r="B86" s="83">
        <f t="shared" ref="B86:AF86" si="14">B85-B93</f>
        <v>1030.8389999999999</v>
      </c>
      <c r="C86" s="83">
        <f t="shared" si="14"/>
        <v>969.53899999999999</v>
      </c>
      <c r="D86" s="83">
        <f t="shared" si="14"/>
        <v>966.73900000000003</v>
      </c>
      <c r="E86" s="83">
        <f t="shared" si="14"/>
        <v>947.63900000000001</v>
      </c>
      <c r="F86" s="83">
        <f t="shared" si="14"/>
        <v>970.63900000000001</v>
      </c>
      <c r="G86" s="83">
        <f t="shared" si="14"/>
        <v>1031.739</v>
      </c>
      <c r="H86" s="83">
        <f t="shared" si="14"/>
        <v>1046.799</v>
      </c>
      <c r="I86" s="83">
        <f t="shared" si="14"/>
        <v>1157.5989999999999</v>
      </c>
      <c r="J86" s="83">
        <f t="shared" si="14"/>
        <v>1239.039</v>
      </c>
      <c r="K86" s="83">
        <f t="shared" si="14"/>
        <v>1320.028</v>
      </c>
      <c r="L86" s="83">
        <f t="shared" si="14"/>
        <v>1386.1289999999999</v>
      </c>
      <c r="M86" s="83">
        <f t="shared" si="14"/>
        <v>1431.6789999999999</v>
      </c>
      <c r="N86" s="83">
        <f t="shared" si="14"/>
        <v>1450.739</v>
      </c>
      <c r="O86" s="83">
        <f t="shared" si="14"/>
        <v>1413.4389999999999</v>
      </c>
      <c r="P86" s="83">
        <f t="shared" si="14"/>
        <v>1321.239</v>
      </c>
      <c r="Q86" s="83">
        <f t="shared" si="14"/>
        <v>1217.5389999999998</v>
      </c>
      <c r="R86" s="83">
        <f t="shared" si="14"/>
        <v>1158.4390000000001</v>
      </c>
      <c r="S86" s="83">
        <f t="shared" si="14"/>
        <v>1112.8389999999999</v>
      </c>
      <c r="T86" s="83">
        <f t="shared" si="14"/>
        <v>1109.3389999999999</v>
      </c>
      <c r="U86" s="83">
        <f t="shared" si="14"/>
        <v>1156.1389999999999</v>
      </c>
      <c r="V86" s="83">
        <f t="shared" si="14"/>
        <v>1205.739</v>
      </c>
      <c r="W86" s="83">
        <f t="shared" si="14"/>
        <v>1375.6390000000001</v>
      </c>
      <c r="X86" s="83">
        <f t="shared" si="14"/>
        <v>1391.539</v>
      </c>
      <c r="Y86" s="83">
        <f t="shared" si="14"/>
        <v>1348.539</v>
      </c>
      <c r="Z86" s="83">
        <f t="shared" si="14"/>
        <v>1301.739</v>
      </c>
      <c r="AA86" s="83">
        <f t="shared" si="14"/>
        <v>1254.4390000000001</v>
      </c>
      <c r="AB86" s="83">
        <f t="shared" si="14"/>
        <v>1220.239</v>
      </c>
      <c r="AC86" s="83">
        <f t="shared" si="14"/>
        <v>1164.9390000000001</v>
      </c>
      <c r="AD86" s="83">
        <f t="shared" si="14"/>
        <v>1145.9390000000001</v>
      </c>
      <c r="AE86" s="83">
        <f t="shared" si="14"/>
        <v>1026.4390000000001</v>
      </c>
      <c r="AF86" s="83">
        <f t="shared" si="14"/>
        <v>939.13900000000001</v>
      </c>
      <c r="AG86" s="81"/>
      <c r="AH86" s="48">
        <f t="shared" si="10"/>
        <v>1450.739</v>
      </c>
      <c r="AI86" s="49">
        <f t="shared" si="11"/>
        <v>939.13900000000001</v>
      </c>
    </row>
    <row r="87" spans="1:37" x14ac:dyDescent="0.25">
      <c r="A87" s="44" t="s">
        <v>78</v>
      </c>
      <c r="B87" s="76">
        <f t="shared" ref="B87:AF87" si="15">IF(B70&lt;0,B70*-1,0)</f>
        <v>0</v>
      </c>
      <c r="C87" s="76">
        <f t="shared" si="15"/>
        <v>0</v>
      </c>
      <c r="D87" s="76">
        <f t="shared" si="15"/>
        <v>0</v>
      </c>
      <c r="E87" s="76">
        <f t="shared" si="15"/>
        <v>0</v>
      </c>
      <c r="F87" s="76">
        <f t="shared" si="15"/>
        <v>0</v>
      </c>
      <c r="G87" s="76">
        <f t="shared" si="15"/>
        <v>0</v>
      </c>
      <c r="H87" s="76">
        <f t="shared" si="15"/>
        <v>0</v>
      </c>
      <c r="I87" s="76">
        <f t="shared" si="15"/>
        <v>0</v>
      </c>
      <c r="J87" s="76">
        <f t="shared" si="15"/>
        <v>0</v>
      </c>
      <c r="K87" s="76">
        <f t="shared" si="15"/>
        <v>0</v>
      </c>
      <c r="L87" s="76">
        <f t="shared" si="15"/>
        <v>0</v>
      </c>
      <c r="M87" s="76">
        <f t="shared" si="15"/>
        <v>0</v>
      </c>
      <c r="N87" s="76">
        <f t="shared" si="15"/>
        <v>0</v>
      </c>
      <c r="O87" s="76">
        <f t="shared" si="15"/>
        <v>0</v>
      </c>
      <c r="P87" s="76">
        <f t="shared" si="15"/>
        <v>0</v>
      </c>
      <c r="Q87" s="76">
        <f t="shared" si="15"/>
        <v>0</v>
      </c>
      <c r="R87" s="76">
        <f t="shared" si="15"/>
        <v>0</v>
      </c>
      <c r="S87" s="76">
        <f t="shared" si="15"/>
        <v>0</v>
      </c>
      <c r="T87" s="76">
        <f t="shared" si="15"/>
        <v>0</v>
      </c>
      <c r="U87" s="76">
        <f t="shared" si="15"/>
        <v>0</v>
      </c>
      <c r="V87" s="76">
        <f t="shared" si="15"/>
        <v>0</v>
      </c>
      <c r="W87" s="76">
        <f t="shared" si="15"/>
        <v>0</v>
      </c>
      <c r="X87" s="76">
        <f t="shared" si="15"/>
        <v>0</v>
      </c>
      <c r="Y87" s="76">
        <f t="shared" si="15"/>
        <v>0</v>
      </c>
      <c r="Z87" s="76">
        <f t="shared" si="15"/>
        <v>0</v>
      </c>
      <c r="AA87" s="76">
        <f t="shared" si="15"/>
        <v>0</v>
      </c>
      <c r="AB87" s="76">
        <f t="shared" si="15"/>
        <v>0</v>
      </c>
      <c r="AC87" s="76">
        <f t="shared" si="15"/>
        <v>0</v>
      </c>
      <c r="AD87" s="76">
        <f t="shared" si="15"/>
        <v>0</v>
      </c>
      <c r="AE87" s="76">
        <f t="shared" si="15"/>
        <v>0</v>
      </c>
      <c r="AF87" s="76">
        <f t="shared" si="15"/>
        <v>0</v>
      </c>
      <c r="AG87" s="52"/>
      <c r="AH87" s="48">
        <f t="shared" si="10"/>
        <v>0</v>
      </c>
      <c r="AI87" s="49">
        <f t="shared" si="11"/>
        <v>0</v>
      </c>
    </row>
    <row r="88" spans="1:37" x14ac:dyDescent="0.25">
      <c r="A88" s="54" t="s">
        <v>76</v>
      </c>
      <c r="B88" s="76">
        <f t="shared" ref="B88:AF88" si="16">IF(B68&lt;0,B68*-1,0)</f>
        <v>0</v>
      </c>
      <c r="C88" s="76">
        <f t="shared" si="16"/>
        <v>0</v>
      </c>
      <c r="D88" s="76">
        <f t="shared" si="16"/>
        <v>0</v>
      </c>
      <c r="E88" s="76">
        <f t="shared" si="16"/>
        <v>0</v>
      </c>
      <c r="F88" s="76">
        <f t="shared" si="16"/>
        <v>0</v>
      </c>
      <c r="G88" s="76">
        <f t="shared" si="16"/>
        <v>0</v>
      </c>
      <c r="H88" s="76">
        <f t="shared" si="16"/>
        <v>0</v>
      </c>
      <c r="I88" s="76">
        <f t="shared" si="16"/>
        <v>0</v>
      </c>
      <c r="J88" s="76">
        <f t="shared" si="16"/>
        <v>0</v>
      </c>
      <c r="K88" s="76">
        <f t="shared" si="16"/>
        <v>0</v>
      </c>
      <c r="L88" s="76">
        <f t="shared" si="16"/>
        <v>0</v>
      </c>
      <c r="M88" s="76">
        <f t="shared" si="16"/>
        <v>0</v>
      </c>
      <c r="N88" s="76">
        <f t="shared" si="16"/>
        <v>0</v>
      </c>
      <c r="O88" s="76">
        <f t="shared" si="16"/>
        <v>0</v>
      </c>
      <c r="P88" s="76">
        <f t="shared" si="16"/>
        <v>0</v>
      </c>
      <c r="Q88" s="76">
        <f t="shared" si="16"/>
        <v>0</v>
      </c>
      <c r="R88" s="76">
        <f t="shared" si="16"/>
        <v>0</v>
      </c>
      <c r="S88" s="76">
        <f t="shared" si="16"/>
        <v>0</v>
      </c>
      <c r="T88" s="76">
        <f t="shared" si="16"/>
        <v>0</v>
      </c>
      <c r="U88" s="76">
        <f t="shared" si="16"/>
        <v>0</v>
      </c>
      <c r="V88" s="76">
        <f t="shared" si="16"/>
        <v>0</v>
      </c>
      <c r="W88" s="76">
        <f t="shared" si="16"/>
        <v>0</v>
      </c>
      <c r="X88" s="76">
        <f t="shared" si="16"/>
        <v>0</v>
      </c>
      <c r="Y88" s="76">
        <f t="shared" si="16"/>
        <v>0</v>
      </c>
      <c r="Z88" s="76">
        <f t="shared" si="16"/>
        <v>0</v>
      </c>
      <c r="AA88" s="76">
        <f t="shared" si="16"/>
        <v>0</v>
      </c>
      <c r="AB88" s="76">
        <f t="shared" si="16"/>
        <v>0</v>
      </c>
      <c r="AC88" s="76">
        <f t="shared" si="16"/>
        <v>0</v>
      </c>
      <c r="AD88" s="76">
        <f t="shared" si="16"/>
        <v>0</v>
      </c>
      <c r="AE88" s="76">
        <f t="shared" si="16"/>
        <v>0</v>
      </c>
      <c r="AF88" s="76">
        <f t="shared" si="16"/>
        <v>0</v>
      </c>
      <c r="AG88" s="55"/>
      <c r="AH88" s="48">
        <f t="shared" si="10"/>
        <v>0</v>
      </c>
      <c r="AI88" s="49">
        <f t="shared" si="11"/>
        <v>0</v>
      </c>
    </row>
    <row r="89" spans="1:37" x14ac:dyDescent="0.25">
      <c r="A89" s="78" t="s">
        <v>95</v>
      </c>
      <c r="B89" s="76">
        <f t="shared" ref="B89:AF89" si="17">IF(B71&lt;0,B71*-1,0)</f>
        <v>0</v>
      </c>
      <c r="C89" s="76">
        <f t="shared" si="17"/>
        <v>0</v>
      </c>
      <c r="D89" s="76">
        <f t="shared" si="17"/>
        <v>0</v>
      </c>
      <c r="E89" s="76">
        <f t="shared" si="17"/>
        <v>0</v>
      </c>
      <c r="F89" s="76">
        <f t="shared" si="17"/>
        <v>0</v>
      </c>
      <c r="G89" s="76">
        <f t="shared" si="17"/>
        <v>0</v>
      </c>
      <c r="H89" s="76">
        <f t="shared" si="17"/>
        <v>0</v>
      </c>
      <c r="I89" s="76">
        <f t="shared" si="17"/>
        <v>0</v>
      </c>
      <c r="J89" s="76">
        <f t="shared" si="17"/>
        <v>0</v>
      </c>
      <c r="K89" s="76">
        <f t="shared" si="17"/>
        <v>0</v>
      </c>
      <c r="L89" s="76">
        <f t="shared" si="17"/>
        <v>0</v>
      </c>
      <c r="M89" s="76">
        <f t="shared" si="17"/>
        <v>0</v>
      </c>
      <c r="N89" s="76">
        <f t="shared" si="17"/>
        <v>0</v>
      </c>
      <c r="O89" s="76">
        <f t="shared" si="17"/>
        <v>0</v>
      </c>
      <c r="P89" s="76">
        <f t="shared" si="17"/>
        <v>0</v>
      </c>
      <c r="Q89" s="76">
        <f t="shared" si="17"/>
        <v>0</v>
      </c>
      <c r="R89" s="76">
        <f t="shared" si="17"/>
        <v>0</v>
      </c>
      <c r="S89" s="76">
        <f t="shared" si="17"/>
        <v>0</v>
      </c>
      <c r="T89" s="76">
        <f t="shared" si="17"/>
        <v>0</v>
      </c>
      <c r="U89" s="76">
        <f t="shared" si="17"/>
        <v>0</v>
      </c>
      <c r="V89" s="76">
        <f t="shared" si="17"/>
        <v>0</v>
      </c>
      <c r="W89" s="76">
        <f t="shared" si="17"/>
        <v>0</v>
      </c>
      <c r="X89" s="76">
        <f t="shared" si="17"/>
        <v>0</v>
      </c>
      <c r="Y89" s="76">
        <f t="shared" si="17"/>
        <v>0</v>
      </c>
      <c r="Z89" s="76">
        <f t="shared" si="17"/>
        <v>0</v>
      </c>
      <c r="AA89" s="76">
        <f t="shared" si="17"/>
        <v>0</v>
      </c>
      <c r="AB89" s="76">
        <f t="shared" si="17"/>
        <v>0</v>
      </c>
      <c r="AC89" s="76">
        <f t="shared" si="17"/>
        <v>0</v>
      </c>
      <c r="AD89" s="76">
        <f t="shared" si="17"/>
        <v>0</v>
      </c>
      <c r="AE89" s="76">
        <f t="shared" si="17"/>
        <v>0</v>
      </c>
      <c r="AF89" s="76">
        <f t="shared" si="17"/>
        <v>0</v>
      </c>
      <c r="AG89" s="86"/>
      <c r="AH89" s="48">
        <f t="shared" si="10"/>
        <v>0</v>
      </c>
      <c r="AI89" s="49">
        <f t="shared" si="11"/>
        <v>0</v>
      </c>
    </row>
    <row r="90" spans="1:37" x14ac:dyDescent="0.25">
      <c r="A90" s="78" t="s">
        <v>96</v>
      </c>
      <c r="B90" s="76">
        <f t="shared" ref="B90:AF90" si="18">IF(B69&lt;0,B69*-1,0)</f>
        <v>0</v>
      </c>
      <c r="C90" s="76">
        <f t="shared" si="18"/>
        <v>0</v>
      </c>
      <c r="D90" s="76">
        <f t="shared" si="18"/>
        <v>0</v>
      </c>
      <c r="E90" s="76">
        <f t="shared" si="18"/>
        <v>0</v>
      </c>
      <c r="F90" s="76">
        <f t="shared" si="18"/>
        <v>0</v>
      </c>
      <c r="G90" s="76">
        <f t="shared" si="18"/>
        <v>0</v>
      </c>
      <c r="H90" s="76">
        <f t="shared" si="18"/>
        <v>0</v>
      </c>
      <c r="I90" s="76">
        <f t="shared" si="18"/>
        <v>0</v>
      </c>
      <c r="J90" s="76">
        <f t="shared" si="18"/>
        <v>0</v>
      </c>
      <c r="K90" s="76">
        <f t="shared" si="18"/>
        <v>0</v>
      </c>
      <c r="L90" s="76">
        <f t="shared" si="18"/>
        <v>0</v>
      </c>
      <c r="M90" s="76">
        <f t="shared" si="18"/>
        <v>0</v>
      </c>
      <c r="N90" s="76">
        <f t="shared" si="18"/>
        <v>0</v>
      </c>
      <c r="O90" s="76">
        <f t="shared" si="18"/>
        <v>7</v>
      </c>
      <c r="P90" s="76">
        <f t="shared" si="18"/>
        <v>0</v>
      </c>
      <c r="Q90" s="76">
        <f t="shared" si="18"/>
        <v>0</v>
      </c>
      <c r="R90" s="76">
        <f t="shared" si="18"/>
        <v>0</v>
      </c>
      <c r="S90" s="76">
        <f t="shared" si="18"/>
        <v>8.9</v>
      </c>
      <c r="T90" s="76">
        <f t="shared" si="18"/>
        <v>0</v>
      </c>
      <c r="U90" s="76">
        <f t="shared" si="18"/>
        <v>0</v>
      </c>
      <c r="V90" s="76">
        <f t="shared" si="18"/>
        <v>0</v>
      </c>
      <c r="W90" s="76">
        <f t="shared" si="18"/>
        <v>0</v>
      </c>
      <c r="X90" s="76">
        <f t="shared" si="18"/>
        <v>0</v>
      </c>
      <c r="Y90" s="76">
        <f t="shared" si="18"/>
        <v>0</v>
      </c>
      <c r="Z90" s="76">
        <f t="shared" si="18"/>
        <v>0</v>
      </c>
      <c r="AA90" s="76">
        <f t="shared" si="18"/>
        <v>0</v>
      </c>
      <c r="AB90" s="76">
        <f t="shared" si="18"/>
        <v>0</v>
      </c>
      <c r="AC90" s="76">
        <f t="shared" si="18"/>
        <v>0</v>
      </c>
      <c r="AD90" s="76">
        <f t="shared" si="18"/>
        <v>5</v>
      </c>
      <c r="AE90" s="76">
        <f t="shared" si="18"/>
        <v>6</v>
      </c>
      <c r="AF90" s="76">
        <f t="shared" si="18"/>
        <v>0</v>
      </c>
      <c r="AG90" s="86"/>
      <c r="AH90" s="48">
        <f t="shared" si="10"/>
        <v>8.9</v>
      </c>
      <c r="AI90" s="49">
        <f t="shared" si="11"/>
        <v>0</v>
      </c>
    </row>
    <row r="91" spans="1:37" x14ac:dyDescent="0.25">
      <c r="A91" s="78" t="s">
        <v>75</v>
      </c>
      <c r="B91" s="76">
        <f t="shared" ref="B91:AF91" si="19">IF(B67&lt;0,B67*-1,0)</f>
        <v>0</v>
      </c>
      <c r="C91" s="76">
        <f t="shared" si="19"/>
        <v>0</v>
      </c>
      <c r="D91" s="76">
        <f t="shared" si="19"/>
        <v>0</v>
      </c>
      <c r="E91" s="76">
        <f t="shared" si="19"/>
        <v>0</v>
      </c>
      <c r="F91" s="76">
        <f t="shared" si="19"/>
        <v>0</v>
      </c>
      <c r="G91" s="76">
        <f t="shared" si="19"/>
        <v>0</v>
      </c>
      <c r="H91" s="76">
        <f t="shared" si="19"/>
        <v>0</v>
      </c>
      <c r="I91" s="76">
        <f t="shared" si="19"/>
        <v>0</v>
      </c>
      <c r="J91" s="76">
        <f t="shared" si="19"/>
        <v>0</v>
      </c>
      <c r="K91" s="76">
        <f t="shared" si="19"/>
        <v>0</v>
      </c>
      <c r="L91" s="76">
        <f t="shared" si="19"/>
        <v>0</v>
      </c>
      <c r="M91" s="76">
        <f t="shared" si="19"/>
        <v>0</v>
      </c>
      <c r="N91" s="76">
        <f t="shared" si="19"/>
        <v>0</v>
      </c>
      <c r="O91" s="76">
        <f t="shared" si="19"/>
        <v>0</v>
      </c>
      <c r="P91" s="76">
        <f t="shared" si="19"/>
        <v>0</v>
      </c>
      <c r="Q91" s="76">
        <f t="shared" si="19"/>
        <v>0</v>
      </c>
      <c r="R91" s="76">
        <f t="shared" si="19"/>
        <v>0</v>
      </c>
      <c r="S91" s="76">
        <f t="shared" si="19"/>
        <v>0</v>
      </c>
      <c r="T91" s="76">
        <f t="shared" si="19"/>
        <v>0</v>
      </c>
      <c r="U91" s="76">
        <f t="shared" si="19"/>
        <v>0</v>
      </c>
      <c r="V91" s="76">
        <f t="shared" si="19"/>
        <v>0</v>
      </c>
      <c r="W91" s="76">
        <f t="shared" si="19"/>
        <v>0</v>
      </c>
      <c r="X91" s="76">
        <f t="shared" si="19"/>
        <v>0</v>
      </c>
      <c r="Y91" s="76">
        <f t="shared" si="19"/>
        <v>0</v>
      </c>
      <c r="Z91" s="76">
        <f t="shared" si="19"/>
        <v>0</v>
      </c>
      <c r="AA91" s="76">
        <f t="shared" si="19"/>
        <v>0</v>
      </c>
      <c r="AB91" s="76">
        <f t="shared" si="19"/>
        <v>0</v>
      </c>
      <c r="AC91" s="76">
        <f t="shared" si="19"/>
        <v>0</v>
      </c>
      <c r="AD91" s="76">
        <f t="shared" si="19"/>
        <v>0</v>
      </c>
      <c r="AE91" s="76">
        <f t="shared" si="19"/>
        <v>0</v>
      </c>
      <c r="AF91" s="76">
        <f t="shared" si="19"/>
        <v>0</v>
      </c>
      <c r="AG91" s="86"/>
      <c r="AH91" s="48">
        <f t="shared" si="10"/>
        <v>0</v>
      </c>
      <c r="AI91" s="49">
        <f t="shared" si="11"/>
        <v>0</v>
      </c>
    </row>
    <row r="92" spans="1:37" ht="15.75" thickBot="1" x14ac:dyDescent="0.3">
      <c r="A92" s="78" t="s">
        <v>97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>
        <v>0</v>
      </c>
      <c r="AA92" s="79">
        <v>0</v>
      </c>
      <c r="AB92" s="79">
        <v>0</v>
      </c>
      <c r="AC92" s="79"/>
      <c r="AD92" s="79"/>
      <c r="AE92" s="79"/>
      <c r="AF92" s="79"/>
      <c r="AG92" s="80"/>
      <c r="AH92" s="48">
        <f t="shared" si="10"/>
        <v>0</v>
      </c>
      <c r="AI92" s="49">
        <f t="shared" si="11"/>
        <v>0</v>
      </c>
    </row>
    <row r="93" spans="1:37" ht="15.75" thickBot="1" x14ac:dyDescent="0.3">
      <c r="A93" s="87" t="s">
        <v>98</v>
      </c>
      <c r="B93" s="61">
        <f t="shared" ref="B93:AF93" si="20">SUM(B87:B92)</f>
        <v>0</v>
      </c>
      <c r="C93" s="61">
        <f t="shared" si="20"/>
        <v>0</v>
      </c>
      <c r="D93" s="61">
        <f t="shared" si="20"/>
        <v>0</v>
      </c>
      <c r="E93" s="61">
        <f t="shared" si="20"/>
        <v>0</v>
      </c>
      <c r="F93" s="61">
        <f t="shared" si="20"/>
        <v>0</v>
      </c>
      <c r="G93" s="61">
        <f t="shared" si="20"/>
        <v>0</v>
      </c>
      <c r="H93" s="61">
        <f t="shared" si="20"/>
        <v>0</v>
      </c>
      <c r="I93" s="61">
        <f t="shared" si="20"/>
        <v>0</v>
      </c>
      <c r="J93" s="61">
        <f t="shared" si="20"/>
        <v>0</v>
      </c>
      <c r="K93" s="61">
        <f t="shared" si="20"/>
        <v>0</v>
      </c>
      <c r="L93" s="61">
        <f t="shared" si="20"/>
        <v>0</v>
      </c>
      <c r="M93" s="61">
        <f t="shared" si="20"/>
        <v>0</v>
      </c>
      <c r="N93" s="61">
        <f t="shared" si="20"/>
        <v>0</v>
      </c>
      <c r="O93" s="61">
        <f t="shared" si="20"/>
        <v>7</v>
      </c>
      <c r="P93" s="61">
        <f t="shared" si="20"/>
        <v>0</v>
      </c>
      <c r="Q93" s="61">
        <f t="shared" si="20"/>
        <v>0</v>
      </c>
      <c r="R93" s="61">
        <f t="shared" si="20"/>
        <v>0</v>
      </c>
      <c r="S93" s="61">
        <f t="shared" si="20"/>
        <v>8.9</v>
      </c>
      <c r="T93" s="61">
        <f t="shared" si="20"/>
        <v>0</v>
      </c>
      <c r="U93" s="61">
        <f t="shared" si="20"/>
        <v>0</v>
      </c>
      <c r="V93" s="61">
        <f t="shared" si="20"/>
        <v>0</v>
      </c>
      <c r="W93" s="61">
        <f t="shared" si="20"/>
        <v>0</v>
      </c>
      <c r="X93" s="61">
        <f t="shared" si="20"/>
        <v>0</v>
      </c>
      <c r="Y93" s="61">
        <f t="shared" si="20"/>
        <v>0</v>
      </c>
      <c r="Z93" s="61">
        <f t="shared" si="20"/>
        <v>0</v>
      </c>
      <c r="AA93" s="61">
        <f t="shared" si="20"/>
        <v>0</v>
      </c>
      <c r="AB93" s="61">
        <f t="shared" si="20"/>
        <v>0</v>
      </c>
      <c r="AC93" s="61">
        <f t="shared" si="20"/>
        <v>0</v>
      </c>
      <c r="AD93" s="61">
        <f t="shared" si="20"/>
        <v>5</v>
      </c>
      <c r="AE93" s="61">
        <f t="shared" si="20"/>
        <v>6</v>
      </c>
      <c r="AF93" s="61">
        <f t="shared" si="20"/>
        <v>0</v>
      </c>
      <c r="AG93" s="81"/>
      <c r="AH93" s="48">
        <f t="shared" si="10"/>
        <v>8.9</v>
      </c>
      <c r="AI93" s="49">
        <f t="shared" si="11"/>
        <v>0</v>
      </c>
      <c r="AK93" s="50"/>
    </row>
    <row r="94" spans="1:37" ht="15.75" thickBot="1" x14ac:dyDescent="0.3">
      <c r="A94" s="74" t="s">
        <v>99</v>
      </c>
      <c r="B94" s="61">
        <f t="shared" ref="B94:AF94" si="21">B78-B93</f>
        <v>111</v>
      </c>
      <c r="C94" s="61">
        <f t="shared" si="21"/>
        <v>170</v>
      </c>
      <c r="D94" s="61">
        <f t="shared" si="21"/>
        <v>135</v>
      </c>
      <c r="E94" s="61">
        <f t="shared" si="21"/>
        <v>157</v>
      </c>
      <c r="F94" s="61">
        <f t="shared" si="21"/>
        <v>154</v>
      </c>
      <c r="G94" s="61">
        <f t="shared" si="21"/>
        <v>154.19999999999999</v>
      </c>
      <c r="H94" s="61">
        <f t="shared" si="21"/>
        <v>152</v>
      </c>
      <c r="I94" s="61">
        <f t="shared" si="21"/>
        <v>136</v>
      </c>
      <c r="J94" s="61">
        <f t="shared" si="21"/>
        <v>59.2</v>
      </c>
      <c r="K94" s="61">
        <f t="shared" si="21"/>
        <v>47</v>
      </c>
      <c r="L94" s="61">
        <f t="shared" si="21"/>
        <v>59.5</v>
      </c>
      <c r="M94" s="61">
        <f t="shared" si="21"/>
        <v>50.2</v>
      </c>
      <c r="N94" s="61">
        <f t="shared" si="21"/>
        <v>47.7</v>
      </c>
      <c r="O94" s="61">
        <f t="shared" si="21"/>
        <v>41.4</v>
      </c>
      <c r="P94" s="61">
        <f t="shared" si="21"/>
        <v>51.9</v>
      </c>
      <c r="Q94" s="61">
        <f t="shared" si="21"/>
        <v>47.1</v>
      </c>
      <c r="R94" s="61">
        <f t="shared" si="21"/>
        <v>51.2</v>
      </c>
      <c r="S94" s="61">
        <f t="shared" si="21"/>
        <v>52.300000000000004</v>
      </c>
      <c r="T94" s="61">
        <f t="shared" si="21"/>
        <v>142.5</v>
      </c>
      <c r="U94" s="61">
        <f t="shared" si="21"/>
        <v>151.5</v>
      </c>
      <c r="V94" s="61">
        <f t="shared" si="21"/>
        <v>51</v>
      </c>
      <c r="W94" s="61">
        <f t="shared" si="21"/>
        <v>77</v>
      </c>
      <c r="X94" s="61">
        <f t="shared" si="21"/>
        <v>51.1</v>
      </c>
      <c r="Y94" s="61">
        <f t="shared" si="21"/>
        <v>47</v>
      </c>
      <c r="Z94" s="61">
        <f t="shared" si="21"/>
        <v>45</v>
      </c>
      <c r="AA94" s="61">
        <f t="shared" si="21"/>
        <v>44.4</v>
      </c>
      <c r="AB94" s="61">
        <f t="shared" si="21"/>
        <v>43.5</v>
      </c>
      <c r="AC94" s="61">
        <f t="shared" si="21"/>
        <v>56</v>
      </c>
      <c r="AD94" s="61">
        <f t="shared" si="21"/>
        <v>50.8</v>
      </c>
      <c r="AE94" s="61">
        <f t="shared" si="21"/>
        <v>36</v>
      </c>
      <c r="AF94" s="61">
        <f t="shared" si="21"/>
        <v>56</v>
      </c>
      <c r="AG94" s="81"/>
      <c r="AH94" s="48">
        <f t="shared" si="10"/>
        <v>170</v>
      </c>
      <c r="AI94" s="49">
        <f t="shared" si="11"/>
        <v>36</v>
      </c>
    </row>
    <row r="95" spans="1:37" x14ac:dyDescent="0.25">
      <c r="A95" s="88" t="s">
        <v>100</v>
      </c>
      <c r="B95" s="89">
        <v>49.8</v>
      </c>
      <c r="C95" s="89">
        <v>49.78</v>
      </c>
      <c r="D95" s="89">
        <v>50.07</v>
      </c>
      <c r="E95" s="89">
        <v>49.847000000000001</v>
      </c>
      <c r="F95" s="89">
        <v>49.973999999999997</v>
      </c>
      <c r="G95" s="89">
        <v>50.024000000000001</v>
      </c>
      <c r="H95" s="89">
        <v>50.048000000000002</v>
      </c>
      <c r="I95" s="89">
        <v>50.154000000000003</v>
      </c>
      <c r="J95" s="89">
        <v>50.151000000000003</v>
      </c>
      <c r="K95" s="89">
        <v>49.912999999999997</v>
      </c>
      <c r="L95" s="89">
        <v>50.097000000000001</v>
      </c>
      <c r="M95" s="89">
        <v>50.1</v>
      </c>
      <c r="N95" s="89">
        <v>50.079000000000001</v>
      </c>
      <c r="O95" s="89">
        <v>50.018999999999998</v>
      </c>
      <c r="P95" s="89">
        <v>50.051000000000002</v>
      </c>
      <c r="Q95" s="89">
        <v>50.045999999999999</v>
      </c>
      <c r="R95" s="89">
        <v>50.015000000000001</v>
      </c>
      <c r="S95" s="89">
        <v>50.012999999999998</v>
      </c>
      <c r="T95" s="89">
        <v>50.02</v>
      </c>
      <c r="U95" s="89" t="s">
        <v>248</v>
      </c>
      <c r="V95" s="89">
        <v>49.957999999999998</v>
      </c>
      <c r="W95" s="89">
        <v>49.966000000000001</v>
      </c>
      <c r="X95" s="89">
        <v>50.042000000000002</v>
      </c>
      <c r="Y95" s="89">
        <v>49.957999999999998</v>
      </c>
      <c r="Z95" s="89">
        <v>49.957999999999998</v>
      </c>
      <c r="AA95" s="89">
        <v>49.957999999999998</v>
      </c>
      <c r="AB95" s="89">
        <v>50.125999999999998</v>
      </c>
      <c r="AC95" s="89">
        <v>49.923000000000002</v>
      </c>
      <c r="AD95" s="89">
        <v>49.941000000000003</v>
      </c>
      <c r="AE95" s="89">
        <v>49.951999999999998</v>
      </c>
      <c r="AF95" s="89">
        <v>49.920999999999999</v>
      </c>
      <c r="AG95" s="90"/>
      <c r="AH95" s="48">
        <f t="shared" si="10"/>
        <v>50.154000000000003</v>
      </c>
      <c r="AI95" s="49">
        <f t="shared" si="11"/>
        <v>49.78</v>
      </c>
    </row>
    <row r="96" spans="1:37" x14ac:dyDescent="0.25">
      <c r="A96" s="91" t="s">
        <v>101</v>
      </c>
      <c r="B96" s="65">
        <v>128</v>
      </c>
      <c r="C96" s="65">
        <v>128.80000000000001</v>
      </c>
      <c r="D96" s="65">
        <v>130</v>
      </c>
      <c r="E96" s="65">
        <v>128.6</v>
      </c>
      <c r="F96" s="65">
        <v>128.9</v>
      </c>
      <c r="G96" s="65">
        <v>128.6</v>
      </c>
      <c r="H96" s="65">
        <v>128.1</v>
      </c>
      <c r="I96" s="65">
        <v>126.1</v>
      </c>
      <c r="J96" s="65">
        <v>125.4</v>
      </c>
      <c r="K96" s="65">
        <v>124.5</v>
      </c>
      <c r="L96" s="65">
        <v>126</v>
      </c>
      <c r="M96" s="65">
        <v>125.3</v>
      </c>
      <c r="N96" s="65">
        <v>122.2</v>
      </c>
      <c r="O96" s="65">
        <v>126.1</v>
      </c>
      <c r="P96" s="65">
        <v>126.5</v>
      </c>
      <c r="Q96" s="65">
        <v>127.5</v>
      </c>
      <c r="R96" s="65">
        <v>127.6</v>
      </c>
      <c r="S96" s="65">
        <v>127.7</v>
      </c>
      <c r="T96" s="65">
        <v>126</v>
      </c>
      <c r="U96" s="65">
        <v>126.7</v>
      </c>
      <c r="V96" s="65">
        <v>126.5</v>
      </c>
      <c r="W96" s="65">
        <v>128.80000000000001</v>
      </c>
      <c r="X96" s="65">
        <v>129.6</v>
      </c>
      <c r="Y96" s="65">
        <v>129.5</v>
      </c>
      <c r="Z96" s="65">
        <v>129.5</v>
      </c>
      <c r="AA96" s="65">
        <v>128.80000000000001</v>
      </c>
      <c r="AB96" s="65">
        <v>128.30000000000001</v>
      </c>
      <c r="AC96" s="65">
        <v>128</v>
      </c>
      <c r="AD96" s="65">
        <v>128.30000000000001</v>
      </c>
      <c r="AE96" s="65">
        <v>129.1</v>
      </c>
      <c r="AF96" s="65">
        <v>129.69999999999999</v>
      </c>
      <c r="AG96" s="92"/>
      <c r="AH96" s="48">
        <f t="shared" si="10"/>
        <v>130</v>
      </c>
      <c r="AI96" s="49">
        <f t="shared" si="11"/>
        <v>122.2</v>
      </c>
    </row>
    <row r="97" spans="1:35" x14ac:dyDescent="0.25">
      <c r="A97" s="91" t="s">
        <v>102</v>
      </c>
      <c r="B97" s="65">
        <v>66.099999999999994</v>
      </c>
      <c r="C97" s="65">
        <v>66.3</v>
      </c>
      <c r="D97" s="65">
        <v>67</v>
      </c>
      <c r="E97" s="65">
        <v>132.6</v>
      </c>
      <c r="F97" s="65">
        <v>132.6</v>
      </c>
      <c r="G97" s="65">
        <v>132.30000000000001</v>
      </c>
      <c r="H97" s="65">
        <v>130.80000000000001</v>
      </c>
      <c r="I97" s="65">
        <v>130.30000000000001</v>
      </c>
      <c r="J97" s="65">
        <v>129.5</v>
      </c>
      <c r="K97" s="65">
        <v>127.8</v>
      </c>
      <c r="L97" s="65">
        <v>128.6</v>
      </c>
      <c r="M97" s="65">
        <v>127.7</v>
      </c>
      <c r="N97" s="65">
        <v>125.5</v>
      </c>
      <c r="O97" s="65">
        <v>128.19999999999999</v>
      </c>
      <c r="P97" s="65">
        <v>128.80000000000001</v>
      </c>
      <c r="Q97" s="65">
        <v>130</v>
      </c>
      <c r="R97" s="65">
        <v>130.19999999999999</v>
      </c>
      <c r="S97" s="65">
        <v>130.6</v>
      </c>
      <c r="T97" s="65">
        <v>129.5</v>
      </c>
      <c r="U97" s="65">
        <v>130</v>
      </c>
      <c r="V97" s="65">
        <v>129.4</v>
      </c>
      <c r="W97" s="65">
        <v>130.4</v>
      </c>
      <c r="X97" s="65">
        <v>130.69999999999999</v>
      </c>
      <c r="Y97" s="65">
        <v>130.6</v>
      </c>
      <c r="Z97" s="65">
        <v>130.6</v>
      </c>
      <c r="AA97" s="65">
        <v>130.5</v>
      </c>
      <c r="AB97" s="65">
        <v>130.4</v>
      </c>
      <c r="AC97" s="65">
        <v>130.19999999999999</v>
      </c>
      <c r="AD97" s="65">
        <v>131</v>
      </c>
      <c r="AE97" s="65">
        <v>132</v>
      </c>
      <c r="AF97" s="65">
        <v>133.30000000000001</v>
      </c>
      <c r="AG97" s="92"/>
      <c r="AH97" s="48">
        <f t="shared" si="10"/>
        <v>133.30000000000001</v>
      </c>
      <c r="AI97" s="49">
        <f t="shared" si="11"/>
        <v>66.099999999999994</v>
      </c>
    </row>
    <row r="98" spans="1:35" x14ac:dyDescent="0.25">
      <c r="A98" s="91" t="s">
        <v>103</v>
      </c>
      <c r="B98" s="65">
        <v>130</v>
      </c>
      <c r="C98" s="65">
        <v>132.80000000000001</v>
      </c>
      <c r="D98" s="65">
        <v>134</v>
      </c>
      <c r="E98" s="65">
        <v>132.9</v>
      </c>
      <c r="F98" s="65">
        <v>132.4</v>
      </c>
      <c r="G98" s="65">
        <v>131</v>
      </c>
      <c r="H98" s="65">
        <v>132</v>
      </c>
      <c r="I98" s="65">
        <v>130.6</v>
      </c>
      <c r="J98" s="65">
        <v>129.19999999999999</v>
      </c>
      <c r="K98" s="65">
        <v>129.5</v>
      </c>
      <c r="L98" s="65">
        <v>129.30000000000001</v>
      </c>
      <c r="M98" s="65">
        <v>128.30000000000001</v>
      </c>
      <c r="N98" s="65">
        <v>129.1</v>
      </c>
      <c r="O98" s="65">
        <v>131.4</v>
      </c>
      <c r="P98" s="65">
        <v>133.30000000000001</v>
      </c>
      <c r="Q98" s="65">
        <v>132.5</v>
      </c>
      <c r="R98" s="65">
        <v>131.9</v>
      </c>
      <c r="S98" s="65">
        <v>132.4</v>
      </c>
      <c r="T98" s="65">
        <v>131.69999999999999</v>
      </c>
      <c r="U98" s="65">
        <v>131.69999999999999</v>
      </c>
      <c r="V98" s="65">
        <v>131.30000000000001</v>
      </c>
      <c r="W98" s="65">
        <v>127.8</v>
      </c>
      <c r="X98" s="65">
        <v>133.4</v>
      </c>
      <c r="Y98" s="65">
        <v>133.30000000000001</v>
      </c>
      <c r="Z98" s="65">
        <v>133.30000000000001</v>
      </c>
      <c r="AA98" s="65">
        <v>133</v>
      </c>
      <c r="AB98" s="65">
        <v>133.30000000000001</v>
      </c>
      <c r="AC98" s="65">
        <v>132.1</v>
      </c>
      <c r="AD98" s="65">
        <v>132.6</v>
      </c>
      <c r="AE98" s="65">
        <v>133.5</v>
      </c>
      <c r="AF98" s="65">
        <v>133.6</v>
      </c>
      <c r="AG98" s="92"/>
      <c r="AH98" s="48">
        <f t="shared" si="10"/>
        <v>134</v>
      </c>
      <c r="AI98" s="49">
        <f t="shared" si="11"/>
        <v>127.8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0"/>
        <v>0</v>
      </c>
      <c r="AI99" s="49">
        <f t="shared" si="11"/>
        <v>0</v>
      </c>
    </row>
    <row r="100" spans="1:35" x14ac:dyDescent="0.25">
      <c r="A100" s="93" t="s">
        <v>105</v>
      </c>
      <c r="B100" s="94">
        <v>132.4</v>
      </c>
      <c r="C100" s="94">
        <v>128.69999999999999</v>
      </c>
      <c r="D100" s="94">
        <v>131.69999999999999</v>
      </c>
      <c r="E100" s="94">
        <v>132.9</v>
      </c>
      <c r="F100" s="94">
        <v>132.30000000000001</v>
      </c>
      <c r="G100" s="94">
        <v>130</v>
      </c>
      <c r="H100" s="94">
        <v>131.30000000000001</v>
      </c>
      <c r="I100" s="94">
        <v>132.30000000000001</v>
      </c>
      <c r="J100" s="94">
        <v>132.5</v>
      </c>
      <c r="K100" s="94">
        <v>133.1</v>
      </c>
      <c r="L100" s="94">
        <v>133</v>
      </c>
      <c r="M100" s="94">
        <v>133.1</v>
      </c>
      <c r="N100" s="94">
        <v>131.4</v>
      </c>
      <c r="O100" s="94">
        <v>136.1</v>
      </c>
      <c r="P100" s="94">
        <v>132.80000000000001</v>
      </c>
      <c r="Q100" s="94">
        <v>134</v>
      </c>
      <c r="R100" s="94">
        <v>134.19999999999999</v>
      </c>
      <c r="S100" s="94">
        <v>132.1</v>
      </c>
      <c r="T100" s="94">
        <v>132.6</v>
      </c>
      <c r="U100" s="94">
        <v>132</v>
      </c>
      <c r="V100" s="94">
        <v>133</v>
      </c>
      <c r="W100" s="94">
        <v>133.4</v>
      </c>
      <c r="X100" s="94">
        <v>134.80000000000001</v>
      </c>
      <c r="Y100" s="94">
        <v>133.6</v>
      </c>
      <c r="Z100" s="94">
        <v>133.6</v>
      </c>
      <c r="AA100" s="94">
        <v>136.1</v>
      </c>
      <c r="AB100" s="94">
        <v>136.9</v>
      </c>
      <c r="AC100" s="94">
        <v>131.19999999999999</v>
      </c>
      <c r="AD100" s="94">
        <v>131.6</v>
      </c>
      <c r="AE100" s="94">
        <v>132.6</v>
      </c>
      <c r="AF100" s="94">
        <v>131.5</v>
      </c>
      <c r="AG100" s="95"/>
      <c r="AH100" s="48">
        <f t="shared" si="10"/>
        <v>136.9</v>
      </c>
      <c r="AI100" s="49">
        <f t="shared" si="11"/>
        <v>128.69999999999999</v>
      </c>
    </row>
    <row r="101" spans="1:35" x14ac:dyDescent="0.25">
      <c r="A101" s="91" t="s">
        <v>106</v>
      </c>
      <c r="B101" s="65">
        <v>134</v>
      </c>
      <c r="C101" s="65">
        <v>127.2</v>
      </c>
      <c r="D101" s="65">
        <v>136.30000000000001</v>
      </c>
      <c r="E101" s="65">
        <v>135.5</v>
      </c>
      <c r="F101" s="65">
        <v>129.4</v>
      </c>
      <c r="G101" s="65">
        <v>129.4</v>
      </c>
      <c r="H101" s="65">
        <v>130.6</v>
      </c>
      <c r="I101" s="65">
        <v>131.9</v>
      </c>
      <c r="J101" s="65">
        <v>129.19999999999999</v>
      </c>
      <c r="K101" s="65">
        <v>132.1</v>
      </c>
      <c r="L101" s="65">
        <v>130.19999999999999</v>
      </c>
      <c r="M101" s="65">
        <v>127</v>
      </c>
      <c r="N101" s="65">
        <v>130.19999999999999</v>
      </c>
      <c r="O101" s="65">
        <v>129.19999999999999</v>
      </c>
      <c r="P101" s="65">
        <v>130.19999999999999</v>
      </c>
      <c r="Q101" s="65">
        <v>132.6</v>
      </c>
      <c r="R101" s="65">
        <v>136.30000000000001</v>
      </c>
      <c r="S101" s="65">
        <v>127.3</v>
      </c>
      <c r="T101" s="65">
        <v>126.7</v>
      </c>
      <c r="U101" s="65">
        <v>126.2</v>
      </c>
      <c r="V101" s="65">
        <v>134.5</v>
      </c>
      <c r="W101" s="65">
        <v>127.5</v>
      </c>
      <c r="X101" s="65">
        <v>133.5</v>
      </c>
      <c r="Y101" s="65">
        <v>133</v>
      </c>
      <c r="Z101" s="65">
        <v>133</v>
      </c>
      <c r="AA101" s="65">
        <v>133</v>
      </c>
      <c r="AB101" s="65">
        <v>135.6</v>
      </c>
      <c r="AC101" s="65">
        <v>125.7</v>
      </c>
      <c r="AD101" s="65">
        <v>127.3</v>
      </c>
      <c r="AE101" s="65">
        <v>130.6</v>
      </c>
      <c r="AF101" s="65">
        <v>129.4</v>
      </c>
      <c r="AG101" s="92"/>
      <c r="AH101" s="48">
        <f t="shared" si="10"/>
        <v>136.30000000000001</v>
      </c>
      <c r="AI101" s="49">
        <f t="shared" si="11"/>
        <v>125.7</v>
      </c>
    </row>
    <row r="102" spans="1:35" ht="15.75" thickBot="1" x14ac:dyDescent="0.3">
      <c r="A102" s="91" t="s">
        <v>107</v>
      </c>
      <c r="B102" s="96">
        <v>67</v>
      </c>
      <c r="C102" s="96">
        <v>66.3</v>
      </c>
      <c r="D102" s="96">
        <v>67</v>
      </c>
      <c r="E102" s="96">
        <v>66.400000000000006</v>
      </c>
      <c r="F102" s="96">
        <v>66.5</v>
      </c>
      <c r="G102" s="96">
        <v>66.3</v>
      </c>
      <c r="H102" s="96">
        <v>66</v>
      </c>
      <c r="I102" s="96">
        <v>66</v>
      </c>
      <c r="J102" s="96">
        <v>65.099999999999994</v>
      </c>
      <c r="K102" s="96">
        <v>64.3</v>
      </c>
      <c r="L102" s="96">
        <v>64.8</v>
      </c>
      <c r="M102" s="96">
        <v>64.3</v>
      </c>
      <c r="N102" s="96">
        <v>63.1</v>
      </c>
      <c r="O102" s="96">
        <v>64.5</v>
      </c>
      <c r="P102" s="96">
        <v>65.099999999999994</v>
      </c>
      <c r="Q102" s="96">
        <v>65.7</v>
      </c>
      <c r="R102" s="96">
        <v>66</v>
      </c>
      <c r="S102" s="96">
        <v>65.900000000000006</v>
      </c>
      <c r="T102" s="96">
        <v>65.400000000000006</v>
      </c>
      <c r="U102" s="96">
        <v>65.900000000000006</v>
      </c>
      <c r="V102" s="96">
        <v>65.5</v>
      </c>
      <c r="W102" s="96">
        <v>65.8</v>
      </c>
      <c r="X102" s="96">
        <v>65.900000000000006</v>
      </c>
      <c r="Y102" s="96">
        <v>65.5</v>
      </c>
      <c r="Z102" s="96">
        <v>65.5</v>
      </c>
      <c r="AA102" s="96">
        <v>65.8</v>
      </c>
      <c r="AB102" s="96">
        <v>65.599999999999994</v>
      </c>
      <c r="AC102" s="96">
        <v>65.5</v>
      </c>
      <c r="AD102" s="96">
        <v>66</v>
      </c>
      <c r="AE102" s="96">
        <v>66.599999999999994</v>
      </c>
      <c r="AF102" s="96">
        <v>67</v>
      </c>
      <c r="AG102" s="97"/>
      <c r="AH102" s="48">
        <f t="shared" si="10"/>
        <v>67</v>
      </c>
      <c r="AI102" s="49">
        <f t="shared" si="11"/>
        <v>63.1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0"/>
        <v>0</v>
      </c>
      <c r="AI103" s="49">
        <f t="shared" si="11"/>
        <v>0</v>
      </c>
    </row>
    <row r="104" spans="1:35" ht="15.75" thickBot="1" x14ac:dyDescent="0.3">
      <c r="A104" s="99" t="s">
        <v>108</v>
      </c>
      <c r="B104" s="100">
        <f t="shared" ref="B104:AF104" si="22">SUM(B16,B22,B25:B26,B52,B54:B55,B57,B59,B105:B109,B131,B137,B143,B152,B154,B166,B173,B176:B177,B184,B186,B188,B192:B194,B196:B198,B203,B209:B210,B212:B214,B222,B227)</f>
        <v>110.29900000000001</v>
      </c>
      <c r="C104" s="100">
        <f t="shared" si="22"/>
        <v>135.339</v>
      </c>
      <c r="D104" s="100">
        <f t="shared" si="22"/>
        <v>88.339000000000027</v>
      </c>
      <c r="E104" s="100">
        <f t="shared" si="22"/>
        <v>91.239000000000004</v>
      </c>
      <c r="F104" s="100">
        <f t="shared" si="22"/>
        <v>96.409000000000006</v>
      </c>
      <c r="G104" s="100">
        <f t="shared" si="22"/>
        <v>118.13899999999998</v>
      </c>
      <c r="H104" s="100">
        <f t="shared" si="22"/>
        <v>146.13900000000001</v>
      </c>
      <c r="I104" s="100">
        <f t="shared" si="22"/>
        <v>165.39899999999997</v>
      </c>
      <c r="J104" s="100">
        <f t="shared" si="22"/>
        <v>204.339</v>
      </c>
      <c r="K104" s="100">
        <f t="shared" si="22"/>
        <v>258.73899999999998</v>
      </c>
      <c r="L104" s="100">
        <f t="shared" si="22"/>
        <v>250.01899999999998</v>
      </c>
      <c r="M104" s="100">
        <f t="shared" si="22"/>
        <v>308.03900000000004</v>
      </c>
      <c r="N104" s="100">
        <f t="shared" si="22"/>
        <v>309.43900000000002</v>
      </c>
      <c r="O104" s="100">
        <f t="shared" si="22"/>
        <v>312.339</v>
      </c>
      <c r="P104" s="100">
        <f t="shared" si="22"/>
        <v>270.13899999999995</v>
      </c>
      <c r="Q104" s="100">
        <f t="shared" si="22"/>
        <v>237.19899999999998</v>
      </c>
      <c r="R104" s="100">
        <f t="shared" si="22"/>
        <v>223.69900000000001</v>
      </c>
      <c r="S104" s="100">
        <f t="shared" si="22"/>
        <v>189.19899999999998</v>
      </c>
      <c r="T104" s="100">
        <f t="shared" si="22"/>
        <v>194.59899999999996</v>
      </c>
      <c r="U104" s="100">
        <f t="shared" si="22"/>
        <v>221.399</v>
      </c>
      <c r="V104" s="100">
        <f t="shared" si="22"/>
        <v>272.29899999999998</v>
      </c>
      <c r="W104" s="100">
        <f t="shared" si="22"/>
        <v>297.899</v>
      </c>
      <c r="X104" s="100">
        <f t="shared" si="22"/>
        <v>316.99900000000002</v>
      </c>
      <c r="Y104" s="100">
        <f t="shared" si="22"/>
        <v>320.29900000000004</v>
      </c>
      <c r="Z104" s="100">
        <f t="shared" si="22"/>
        <v>320.29900000000004</v>
      </c>
      <c r="AA104" s="100">
        <f t="shared" si="22"/>
        <v>306.899</v>
      </c>
      <c r="AB104" s="100">
        <f t="shared" si="22"/>
        <v>307.19899999999996</v>
      </c>
      <c r="AC104" s="100">
        <f t="shared" si="22"/>
        <v>289.899</v>
      </c>
      <c r="AD104" s="100">
        <f t="shared" si="22"/>
        <v>269.69900000000001</v>
      </c>
      <c r="AE104" s="100">
        <f t="shared" si="22"/>
        <v>163.69899999999998</v>
      </c>
      <c r="AF104" s="100">
        <f t="shared" si="22"/>
        <v>128.69900000000001</v>
      </c>
      <c r="AG104" s="101"/>
      <c r="AH104" s="48">
        <f t="shared" si="10"/>
        <v>320.29900000000004</v>
      </c>
      <c r="AI104" s="49">
        <f t="shared" si="11"/>
        <v>88.339000000000027</v>
      </c>
    </row>
    <row r="105" spans="1:35" x14ac:dyDescent="0.25">
      <c r="A105" s="88" t="s">
        <v>109</v>
      </c>
      <c r="B105" s="102">
        <v>21.7</v>
      </c>
      <c r="C105" s="102">
        <v>16.3</v>
      </c>
      <c r="D105" s="102">
        <v>2.8</v>
      </c>
      <c r="E105" s="102">
        <v>-2.7</v>
      </c>
      <c r="F105" s="102">
        <v>8.5</v>
      </c>
      <c r="G105" s="102">
        <v>10.6</v>
      </c>
      <c r="H105" s="102">
        <v>15.9</v>
      </c>
      <c r="I105" s="102">
        <v>24.9</v>
      </c>
      <c r="J105" s="102">
        <v>29.3</v>
      </c>
      <c r="K105" s="102">
        <v>23</v>
      </c>
      <c r="L105" s="102">
        <v>31.2</v>
      </c>
      <c r="M105" s="102">
        <v>31.3</v>
      </c>
      <c r="N105" s="102">
        <v>33.299999999999997</v>
      </c>
      <c r="O105" s="102">
        <v>41.3</v>
      </c>
      <c r="P105" s="102">
        <v>44.7</v>
      </c>
      <c r="Q105" s="102">
        <v>40.299999999999997</v>
      </c>
      <c r="R105" s="102">
        <v>37.6</v>
      </c>
      <c r="S105" s="102">
        <v>38.1</v>
      </c>
      <c r="T105" s="102">
        <v>35.1</v>
      </c>
      <c r="U105" s="102">
        <v>36.299999999999997</v>
      </c>
      <c r="V105" s="102">
        <v>43.2</v>
      </c>
      <c r="W105" s="102">
        <v>35.200000000000003</v>
      </c>
      <c r="X105" s="102">
        <v>38.799999999999997</v>
      </c>
      <c r="Y105" s="102">
        <v>41.9</v>
      </c>
      <c r="Z105" s="102">
        <v>41.9</v>
      </c>
      <c r="AA105" s="102">
        <v>40.299999999999997</v>
      </c>
      <c r="AB105" s="102">
        <v>51.1</v>
      </c>
      <c r="AC105" s="102">
        <v>49.3</v>
      </c>
      <c r="AD105" s="102">
        <v>46</v>
      </c>
      <c r="AE105" s="102">
        <v>34.1</v>
      </c>
      <c r="AF105" s="102">
        <v>28</v>
      </c>
      <c r="AG105" s="103">
        <v>75</v>
      </c>
      <c r="AH105" s="48">
        <f t="shared" si="10"/>
        <v>51.1</v>
      </c>
      <c r="AI105" s="49">
        <f t="shared" si="11"/>
        <v>-2.7</v>
      </c>
    </row>
    <row r="106" spans="1:35" x14ac:dyDescent="0.25">
      <c r="A106" s="91" t="s">
        <v>110</v>
      </c>
      <c r="B106" s="104">
        <v>37.9</v>
      </c>
      <c r="C106" s="104">
        <v>28.1</v>
      </c>
      <c r="D106" s="104">
        <v>11.8</v>
      </c>
      <c r="E106" s="104">
        <v>3.6</v>
      </c>
      <c r="F106" s="104">
        <v>19.87</v>
      </c>
      <c r="G106" s="104">
        <v>22.5</v>
      </c>
      <c r="H106" s="104">
        <v>31.5</v>
      </c>
      <c r="I106" s="104">
        <v>42.6</v>
      </c>
      <c r="J106" s="104">
        <v>49</v>
      </c>
      <c r="K106" s="104">
        <v>39.9</v>
      </c>
      <c r="L106" s="104">
        <v>49.9</v>
      </c>
      <c r="M106" s="104">
        <v>49.9</v>
      </c>
      <c r="N106" s="104">
        <v>51.5</v>
      </c>
      <c r="O106" s="104">
        <v>63.6</v>
      </c>
      <c r="P106" s="104">
        <v>68.599999999999994</v>
      </c>
      <c r="Q106" s="104">
        <v>63.2</v>
      </c>
      <c r="R106" s="104">
        <v>57.7</v>
      </c>
      <c r="S106" s="104">
        <v>60.2</v>
      </c>
      <c r="T106" s="104">
        <v>51.8</v>
      </c>
      <c r="U106" s="104">
        <v>53.7</v>
      </c>
      <c r="V106" s="104">
        <v>61.7</v>
      </c>
      <c r="W106" s="104">
        <v>50.6</v>
      </c>
      <c r="X106" s="104">
        <v>54.4</v>
      </c>
      <c r="Y106" s="104">
        <v>58.7</v>
      </c>
      <c r="Z106" s="104">
        <v>58.7</v>
      </c>
      <c r="AA106" s="104">
        <v>68.400000000000006</v>
      </c>
      <c r="AB106" s="104">
        <v>71.8</v>
      </c>
      <c r="AC106" s="104">
        <v>70.7</v>
      </c>
      <c r="AD106" s="104">
        <v>65</v>
      </c>
      <c r="AE106" s="104">
        <v>50.3</v>
      </c>
      <c r="AF106" s="104">
        <v>41.5</v>
      </c>
      <c r="AG106" s="103">
        <v>240</v>
      </c>
      <c r="AH106" s="48">
        <f t="shared" si="10"/>
        <v>71.8</v>
      </c>
      <c r="AI106" s="49">
        <f t="shared" si="11"/>
        <v>3.6</v>
      </c>
    </row>
    <row r="107" spans="1:35" x14ac:dyDescent="0.25">
      <c r="A107" s="91" t="s">
        <v>111</v>
      </c>
      <c r="B107" s="104">
        <v>-100</v>
      </c>
      <c r="C107" s="104">
        <v>-72</v>
      </c>
      <c r="D107" s="104">
        <v>-88</v>
      </c>
      <c r="E107" s="104">
        <v>-85</v>
      </c>
      <c r="F107" s="104">
        <v>-90.3</v>
      </c>
      <c r="G107" s="104">
        <v>-87</v>
      </c>
      <c r="H107" s="104">
        <v>-78.2</v>
      </c>
      <c r="I107" s="104">
        <v>-82.9</v>
      </c>
      <c r="J107" s="104">
        <v>-74</v>
      </c>
      <c r="K107" s="104">
        <v>-48</v>
      </c>
      <c r="L107" s="104">
        <v>-42.22</v>
      </c>
      <c r="M107" s="104">
        <f>-16-19.1</f>
        <v>-35.1</v>
      </c>
      <c r="N107" s="104">
        <f>-20-22.8</f>
        <v>-42.8</v>
      </c>
      <c r="O107" s="104">
        <f>-19.5-23.2</f>
        <v>-42.7</v>
      </c>
      <c r="P107" s="104">
        <f>-6.9-9.8</f>
        <v>-16.700000000000003</v>
      </c>
      <c r="Q107" s="104">
        <f>-12.9-16.1</f>
        <v>-29</v>
      </c>
      <c r="R107" s="104">
        <f>-16.2-20.5</f>
        <v>-36.700000000000003</v>
      </c>
      <c r="S107" s="104">
        <v>-65</v>
      </c>
      <c r="T107" s="104">
        <v>-46.5</v>
      </c>
      <c r="U107" s="104">
        <v>-59</v>
      </c>
      <c r="V107" s="104">
        <v>-43.8</v>
      </c>
      <c r="W107" s="104">
        <v>-43</v>
      </c>
      <c r="X107" s="104">
        <v>-35</v>
      </c>
      <c r="Y107" s="104">
        <v>-32</v>
      </c>
      <c r="Z107" s="104">
        <v>-32</v>
      </c>
      <c r="AA107" s="104">
        <v>-27</v>
      </c>
      <c r="AB107" s="104">
        <f>-14-16.8</f>
        <v>-30.8</v>
      </c>
      <c r="AC107" s="104">
        <f>-19-20</f>
        <v>-39</v>
      </c>
      <c r="AD107" s="104">
        <f>-21.4-23.6</f>
        <v>-45</v>
      </c>
      <c r="AE107" s="104">
        <f>-37-40</f>
        <v>-77</v>
      </c>
      <c r="AF107" s="104">
        <f>-43-45</f>
        <v>-88</v>
      </c>
      <c r="AG107" s="103">
        <v>240</v>
      </c>
      <c r="AH107" s="48">
        <f t="shared" si="10"/>
        <v>-16.700000000000003</v>
      </c>
      <c r="AI107" s="49">
        <f t="shared" si="11"/>
        <v>-100</v>
      </c>
    </row>
    <row r="108" spans="1:35" x14ac:dyDescent="0.25">
      <c r="A108" s="91" t="s">
        <v>112</v>
      </c>
      <c r="B108" s="104">
        <v>-3.6</v>
      </c>
      <c r="C108" s="104">
        <v>4.5999999999999996</v>
      </c>
      <c r="D108" s="104">
        <v>-1.8</v>
      </c>
      <c r="E108" s="104">
        <v>-3</v>
      </c>
      <c r="F108" s="104">
        <v>-4.0999999999999996</v>
      </c>
      <c r="G108" s="104">
        <v>-1.5</v>
      </c>
      <c r="H108" s="104">
        <v>0</v>
      </c>
      <c r="I108" s="104">
        <v>0</v>
      </c>
      <c r="J108" s="104">
        <v>4.5</v>
      </c>
      <c r="K108" s="104">
        <v>10.6</v>
      </c>
      <c r="L108" s="104">
        <v>-21.6</v>
      </c>
      <c r="M108" s="104">
        <v>22.8</v>
      </c>
      <c r="N108" s="104">
        <v>20.3</v>
      </c>
      <c r="O108" s="104">
        <v>24.9</v>
      </c>
      <c r="P108" s="104">
        <v>30.8</v>
      </c>
      <c r="Q108" s="104">
        <v>20.9</v>
      </c>
      <c r="R108" s="104">
        <v>21.3</v>
      </c>
      <c r="S108" s="104">
        <v>12.1</v>
      </c>
      <c r="T108" s="104">
        <v>12.1</v>
      </c>
      <c r="U108" s="104">
        <v>11.8</v>
      </c>
      <c r="V108" s="104">
        <v>16.600000000000001</v>
      </c>
      <c r="W108" s="104">
        <v>59.5</v>
      </c>
      <c r="X108" s="104">
        <v>64.400000000000006</v>
      </c>
      <c r="Y108" s="104">
        <v>59.3</v>
      </c>
      <c r="Z108" s="104">
        <v>59.3</v>
      </c>
      <c r="AA108" s="104">
        <v>35.5</v>
      </c>
      <c r="AB108" s="104">
        <v>26.4</v>
      </c>
      <c r="AC108" s="104">
        <v>24.3</v>
      </c>
      <c r="AD108" s="104">
        <v>19.7</v>
      </c>
      <c r="AE108" s="104">
        <v>8.4</v>
      </c>
      <c r="AF108" s="104">
        <v>4.4000000000000004</v>
      </c>
      <c r="AG108" s="103">
        <v>60</v>
      </c>
      <c r="AH108" s="48">
        <f t="shared" si="10"/>
        <v>64.400000000000006</v>
      </c>
      <c r="AI108" s="49">
        <f t="shared" si="11"/>
        <v>-21.6</v>
      </c>
    </row>
    <row r="109" spans="1:35" x14ac:dyDescent="0.25">
      <c r="A109" s="105" t="s">
        <v>113</v>
      </c>
      <c r="B109" s="106">
        <v>16</v>
      </c>
      <c r="C109" s="106">
        <v>36.6</v>
      </c>
      <c r="D109" s="106">
        <v>25.6</v>
      </c>
      <c r="E109" s="106">
        <v>40.4</v>
      </c>
      <c r="F109" s="106">
        <v>24.5</v>
      </c>
      <c r="G109" s="106">
        <v>35.5</v>
      </c>
      <c r="H109" s="106">
        <v>39.1</v>
      </c>
      <c r="I109" s="106">
        <v>42</v>
      </c>
      <c r="J109" s="106">
        <v>57.5</v>
      </c>
      <c r="K109" s="106">
        <v>95.6</v>
      </c>
      <c r="L109" s="106">
        <v>95.1</v>
      </c>
      <c r="M109" s="106">
        <v>101.5</v>
      </c>
      <c r="N109" s="106">
        <v>104.4</v>
      </c>
      <c r="O109" s="106">
        <v>82.5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36.5</v>
      </c>
      <c r="V109" s="106">
        <v>58</v>
      </c>
      <c r="W109" s="106">
        <v>59</v>
      </c>
      <c r="X109" s="106">
        <v>56.6</v>
      </c>
      <c r="Y109" s="106">
        <v>54.6</v>
      </c>
      <c r="Z109" s="106">
        <v>54.6</v>
      </c>
      <c r="AA109" s="106">
        <v>51.9</v>
      </c>
      <c r="AB109" s="106">
        <v>50.5</v>
      </c>
      <c r="AC109" s="106">
        <v>46.4</v>
      </c>
      <c r="AD109" s="106">
        <v>45.8</v>
      </c>
      <c r="AE109" s="106">
        <v>9.6999999999999993</v>
      </c>
      <c r="AF109" s="106">
        <v>4.4000000000000004</v>
      </c>
      <c r="AG109" s="107">
        <v>120</v>
      </c>
      <c r="AH109" s="48">
        <f t="shared" si="10"/>
        <v>104.4</v>
      </c>
      <c r="AI109" s="49">
        <f t="shared" si="11"/>
        <v>0</v>
      </c>
    </row>
    <row r="110" spans="1:35" x14ac:dyDescent="0.25">
      <c r="A110" s="105" t="s">
        <v>115</v>
      </c>
      <c r="B110" s="106">
        <v>28.8</v>
      </c>
      <c r="C110" s="106">
        <v>46.5</v>
      </c>
      <c r="D110" s="106">
        <v>39.54</v>
      </c>
      <c r="E110" s="106">
        <v>54.4</v>
      </c>
      <c r="F110" s="106">
        <v>40.1</v>
      </c>
      <c r="G110" s="106">
        <v>41.6</v>
      </c>
      <c r="H110" s="106">
        <v>48.6</v>
      </c>
      <c r="I110" s="106">
        <v>49.4</v>
      </c>
      <c r="J110" s="106">
        <v>51</v>
      </c>
      <c r="K110" s="106">
        <v>80</v>
      </c>
      <c r="L110" s="106">
        <v>73</v>
      </c>
      <c r="M110" s="106">
        <v>82.3</v>
      </c>
      <c r="N110" s="106">
        <v>89.9</v>
      </c>
      <c r="O110" s="106">
        <v>67.900000000000006</v>
      </c>
      <c r="P110" s="106">
        <v>56.2</v>
      </c>
      <c r="Q110" s="106">
        <v>43.6</v>
      </c>
      <c r="R110" s="106">
        <v>44.3</v>
      </c>
      <c r="S110" s="106">
        <v>33.799999999999997</v>
      </c>
      <c r="T110" s="106">
        <v>53.7</v>
      </c>
      <c r="U110" s="106">
        <v>38.4</v>
      </c>
      <c r="V110" s="106">
        <v>42.4</v>
      </c>
      <c r="W110" s="106">
        <v>35.700000000000003</v>
      </c>
      <c r="X110" s="106">
        <v>28.6</v>
      </c>
      <c r="Y110" s="106">
        <v>25</v>
      </c>
      <c r="Z110" s="106">
        <v>25</v>
      </c>
      <c r="AA110" s="106">
        <v>31.5</v>
      </c>
      <c r="AB110" s="106">
        <v>34.1</v>
      </c>
      <c r="AC110" s="106">
        <v>34.200000000000003</v>
      </c>
      <c r="AD110" s="106">
        <v>33.200000000000003</v>
      </c>
      <c r="AE110" s="106">
        <v>17</v>
      </c>
      <c r="AF110" s="106">
        <v>17.399999999999999</v>
      </c>
      <c r="AG110" s="107"/>
      <c r="AH110" s="48">
        <f t="shared" si="10"/>
        <v>89.9</v>
      </c>
      <c r="AI110" s="49">
        <f t="shared" si="11"/>
        <v>17</v>
      </c>
    </row>
    <row r="111" spans="1:35" x14ac:dyDescent="0.25">
      <c r="A111" s="105" t="s">
        <v>116</v>
      </c>
      <c r="B111" s="106">
        <v>34.4</v>
      </c>
      <c r="C111" s="106">
        <v>41.4</v>
      </c>
      <c r="D111" s="106">
        <v>49.1</v>
      </c>
      <c r="E111" s="106">
        <v>55.7</v>
      </c>
      <c r="F111" s="106">
        <v>53.3</v>
      </c>
      <c r="G111" s="106">
        <v>50.8</v>
      </c>
      <c r="H111" s="106">
        <v>43.4</v>
      </c>
      <c r="I111" s="106">
        <v>15.3</v>
      </c>
      <c r="J111" s="106">
        <v>19.600000000000001</v>
      </c>
      <c r="K111" s="106">
        <v>35.5</v>
      </c>
      <c r="L111" s="106">
        <v>36.9</v>
      </c>
      <c r="M111" s="106">
        <v>32.6</v>
      </c>
      <c r="N111" s="106">
        <v>33.700000000000003</v>
      </c>
      <c r="O111" s="106">
        <v>19.600000000000001</v>
      </c>
      <c r="P111" s="106">
        <v>6.4</v>
      </c>
      <c r="Q111" s="106">
        <v>11.4</v>
      </c>
      <c r="R111" s="106">
        <v>10.3</v>
      </c>
      <c r="S111" s="106">
        <v>2</v>
      </c>
      <c r="T111" s="106">
        <v>21.4</v>
      </c>
      <c r="U111" s="106">
        <v>14.3</v>
      </c>
      <c r="V111" s="106">
        <v>21.8</v>
      </c>
      <c r="W111" s="106">
        <v>46.2</v>
      </c>
      <c r="X111" s="106">
        <v>33</v>
      </c>
      <c r="Y111" s="106">
        <v>25.9</v>
      </c>
      <c r="Z111" s="106">
        <v>25.9</v>
      </c>
      <c r="AA111" s="106">
        <v>4.7</v>
      </c>
      <c r="AB111" s="106">
        <v>-3.5</v>
      </c>
      <c r="AC111" s="106">
        <v>8.6</v>
      </c>
      <c r="AD111" s="106">
        <v>12.6</v>
      </c>
      <c r="AE111" s="106">
        <v>12.7</v>
      </c>
      <c r="AF111" s="106">
        <v>31.1</v>
      </c>
      <c r="AG111" s="108"/>
      <c r="AH111" s="48">
        <f t="shared" si="10"/>
        <v>55.7</v>
      </c>
      <c r="AI111" s="49">
        <f t="shared" si="11"/>
        <v>-3.5</v>
      </c>
    </row>
    <row r="112" spans="1:35" x14ac:dyDescent="0.25">
      <c r="A112" s="109" t="s">
        <v>117</v>
      </c>
      <c r="B112" s="94">
        <v>26.4</v>
      </c>
      <c r="C112" s="94">
        <v>28.2</v>
      </c>
      <c r="D112" s="94">
        <v>26.4</v>
      </c>
      <c r="E112" s="94">
        <v>26.7</v>
      </c>
      <c r="F112" s="94">
        <v>26.2</v>
      </c>
      <c r="G112" s="94">
        <v>22.6</v>
      </c>
      <c r="H112" s="94">
        <v>22.4</v>
      </c>
      <c r="I112" s="94">
        <v>17.45</v>
      </c>
      <c r="J112" s="94">
        <v>7.4</v>
      </c>
      <c r="K112" s="94">
        <v>16.600000000000001</v>
      </c>
      <c r="L112" s="94">
        <v>4.5999999999999996</v>
      </c>
      <c r="M112" s="94">
        <v>1.4</v>
      </c>
      <c r="N112" s="94">
        <v>1.9</v>
      </c>
      <c r="O112" s="94">
        <v>5.5</v>
      </c>
      <c r="P112" s="94">
        <v>11.6</v>
      </c>
      <c r="Q112" s="94">
        <v>14</v>
      </c>
      <c r="R112" s="94">
        <v>17.2</v>
      </c>
      <c r="S112" s="94">
        <v>15.7</v>
      </c>
      <c r="T112" s="94">
        <v>13.8</v>
      </c>
      <c r="U112" s="94">
        <v>8.8000000000000007</v>
      </c>
      <c r="V112" s="94">
        <v>8.1</v>
      </c>
      <c r="W112" s="94">
        <v>11.6</v>
      </c>
      <c r="X112" s="94">
        <v>6</v>
      </c>
      <c r="Y112" s="94">
        <v>-2.8</v>
      </c>
      <c r="Z112" s="94">
        <v>-2.8</v>
      </c>
      <c r="AA112" s="94">
        <v>2.7</v>
      </c>
      <c r="AB112" s="94">
        <v>3.9</v>
      </c>
      <c r="AC112" s="94">
        <v>9.4</v>
      </c>
      <c r="AD112" s="94">
        <v>14.4</v>
      </c>
      <c r="AE112" s="94">
        <v>24</v>
      </c>
      <c r="AF112" s="94">
        <v>25.9</v>
      </c>
      <c r="AG112" s="108"/>
      <c r="AH112" s="48">
        <f t="shared" si="10"/>
        <v>28.2</v>
      </c>
      <c r="AI112" s="49">
        <f t="shared" si="11"/>
        <v>-2.8</v>
      </c>
    </row>
    <row r="113" spans="1:37" ht="15.75" thickBot="1" x14ac:dyDescent="0.3">
      <c r="A113" s="109" t="s">
        <v>118</v>
      </c>
      <c r="B113" s="94">
        <v>64.3</v>
      </c>
      <c r="C113" s="94">
        <v>40.799999999999997</v>
      </c>
      <c r="D113" s="94">
        <v>44.4</v>
      </c>
      <c r="E113" s="94">
        <v>41.9</v>
      </c>
      <c r="F113" s="94">
        <v>50.5</v>
      </c>
      <c r="G113" s="94">
        <v>51.6</v>
      </c>
      <c r="H113" s="94">
        <v>47.6</v>
      </c>
      <c r="I113" s="94">
        <v>54.1</v>
      </c>
      <c r="J113" s="94">
        <v>46.6</v>
      </c>
      <c r="K113" s="94">
        <v>24.9</v>
      </c>
      <c r="L113" s="94">
        <v>22.8</v>
      </c>
      <c r="M113" s="94">
        <v>22.6</v>
      </c>
      <c r="N113" s="94">
        <v>28.4</v>
      </c>
      <c r="O113" s="94">
        <v>37.700000000000003</v>
      </c>
      <c r="P113" s="94">
        <v>32</v>
      </c>
      <c r="Q113" s="94">
        <v>29.1</v>
      </c>
      <c r="R113" s="94">
        <v>34.5</v>
      </c>
      <c r="S113" s="94">
        <v>48.9</v>
      </c>
      <c r="T113" s="94">
        <v>31.9</v>
      </c>
      <c r="U113" s="94">
        <v>43.3</v>
      </c>
      <c r="V113" s="94">
        <v>30.2</v>
      </c>
      <c r="W113" s="94">
        <v>22.8</v>
      </c>
      <c r="X113" s="94">
        <v>23.4</v>
      </c>
      <c r="Y113" s="94">
        <v>24.4</v>
      </c>
      <c r="Z113" s="94">
        <v>24.4</v>
      </c>
      <c r="AA113" s="94">
        <v>25.8</v>
      </c>
      <c r="AB113" s="94">
        <v>35.1</v>
      </c>
      <c r="AC113" s="94">
        <v>33.1</v>
      </c>
      <c r="AD113" s="94">
        <v>33.200000000000003</v>
      </c>
      <c r="AE113" s="94">
        <v>54.8</v>
      </c>
      <c r="AF113" s="94">
        <v>57.4</v>
      </c>
      <c r="AG113" s="108"/>
      <c r="AH113" s="48">
        <f t="shared" si="10"/>
        <v>64.3</v>
      </c>
      <c r="AI113" s="49">
        <f t="shared" si="11"/>
        <v>22.6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23">SUM(B115:B219)</f>
        <v>0</v>
      </c>
      <c r="C220" s="125">
        <f t="shared" si="23"/>
        <v>0</v>
      </c>
      <c r="D220" s="125">
        <f t="shared" si="23"/>
        <v>0</v>
      </c>
      <c r="E220" s="125">
        <f t="shared" si="23"/>
        <v>0</v>
      </c>
      <c r="F220" s="125">
        <f t="shared" si="23"/>
        <v>0</v>
      </c>
      <c r="G220" s="125">
        <f t="shared" si="23"/>
        <v>0</v>
      </c>
      <c r="H220" s="125">
        <f t="shared" si="23"/>
        <v>0</v>
      </c>
      <c r="I220" s="125">
        <f t="shared" si="23"/>
        <v>0</v>
      </c>
      <c r="J220" s="125">
        <f t="shared" si="23"/>
        <v>0</v>
      </c>
      <c r="K220" s="125">
        <f t="shared" si="23"/>
        <v>0</v>
      </c>
      <c r="L220" s="125">
        <f t="shared" si="23"/>
        <v>0</v>
      </c>
      <c r="M220" s="125">
        <f t="shared" si="23"/>
        <v>0</v>
      </c>
      <c r="N220" s="125">
        <f t="shared" si="23"/>
        <v>0</v>
      </c>
      <c r="O220" s="125">
        <f t="shared" si="23"/>
        <v>0</v>
      </c>
      <c r="P220" s="125">
        <f t="shared" si="23"/>
        <v>0</v>
      </c>
      <c r="Q220" s="125">
        <f t="shared" si="23"/>
        <v>0</v>
      </c>
      <c r="R220" s="125">
        <f t="shared" si="23"/>
        <v>0</v>
      </c>
      <c r="S220" s="125">
        <f t="shared" si="23"/>
        <v>0</v>
      </c>
      <c r="T220" s="125">
        <f t="shared" si="23"/>
        <v>0</v>
      </c>
      <c r="U220" s="125">
        <f t="shared" si="23"/>
        <v>0</v>
      </c>
      <c r="V220" s="125">
        <f t="shared" si="23"/>
        <v>0</v>
      </c>
      <c r="W220" s="125">
        <f t="shared" si="23"/>
        <v>0</v>
      </c>
      <c r="X220" s="125">
        <f t="shared" si="23"/>
        <v>0</v>
      </c>
      <c r="Y220" s="125">
        <f t="shared" si="23"/>
        <v>0</v>
      </c>
      <c r="Z220" s="125">
        <f t="shared" si="23"/>
        <v>0</v>
      </c>
      <c r="AA220" s="125">
        <f t="shared" si="23"/>
        <v>0</v>
      </c>
      <c r="AB220" s="125">
        <f t="shared" si="23"/>
        <v>0</v>
      </c>
      <c r="AC220" s="125">
        <f t="shared" si="23"/>
        <v>0</v>
      </c>
      <c r="AD220" s="125">
        <f t="shared" si="23"/>
        <v>0</v>
      </c>
      <c r="AE220" s="125">
        <f t="shared" si="23"/>
        <v>0</v>
      </c>
      <c r="AF220" s="126">
        <f t="shared" si="23"/>
        <v>0</v>
      </c>
      <c r="AG220" s="127">
        <f t="shared" si="23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24">AF222</f>
        <v>0</v>
      </c>
      <c r="C222" s="129">
        <v>0.3</v>
      </c>
      <c r="D222" s="129">
        <f t="shared" ref="D222:P227" si="25">C222</f>
        <v>0.3</v>
      </c>
      <c r="E222" s="129">
        <f t="shared" si="25"/>
        <v>0.3</v>
      </c>
      <c r="F222" s="129">
        <f t="shared" si="25"/>
        <v>0.3</v>
      </c>
      <c r="G222" s="129">
        <f t="shared" si="25"/>
        <v>0.3</v>
      </c>
      <c r="H222" s="129">
        <f t="shared" si="25"/>
        <v>0.3</v>
      </c>
      <c r="I222" s="129">
        <f t="shared" si="25"/>
        <v>0.3</v>
      </c>
      <c r="J222" s="129">
        <f t="shared" si="25"/>
        <v>0.3</v>
      </c>
      <c r="K222" s="129">
        <f t="shared" si="25"/>
        <v>0.3</v>
      </c>
      <c r="L222" s="129">
        <f t="shared" si="25"/>
        <v>0.3</v>
      </c>
      <c r="M222" s="129">
        <f t="shared" si="25"/>
        <v>0.3</v>
      </c>
      <c r="N222" s="129">
        <f t="shared" si="25"/>
        <v>0.3</v>
      </c>
      <c r="O222" s="129">
        <f t="shared" si="25"/>
        <v>0.3</v>
      </c>
      <c r="P222" s="129">
        <f t="shared" si="25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x14ac:dyDescent="0.25">
      <c r="A223" s="91" t="s">
        <v>227</v>
      </c>
      <c r="B223" s="117">
        <f t="shared" si="24"/>
        <v>0</v>
      </c>
      <c r="C223" s="117">
        <v>0.4</v>
      </c>
      <c r="D223" s="117">
        <f t="shared" si="25"/>
        <v>0.4</v>
      </c>
      <c r="E223" s="117">
        <f t="shared" si="25"/>
        <v>0.4</v>
      </c>
      <c r="F223" s="117">
        <f t="shared" si="25"/>
        <v>0.4</v>
      </c>
      <c r="G223" s="117">
        <f t="shared" si="25"/>
        <v>0.4</v>
      </c>
      <c r="H223" s="117">
        <f t="shared" si="25"/>
        <v>0.4</v>
      </c>
      <c r="I223" s="117">
        <f t="shared" si="25"/>
        <v>0.4</v>
      </c>
      <c r="J223" s="117">
        <f t="shared" si="25"/>
        <v>0.4</v>
      </c>
      <c r="K223" s="117">
        <f t="shared" si="25"/>
        <v>0.4</v>
      </c>
      <c r="L223" s="117">
        <f t="shared" si="25"/>
        <v>0.4</v>
      </c>
      <c r="M223" s="117">
        <f t="shared" si="25"/>
        <v>0.4</v>
      </c>
      <c r="N223" s="117">
        <f t="shared" si="25"/>
        <v>0.4</v>
      </c>
      <c r="O223" s="117">
        <f t="shared" si="25"/>
        <v>0.4</v>
      </c>
      <c r="P223" s="117">
        <f t="shared" si="25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24"/>
        <v>0</v>
      </c>
      <c r="C224" s="117">
        <v>1.5</v>
      </c>
      <c r="D224" s="117">
        <f t="shared" si="25"/>
        <v>1.5</v>
      </c>
      <c r="E224" s="117">
        <f t="shared" si="25"/>
        <v>1.5</v>
      </c>
      <c r="F224" s="117">
        <f t="shared" si="25"/>
        <v>1.5</v>
      </c>
      <c r="G224" s="117">
        <f t="shared" si="25"/>
        <v>1.5</v>
      </c>
      <c r="H224" s="117">
        <f t="shared" si="25"/>
        <v>1.5</v>
      </c>
      <c r="I224" s="117">
        <f t="shared" si="25"/>
        <v>1.5</v>
      </c>
      <c r="J224" s="117">
        <f t="shared" si="25"/>
        <v>1.5</v>
      </c>
      <c r="K224" s="117">
        <f t="shared" si="25"/>
        <v>1.5</v>
      </c>
      <c r="L224" s="117">
        <f t="shared" si="25"/>
        <v>1.5</v>
      </c>
      <c r="M224" s="117">
        <f t="shared" si="25"/>
        <v>1.5</v>
      </c>
      <c r="N224" s="117">
        <f t="shared" si="25"/>
        <v>1.5</v>
      </c>
      <c r="O224" s="117">
        <f t="shared" si="25"/>
        <v>1.5</v>
      </c>
      <c r="P224" s="117">
        <f t="shared" si="25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24"/>
        <v>0</v>
      </c>
      <c r="C225" s="117">
        <v>0.3</v>
      </c>
      <c r="D225" s="117">
        <f t="shared" si="25"/>
        <v>0.3</v>
      </c>
      <c r="E225" s="117">
        <f t="shared" si="25"/>
        <v>0.3</v>
      </c>
      <c r="F225" s="117">
        <f t="shared" si="25"/>
        <v>0.3</v>
      </c>
      <c r="G225" s="117">
        <f t="shared" si="25"/>
        <v>0.3</v>
      </c>
      <c r="H225" s="117">
        <f t="shared" si="25"/>
        <v>0.3</v>
      </c>
      <c r="I225" s="117">
        <f t="shared" si="25"/>
        <v>0.3</v>
      </c>
      <c r="J225" s="117">
        <f t="shared" si="25"/>
        <v>0.3</v>
      </c>
      <c r="K225" s="117">
        <f t="shared" si="25"/>
        <v>0.3</v>
      </c>
      <c r="L225" s="117">
        <f t="shared" si="25"/>
        <v>0.3</v>
      </c>
      <c r="M225" s="117">
        <f t="shared" si="25"/>
        <v>0.3</v>
      </c>
      <c r="N225" s="117">
        <f t="shared" si="25"/>
        <v>0.3</v>
      </c>
      <c r="O225" s="117">
        <f t="shared" si="25"/>
        <v>0.3</v>
      </c>
      <c r="P225" s="117">
        <f t="shared" si="25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24"/>
        <v>0</v>
      </c>
      <c r="C226" s="117">
        <v>0.4</v>
      </c>
      <c r="D226" s="117">
        <f t="shared" si="25"/>
        <v>0.4</v>
      </c>
      <c r="E226" s="117">
        <f t="shared" si="25"/>
        <v>0.4</v>
      </c>
      <c r="F226" s="117">
        <f t="shared" si="25"/>
        <v>0.4</v>
      </c>
      <c r="G226" s="117">
        <f t="shared" si="25"/>
        <v>0.4</v>
      </c>
      <c r="H226" s="117">
        <f t="shared" si="25"/>
        <v>0.4</v>
      </c>
      <c r="I226" s="117">
        <f t="shared" si="25"/>
        <v>0.4</v>
      </c>
      <c r="J226" s="117">
        <f t="shared" si="25"/>
        <v>0.4</v>
      </c>
      <c r="K226" s="117">
        <f t="shared" si="25"/>
        <v>0.4</v>
      </c>
      <c r="L226" s="117">
        <f t="shared" si="25"/>
        <v>0.4</v>
      </c>
      <c r="M226" s="117">
        <f t="shared" si="25"/>
        <v>0.4</v>
      </c>
      <c r="N226" s="117">
        <f t="shared" si="25"/>
        <v>0.4</v>
      </c>
      <c r="O226" s="117">
        <f t="shared" si="25"/>
        <v>0.4</v>
      </c>
      <c r="P226" s="117">
        <f t="shared" si="25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24"/>
        <v>0</v>
      </c>
      <c r="C227" s="121">
        <v>0.64</v>
      </c>
      <c r="D227" s="121">
        <f t="shared" si="25"/>
        <v>0.64</v>
      </c>
      <c r="E227" s="121">
        <f t="shared" si="25"/>
        <v>0.64</v>
      </c>
      <c r="F227" s="121">
        <f t="shared" si="25"/>
        <v>0.64</v>
      </c>
      <c r="G227" s="121">
        <f t="shared" si="25"/>
        <v>0.64</v>
      </c>
      <c r="H227" s="121">
        <f t="shared" si="25"/>
        <v>0.64</v>
      </c>
      <c r="I227" s="121">
        <f t="shared" si="25"/>
        <v>0.64</v>
      </c>
      <c r="J227" s="121">
        <f t="shared" si="25"/>
        <v>0.64</v>
      </c>
      <c r="K227" s="121">
        <f t="shared" si="25"/>
        <v>0.64</v>
      </c>
      <c r="L227" s="121">
        <f t="shared" si="25"/>
        <v>0.64</v>
      </c>
      <c r="M227" s="121">
        <f t="shared" si="25"/>
        <v>0.64</v>
      </c>
      <c r="N227" s="121">
        <f t="shared" si="25"/>
        <v>0.64</v>
      </c>
      <c r="O227" s="121">
        <f t="shared" si="25"/>
        <v>0.64</v>
      </c>
      <c r="P227" s="121">
        <f t="shared" si="25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6">SUM(B222:B227)</f>
        <v>0</v>
      </c>
      <c r="C228" s="125">
        <f t="shared" si="26"/>
        <v>3.54</v>
      </c>
      <c r="D228" s="125">
        <f t="shared" si="26"/>
        <v>3.54</v>
      </c>
      <c r="E228" s="125">
        <f t="shared" si="26"/>
        <v>3.54</v>
      </c>
      <c r="F228" s="125">
        <f t="shared" si="26"/>
        <v>3.54</v>
      </c>
      <c r="G228" s="125">
        <f t="shared" si="26"/>
        <v>3.54</v>
      </c>
      <c r="H228" s="125">
        <f t="shared" si="26"/>
        <v>3.54</v>
      </c>
      <c r="I228" s="125">
        <f t="shared" si="26"/>
        <v>3.54</v>
      </c>
      <c r="J228" s="125">
        <f t="shared" si="26"/>
        <v>3.54</v>
      </c>
      <c r="K228" s="125">
        <f t="shared" si="26"/>
        <v>3.54</v>
      </c>
      <c r="L228" s="125">
        <f t="shared" si="26"/>
        <v>3.54</v>
      </c>
      <c r="M228" s="125">
        <f t="shared" si="26"/>
        <v>3.54</v>
      </c>
      <c r="N228" s="125">
        <f t="shared" si="26"/>
        <v>3.54</v>
      </c>
      <c r="O228" s="125">
        <f t="shared" si="26"/>
        <v>3.54</v>
      </c>
      <c r="P228" s="125">
        <f t="shared" si="26"/>
        <v>3.54</v>
      </c>
      <c r="Q228" s="125">
        <f t="shared" si="26"/>
        <v>0</v>
      </c>
      <c r="R228" s="125">
        <f t="shared" si="26"/>
        <v>0</v>
      </c>
      <c r="S228" s="125">
        <f t="shared" si="26"/>
        <v>0</v>
      </c>
      <c r="T228" s="125">
        <f t="shared" si="26"/>
        <v>0</v>
      </c>
      <c r="U228" s="125">
        <f t="shared" si="26"/>
        <v>0</v>
      </c>
      <c r="V228" s="125">
        <f t="shared" si="26"/>
        <v>0</v>
      </c>
      <c r="W228" s="125">
        <f t="shared" si="26"/>
        <v>0</v>
      </c>
      <c r="X228" s="125">
        <f t="shared" si="26"/>
        <v>0</v>
      </c>
      <c r="Y228" s="125">
        <f t="shared" si="26"/>
        <v>0</v>
      </c>
      <c r="Z228" s="125">
        <f t="shared" si="26"/>
        <v>0</v>
      </c>
      <c r="AA228" s="125">
        <f t="shared" si="26"/>
        <v>0</v>
      </c>
      <c r="AB228" s="125">
        <f t="shared" si="26"/>
        <v>0</v>
      </c>
      <c r="AC228" s="125">
        <f t="shared" si="26"/>
        <v>0</v>
      </c>
      <c r="AD228" s="125">
        <f t="shared" si="26"/>
        <v>0</v>
      </c>
      <c r="AE228" s="125">
        <f t="shared" si="26"/>
        <v>0</v>
      </c>
      <c r="AF228" s="125">
        <f t="shared" si="26"/>
        <v>0</v>
      </c>
      <c r="AG228" s="134">
        <f t="shared" si="26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1450.739</v>
      </c>
      <c r="C237" s="150">
        <f>INDEX(G9:N9,1,MATCH(MAX(G85:N85),G85:N85,0))</f>
        <v>0.375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2079/09/2)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2079/09/2)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7">B85</f>
        <v>1030.8389999999999</v>
      </c>
      <c r="U242" s="159">
        <f t="shared" si="27"/>
        <v>969.53899999999999</v>
      </c>
      <c r="V242" s="159">
        <f t="shared" si="27"/>
        <v>966.73900000000003</v>
      </c>
      <c r="W242" s="159">
        <f t="shared" si="27"/>
        <v>947.63900000000001</v>
      </c>
      <c r="X242" s="159">
        <f t="shared" si="27"/>
        <v>970.63900000000001</v>
      </c>
      <c r="Y242" s="159">
        <f t="shared" si="27"/>
        <v>1031.739</v>
      </c>
      <c r="Z242" s="159">
        <f t="shared" si="27"/>
        <v>1046.799</v>
      </c>
      <c r="AA242" s="159">
        <f t="shared" si="27"/>
        <v>1157.5989999999999</v>
      </c>
      <c r="AB242" s="159">
        <f t="shared" si="27"/>
        <v>1239.039</v>
      </c>
      <c r="AC242" s="159">
        <f t="shared" si="27"/>
        <v>1320.028</v>
      </c>
      <c r="AD242" s="159">
        <f t="shared" si="27"/>
        <v>1386.1289999999999</v>
      </c>
      <c r="AE242" s="159">
        <f t="shared" si="27"/>
        <v>1431.6789999999999</v>
      </c>
      <c r="AF242" s="159">
        <f t="shared" si="27"/>
        <v>1450.739</v>
      </c>
      <c r="AG242" s="159">
        <f t="shared" si="27"/>
        <v>1420.4389999999999</v>
      </c>
      <c r="AH242" s="159">
        <f t="shared" si="27"/>
        <v>1321.239</v>
      </c>
      <c r="AI242" s="159">
        <f t="shared" si="27"/>
        <v>1217.5389999999998</v>
      </c>
      <c r="AJ242" s="159">
        <f t="shared" si="27"/>
        <v>1158.4390000000001</v>
      </c>
      <c r="AK242" s="159">
        <f t="shared" si="27"/>
        <v>1121.739</v>
      </c>
      <c r="AL242" s="159">
        <f t="shared" si="27"/>
        <v>1109.3389999999999</v>
      </c>
      <c r="AM242" s="159">
        <f t="shared" si="27"/>
        <v>1156.1389999999999</v>
      </c>
      <c r="AN242" s="159">
        <f t="shared" si="27"/>
        <v>1205.739</v>
      </c>
      <c r="AO242" s="159">
        <f t="shared" si="27"/>
        <v>1375.6390000000001</v>
      </c>
      <c r="AP242" s="159">
        <f t="shared" si="27"/>
        <v>1391.539</v>
      </c>
      <c r="AQ242" s="159">
        <f t="shared" si="27"/>
        <v>1348.539</v>
      </c>
      <c r="AR242" s="159">
        <f t="shared" si="27"/>
        <v>1301.739</v>
      </c>
      <c r="AS242" s="159">
        <f t="shared" si="27"/>
        <v>1254.4390000000001</v>
      </c>
      <c r="AT242" s="159">
        <f t="shared" si="27"/>
        <v>1220.239</v>
      </c>
      <c r="AU242" s="159">
        <f t="shared" si="27"/>
        <v>1164.9390000000001</v>
      </c>
      <c r="AV242" s="159">
        <f t="shared" si="27"/>
        <v>1150.9390000000001</v>
      </c>
      <c r="AW242" s="159">
        <f t="shared" si="27"/>
        <v>1032.4390000000001</v>
      </c>
      <c r="AX242" s="159">
        <f t="shared" si="27"/>
        <v>939.13900000000001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8">C227</f>
        <v>0.64</v>
      </c>
      <c r="C263" s="162">
        <f t="shared" si="28"/>
        <v>0.64</v>
      </c>
      <c r="D263" s="162">
        <f t="shared" si="28"/>
        <v>0.64</v>
      </c>
      <c r="E263" s="162">
        <f t="shared" si="28"/>
        <v>0.64</v>
      </c>
      <c r="F263" s="162">
        <f t="shared" si="28"/>
        <v>0.64</v>
      </c>
      <c r="G263" s="162">
        <f t="shared" si="28"/>
        <v>0.64</v>
      </c>
      <c r="H263" s="162">
        <f t="shared" si="28"/>
        <v>0.64</v>
      </c>
      <c r="I263" s="162">
        <f t="shared" si="28"/>
        <v>0.64</v>
      </c>
      <c r="J263" s="162">
        <f t="shared" si="28"/>
        <v>0.64</v>
      </c>
      <c r="K263" s="162">
        <f t="shared" si="28"/>
        <v>0.64</v>
      </c>
      <c r="L263" s="162">
        <f t="shared" si="28"/>
        <v>0.64</v>
      </c>
      <c r="M263" s="162">
        <f t="shared" si="28"/>
        <v>0.64</v>
      </c>
      <c r="N263" s="162">
        <f t="shared" si="28"/>
        <v>0.64</v>
      </c>
      <c r="O263" s="162">
        <f t="shared" si="28"/>
        <v>0.64</v>
      </c>
      <c r="P263" s="162">
        <f t="shared" si="28"/>
        <v>0</v>
      </c>
      <c r="Q263" s="162">
        <f t="shared" si="28"/>
        <v>0</v>
      </c>
      <c r="R263" s="162">
        <f t="shared" si="28"/>
        <v>0</v>
      </c>
      <c r="S263" s="162">
        <f t="shared" si="28"/>
        <v>0</v>
      </c>
      <c r="T263" s="162">
        <f t="shared" si="28"/>
        <v>0</v>
      </c>
      <c r="U263" s="162">
        <f t="shared" si="28"/>
        <v>0</v>
      </c>
      <c r="V263" s="162">
        <f t="shared" si="28"/>
        <v>0</v>
      </c>
      <c r="W263" s="162">
        <f t="shared" si="28"/>
        <v>0</v>
      </c>
      <c r="X263" s="162">
        <f t="shared" si="28"/>
        <v>0</v>
      </c>
      <c r="Y263" s="162">
        <f t="shared" si="28"/>
        <v>0</v>
      </c>
      <c r="Z263" s="162">
        <f t="shared" si="28"/>
        <v>0</v>
      </c>
      <c r="AA263" s="162">
        <f t="shared" si="28"/>
        <v>0</v>
      </c>
      <c r="AB263" s="162">
        <f t="shared" si="28"/>
        <v>0</v>
      </c>
      <c r="AC263" s="162">
        <f t="shared" si="28"/>
        <v>0</v>
      </c>
      <c r="AD263" s="162">
        <f t="shared" si="28"/>
        <v>0</v>
      </c>
      <c r="AE263" s="162">
        <f t="shared" si="28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9">IF(B231&lt;100,"",B231-520)</f>
        <v/>
      </c>
      <c r="C264" s="163" t="str">
        <f t="shared" si="29"/>
        <v/>
      </c>
      <c r="D264" s="163" t="str">
        <f t="shared" si="29"/>
        <v/>
      </c>
      <c r="E264" s="163" t="str">
        <f t="shared" si="29"/>
        <v/>
      </c>
      <c r="F264" s="163" t="str">
        <f t="shared" si="29"/>
        <v/>
      </c>
      <c r="G264" s="163" t="str">
        <f t="shared" si="29"/>
        <v/>
      </c>
      <c r="H264" s="163" t="str">
        <f t="shared" si="29"/>
        <v/>
      </c>
      <c r="I264" s="163" t="str">
        <f t="shared" si="29"/>
        <v/>
      </c>
      <c r="J264" s="163" t="str">
        <f t="shared" si="29"/>
        <v/>
      </c>
      <c r="K264" s="163" t="str">
        <f t="shared" si="29"/>
        <v/>
      </c>
      <c r="L264" s="163" t="str">
        <f t="shared" si="29"/>
        <v/>
      </c>
      <c r="M264" s="163" t="str">
        <f t="shared" si="29"/>
        <v/>
      </c>
      <c r="N264" s="163" t="str">
        <f t="shared" si="29"/>
        <v/>
      </c>
      <c r="O264" s="163" t="str">
        <f t="shared" si="29"/>
        <v/>
      </c>
      <c r="P264" s="163" t="str">
        <f t="shared" si="29"/>
        <v/>
      </c>
      <c r="Q264" s="163" t="str">
        <f t="shared" si="29"/>
        <v/>
      </c>
      <c r="R264" s="163" t="str">
        <f t="shared" si="29"/>
        <v/>
      </c>
      <c r="S264" s="163" t="str">
        <f t="shared" si="29"/>
        <v/>
      </c>
      <c r="T264" s="163" t="str">
        <f t="shared" si="29"/>
        <v/>
      </c>
      <c r="U264" s="163" t="str">
        <f t="shared" si="29"/>
        <v/>
      </c>
      <c r="V264" s="163" t="str">
        <f t="shared" si="29"/>
        <v/>
      </c>
      <c r="W264" s="163" t="str">
        <f t="shared" si="29"/>
        <v/>
      </c>
      <c r="X264" s="163" t="str">
        <f t="shared" si="29"/>
        <v/>
      </c>
      <c r="Y264" s="163" t="str">
        <f t="shared" si="29"/>
        <v/>
      </c>
      <c r="Z264" s="163" t="str">
        <f t="shared" si="29"/>
        <v/>
      </c>
      <c r="AA264" s="163" t="str">
        <f t="shared" si="29"/>
        <v/>
      </c>
      <c r="AB264" s="163" t="str">
        <f t="shared" si="29"/>
        <v/>
      </c>
      <c r="AC264" s="163" t="str">
        <f t="shared" si="29"/>
        <v/>
      </c>
      <c r="AD264" s="163" t="str">
        <f t="shared" si="29"/>
        <v/>
      </c>
      <c r="AE264" s="163" t="str">
        <f t="shared" si="29"/>
        <v/>
      </c>
      <c r="AF264" s="163" t="str">
        <f t="shared" si="29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0">IF(B232&lt;100,"",B232-620)</f>
        <v/>
      </c>
      <c r="C265" s="163" t="str">
        <f t="shared" si="30"/>
        <v/>
      </c>
      <c r="D265" s="163" t="str">
        <f t="shared" si="30"/>
        <v/>
      </c>
      <c r="E265" s="163" t="str">
        <f t="shared" si="30"/>
        <v/>
      </c>
      <c r="F265" s="163" t="str">
        <f t="shared" si="30"/>
        <v/>
      </c>
      <c r="G265" s="163" t="str">
        <f t="shared" si="30"/>
        <v/>
      </c>
      <c r="H265" s="163" t="str">
        <f t="shared" si="30"/>
        <v/>
      </c>
      <c r="I265" s="163" t="str">
        <f t="shared" si="30"/>
        <v/>
      </c>
      <c r="J265" s="163" t="str">
        <f t="shared" si="30"/>
        <v/>
      </c>
      <c r="K265" s="163" t="str">
        <f t="shared" si="30"/>
        <v/>
      </c>
      <c r="L265" s="163" t="str">
        <f t="shared" si="30"/>
        <v/>
      </c>
      <c r="M265" s="163" t="str">
        <f t="shared" si="30"/>
        <v/>
      </c>
      <c r="N265" s="163" t="str">
        <f t="shared" si="30"/>
        <v/>
      </c>
      <c r="O265" s="163" t="str">
        <f t="shared" si="30"/>
        <v/>
      </c>
      <c r="P265" s="163" t="str">
        <f t="shared" si="30"/>
        <v/>
      </c>
      <c r="Q265" s="163" t="str">
        <f t="shared" si="30"/>
        <v/>
      </c>
      <c r="R265" s="163" t="str">
        <f t="shared" si="30"/>
        <v/>
      </c>
      <c r="S265" s="163" t="str">
        <f t="shared" si="30"/>
        <v/>
      </c>
      <c r="T265" s="163" t="str">
        <f t="shared" si="30"/>
        <v/>
      </c>
      <c r="U265" s="163" t="str">
        <f t="shared" si="30"/>
        <v/>
      </c>
      <c r="V265" s="163" t="str">
        <f t="shared" si="30"/>
        <v/>
      </c>
      <c r="W265" s="163" t="str">
        <f t="shared" si="30"/>
        <v/>
      </c>
      <c r="X265" s="163" t="str">
        <f t="shared" si="30"/>
        <v/>
      </c>
      <c r="Y265" s="163" t="str">
        <f t="shared" si="30"/>
        <v/>
      </c>
      <c r="Z265" s="163" t="str">
        <f t="shared" si="30"/>
        <v/>
      </c>
      <c r="AA265" s="163" t="str">
        <f t="shared" si="30"/>
        <v/>
      </c>
      <c r="AB265" s="163" t="str">
        <f t="shared" si="30"/>
        <v/>
      </c>
      <c r="AC265" s="163" t="str">
        <f t="shared" si="30"/>
        <v/>
      </c>
      <c r="AD265" s="163" t="str">
        <f t="shared" si="30"/>
        <v/>
      </c>
      <c r="AE265" s="163" t="str">
        <f t="shared" si="30"/>
        <v/>
      </c>
      <c r="AF265" s="163" t="str">
        <f t="shared" si="30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1">IF(B233&lt;100,"",B233-330)</f>
        <v/>
      </c>
      <c r="C266" s="163" t="str">
        <f t="shared" si="31"/>
        <v/>
      </c>
      <c r="D266" s="163" t="str">
        <f t="shared" si="31"/>
        <v/>
      </c>
      <c r="E266" s="163" t="str">
        <f t="shared" si="31"/>
        <v/>
      </c>
      <c r="F266" s="163" t="str">
        <f t="shared" si="31"/>
        <v/>
      </c>
      <c r="G266" s="163" t="str">
        <f t="shared" si="31"/>
        <v/>
      </c>
      <c r="H266" s="163" t="str">
        <f t="shared" si="31"/>
        <v/>
      </c>
      <c r="I266" s="163" t="str">
        <f t="shared" si="31"/>
        <v/>
      </c>
      <c r="J266" s="163" t="str">
        <f t="shared" si="31"/>
        <v/>
      </c>
      <c r="K266" s="163" t="str">
        <f t="shared" si="31"/>
        <v/>
      </c>
      <c r="L266" s="163" t="str">
        <f t="shared" si="31"/>
        <v/>
      </c>
      <c r="M266" s="163" t="str">
        <f t="shared" si="31"/>
        <v/>
      </c>
      <c r="N266" s="163" t="str">
        <f t="shared" si="31"/>
        <v/>
      </c>
      <c r="O266" s="163" t="str">
        <f t="shared" si="31"/>
        <v/>
      </c>
      <c r="P266" s="163" t="str">
        <f t="shared" si="31"/>
        <v/>
      </c>
      <c r="Q266" s="163" t="str">
        <f t="shared" si="31"/>
        <v/>
      </c>
      <c r="R266" s="163" t="str">
        <f t="shared" si="31"/>
        <v/>
      </c>
      <c r="S266" s="163" t="str">
        <f t="shared" si="31"/>
        <v/>
      </c>
      <c r="T266" s="163" t="str">
        <f t="shared" si="31"/>
        <v/>
      </c>
      <c r="U266" s="163" t="str">
        <f t="shared" si="31"/>
        <v/>
      </c>
      <c r="V266" s="163" t="str">
        <f t="shared" si="31"/>
        <v/>
      </c>
      <c r="W266" s="163" t="str">
        <f t="shared" si="31"/>
        <v/>
      </c>
      <c r="X266" s="163" t="str">
        <f t="shared" si="31"/>
        <v/>
      </c>
      <c r="Y266" s="163" t="str">
        <f t="shared" si="31"/>
        <v/>
      </c>
      <c r="Z266" s="163" t="str">
        <f t="shared" si="31"/>
        <v/>
      </c>
      <c r="AA266" s="163" t="str">
        <f t="shared" si="31"/>
        <v/>
      </c>
      <c r="AB266" s="163" t="str">
        <f t="shared" si="31"/>
        <v/>
      </c>
      <c r="AC266" s="163" t="str">
        <f t="shared" si="31"/>
        <v/>
      </c>
      <c r="AD266" s="163" t="str">
        <f t="shared" si="31"/>
        <v/>
      </c>
      <c r="AE266" s="163" t="str">
        <f t="shared" si="31"/>
        <v/>
      </c>
      <c r="AF266" s="163" t="str">
        <f t="shared" si="31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2">IF(B234&lt;100,"",B234-1500)</f>
        <v/>
      </c>
      <c r="C267" s="163" t="str">
        <f t="shared" si="32"/>
        <v/>
      </c>
      <c r="D267" s="163" t="str">
        <f t="shared" si="32"/>
        <v/>
      </c>
      <c r="E267" s="163" t="str">
        <f t="shared" si="32"/>
        <v/>
      </c>
      <c r="F267" s="163" t="str">
        <f t="shared" si="32"/>
        <v/>
      </c>
      <c r="G267" s="163" t="str">
        <f t="shared" si="32"/>
        <v/>
      </c>
      <c r="H267" s="163" t="str">
        <f t="shared" si="32"/>
        <v/>
      </c>
      <c r="I267" s="163" t="str">
        <f t="shared" si="32"/>
        <v/>
      </c>
      <c r="J267" s="163" t="str">
        <f t="shared" si="32"/>
        <v/>
      </c>
      <c r="K267" s="163" t="str">
        <f t="shared" si="32"/>
        <v/>
      </c>
      <c r="L267" s="163" t="str">
        <f t="shared" si="32"/>
        <v/>
      </c>
      <c r="M267" s="163" t="str">
        <f t="shared" si="32"/>
        <v/>
      </c>
      <c r="N267" s="163" t="str">
        <f t="shared" si="32"/>
        <v/>
      </c>
      <c r="O267" s="163" t="str">
        <f t="shared" si="32"/>
        <v/>
      </c>
      <c r="P267" s="163" t="str">
        <f t="shared" si="32"/>
        <v/>
      </c>
      <c r="Q267" s="163" t="str">
        <f t="shared" si="32"/>
        <v/>
      </c>
      <c r="R267" s="163" t="str">
        <f t="shared" si="32"/>
        <v/>
      </c>
      <c r="S267" s="163" t="str">
        <f t="shared" si="32"/>
        <v/>
      </c>
      <c r="T267" s="163" t="str">
        <f t="shared" si="32"/>
        <v/>
      </c>
      <c r="U267" s="163" t="str">
        <f t="shared" si="32"/>
        <v/>
      </c>
      <c r="V267" s="163" t="str">
        <f t="shared" si="32"/>
        <v/>
      </c>
      <c r="W267" s="163" t="str">
        <f t="shared" si="32"/>
        <v/>
      </c>
      <c r="X267" s="163" t="str">
        <f t="shared" si="32"/>
        <v/>
      </c>
      <c r="Y267" s="163" t="str">
        <f t="shared" si="32"/>
        <v/>
      </c>
      <c r="Z267" s="163" t="str">
        <f t="shared" si="32"/>
        <v/>
      </c>
      <c r="AA267" s="163" t="str">
        <f t="shared" si="32"/>
        <v/>
      </c>
      <c r="AB267" s="163" t="str">
        <f t="shared" si="32"/>
        <v/>
      </c>
      <c r="AC267" s="163" t="str">
        <f t="shared" si="32"/>
        <v/>
      </c>
      <c r="AD267" s="163" t="str">
        <f t="shared" si="32"/>
        <v/>
      </c>
      <c r="AE267" s="163" t="str">
        <f t="shared" si="32"/>
        <v/>
      </c>
      <c r="AF267" s="163" t="str">
        <f t="shared" si="32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1847" priority="16">
      <formula>$AH11=0</formula>
    </cfRule>
  </conditionalFormatting>
  <conditionalFormatting sqref="B8 M8 S8 AB8">
    <cfRule type="expression" dxfId="1846" priority="241">
      <formula>AND(C$9&gt;=14/24,C$9&lt;20/24)</formula>
    </cfRule>
    <cfRule type="expression" dxfId="1845" priority="243">
      <formula>C$9&lt;8/24</formula>
    </cfRule>
    <cfRule type="expression" dxfId="1844" priority="242">
      <formula>AND(C$9&gt;=8/24,C$9&lt;14/24)</formula>
    </cfRule>
  </conditionalFormatting>
  <conditionalFormatting sqref="B49:I51">
    <cfRule type="expression" dxfId="1843" priority="126">
      <formula>AND(B$9&gt;=8/24,B$9&lt;14/24)</formula>
    </cfRule>
    <cfRule type="expression" dxfId="1842" priority="127">
      <formula>B$9&lt;8/24</formula>
    </cfRule>
    <cfRule type="expression" dxfId="1841" priority="124">
      <formula>B$9&gt;=20/24</formula>
    </cfRule>
    <cfRule type="expression" dxfId="1840" priority="125">
      <formula>AND(B$9&gt;=14/24,B$9&lt;20/24)</formula>
    </cfRule>
  </conditionalFormatting>
  <conditionalFormatting sqref="B54:S60 T55:U60 V56:AF60">
    <cfRule type="expression" dxfId="1839" priority="97">
      <formula>B$9&gt;=20/24</formula>
    </cfRule>
    <cfRule type="expression" dxfId="1838" priority="98">
      <formula>AND(B$9&gt;=14/24,B$9&lt;20/24)</formula>
    </cfRule>
    <cfRule type="expression" dxfId="1837" priority="99">
      <formula>AND(B$9&gt;=8/24,B$9&lt;14/24)</formula>
    </cfRule>
    <cfRule type="expression" dxfId="1836" priority="100">
      <formula>B$9&lt;8/24</formula>
    </cfRule>
  </conditionalFormatting>
  <conditionalFormatting sqref="B11:U11">
    <cfRule type="expression" dxfId="1835" priority="144">
      <formula>B$9&lt;8/24</formula>
    </cfRule>
    <cfRule type="expression" dxfId="1834" priority="143">
      <formula>AND(B$9&gt;=8/24,B$9&lt;14/24)</formula>
    </cfRule>
    <cfRule type="expression" dxfId="1833" priority="142">
      <formula>AND(B$9&gt;=14/24,B$9&lt;20/24)</formula>
    </cfRule>
    <cfRule type="expression" dxfId="1832" priority="141">
      <formula>B$9&gt;=20/24</formula>
    </cfRule>
  </conditionalFormatting>
  <conditionalFormatting sqref="B11:U18">
    <cfRule type="expression" dxfId="1831" priority="136">
      <formula>B11&gt;$AG11</formula>
    </cfRule>
  </conditionalFormatting>
  <conditionalFormatting sqref="B12:U14 B28:AF31 B33:AF33 C63:AF65 B63:B66 C66:AG66 B79:B83 C83:AG83 B84:AF85">
    <cfRule type="expression" dxfId="1830" priority="120">
      <formula>AND(B$9&gt;=14/24,B$9&lt;20/24)</formula>
    </cfRule>
    <cfRule type="expression" dxfId="1829" priority="122">
      <formula>B$9&lt;8/24</formula>
    </cfRule>
    <cfRule type="expression" dxfId="1828" priority="121">
      <formula>AND(B$9&gt;=8/24,B$9&lt;14/24)</formula>
    </cfRule>
  </conditionalFormatting>
  <conditionalFormatting sqref="B9:AF10 B15:AF15 B17:AF18 B220:AF220 B222:B228 D222:AF228 U241:AF241">
    <cfRule type="expression" dxfId="1827" priority="237">
      <formula>B$9&lt;8/24</formula>
    </cfRule>
    <cfRule type="expression" dxfId="1826" priority="236">
      <formula>AND(B$9&gt;=8/24,B$9&lt;14/24)</formula>
    </cfRule>
    <cfRule type="expression" dxfId="1825" priority="235">
      <formula>AND(B$9&gt;=14/24,B$9&lt;20/24)</formula>
    </cfRule>
  </conditionalFormatting>
  <conditionalFormatting sqref="B15:AF15 B17:AF18 B9:AF10 B220:AF220 B222:B228 D222:AF228 U241:AF241">
    <cfRule type="expression" dxfId="1824" priority="234">
      <formula>B$9&gt;=20/24</formula>
    </cfRule>
  </conditionalFormatting>
  <conditionalFormatting sqref="B16:AF16">
    <cfRule type="expression" dxfId="1823" priority="108">
      <formula>AND(B$9&gt;=8/24,B$9&lt;14/24)</formula>
    </cfRule>
    <cfRule type="expression" dxfId="1822" priority="107">
      <formula>AND(B$9&gt;=14/24,B$9&lt;20/24)</formula>
    </cfRule>
    <cfRule type="expression" dxfId="1821" priority="106">
      <formula>B$9&gt;=20/24</formula>
    </cfRule>
    <cfRule type="expression" dxfId="1820" priority="109">
      <formula>B$9&lt;8/24</formula>
    </cfRule>
  </conditionalFormatting>
  <conditionalFormatting sqref="B19:AF19">
    <cfRule type="expression" dxfId="1819" priority="27">
      <formula>B19&gt;$AG19</formula>
    </cfRule>
    <cfRule type="expression" dxfId="1818" priority="20">
      <formula>AND(B$9&gt;=8/24,B$9&lt;14/24)</formula>
    </cfRule>
    <cfRule type="expression" dxfId="1817" priority="19">
      <formula>AND(B$9&gt;=14/24,B$9&lt;20/24)</formula>
    </cfRule>
    <cfRule type="expression" dxfId="1816" priority="18">
      <formula>B$9&gt;=20/24</formula>
    </cfRule>
    <cfRule type="expression" dxfId="1815" priority="21">
      <formula>B$9&lt;8/24</formula>
    </cfRule>
  </conditionalFormatting>
  <conditionalFormatting sqref="B20:AF27">
    <cfRule type="expression" dxfId="1814" priority="91">
      <formula>B$9&lt;8/24</formula>
    </cfRule>
    <cfRule type="expression" dxfId="1813" priority="88">
      <formula>B$9&gt;=20/24</formula>
    </cfRule>
    <cfRule type="expression" dxfId="1812" priority="89">
      <formula>AND(B$9&gt;=14/24,B$9&lt;20/24)</formula>
    </cfRule>
    <cfRule type="expression" dxfId="1811" priority="90">
      <formula>AND(B$9&gt;=8/24,B$9&lt;14/24)</formula>
    </cfRule>
  </conditionalFormatting>
  <conditionalFormatting sqref="B21:AF27">
    <cfRule type="expression" dxfId="1810" priority="87">
      <formula>B21&gt;$AG21</formula>
    </cfRule>
  </conditionalFormatting>
  <conditionalFormatting sqref="B28:AF31 B33:AF33 C63:AF65 B63:B66 C66:AG66 B12:U14 B79:B83 C83:AG83 B84:AF85">
    <cfRule type="expression" dxfId="1809" priority="119">
      <formula>B$9&gt;=20/24</formula>
    </cfRule>
  </conditionalFormatting>
  <conditionalFormatting sqref="B28:AF33 B44:AG44 B49:I53 J53:S53 C61:AG62 B61:B66 C63:AF65 C66:AG66">
    <cfRule type="expression" dxfId="1808" priority="114">
      <formula>B28&gt;$AG28</formula>
    </cfRule>
  </conditionalFormatting>
  <conditionalFormatting sqref="B32:AF32">
    <cfRule type="expression" dxfId="1807" priority="95">
      <formula>B$9&lt;8/24</formula>
    </cfRule>
    <cfRule type="expression" dxfId="1806" priority="94">
      <formula>AND(B$9&gt;=8/24,B$9&lt;14/24)</formula>
    </cfRule>
    <cfRule type="expression" dxfId="1805" priority="93">
      <formula>AND(B$9&gt;=14/24,B$9&lt;20/24)</formula>
    </cfRule>
    <cfRule type="expression" dxfId="1804" priority="92">
      <formula>B$9&gt;=20/24</formula>
    </cfRule>
  </conditionalFormatting>
  <conditionalFormatting sqref="B34:AF40">
    <cfRule type="expression" dxfId="1803" priority="1">
      <formula>B34&gt;$AG34</formula>
    </cfRule>
  </conditionalFormatting>
  <conditionalFormatting sqref="B34:AF41">
    <cfRule type="expression" dxfId="1802" priority="5">
      <formula>B$9&lt;8/24</formula>
    </cfRule>
    <cfRule type="expression" dxfId="1801" priority="4">
      <formula>AND(B$9&gt;=8/24,B$9&lt;14/24)</formula>
    </cfRule>
    <cfRule type="expression" dxfId="1800" priority="3">
      <formula>AND(B$9&gt;=14/24,B$9&lt;20/24)</formula>
    </cfRule>
    <cfRule type="expression" dxfId="1799" priority="2">
      <formula>B$9&gt;=20/24</formula>
    </cfRule>
  </conditionalFormatting>
  <conditionalFormatting sqref="B41:AF43">
    <cfRule type="expression" dxfId="1798" priority="123">
      <formula>B41&gt;$AG41</formula>
    </cfRule>
  </conditionalFormatting>
  <conditionalFormatting sqref="B42:AF43">
    <cfRule type="expression" dxfId="1797" priority="131">
      <formula>B$9&lt;8/24</formula>
    </cfRule>
    <cfRule type="expression" dxfId="1796" priority="129">
      <formula>AND(B$9&gt;=14/24,B$9&lt;20/24)</formula>
    </cfRule>
    <cfRule type="expression" dxfId="1795" priority="130">
      <formula>AND(B$9&gt;=8/24,B$9&lt;14/24)</formula>
    </cfRule>
    <cfRule type="expression" dxfId="1794" priority="128">
      <formula>B$9&gt;=20/24</formula>
    </cfRule>
  </conditionalFormatting>
  <conditionalFormatting sqref="B67:AF78">
    <cfRule type="expression" dxfId="1793" priority="84">
      <formula>AND(B$9&gt;=8/24,B$9&lt;14/24)</formula>
    </cfRule>
    <cfRule type="expression" dxfId="1792" priority="83">
      <formula>AND(B$9&gt;=14/24,B$9&lt;20/24)</formula>
    </cfRule>
    <cfRule type="expression" dxfId="1791" priority="82">
      <formula>B$9&gt;=20/24</formula>
    </cfRule>
    <cfRule type="expression" dxfId="1790" priority="85">
      <formula>B$9&lt;8/24</formula>
    </cfRule>
  </conditionalFormatting>
  <conditionalFormatting sqref="B87:AF103">
    <cfRule type="expression" dxfId="1785" priority="63">
      <formula>B$9&lt;8/24</formula>
    </cfRule>
    <cfRule type="expression" dxfId="1784" priority="62">
      <formula>AND(B$9&gt;=8/24,B$9&lt;14/24)</formula>
    </cfRule>
    <cfRule type="expression" dxfId="1783" priority="61">
      <formula>AND(B$9&gt;=14/24,B$9&lt;20/24)</formula>
    </cfRule>
    <cfRule type="expression" dxfId="1782" priority="60">
      <formula>B$9&gt;=20/24</formula>
    </cfRule>
  </conditionalFormatting>
  <conditionalFormatting sqref="B105:AF112">
    <cfRule type="expression" dxfId="1781" priority="34">
      <formula>B$9&gt;=20/24</formula>
    </cfRule>
    <cfRule type="expression" dxfId="1780" priority="35">
      <formula>AND(B$9&gt;=14/24,B$9&lt;20/24)</formula>
    </cfRule>
    <cfRule type="expression" dxfId="1779" priority="36">
      <formula>AND(B$9&gt;=8/24,B$9&lt;14/24)</formula>
    </cfRule>
    <cfRule type="expression" dxfId="1778" priority="37">
      <formula>B$9&lt;8/24</formula>
    </cfRule>
  </conditionalFormatting>
  <conditionalFormatting sqref="C45:AF47 B45:B48 C48:AG48">
    <cfRule type="expression" dxfId="1773" priority="71">
      <formula>AND(B$9&gt;=8/24,B$9&lt;14/24)</formula>
    </cfRule>
    <cfRule type="expression" dxfId="1772" priority="68">
      <formula>B45&gt;$AG45</formula>
    </cfRule>
    <cfRule type="expression" dxfId="1771" priority="69">
      <formula>B$9&gt;=20/24</formula>
    </cfRule>
    <cfRule type="expression" dxfId="1770" priority="70">
      <formula>AND(B$9&gt;=14/24,B$9&lt;20/24)</formula>
    </cfRule>
    <cfRule type="expression" dxfId="1769" priority="72">
      <formula>B$9&lt;8/24</formula>
    </cfRule>
  </conditionalFormatting>
  <conditionalFormatting sqref="J49:Q51">
    <cfRule type="expression" dxfId="1768" priority="196">
      <formula>J$9&gt;=20/24</formula>
    </cfRule>
    <cfRule type="expression" dxfId="1767" priority="198">
      <formula>AND(J$9&gt;=8/24,J$9&lt;14/24)</formula>
    </cfRule>
    <cfRule type="expression" dxfId="1766" priority="199">
      <formula>J$9&lt;8/24</formula>
    </cfRule>
    <cfRule type="expression" dxfId="1765" priority="197">
      <formula>AND(J$9&gt;=14/24,J$9&lt;20/24)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R49:AF51 R52:T52 U52:U54 T53:T54 V52:AA55 AB54:AF55">
    <cfRule type="expression" dxfId="1764" priority="164">
      <formula>R$9&gt;=20/24</formula>
    </cfRule>
  </conditionalFormatting>
  <conditionalFormatting sqref="R49:AF51 R52:T52 U52:U54 T53:T54">
    <cfRule type="expression" dxfId="1763" priority="163">
      <formula>R49&gt;$AG49</formula>
    </cfRule>
  </conditionalFormatting>
  <conditionalFormatting sqref="R49:AF51 R52:T52 U52:U54 V52:AA55 T53:T54 AB54:AF55">
    <cfRule type="expression" dxfId="1762" priority="167">
      <formula>R$9&lt;8/24</formula>
    </cfRule>
    <cfRule type="expression" dxfId="1761" priority="165">
      <formula>AND(R$9&gt;=14/24,R$9&lt;20/24)</formula>
    </cfRule>
    <cfRule type="expression" dxfId="1760" priority="166">
      <formula>AND(R$9&gt;=8/24,R$9&lt;14/24)</formula>
    </cfRule>
  </conditionalFormatting>
  <conditionalFormatting sqref="S8 AB8 B8 M8">
    <cfRule type="expression" dxfId="1759" priority="240">
      <formula>C$9&gt;=20/24</formula>
    </cfRule>
  </conditionalFormatting>
  <conditionalFormatting sqref="S8">
    <cfRule type="expression" dxfId="1758" priority="209">
      <formula>U$9&gt;=20/24</formula>
    </cfRule>
    <cfRule type="expression" dxfId="1757" priority="210">
      <formula>AND(U$9&gt;=14/24,U$9&lt;20/24)</formula>
    </cfRule>
    <cfRule type="expression" dxfId="1756" priority="211">
      <formula>AND(U$9&gt;=8/24,U$9&lt;14/24)</formula>
    </cfRule>
    <cfRule type="expression" dxfId="1755" priority="212">
      <formula>U$9&lt;8/24</formula>
    </cfRule>
  </conditionalFormatting>
  <conditionalFormatting sqref="T241">
    <cfRule type="expression" dxfId="1754" priority="253">
      <formula>AX$9&gt;=20/24</formula>
    </cfRule>
    <cfRule type="expression" dxfId="1753" priority="254">
      <formula>AND(AX$9&gt;=14/24,AX$9&lt;20/24)</formula>
    </cfRule>
    <cfRule type="expression" dxfId="1752" priority="255">
      <formula>AND(AX$9&gt;=8/24,AX$9&lt;14/24)</formula>
    </cfRule>
    <cfRule type="expression" dxfId="1751" priority="256">
      <formula>AX$9&lt;8/24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V11:AF11 J49:Q52">
    <cfRule type="expression" dxfId="1750" priority="186">
      <formula>J11&gt;$AG11</formula>
    </cfRule>
  </conditionalFormatting>
  <conditionalFormatting sqref="V11:AF14 C79:AF82">
    <cfRule type="expression" dxfId="1749" priority="194">
      <formula>C$9&lt;8/24</formula>
    </cfRule>
    <cfRule type="expression" dxfId="1748" priority="193">
      <formula>AND(C$9&gt;=8/24,C$9&lt;14/24)</formula>
    </cfRule>
    <cfRule type="expression" dxfId="1747" priority="192">
      <formula>AND(C$9&gt;=14/24,C$9&lt;20/24)</formula>
    </cfRule>
    <cfRule type="expression" dxfId="1746" priority="191">
      <formula>C$9&gt;=20/24</formula>
    </cfRule>
  </conditionalFormatting>
  <conditionalFormatting sqref="V11:AF18 B20:AF20">
    <cfRule type="expression" dxfId="1745" priority="228">
      <formula>B11&gt;$AG11</formula>
    </cfRule>
  </conditionalFormatting>
  <conditionalFormatting sqref="V52:AF60 B54:S60 T55:U60">
    <cfRule type="expression" dxfId="1744" priority="96">
      <formula>B52&gt;$AG52</formula>
    </cfRule>
  </conditionalFormatting>
  <conditionalFormatting sqref="AB8">
    <cfRule type="expression" dxfId="1743" priority="205">
      <formula>AD$9&gt;=20/24</formula>
    </cfRule>
    <cfRule type="expression" dxfId="1742" priority="206">
      <formula>AND(AD$9&gt;=14/24,AD$9&lt;20/24)</formula>
    </cfRule>
    <cfRule type="expression" dxfId="1741" priority="208">
      <formula>AD$9&lt;8/24</formula>
    </cfRule>
    <cfRule type="expression" dxfId="1740" priority="207">
      <formula>AND(AD$9&gt;=8/24,AD$9&lt;14/24)</formula>
    </cfRule>
  </conditionalFormatting>
  <conditionalFormatting sqref="AB52:AC53 AD53:AE53">
    <cfRule type="expression" dxfId="1739" priority="169">
      <formula>AB$9&gt;=20/24</formula>
    </cfRule>
    <cfRule type="expression" dxfId="1738" priority="170">
      <formula>AND(AB$9&gt;=14/24,AB$9&lt;20/24)</formula>
    </cfRule>
    <cfRule type="expression" dxfId="1737" priority="171">
      <formula>AND(AB$9&gt;=8/24,AB$9&lt;14/24)</formula>
    </cfRule>
    <cfRule type="expression" dxfId="1736" priority="172">
      <formula>AB$9&lt;8/24</formula>
    </cfRule>
  </conditionalFormatting>
  <conditionalFormatting sqref="AG241">
    <cfRule type="expression" dxfId="1735" priority="245">
      <formula>B$9&gt;=20/24</formula>
    </cfRule>
    <cfRule type="expression" dxfId="1734" priority="246">
      <formula>AND(B$9&gt;=14/24,B$9&lt;20/24)</formula>
    </cfRule>
    <cfRule type="expression" dxfId="1733" priority="247">
      <formula>AND(B$9&gt;=8/24,B$9&lt;14/24)</formula>
    </cfRule>
    <cfRule type="expression" dxfId="1732" priority="248">
      <formula>B$9&lt;8/24</formula>
    </cfRule>
  </conditionalFormatting>
  <conditionalFormatting sqref="AH241:AX241">
    <cfRule type="expression" dxfId="1731" priority="249">
      <formula>AG$9&gt;=20/24</formula>
    </cfRule>
    <cfRule type="expression" dxfId="1730" priority="250">
      <formula>AND(AG$9&gt;=14/24,AG$9&lt;20/24)</formula>
    </cfRule>
    <cfRule type="expression" dxfId="1729" priority="251">
      <formula>AND(AG$9&gt;=8/24,AG$9&lt;14/24)</formula>
    </cfRule>
    <cfRule type="expression" dxfId="1728" priority="252">
      <formula>AG$9&lt;8/24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7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5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8" id="{705EDCFA-D901-48B9-A054-F75CC35D72F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57" id="{7E494AA8-D46E-4956-8E0E-21A77B8E2A4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6" id="{912B57BA-9C04-4A65-95DC-5915DF46CD9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5" id="{886E39A3-0582-43DF-AEEF-E50CFDFA1DB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44" id="{BCBF02D8-B3D6-4B91-A21E-EE89CE8947D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7" id="{4319C664-49AE-4AE3-8277-BD9F4DD611D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46" id="{BD69EF86-E395-4D07-9AA8-832812F6FB1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5" id="{E748D622-54F2-4196-95AA-0256666DF8D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B113:AF113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274"/>
  <sheetViews>
    <sheetView zoomScale="85" zoomScaleNormal="85" workbookViewId="0">
      <pane xSplit="1" ySplit="10" topLeftCell="B52" activePane="bottomRight" state="frozen"/>
      <selection activeCell="AF88" sqref="AF88"/>
      <selection pane="topRight" activeCell="AF88" sqref="AF88"/>
      <selection pane="bottomLeft" activeCell="AF88" sqref="AF88"/>
      <selection pane="bottomRight" activeCell="B70" sqref="B70:AE7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2079/09/3</v>
      </c>
      <c r="C4" s="197"/>
      <c r="D4" s="197"/>
      <c r="E4" s="198" t="str">
        <f ca="1">"2079/"&amp;"09/"&amp;INT(MID(CELL("filename",G6),FIND("]",CELL("filename",G6))+1,200))</f>
        <v>2079/09/3</v>
      </c>
      <c r="F4" s="198"/>
      <c r="G4" s="198"/>
      <c r="H4" s="198" t="str">
        <f ca="1">TEXT(E4,"dddd")</f>
        <v>Sunday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130.30000000000001</v>
      </c>
      <c r="C5" s="30">
        <f t="shared" si="0"/>
        <v>92.7</v>
      </c>
      <c r="D5" s="30">
        <f t="shared" si="0"/>
        <v>117.3</v>
      </c>
      <c r="E5" s="30">
        <f t="shared" si="0"/>
        <v>106.2</v>
      </c>
      <c r="F5" s="30">
        <f t="shared" si="0"/>
        <v>109</v>
      </c>
      <c r="G5" s="30">
        <f t="shared" si="0"/>
        <v>110.3</v>
      </c>
      <c r="H5" s="30">
        <f t="shared" si="0"/>
        <v>118.5</v>
      </c>
      <c r="I5" s="30">
        <f t="shared" si="0"/>
        <v>101</v>
      </c>
      <c r="J5" s="30">
        <f t="shared" si="0"/>
        <v>117.7</v>
      </c>
      <c r="K5" s="30">
        <f t="shared" si="0"/>
        <v>46.1</v>
      </c>
      <c r="L5" s="30">
        <f t="shared" si="0"/>
        <v>42</v>
      </c>
      <c r="M5" s="30">
        <f t="shared" si="0"/>
        <v>47.7</v>
      </c>
      <c r="N5" s="30">
        <f t="shared" si="0"/>
        <v>192.2</v>
      </c>
      <c r="O5" s="30">
        <f t="shared" si="0"/>
        <v>189</v>
      </c>
      <c r="P5" s="30">
        <f t="shared" si="0"/>
        <v>194.3</v>
      </c>
      <c r="Q5" s="30">
        <f t="shared" si="0"/>
        <v>128.80000000000001</v>
      </c>
      <c r="R5" s="30">
        <f t="shared" si="0"/>
        <v>200</v>
      </c>
      <c r="S5" s="30">
        <f t="shared" si="0"/>
        <v>219</v>
      </c>
      <c r="T5" s="30">
        <f t="shared" si="0"/>
        <v>225</v>
      </c>
      <c r="U5" s="30">
        <f t="shared" si="0"/>
        <v>163.5</v>
      </c>
      <c r="V5" s="30">
        <f t="shared" si="0"/>
        <v>60.1</v>
      </c>
      <c r="W5" s="30">
        <f t="shared" si="0"/>
        <v>0</v>
      </c>
      <c r="X5" s="30">
        <f t="shared" si="0"/>
        <v>0.7</v>
      </c>
      <c r="Y5" s="30">
        <f t="shared" si="0"/>
        <v>2.2000000000000002</v>
      </c>
      <c r="Z5" s="30">
        <f t="shared" si="0"/>
        <v>41.7</v>
      </c>
      <c r="AA5" s="30">
        <f t="shared" si="0"/>
        <v>31</v>
      </c>
      <c r="AB5" s="30">
        <f t="shared" si="0"/>
        <v>147.60000000000002</v>
      </c>
      <c r="AC5" s="30">
        <f t="shared" si="0"/>
        <v>138.9</v>
      </c>
      <c r="AD5" s="30">
        <f t="shared" si="0"/>
        <v>154</v>
      </c>
      <c r="AE5" s="30">
        <f t="shared" si="0"/>
        <v>148.5</v>
      </c>
      <c r="AF5" s="30">
        <f>B78</f>
        <v>59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1568MW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Load=878</v>
      </c>
      <c r="B7" s="35">
        <f t="shared" ref="B7:AF7" si="1">B85</f>
        <v>937.53899999999999</v>
      </c>
      <c r="C7" s="35">
        <f t="shared" si="1"/>
        <v>931.1389999999999</v>
      </c>
      <c r="D7" s="35">
        <f t="shared" si="1"/>
        <v>877.53899999999999</v>
      </c>
      <c r="E7" s="35">
        <f t="shared" si="1"/>
        <v>889.93899999999996</v>
      </c>
      <c r="F7" s="35">
        <f t="shared" si="1"/>
        <v>882.73900000000003</v>
      </c>
      <c r="G7" s="35">
        <f t="shared" si="1"/>
        <v>923.55899999999997</v>
      </c>
      <c r="H7" s="35">
        <f t="shared" si="1"/>
        <v>1014.939</v>
      </c>
      <c r="I7" s="35">
        <f t="shared" si="1"/>
        <v>1118.239</v>
      </c>
      <c r="J7" s="35">
        <f t="shared" si="1"/>
        <v>1279.239</v>
      </c>
      <c r="K7" s="35">
        <f t="shared" si="1"/>
        <v>1371.539</v>
      </c>
      <c r="L7" s="35">
        <f t="shared" si="1"/>
        <v>1568.4389999999999</v>
      </c>
      <c r="M7" s="35">
        <f t="shared" si="1"/>
        <v>1568.4390000000001</v>
      </c>
      <c r="N7" s="35">
        <f t="shared" si="1"/>
        <v>1496.739</v>
      </c>
      <c r="O7" s="35">
        <f t="shared" si="1"/>
        <v>1404.539</v>
      </c>
      <c r="P7" s="35">
        <f t="shared" si="1"/>
        <v>1371.539</v>
      </c>
      <c r="Q7" s="35">
        <f t="shared" si="1"/>
        <v>1331.6390000000001</v>
      </c>
      <c r="R7" s="35">
        <f t="shared" si="1"/>
        <v>1287.039</v>
      </c>
      <c r="S7" s="35">
        <f t="shared" si="1"/>
        <v>1184.5390000000002</v>
      </c>
      <c r="T7" s="35">
        <f t="shared" si="1"/>
        <v>1230.039</v>
      </c>
      <c r="U7" s="35">
        <f t="shared" si="1"/>
        <v>1251.039</v>
      </c>
      <c r="V7" s="35">
        <f t="shared" si="1"/>
        <v>1172.739</v>
      </c>
      <c r="W7" s="35">
        <f t="shared" si="1"/>
        <v>1558.5390000000002</v>
      </c>
      <c r="X7" s="35">
        <f t="shared" si="1"/>
        <v>1507.739</v>
      </c>
      <c r="Y7" s="35">
        <f t="shared" si="1"/>
        <v>1564.6390000000001</v>
      </c>
      <c r="Z7" s="35">
        <f t="shared" si="1"/>
        <v>1447.1390000000001</v>
      </c>
      <c r="AA7" s="35">
        <f t="shared" si="1"/>
        <v>1390.8390000000002</v>
      </c>
      <c r="AB7" s="35">
        <f t="shared" si="1"/>
        <v>1330.5790000000002</v>
      </c>
      <c r="AC7" s="35">
        <f t="shared" si="1"/>
        <v>1274.5390000000002</v>
      </c>
      <c r="AD7" s="35">
        <f t="shared" si="1"/>
        <v>1207.1390000000001</v>
      </c>
      <c r="AE7" s="35">
        <f t="shared" si="1"/>
        <v>1129.8389999999999</v>
      </c>
      <c r="AF7" s="35">
        <f t="shared" si="1"/>
        <v>1099.6390000000001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27.6</v>
      </c>
      <c r="C11" s="45">
        <v>27.6</v>
      </c>
      <c r="D11" s="45">
        <v>27.6</v>
      </c>
      <c r="E11" s="45">
        <v>27.6</v>
      </c>
      <c r="F11" s="45">
        <v>27.6</v>
      </c>
      <c r="G11" s="45">
        <v>27.6</v>
      </c>
      <c r="H11" s="45">
        <v>27.6</v>
      </c>
      <c r="I11" s="45">
        <v>27.6</v>
      </c>
      <c r="J11" s="45">
        <v>27.6</v>
      </c>
      <c r="K11" s="45">
        <v>27.6</v>
      </c>
      <c r="L11" s="45">
        <v>27.6</v>
      </c>
      <c r="M11" s="45">
        <v>26.1</v>
      </c>
      <c r="N11" s="45">
        <v>26.1</v>
      </c>
      <c r="O11" s="45">
        <v>26.1</v>
      </c>
      <c r="P11" s="45">
        <v>26.1</v>
      </c>
      <c r="Q11" s="45">
        <v>26.1</v>
      </c>
      <c r="R11" s="45">
        <v>26.1</v>
      </c>
      <c r="S11" s="45">
        <v>26.1</v>
      </c>
      <c r="T11" s="45">
        <v>26.1</v>
      </c>
      <c r="U11" s="45">
        <v>26.1</v>
      </c>
      <c r="V11" s="45">
        <v>25.8</v>
      </c>
      <c r="W11" s="45">
        <v>26.2</v>
      </c>
      <c r="X11" s="45">
        <v>26.2</v>
      </c>
      <c r="Y11" s="45">
        <v>26.2</v>
      </c>
      <c r="Z11" s="45">
        <v>26</v>
      </c>
      <c r="AA11" s="45">
        <v>26</v>
      </c>
      <c r="AB11" s="45">
        <v>26</v>
      </c>
      <c r="AC11" s="45">
        <v>26</v>
      </c>
      <c r="AD11" s="45">
        <v>26</v>
      </c>
      <c r="AE11" s="45">
        <v>26</v>
      </c>
      <c r="AF11" s="45">
        <v>26</v>
      </c>
      <c r="AG11" s="47">
        <v>52.4</v>
      </c>
      <c r="AH11" s="48">
        <f>MAX(B11:AF11)</f>
        <v>27.6</v>
      </c>
      <c r="AI11" s="49">
        <f>MIN(B11:AF11)</f>
        <v>25.8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50.6</v>
      </c>
      <c r="C12" s="45">
        <v>50.6</v>
      </c>
      <c r="D12" s="45">
        <v>50.6</v>
      </c>
      <c r="E12" s="45">
        <v>50.6</v>
      </c>
      <c r="F12" s="45">
        <v>50.6</v>
      </c>
      <c r="G12" s="45">
        <v>50.6</v>
      </c>
      <c r="H12" s="45">
        <v>50.6</v>
      </c>
      <c r="I12" s="45">
        <v>50.5</v>
      </c>
      <c r="J12" s="45">
        <v>50.5</v>
      </c>
      <c r="K12" s="45">
        <v>50.5</v>
      </c>
      <c r="L12" s="45">
        <v>50.5</v>
      </c>
      <c r="M12" s="45">
        <v>50.5</v>
      </c>
      <c r="N12" s="45">
        <v>50.5</v>
      </c>
      <c r="O12" s="45">
        <v>50.5</v>
      </c>
      <c r="P12" s="45">
        <v>50.5</v>
      </c>
      <c r="Q12" s="45">
        <v>50.5</v>
      </c>
      <c r="R12" s="45">
        <v>50.5</v>
      </c>
      <c r="S12" s="45">
        <v>50.3</v>
      </c>
      <c r="T12" s="45">
        <v>50.2</v>
      </c>
      <c r="U12" s="45">
        <v>50.2</v>
      </c>
      <c r="V12" s="45">
        <v>50.2</v>
      </c>
      <c r="W12" s="45">
        <v>50.2</v>
      </c>
      <c r="X12" s="45">
        <v>50.2</v>
      </c>
      <c r="Y12" s="45">
        <v>50.2</v>
      </c>
      <c r="Z12" s="45">
        <v>50.3</v>
      </c>
      <c r="AA12" s="45">
        <v>50.3</v>
      </c>
      <c r="AB12" s="45">
        <v>50.3</v>
      </c>
      <c r="AC12" s="45">
        <v>50.3</v>
      </c>
      <c r="AD12" s="45">
        <v>50.3</v>
      </c>
      <c r="AE12" s="45">
        <v>50.3</v>
      </c>
      <c r="AF12" s="45">
        <v>50.3</v>
      </c>
      <c r="AG12" s="51">
        <v>50</v>
      </c>
      <c r="AH12" s="48">
        <f t="shared" ref="AH12:AH79" si="2">MAX(B12:AF12)</f>
        <v>50.6</v>
      </c>
      <c r="AI12" s="49">
        <f t="shared" ref="AI12:AI79" si="3">MIN(B12:AF12)</f>
        <v>50.2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23.8</v>
      </c>
      <c r="C13" s="45">
        <v>23.8</v>
      </c>
      <c r="D13" s="45">
        <v>23.8</v>
      </c>
      <c r="E13" s="45">
        <v>23.8</v>
      </c>
      <c r="F13" s="45">
        <v>23.8</v>
      </c>
      <c r="G13" s="45">
        <v>23.8</v>
      </c>
      <c r="H13" s="45">
        <v>23.8</v>
      </c>
      <c r="I13" s="45">
        <v>24.5</v>
      </c>
      <c r="J13" s="45">
        <v>24.5</v>
      </c>
      <c r="K13" s="45">
        <v>24.5</v>
      </c>
      <c r="L13" s="45">
        <v>24.5</v>
      </c>
      <c r="M13" s="45">
        <v>24.5</v>
      </c>
      <c r="N13" s="45">
        <v>24.5</v>
      </c>
      <c r="O13" s="45">
        <v>24.5</v>
      </c>
      <c r="P13" s="45">
        <v>24.5</v>
      </c>
      <c r="Q13" s="45">
        <v>24.5</v>
      </c>
      <c r="R13" s="45">
        <v>24.5</v>
      </c>
      <c r="S13" s="45">
        <v>24.5</v>
      </c>
      <c r="T13" s="45">
        <v>24.2</v>
      </c>
      <c r="U13" s="45">
        <v>24.2</v>
      </c>
      <c r="V13" s="45">
        <v>26.5</v>
      </c>
      <c r="W13" s="45">
        <v>26.5</v>
      </c>
      <c r="X13" s="45">
        <v>26.5</v>
      </c>
      <c r="Y13" s="45">
        <v>26.5</v>
      </c>
      <c r="Z13" s="45">
        <v>27.3</v>
      </c>
      <c r="AA13" s="45">
        <v>27.3</v>
      </c>
      <c r="AB13" s="45">
        <v>27.3</v>
      </c>
      <c r="AC13" s="45">
        <v>27.3</v>
      </c>
      <c r="AD13" s="45">
        <v>27.3</v>
      </c>
      <c r="AE13" s="45">
        <v>27.3</v>
      </c>
      <c r="AF13" s="45">
        <v>27.3</v>
      </c>
      <c r="AG13" s="51">
        <v>45</v>
      </c>
      <c r="AH13" s="48">
        <f t="shared" si="2"/>
        <v>27.3</v>
      </c>
      <c r="AI13" s="49">
        <f t="shared" si="3"/>
        <v>23.8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21</v>
      </c>
      <c r="C15" s="45">
        <v>21</v>
      </c>
      <c r="D15" s="45">
        <v>21</v>
      </c>
      <c r="E15" s="45">
        <v>21</v>
      </c>
      <c r="F15" s="45">
        <v>21</v>
      </c>
      <c r="G15" s="45">
        <v>21</v>
      </c>
      <c r="H15" s="45">
        <v>21</v>
      </c>
      <c r="I15" s="45">
        <v>21</v>
      </c>
      <c r="J15" s="45">
        <v>21</v>
      </c>
      <c r="K15" s="45">
        <v>21</v>
      </c>
      <c r="L15" s="45">
        <v>21</v>
      </c>
      <c r="M15" s="45">
        <v>21</v>
      </c>
      <c r="N15" s="45">
        <v>21</v>
      </c>
      <c r="O15" s="45">
        <v>21</v>
      </c>
      <c r="P15" s="45">
        <v>21</v>
      </c>
      <c r="Q15" s="45">
        <v>21</v>
      </c>
      <c r="R15" s="45">
        <v>21</v>
      </c>
      <c r="S15" s="45">
        <v>21</v>
      </c>
      <c r="T15" s="45">
        <v>21</v>
      </c>
      <c r="U15" s="45">
        <v>21</v>
      </c>
      <c r="V15" s="45">
        <v>21</v>
      </c>
      <c r="W15" s="45">
        <v>21</v>
      </c>
      <c r="X15" s="45">
        <v>21</v>
      </c>
      <c r="Y15" s="45">
        <v>21</v>
      </c>
      <c r="Z15" s="45">
        <v>21</v>
      </c>
      <c r="AA15" s="45">
        <v>21</v>
      </c>
      <c r="AB15" s="45">
        <v>21</v>
      </c>
      <c r="AC15" s="45">
        <v>21</v>
      </c>
      <c r="AD15" s="45">
        <v>21</v>
      </c>
      <c r="AE15" s="45">
        <v>21</v>
      </c>
      <c r="AF15" s="45">
        <v>21</v>
      </c>
      <c r="AG15" s="51">
        <v>36</v>
      </c>
      <c r="AH15" s="48">
        <f t="shared" si="2"/>
        <v>21</v>
      </c>
      <c r="AI15" s="49">
        <f t="shared" si="3"/>
        <v>21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13.5</v>
      </c>
      <c r="C16" s="45">
        <v>13.5</v>
      </c>
      <c r="D16" s="45">
        <v>13.5</v>
      </c>
      <c r="E16" s="45">
        <v>13.5</v>
      </c>
      <c r="F16" s="45">
        <v>13.5</v>
      </c>
      <c r="G16" s="45">
        <v>13.5</v>
      </c>
      <c r="H16" s="45">
        <v>13.5</v>
      </c>
      <c r="I16" s="45">
        <v>12.5</v>
      </c>
      <c r="J16" s="45">
        <v>12.5</v>
      </c>
      <c r="K16" s="45">
        <v>12.5</v>
      </c>
      <c r="L16" s="45">
        <v>12.5</v>
      </c>
      <c r="M16" s="45">
        <v>12.5</v>
      </c>
      <c r="N16" s="45">
        <v>12.5</v>
      </c>
      <c r="O16" s="45">
        <v>12.5</v>
      </c>
      <c r="P16" s="45">
        <v>12.5</v>
      </c>
      <c r="Q16" s="45">
        <v>12.7</v>
      </c>
      <c r="R16" s="45">
        <v>12.7</v>
      </c>
      <c r="S16" s="45">
        <v>12.7</v>
      </c>
      <c r="T16" s="45">
        <v>12.7</v>
      </c>
      <c r="U16" s="45">
        <v>12.7</v>
      </c>
      <c r="V16" s="45">
        <v>12.7</v>
      </c>
      <c r="W16" s="45">
        <v>12.7</v>
      </c>
      <c r="X16" s="45">
        <v>12.7</v>
      </c>
      <c r="Y16" s="45">
        <v>12.7</v>
      </c>
      <c r="Z16" s="45">
        <v>12.7</v>
      </c>
      <c r="AA16" s="45">
        <v>12.7</v>
      </c>
      <c r="AB16" s="45">
        <v>12.7</v>
      </c>
      <c r="AC16" s="45">
        <v>12.7</v>
      </c>
      <c r="AD16" s="45">
        <v>12.7</v>
      </c>
      <c r="AE16" s="45">
        <v>12.7</v>
      </c>
      <c r="AF16" s="45">
        <v>12.7</v>
      </c>
      <c r="AG16" s="52">
        <v>30</v>
      </c>
      <c r="AH16" s="48">
        <f t="shared" si="2"/>
        <v>13.5</v>
      </c>
      <c r="AI16" s="49">
        <f t="shared" si="3"/>
        <v>12.5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11.8</v>
      </c>
      <c r="C17" s="45">
        <v>11.8</v>
      </c>
      <c r="D17" s="45">
        <v>11.8</v>
      </c>
      <c r="E17" s="45">
        <v>11.8</v>
      </c>
      <c r="F17" s="45">
        <v>11.8</v>
      </c>
      <c r="G17" s="45">
        <v>11.8</v>
      </c>
      <c r="H17" s="45">
        <v>11.8</v>
      </c>
      <c r="I17" s="45">
        <v>11.8</v>
      </c>
      <c r="J17" s="45">
        <v>11.8</v>
      </c>
      <c r="K17" s="45">
        <v>11.8</v>
      </c>
      <c r="L17" s="45">
        <v>11.8</v>
      </c>
      <c r="M17" s="45">
        <v>11.8</v>
      </c>
      <c r="N17" s="45">
        <v>11.8</v>
      </c>
      <c r="O17" s="45">
        <v>11.8</v>
      </c>
      <c r="P17" s="45">
        <v>11.8</v>
      </c>
      <c r="Q17" s="45">
        <v>11.8</v>
      </c>
      <c r="R17" s="45">
        <v>11.8</v>
      </c>
      <c r="S17" s="45">
        <v>11.7</v>
      </c>
      <c r="T17" s="45">
        <v>11.7</v>
      </c>
      <c r="U17" s="45">
        <v>11.7</v>
      </c>
      <c r="V17" s="45">
        <v>11.7</v>
      </c>
      <c r="W17" s="45">
        <v>11.7</v>
      </c>
      <c r="X17" s="45">
        <v>11.7</v>
      </c>
      <c r="Y17" s="45">
        <v>11.7</v>
      </c>
      <c r="Z17" s="45">
        <v>11.7</v>
      </c>
      <c r="AA17" s="45">
        <v>11.7</v>
      </c>
      <c r="AB17" s="45">
        <v>11.7</v>
      </c>
      <c r="AC17" s="45">
        <v>11.7</v>
      </c>
      <c r="AD17" s="45">
        <v>11.7</v>
      </c>
      <c r="AE17" s="45">
        <v>11.7</v>
      </c>
      <c r="AF17" s="45">
        <v>11.7</v>
      </c>
      <c r="AG17" s="51">
        <v>24.2</v>
      </c>
      <c r="AH17" s="48">
        <f t="shared" si="2"/>
        <v>11.8</v>
      </c>
      <c r="AI17" s="49">
        <f t="shared" si="3"/>
        <v>11.7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13.2</v>
      </c>
      <c r="C18" s="45">
        <v>13.2</v>
      </c>
      <c r="D18" s="45">
        <v>13.2</v>
      </c>
      <c r="E18" s="45">
        <v>13.2</v>
      </c>
      <c r="F18" s="45">
        <v>13.2</v>
      </c>
      <c r="G18" s="45">
        <v>13.2</v>
      </c>
      <c r="H18" s="45">
        <v>13.2</v>
      </c>
      <c r="I18" s="45">
        <v>13.2</v>
      </c>
      <c r="J18" s="45">
        <v>13.2</v>
      </c>
      <c r="K18" s="45">
        <v>13.2</v>
      </c>
      <c r="L18" s="45">
        <v>13.2</v>
      </c>
      <c r="M18" s="45">
        <v>13.2</v>
      </c>
      <c r="N18" s="45">
        <v>13.2</v>
      </c>
      <c r="O18" s="45">
        <v>13.2</v>
      </c>
      <c r="P18" s="45">
        <v>13.2</v>
      </c>
      <c r="Q18" s="45">
        <v>13.2</v>
      </c>
      <c r="R18" s="45">
        <v>13.2</v>
      </c>
      <c r="S18" s="45">
        <v>13.2</v>
      </c>
      <c r="T18" s="45">
        <v>13.2</v>
      </c>
      <c r="U18" s="45">
        <v>13.2</v>
      </c>
      <c r="V18" s="45">
        <v>13.2</v>
      </c>
      <c r="W18" s="45">
        <v>13.2</v>
      </c>
      <c r="X18" s="45">
        <v>13.2</v>
      </c>
      <c r="Y18" s="45">
        <v>13.2</v>
      </c>
      <c r="Z18" s="45">
        <v>13.2</v>
      </c>
      <c r="AA18" s="45">
        <v>13.2</v>
      </c>
      <c r="AB18" s="45">
        <v>13.2</v>
      </c>
      <c r="AC18" s="45">
        <v>13.2</v>
      </c>
      <c r="AD18" s="45">
        <v>13.2</v>
      </c>
      <c r="AE18" s="45">
        <v>13.2</v>
      </c>
      <c r="AF18" s="45">
        <v>13.2</v>
      </c>
      <c r="AG18" s="51">
        <v>28</v>
      </c>
      <c r="AH18" s="48">
        <f t="shared" si="2"/>
        <v>13.2</v>
      </c>
      <c r="AI18" s="49">
        <f t="shared" si="3"/>
        <v>13.2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14</v>
      </c>
      <c r="C19" s="45">
        <v>14</v>
      </c>
      <c r="D19" s="45">
        <v>14</v>
      </c>
      <c r="E19" s="45">
        <v>14</v>
      </c>
      <c r="F19" s="45">
        <v>14</v>
      </c>
      <c r="G19" s="45">
        <v>14</v>
      </c>
      <c r="H19" s="45">
        <v>14</v>
      </c>
      <c r="I19" s="45">
        <v>14</v>
      </c>
      <c r="J19" s="45">
        <v>14</v>
      </c>
      <c r="K19" s="45">
        <v>14</v>
      </c>
      <c r="L19" s="45">
        <v>14</v>
      </c>
      <c r="M19" s="45">
        <v>14</v>
      </c>
      <c r="N19" s="45">
        <v>14</v>
      </c>
      <c r="O19" s="45">
        <v>14</v>
      </c>
      <c r="P19" s="45">
        <v>14</v>
      </c>
      <c r="Q19" s="45">
        <v>14</v>
      </c>
      <c r="R19" s="45">
        <v>14</v>
      </c>
      <c r="S19" s="45">
        <v>14</v>
      </c>
      <c r="T19" s="45">
        <v>14</v>
      </c>
      <c r="U19" s="45">
        <v>14</v>
      </c>
      <c r="V19" s="45">
        <v>14</v>
      </c>
      <c r="W19" s="45">
        <v>14</v>
      </c>
      <c r="X19" s="45">
        <v>14</v>
      </c>
      <c r="Y19" s="45">
        <v>14</v>
      </c>
      <c r="Z19" s="45">
        <v>14</v>
      </c>
      <c r="AA19" s="45">
        <v>14</v>
      </c>
      <c r="AB19" s="45">
        <v>14</v>
      </c>
      <c r="AC19" s="45">
        <v>14</v>
      </c>
      <c r="AD19" s="45">
        <v>14</v>
      </c>
      <c r="AE19" s="45">
        <v>14</v>
      </c>
      <c r="AF19" s="45">
        <v>14</v>
      </c>
      <c r="AG19" s="52">
        <v>30</v>
      </c>
      <c r="AH19" s="48">
        <f t="shared" si="2"/>
        <v>14</v>
      </c>
      <c r="AI19" s="49">
        <f t="shared" si="3"/>
        <v>14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13.4</v>
      </c>
      <c r="C20" s="45">
        <v>13.4</v>
      </c>
      <c r="D20" s="45">
        <v>13.4</v>
      </c>
      <c r="E20" s="45">
        <v>13.4</v>
      </c>
      <c r="F20" s="45">
        <v>13.4</v>
      </c>
      <c r="G20" s="45">
        <v>13.4</v>
      </c>
      <c r="H20" s="45">
        <v>13.4</v>
      </c>
      <c r="I20" s="45">
        <v>13.4</v>
      </c>
      <c r="J20" s="45">
        <v>13.4</v>
      </c>
      <c r="K20" s="45">
        <v>13.4</v>
      </c>
      <c r="L20" s="45">
        <v>13.4</v>
      </c>
      <c r="M20" s="45">
        <v>13.4</v>
      </c>
      <c r="N20" s="45">
        <v>13.4</v>
      </c>
      <c r="O20" s="45">
        <v>13.4</v>
      </c>
      <c r="P20" s="45">
        <v>13.4</v>
      </c>
      <c r="Q20" s="45">
        <v>13.4</v>
      </c>
      <c r="R20" s="45">
        <v>13.4</v>
      </c>
      <c r="S20" s="45">
        <v>13.4</v>
      </c>
      <c r="T20" s="45">
        <v>13.4</v>
      </c>
      <c r="U20" s="45">
        <v>13.4</v>
      </c>
      <c r="V20" s="45">
        <v>13.4</v>
      </c>
      <c r="W20" s="45">
        <v>13.4</v>
      </c>
      <c r="X20" s="45">
        <v>13.4</v>
      </c>
      <c r="Y20" s="45">
        <v>13.4</v>
      </c>
      <c r="Z20" s="45">
        <v>13.4</v>
      </c>
      <c r="AA20" s="45">
        <v>13.4</v>
      </c>
      <c r="AB20" s="45">
        <v>13.4</v>
      </c>
      <c r="AC20" s="45">
        <v>13.4</v>
      </c>
      <c r="AD20" s="45">
        <v>13.4</v>
      </c>
      <c r="AE20" s="45">
        <v>13.4</v>
      </c>
      <c r="AF20" s="45">
        <v>13.4</v>
      </c>
      <c r="AG20" s="51">
        <v>25</v>
      </c>
      <c r="AH20" s="48">
        <f t="shared" si="2"/>
        <v>13.4</v>
      </c>
      <c r="AI20" s="49">
        <f t="shared" si="3"/>
        <v>13.4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51">
        <v>25</v>
      </c>
      <c r="AH21" s="48">
        <f t="shared" si="2"/>
        <v>0</v>
      </c>
      <c r="AI21" s="49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13.5</v>
      </c>
      <c r="C23" s="45">
        <v>13.5</v>
      </c>
      <c r="D23" s="45">
        <v>13.5</v>
      </c>
      <c r="E23" s="45">
        <v>13.5</v>
      </c>
      <c r="F23" s="45">
        <v>13.5</v>
      </c>
      <c r="G23" s="45">
        <v>13.5</v>
      </c>
      <c r="H23" s="45">
        <v>13.5</v>
      </c>
      <c r="I23" s="45">
        <v>13.5</v>
      </c>
      <c r="J23" s="45">
        <v>13.5</v>
      </c>
      <c r="K23" s="45">
        <v>13.5</v>
      </c>
      <c r="L23" s="45">
        <v>13.5</v>
      </c>
      <c r="M23" s="45">
        <v>13.5</v>
      </c>
      <c r="N23" s="45">
        <v>13.5</v>
      </c>
      <c r="O23" s="45">
        <v>13.5</v>
      </c>
      <c r="P23" s="45">
        <v>13.5</v>
      </c>
      <c r="Q23" s="45">
        <v>13.5</v>
      </c>
      <c r="R23" s="45">
        <v>13.5</v>
      </c>
      <c r="S23" s="45">
        <v>13.5</v>
      </c>
      <c r="T23" s="45">
        <v>13.5</v>
      </c>
      <c r="U23" s="45">
        <v>13.5</v>
      </c>
      <c r="V23" s="45">
        <v>13.5</v>
      </c>
      <c r="W23" s="45">
        <v>13.5</v>
      </c>
      <c r="X23" s="45">
        <v>13.5</v>
      </c>
      <c r="Y23" s="45">
        <v>13.5</v>
      </c>
      <c r="Z23" s="45">
        <v>13.5</v>
      </c>
      <c r="AA23" s="45">
        <v>13.5</v>
      </c>
      <c r="AB23" s="45">
        <v>13.5</v>
      </c>
      <c r="AC23" s="45">
        <v>13.5</v>
      </c>
      <c r="AD23" s="45">
        <v>13.5</v>
      </c>
      <c r="AE23" s="45">
        <v>13.5</v>
      </c>
      <c r="AF23" s="45">
        <v>13.5</v>
      </c>
      <c r="AG23" s="51">
        <v>25</v>
      </c>
      <c r="AH23" s="48">
        <f t="shared" si="2"/>
        <v>13.5</v>
      </c>
      <c r="AI23" s="49">
        <f t="shared" si="3"/>
        <v>13.5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11.8</v>
      </c>
      <c r="C24" s="45">
        <v>11.8</v>
      </c>
      <c r="D24" s="45">
        <v>11.8</v>
      </c>
      <c r="E24" s="45">
        <v>11.8</v>
      </c>
      <c r="F24" s="45">
        <v>11.8</v>
      </c>
      <c r="G24" s="45">
        <v>11.8</v>
      </c>
      <c r="H24" s="45">
        <v>11.8</v>
      </c>
      <c r="I24" s="45">
        <v>12.3</v>
      </c>
      <c r="J24" s="45">
        <v>12.3</v>
      </c>
      <c r="K24" s="45">
        <v>12.3</v>
      </c>
      <c r="L24" s="45">
        <v>12.3</v>
      </c>
      <c r="M24" s="45">
        <v>12.3</v>
      </c>
      <c r="N24" s="45">
        <v>12.3</v>
      </c>
      <c r="O24" s="45">
        <v>12.3</v>
      </c>
      <c r="P24" s="45">
        <v>12.3</v>
      </c>
      <c r="Q24" s="45">
        <v>12.3</v>
      </c>
      <c r="R24" s="45">
        <v>12.3</v>
      </c>
      <c r="S24" s="45">
        <v>12.3</v>
      </c>
      <c r="T24" s="45">
        <v>12.3</v>
      </c>
      <c r="U24" s="45">
        <v>12.3</v>
      </c>
      <c r="V24" s="45">
        <v>12.3</v>
      </c>
      <c r="W24" s="45">
        <v>12.3</v>
      </c>
      <c r="X24" s="45">
        <v>12.3</v>
      </c>
      <c r="Y24" s="45">
        <v>12.3</v>
      </c>
      <c r="Z24" s="45">
        <v>12.3</v>
      </c>
      <c r="AA24" s="45">
        <v>12.3</v>
      </c>
      <c r="AB24" s="45">
        <v>12.3</v>
      </c>
      <c r="AC24" s="45">
        <v>12.3</v>
      </c>
      <c r="AD24" s="45">
        <v>12.3</v>
      </c>
      <c r="AE24" s="45">
        <v>12.3</v>
      </c>
      <c r="AF24" s="45">
        <v>12.3</v>
      </c>
      <c r="AG24" s="51">
        <v>23.5</v>
      </c>
      <c r="AH24" s="48">
        <f t="shared" si="2"/>
        <v>12.3</v>
      </c>
      <c r="AI24" s="49">
        <f t="shared" si="3"/>
        <v>11.8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7.0990000000000002</v>
      </c>
      <c r="C26" s="45">
        <v>7.0990000000000002</v>
      </c>
      <c r="D26" s="45">
        <v>7.0990000000000002</v>
      </c>
      <c r="E26" s="45">
        <v>7.0990000000000002</v>
      </c>
      <c r="F26" s="45">
        <v>7.0990000000000002</v>
      </c>
      <c r="G26" s="45">
        <v>7.0990000000000002</v>
      </c>
      <c r="H26" s="45">
        <v>7.0990000000000002</v>
      </c>
      <c r="I26" s="45">
        <v>7.0990000000000002</v>
      </c>
      <c r="J26" s="45">
        <v>7.0990000000000002</v>
      </c>
      <c r="K26" s="45">
        <v>7.0990000000000002</v>
      </c>
      <c r="L26" s="45">
        <v>7.0990000000000002</v>
      </c>
      <c r="M26" s="45">
        <v>7.0990000000000002</v>
      </c>
      <c r="N26" s="45">
        <v>7.0990000000000002</v>
      </c>
      <c r="O26" s="45">
        <v>7.0990000000000002</v>
      </c>
      <c r="P26" s="45">
        <v>7.0990000000000002</v>
      </c>
      <c r="Q26" s="45">
        <v>7.0990000000000002</v>
      </c>
      <c r="R26" s="45">
        <v>7.0990000000000002</v>
      </c>
      <c r="S26" s="45">
        <v>7.0990000000000002</v>
      </c>
      <c r="T26" s="45">
        <v>7.0990000000000002</v>
      </c>
      <c r="U26" s="45">
        <v>7.0990000000000002</v>
      </c>
      <c r="V26" s="45">
        <v>7.0990000000000002</v>
      </c>
      <c r="W26" s="45">
        <v>7.0990000000000002</v>
      </c>
      <c r="X26" s="45">
        <v>7.0990000000000002</v>
      </c>
      <c r="Y26" s="45">
        <v>7.0990000000000002</v>
      </c>
      <c r="Z26" s="45">
        <v>7.0990000000000002</v>
      </c>
      <c r="AA26" s="45">
        <v>7.0990000000000002</v>
      </c>
      <c r="AB26" s="45">
        <v>7.0990000000000002</v>
      </c>
      <c r="AC26" s="45">
        <v>7.0990000000000002</v>
      </c>
      <c r="AD26" s="45">
        <v>7.0990000000000002</v>
      </c>
      <c r="AE26" s="45">
        <v>7.0990000000000002</v>
      </c>
      <c r="AF26" s="45">
        <v>7.0990000000000002</v>
      </c>
      <c r="AG26" s="51">
        <v>22.1</v>
      </c>
      <c r="AH26" s="48">
        <f t="shared" si="2"/>
        <v>7.0990000000000002</v>
      </c>
      <c r="AI26" s="49">
        <f t="shared" si="3"/>
        <v>7.0990000000000002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200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si="2"/>
        <v>200</v>
      </c>
      <c r="AI42" s="49">
        <f t="shared" si="3"/>
        <v>200</v>
      </c>
      <c r="AK42" s="50"/>
    </row>
    <row r="43" spans="1:88" ht="15.75" thickBot="1" x14ac:dyDescent="0.3">
      <c r="A43" s="58" t="s">
        <v>51</v>
      </c>
      <c r="B43" s="59">
        <v>52.6</v>
      </c>
      <c r="C43" s="59">
        <v>52.6</v>
      </c>
      <c r="D43" s="59">
        <f>37.7+16.1</f>
        <v>53.800000000000004</v>
      </c>
      <c r="E43" s="59">
        <v>54</v>
      </c>
      <c r="F43" s="59">
        <v>53.9</v>
      </c>
      <c r="G43" s="59">
        <v>53.2</v>
      </c>
      <c r="H43" s="59">
        <v>53.2</v>
      </c>
      <c r="I43" s="59">
        <v>52.4</v>
      </c>
      <c r="J43" s="59">
        <v>52.4</v>
      </c>
      <c r="K43" s="59">
        <v>52.4</v>
      </c>
      <c r="L43" s="59">
        <f>37.2+14.8</f>
        <v>52</v>
      </c>
      <c r="M43" s="57">
        <f>35.7+14.6</f>
        <v>50.300000000000004</v>
      </c>
      <c r="N43" s="57">
        <f>36.3+14.9</f>
        <v>51.199999999999996</v>
      </c>
      <c r="O43" s="57">
        <f>39.4+14.5</f>
        <v>53.9</v>
      </c>
      <c r="P43" s="57">
        <f>38.3+14.8</f>
        <v>53.099999999999994</v>
      </c>
      <c r="Q43" s="57">
        <f>38.4+13.3</f>
        <v>51.7</v>
      </c>
      <c r="R43" s="57">
        <f>36.9+14.6</f>
        <v>51.5</v>
      </c>
      <c r="S43" s="57">
        <f>14+36.1</f>
        <v>50.1</v>
      </c>
      <c r="T43" s="57">
        <f>13.8+36.3</f>
        <v>50.099999999999994</v>
      </c>
      <c r="U43" s="57">
        <f>13.8+36.3</f>
        <v>50.099999999999994</v>
      </c>
      <c r="V43" s="57">
        <f>12.6+36.2</f>
        <v>48.800000000000004</v>
      </c>
      <c r="W43" s="57">
        <f>34.2+12.9</f>
        <v>47.1</v>
      </c>
      <c r="X43" s="57">
        <f>34.2+12.9</f>
        <v>47.1</v>
      </c>
      <c r="Y43" s="57">
        <f>34.2+12.9</f>
        <v>47.1</v>
      </c>
      <c r="Z43" s="57">
        <f>13.44+32.3</f>
        <v>45.739999999999995</v>
      </c>
      <c r="AA43" s="59">
        <f t="shared" ref="AA43" si="4">12.8+34.7</f>
        <v>47.5</v>
      </c>
      <c r="AB43" s="59">
        <v>46</v>
      </c>
      <c r="AC43" s="59">
        <f>12.3+32.7</f>
        <v>45</v>
      </c>
      <c r="AD43" s="59">
        <f>13+37.3</f>
        <v>50.3</v>
      </c>
      <c r="AE43" s="59"/>
      <c r="AF43" s="59">
        <f>12.9+34.6</f>
        <v>47.5</v>
      </c>
      <c r="AG43" s="55">
        <v>240</v>
      </c>
      <c r="AH43" s="48">
        <f t="shared" si="2"/>
        <v>54</v>
      </c>
      <c r="AI43" s="49">
        <f t="shared" si="3"/>
        <v>45</v>
      </c>
      <c r="AK43" s="50"/>
    </row>
    <row r="44" spans="1:88" ht="15.75" thickBot="1" x14ac:dyDescent="0.3">
      <c r="A44" s="60" t="s">
        <v>52</v>
      </c>
      <c r="B44" s="61">
        <f t="shared" ref="B44:AG44" si="5">SUM(B11:B42)</f>
        <v>559.99900000000002</v>
      </c>
      <c r="C44" s="61">
        <f t="shared" si="5"/>
        <v>559.99900000000002</v>
      </c>
      <c r="D44" s="61">
        <f t="shared" si="5"/>
        <v>559.99900000000002</v>
      </c>
      <c r="E44" s="61">
        <f t="shared" si="5"/>
        <v>559.99900000000002</v>
      </c>
      <c r="F44" s="61">
        <f t="shared" si="5"/>
        <v>559.99900000000002</v>
      </c>
      <c r="G44" s="61">
        <f t="shared" si="5"/>
        <v>559.99900000000002</v>
      </c>
      <c r="H44" s="61">
        <f t="shared" si="5"/>
        <v>559.99900000000002</v>
      </c>
      <c r="I44" s="61">
        <f t="shared" si="5"/>
        <v>560.09899999999993</v>
      </c>
      <c r="J44" s="61">
        <f t="shared" si="5"/>
        <v>560.09899999999993</v>
      </c>
      <c r="K44" s="61">
        <f t="shared" si="5"/>
        <v>560.09899999999993</v>
      </c>
      <c r="L44" s="61">
        <f t="shared" si="5"/>
        <v>560.09899999999993</v>
      </c>
      <c r="M44" s="61">
        <f t="shared" si="5"/>
        <v>558.59899999999993</v>
      </c>
      <c r="N44" s="61">
        <f t="shared" si="5"/>
        <v>558.59899999999993</v>
      </c>
      <c r="O44" s="61">
        <f t="shared" si="5"/>
        <v>558.59899999999993</v>
      </c>
      <c r="P44" s="61">
        <f t="shared" si="5"/>
        <v>558.59899999999993</v>
      </c>
      <c r="Q44" s="61">
        <f t="shared" si="5"/>
        <v>558.79899999999998</v>
      </c>
      <c r="R44" s="61">
        <f t="shared" si="5"/>
        <v>558.79899999999998</v>
      </c>
      <c r="S44" s="61">
        <f t="shared" si="5"/>
        <v>558.49900000000002</v>
      </c>
      <c r="T44" s="61">
        <f t="shared" si="5"/>
        <v>558.09899999999993</v>
      </c>
      <c r="U44" s="61">
        <f t="shared" si="5"/>
        <v>558.09899999999993</v>
      </c>
      <c r="V44" s="61">
        <f t="shared" si="5"/>
        <v>560.09899999999993</v>
      </c>
      <c r="W44" s="61">
        <f t="shared" si="5"/>
        <v>560.49900000000002</v>
      </c>
      <c r="X44" s="61">
        <f t="shared" si="5"/>
        <v>560.49900000000002</v>
      </c>
      <c r="Y44" s="61">
        <f t="shared" si="5"/>
        <v>560.49900000000002</v>
      </c>
      <c r="Z44" s="61">
        <f t="shared" si="5"/>
        <v>561.19899999999996</v>
      </c>
      <c r="AA44" s="61">
        <f t="shared" si="5"/>
        <v>561.19899999999996</v>
      </c>
      <c r="AB44" s="61">
        <f t="shared" si="5"/>
        <v>561.19899999999996</v>
      </c>
      <c r="AC44" s="61">
        <f t="shared" si="5"/>
        <v>561.19899999999996</v>
      </c>
      <c r="AD44" s="61">
        <f t="shared" si="5"/>
        <v>561.19899999999996</v>
      </c>
      <c r="AE44" s="61">
        <f t="shared" si="5"/>
        <v>561.19899999999996</v>
      </c>
      <c r="AF44" s="61">
        <f t="shared" si="5"/>
        <v>561.19899999999996</v>
      </c>
      <c r="AG44" s="62">
        <f t="shared" si="5"/>
        <v>814.78000000000009</v>
      </c>
      <c r="AH44" s="48">
        <f t="shared" si="2"/>
        <v>561.19899999999996</v>
      </c>
      <c r="AI44" s="49">
        <f t="shared" si="3"/>
        <v>558.09899999999993</v>
      </c>
      <c r="AK44" s="50"/>
    </row>
    <row r="45" spans="1:88" x14ac:dyDescent="0.25">
      <c r="A45" s="63" t="s">
        <v>53</v>
      </c>
      <c r="B45" s="45">
        <v>30</v>
      </c>
      <c r="C45" s="45">
        <v>15</v>
      </c>
      <c r="D45" s="45">
        <v>15</v>
      </c>
      <c r="E45" s="45">
        <v>15</v>
      </c>
      <c r="F45" s="45">
        <v>15</v>
      </c>
      <c r="G45" s="45">
        <v>15</v>
      </c>
      <c r="H45" s="45">
        <v>35</v>
      </c>
      <c r="I45" s="45">
        <v>85</v>
      </c>
      <c r="J45" s="45">
        <v>220</v>
      </c>
      <c r="K45" s="45">
        <v>270</v>
      </c>
      <c r="L45" s="45">
        <v>390</v>
      </c>
      <c r="M45" s="164">
        <v>385</v>
      </c>
      <c r="N45" s="45">
        <v>340</v>
      </c>
      <c r="O45" s="45">
        <v>128</v>
      </c>
      <c r="P45" s="45">
        <v>125</v>
      </c>
      <c r="Q45" s="45">
        <v>125</v>
      </c>
      <c r="R45" s="45">
        <v>115</v>
      </c>
      <c r="S45" s="45">
        <v>15</v>
      </c>
      <c r="T45" s="45">
        <v>15</v>
      </c>
      <c r="U45" s="45">
        <v>30</v>
      </c>
      <c r="V45" s="45">
        <v>27.5</v>
      </c>
      <c r="W45" s="45">
        <v>420</v>
      </c>
      <c r="X45" s="45">
        <v>420</v>
      </c>
      <c r="Y45" s="45">
        <v>420</v>
      </c>
      <c r="Z45" s="45">
        <v>340</v>
      </c>
      <c r="AA45" s="45">
        <v>285</v>
      </c>
      <c r="AB45" s="45">
        <v>260</v>
      </c>
      <c r="AC45" s="45">
        <v>100</v>
      </c>
      <c r="AD45" s="45">
        <v>120</v>
      </c>
      <c r="AE45" s="45">
        <v>60</v>
      </c>
      <c r="AF45" s="45">
        <v>50</v>
      </c>
      <c r="AG45" s="52">
        <v>456</v>
      </c>
      <c r="AH45" s="48">
        <f t="shared" si="2"/>
        <v>420</v>
      </c>
      <c r="AI45" s="49">
        <f t="shared" si="3"/>
        <v>15</v>
      </c>
      <c r="AK45" s="50"/>
    </row>
    <row r="46" spans="1:88" x14ac:dyDescent="0.25">
      <c r="A46" s="64" t="s">
        <v>54</v>
      </c>
      <c r="B46" s="65">
        <v>46</v>
      </c>
      <c r="C46" s="65">
        <v>46</v>
      </c>
      <c r="D46" s="65">
        <v>46</v>
      </c>
      <c r="E46" s="65">
        <v>33.299999999999997</v>
      </c>
      <c r="F46" s="65">
        <v>33.299999999999997</v>
      </c>
      <c r="G46" s="65">
        <v>33.299999999999997</v>
      </c>
      <c r="H46" s="65">
        <v>33.299999999999997</v>
      </c>
      <c r="I46" s="65">
        <v>33.299999999999997</v>
      </c>
      <c r="J46" s="65">
        <v>33.299999999999997</v>
      </c>
      <c r="K46" s="65">
        <v>33.299999999999997</v>
      </c>
      <c r="L46" s="65">
        <v>33.299999999999997</v>
      </c>
      <c r="M46" s="165">
        <v>45</v>
      </c>
      <c r="N46" s="65">
        <v>45</v>
      </c>
      <c r="O46" s="65">
        <v>45</v>
      </c>
      <c r="P46" s="65">
        <v>45</v>
      </c>
      <c r="Q46" s="65">
        <v>45</v>
      </c>
      <c r="R46" s="65">
        <v>45</v>
      </c>
      <c r="S46" s="65">
        <v>45</v>
      </c>
      <c r="T46" s="65">
        <v>45</v>
      </c>
      <c r="U46" s="65">
        <v>45</v>
      </c>
      <c r="V46" s="65">
        <v>45</v>
      </c>
      <c r="W46" s="65">
        <v>45</v>
      </c>
      <c r="X46" s="65">
        <v>45</v>
      </c>
      <c r="Y46" s="65">
        <v>45</v>
      </c>
      <c r="Z46" s="65">
        <v>45</v>
      </c>
      <c r="AA46" s="65">
        <v>45</v>
      </c>
      <c r="AB46" s="65">
        <v>45</v>
      </c>
      <c r="AC46" s="65">
        <v>46</v>
      </c>
      <c r="AD46" s="65">
        <v>46</v>
      </c>
      <c r="AE46" s="65">
        <v>46</v>
      </c>
      <c r="AF46" s="65">
        <v>46</v>
      </c>
      <c r="AG46" s="55">
        <v>60</v>
      </c>
      <c r="AH46" s="48">
        <f t="shared" si="2"/>
        <v>46</v>
      </c>
      <c r="AI46" s="49">
        <f t="shared" si="3"/>
        <v>33.299999999999997</v>
      </c>
      <c r="AK46" s="50"/>
    </row>
    <row r="47" spans="1:88" ht="15.75" thickBot="1" x14ac:dyDescent="0.3">
      <c r="A47" s="66" t="s">
        <v>55</v>
      </c>
      <c r="B47" s="67">
        <v>18.899999999999999</v>
      </c>
      <c r="C47" s="67">
        <v>18.3</v>
      </c>
      <c r="D47" s="67">
        <v>18.3</v>
      </c>
      <c r="E47" s="67">
        <v>18.3</v>
      </c>
      <c r="F47" s="67">
        <v>18.3</v>
      </c>
      <c r="G47" s="67">
        <v>18.3</v>
      </c>
      <c r="H47" s="67">
        <v>18.3</v>
      </c>
      <c r="I47" s="67">
        <v>18.3</v>
      </c>
      <c r="J47" s="67">
        <v>18.3</v>
      </c>
      <c r="K47" s="67">
        <v>18.3</v>
      </c>
      <c r="L47" s="67">
        <v>18.3</v>
      </c>
      <c r="M47" s="166">
        <v>18.3</v>
      </c>
      <c r="N47" s="67">
        <v>16.3</v>
      </c>
      <c r="O47" s="67">
        <v>16.3</v>
      </c>
      <c r="P47" s="67">
        <v>16.3</v>
      </c>
      <c r="Q47" s="67">
        <v>16.3</v>
      </c>
      <c r="R47" s="67">
        <v>16.5</v>
      </c>
      <c r="S47" s="67">
        <v>17.100000000000001</v>
      </c>
      <c r="T47" s="67">
        <v>17.5</v>
      </c>
      <c r="U47" s="67">
        <v>17.5</v>
      </c>
      <c r="V47" s="67">
        <v>17.5</v>
      </c>
      <c r="W47" s="67">
        <v>17</v>
      </c>
      <c r="X47" s="67">
        <v>17</v>
      </c>
      <c r="Y47" s="67">
        <v>17</v>
      </c>
      <c r="Z47" s="67">
        <v>17</v>
      </c>
      <c r="AA47" s="67">
        <v>17</v>
      </c>
      <c r="AB47" s="67">
        <v>20</v>
      </c>
      <c r="AC47" s="67">
        <v>20.100000000000001</v>
      </c>
      <c r="AD47" s="67">
        <v>18.2</v>
      </c>
      <c r="AE47" s="67">
        <v>18.3</v>
      </c>
      <c r="AF47" s="67">
        <v>18.3</v>
      </c>
      <c r="AG47" s="68">
        <v>22.1</v>
      </c>
      <c r="AH47" s="48">
        <f t="shared" si="2"/>
        <v>20.100000000000001</v>
      </c>
      <c r="AI47" s="49">
        <f t="shared" si="3"/>
        <v>16.3</v>
      </c>
      <c r="AK47" s="50"/>
    </row>
    <row r="48" spans="1:88" ht="15.75" thickBot="1" x14ac:dyDescent="0.3">
      <c r="A48" s="69" t="s">
        <v>56</v>
      </c>
      <c r="B48" s="61">
        <f t="shared" ref="B48:AG48" si="6">SUM(B45:B47)</f>
        <v>94.9</v>
      </c>
      <c r="C48" s="61">
        <f t="shared" si="6"/>
        <v>79.3</v>
      </c>
      <c r="D48" s="61">
        <f t="shared" si="6"/>
        <v>79.3</v>
      </c>
      <c r="E48" s="61">
        <f t="shared" si="6"/>
        <v>66.599999999999994</v>
      </c>
      <c r="F48" s="61">
        <f t="shared" si="6"/>
        <v>66.599999999999994</v>
      </c>
      <c r="G48" s="61">
        <f t="shared" si="6"/>
        <v>66.599999999999994</v>
      </c>
      <c r="H48" s="61">
        <f t="shared" si="6"/>
        <v>86.6</v>
      </c>
      <c r="I48" s="61">
        <f t="shared" si="6"/>
        <v>136.6</v>
      </c>
      <c r="J48" s="61">
        <f t="shared" si="6"/>
        <v>271.60000000000002</v>
      </c>
      <c r="K48" s="61">
        <f t="shared" si="6"/>
        <v>321.60000000000002</v>
      </c>
      <c r="L48" s="61">
        <f t="shared" si="6"/>
        <v>441.6</v>
      </c>
      <c r="M48" s="61">
        <f t="shared" si="6"/>
        <v>448.3</v>
      </c>
      <c r="N48" s="61">
        <f t="shared" si="6"/>
        <v>401.3</v>
      </c>
      <c r="O48" s="61">
        <f t="shared" si="6"/>
        <v>189.3</v>
      </c>
      <c r="P48" s="61">
        <f t="shared" si="6"/>
        <v>186.3</v>
      </c>
      <c r="Q48" s="61">
        <f t="shared" si="6"/>
        <v>186.3</v>
      </c>
      <c r="R48" s="61">
        <f t="shared" si="6"/>
        <v>176.5</v>
      </c>
      <c r="S48" s="61">
        <f t="shared" si="6"/>
        <v>77.099999999999994</v>
      </c>
      <c r="T48" s="61">
        <f t="shared" si="6"/>
        <v>77.5</v>
      </c>
      <c r="U48" s="61">
        <f t="shared" si="6"/>
        <v>92.5</v>
      </c>
      <c r="V48" s="61">
        <f t="shared" si="6"/>
        <v>90</v>
      </c>
      <c r="W48" s="61">
        <f t="shared" si="6"/>
        <v>482</v>
      </c>
      <c r="X48" s="61">
        <f t="shared" si="6"/>
        <v>482</v>
      </c>
      <c r="Y48" s="61">
        <f t="shared" si="6"/>
        <v>482</v>
      </c>
      <c r="Z48" s="61">
        <f t="shared" si="6"/>
        <v>402</v>
      </c>
      <c r="AA48" s="61">
        <f t="shared" si="6"/>
        <v>347</v>
      </c>
      <c r="AB48" s="61">
        <f t="shared" si="6"/>
        <v>325</v>
      </c>
      <c r="AC48" s="61">
        <f t="shared" si="6"/>
        <v>166.1</v>
      </c>
      <c r="AD48" s="61">
        <f t="shared" si="6"/>
        <v>184.2</v>
      </c>
      <c r="AE48" s="61">
        <f t="shared" si="6"/>
        <v>124.3</v>
      </c>
      <c r="AF48" s="61">
        <f t="shared" si="6"/>
        <v>114.3</v>
      </c>
      <c r="AG48" s="62">
        <f t="shared" si="6"/>
        <v>538.1</v>
      </c>
      <c r="AH48" s="48">
        <f t="shared" si="2"/>
        <v>482</v>
      </c>
      <c r="AI48" s="49">
        <f t="shared" si="3"/>
        <v>66.599999999999994</v>
      </c>
      <c r="AK48" s="50"/>
    </row>
    <row r="49" spans="1:41" x14ac:dyDescent="0.25">
      <c r="A49" s="44" t="s">
        <v>57</v>
      </c>
      <c r="B49" s="45">
        <v>30.3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60</v>
      </c>
      <c r="I49" s="45">
        <v>93</v>
      </c>
      <c r="J49" s="45">
        <v>93.4</v>
      </c>
      <c r="K49" s="45">
        <v>93</v>
      </c>
      <c r="L49" s="45">
        <v>141.69999999999999</v>
      </c>
      <c r="M49" s="45">
        <v>142.80000000000001</v>
      </c>
      <c r="N49" s="45">
        <v>142.69999999999999</v>
      </c>
      <c r="O49" s="45">
        <v>142.69999999999999</v>
      </c>
      <c r="P49" s="45">
        <v>142.9</v>
      </c>
      <c r="Q49" s="45">
        <v>142.9</v>
      </c>
      <c r="R49" s="45">
        <v>109.3</v>
      </c>
      <c r="S49" s="45">
        <v>100</v>
      </c>
      <c r="T49" s="45">
        <v>141.5</v>
      </c>
      <c r="U49" s="45">
        <v>141.5</v>
      </c>
      <c r="V49" s="45">
        <v>142</v>
      </c>
      <c r="W49" s="45">
        <v>142</v>
      </c>
      <c r="X49" s="45">
        <v>142</v>
      </c>
      <c r="Y49" s="45">
        <v>142</v>
      </c>
      <c r="Z49" s="45">
        <v>142</v>
      </c>
      <c r="AA49" s="45">
        <v>141.5</v>
      </c>
      <c r="AB49" s="45">
        <v>141.9</v>
      </c>
      <c r="AC49" s="45">
        <v>141.80000000000001</v>
      </c>
      <c r="AD49" s="45">
        <v>94.3</v>
      </c>
      <c r="AE49" s="45">
        <v>85.3</v>
      </c>
      <c r="AF49" s="45">
        <v>61</v>
      </c>
      <c r="AG49" s="52">
        <v>144</v>
      </c>
      <c r="AH49" s="48">
        <f t="shared" si="2"/>
        <v>142.9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30</v>
      </c>
      <c r="C50" s="65">
        <v>0</v>
      </c>
      <c r="D50" s="65">
        <v>0</v>
      </c>
      <c r="E50" s="65">
        <v>0</v>
      </c>
      <c r="F50" s="65">
        <v>21.2</v>
      </c>
      <c r="G50" s="65">
        <v>45.6</v>
      </c>
      <c r="H50" s="65">
        <v>50</v>
      </c>
      <c r="I50" s="65">
        <v>50</v>
      </c>
      <c r="J50" s="65">
        <v>69.400000000000006</v>
      </c>
      <c r="K50" s="65">
        <v>69.400000000000006</v>
      </c>
      <c r="L50" s="65">
        <v>72.400000000000006</v>
      </c>
      <c r="M50" s="65">
        <v>70.599999999999994</v>
      </c>
      <c r="N50" s="65">
        <v>71.2</v>
      </c>
      <c r="O50" s="65">
        <v>71</v>
      </c>
      <c r="P50" s="65">
        <v>55.3</v>
      </c>
      <c r="Q50" s="65">
        <v>70</v>
      </c>
      <c r="R50" s="45">
        <v>70</v>
      </c>
      <c r="S50" s="65">
        <v>58.5</v>
      </c>
      <c r="T50" s="65">
        <v>67.7</v>
      </c>
      <c r="U50" s="65">
        <v>67.7</v>
      </c>
      <c r="V50" s="65">
        <v>45.9</v>
      </c>
      <c r="W50" s="65">
        <v>64</v>
      </c>
      <c r="X50" s="65">
        <v>64</v>
      </c>
      <c r="Y50" s="65">
        <v>64</v>
      </c>
      <c r="Z50" s="65">
        <v>68.7</v>
      </c>
      <c r="AA50" s="65">
        <v>71.3</v>
      </c>
      <c r="AB50" s="65">
        <v>65.7</v>
      </c>
      <c r="AC50" s="65">
        <v>63.9</v>
      </c>
      <c r="AD50" s="65">
        <v>34.6</v>
      </c>
      <c r="AE50" s="65">
        <v>28.6</v>
      </c>
      <c r="AF50" s="65">
        <v>34.1</v>
      </c>
      <c r="AG50" s="55">
        <v>70</v>
      </c>
      <c r="AH50" s="48">
        <f t="shared" si="2"/>
        <v>72.400000000000006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50</v>
      </c>
      <c r="C51" s="65">
        <v>48.2</v>
      </c>
      <c r="D51" s="65">
        <v>32.200000000000003</v>
      </c>
      <c r="E51" s="65">
        <v>33.299999999999997</v>
      </c>
      <c r="F51" s="65">
        <v>16</v>
      </c>
      <c r="G51" s="65">
        <v>16.100000000000001</v>
      </c>
      <c r="H51" s="65">
        <v>21.8</v>
      </c>
      <c r="I51" s="65">
        <v>33.799999999999997</v>
      </c>
      <c r="J51" s="65">
        <v>45</v>
      </c>
      <c r="K51" s="65">
        <v>52.6</v>
      </c>
      <c r="L51" s="65">
        <v>69.5</v>
      </c>
      <c r="M51" s="65">
        <v>68.599999999999994</v>
      </c>
      <c r="N51" s="65">
        <v>68</v>
      </c>
      <c r="O51" s="65">
        <v>60</v>
      </c>
      <c r="P51" s="65">
        <v>51.2</v>
      </c>
      <c r="Q51" s="65">
        <v>41</v>
      </c>
      <c r="R51" s="45">
        <v>44</v>
      </c>
      <c r="S51" s="65">
        <v>40.799999999999997</v>
      </c>
      <c r="T51" s="65">
        <v>37</v>
      </c>
      <c r="U51" s="65">
        <v>37</v>
      </c>
      <c r="V51" s="65">
        <v>46</v>
      </c>
      <c r="W51" s="65">
        <v>65</v>
      </c>
      <c r="X51" s="65">
        <v>65</v>
      </c>
      <c r="Y51" s="65">
        <v>65</v>
      </c>
      <c r="Z51" s="65">
        <v>69</v>
      </c>
      <c r="AA51" s="65">
        <v>69.099999999999994</v>
      </c>
      <c r="AB51" s="65">
        <v>62</v>
      </c>
      <c r="AC51" s="65">
        <v>69.8</v>
      </c>
      <c r="AD51" s="65">
        <v>69.8</v>
      </c>
      <c r="AE51" s="65">
        <v>52.3</v>
      </c>
      <c r="AF51" s="65">
        <v>69.2</v>
      </c>
      <c r="AG51" s="55">
        <v>69</v>
      </c>
      <c r="AH51" s="48">
        <f t="shared" si="2"/>
        <v>69.8</v>
      </c>
      <c r="AI51" s="49">
        <f t="shared" si="3"/>
        <v>16</v>
      </c>
      <c r="AK51" s="50"/>
    </row>
    <row r="52" spans="1:41" x14ac:dyDescent="0.25">
      <c r="A52" s="54" t="s">
        <v>60</v>
      </c>
      <c r="B52" s="57">
        <v>61</v>
      </c>
      <c r="C52" s="57">
        <v>61</v>
      </c>
      <c r="D52" s="57">
        <v>61</v>
      </c>
      <c r="E52" s="57">
        <v>60.7</v>
      </c>
      <c r="F52" s="57">
        <v>60.7</v>
      </c>
      <c r="G52" s="57">
        <v>60.7</v>
      </c>
      <c r="H52" s="57">
        <v>60.7</v>
      </c>
      <c r="I52" s="57">
        <v>60.7</v>
      </c>
      <c r="J52" s="57">
        <v>60.7</v>
      </c>
      <c r="K52" s="57">
        <v>60.7</v>
      </c>
      <c r="L52" s="57">
        <v>60.7</v>
      </c>
      <c r="M52" s="57">
        <v>60.7</v>
      </c>
      <c r="N52" s="57">
        <v>60.7</v>
      </c>
      <c r="O52" s="57">
        <v>60.7</v>
      </c>
      <c r="P52" s="57">
        <v>60.7</v>
      </c>
      <c r="Q52" s="57">
        <v>60.7</v>
      </c>
      <c r="R52" s="45">
        <v>60.7</v>
      </c>
      <c r="S52" s="45">
        <v>60.7</v>
      </c>
      <c r="T52" s="45">
        <v>60.7</v>
      </c>
      <c r="U52" s="45">
        <v>60.7</v>
      </c>
      <c r="V52" s="45">
        <v>60.7</v>
      </c>
      <c r="W52" s="45">
        <v>60.7</v>
      </c>
      <c r="X52" s="45">
        <v>60.7</v>
      </c>
      <c r="Y52" s="45">
        <v>60.7</v>
      </c>
      <c r="Z52" s="45">
        <v>60.7</v>
      </c>
      <c r="AA52" s="45">
        <v>60.7</v>
      </c>
      <c r="AB52" s="65">
        <v>60.74</v>
      </c>
      <c r="AC52" s="65">
        <v>60.7</v>
      </c>
      <c r="AD52" s="65">
        <v>60.7</v>
      </c>
      <c r="AE52" s="65">
        <v>60.7</v>
      </c>
      <c r="AF52" s="57">
        <v>60.9</v>
      </c>
      <c r="AG52" s="55">
        <v>60</v>
      </c>
      <c r="AH52" s="48">
        <f t="shared" si="2"/>
        <v>61</v>
      </c>
      <c r="AI52" s="49">
        <f t="shared" si="3"/>
        <v>60.7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13.52</v>
      </c>
      <c r="H53" s="57">
        <v>13.5</v>
      </c>
      <c r="I53" s="57">
        <v>13.5</v>
      </c>
      <c r="J53" s="57">
        <v>26</v>
      </c>
      <c r="K53" s="57">
        <v>26.1</v>
      </c>
      <c r="L53" s="57">
        <v>26.6</v>
      </c>
      <c r="M53" s="57">
        <v>26.4</v>
      </c>
      <c r="N53" s="57">
        <v>28.5</v>
      </c>
      <c r="O53" s="57">
        <v>15</v>
      </c>
      <c r="P53" s="57">
        <v>0</v>
      </c>
      <c r="Q53" s="57">
        <v>0</v>
      </c>
      <c r="R53" s="57">
        <v>0</v>
      </c>
      <c r="S53" s="57">
        <v>13.3</v>
      </c>
      <c r="T53" s="57">
        <v>13.3</v>
      </c>
      <c r="U53" s="57">
        <v>13.3</v>
      </c>
      <c r="V53" s="45">
        <v>13.3</v>
      </c>
      <c r="W53" s="45">
        <v>13.3</v>
      </c>
      <c r="X53" s="45">
        <v>0</v>
      </c>
      <c r="Y53" s="45">
        <v>0</v>
      </c>
      <c r="Z53" s="45">
        <v>29.2</v>
      </c>
      <c r="AA53" s="45">
        <v>26.8</v>
      </c>
      <c r="AB53" s="65">
        <v>25</v>
      </c>
      <c r="AC53" s="65">
        <v>13</v>
      </c>
      <c r="AD53" s="65">
        <v>13</v>
      </c>
      <c r="AE53" s="65">
        <v>13</v>
      </c>
      <c r="AF53" s="57">
        <v>0</v>
      </c>
      <c r="AG53" s="55">
        <v>30</v>
      </c>
      <c r="AH53" s="48">
        <f t="shared" si="2"/>
        <v>29.2</v>
      </c>
      <c r="AI53" s="49">
        <f t="shared" si="3"/>
        <v>0</v>
      </c>
      <c r="AK53" s="50"/>
    </row>
    <row r="54" spans="1:41" x14ac:dyDescent="0.25">
      <c r="A54" s="54" t="s">
        <v>62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4</v>
      </c>
      <c r="O54" s="65">
        <v>4</v>
      </c>
      <c r="P54" s="65">
        <v>4</v>
      </c>
      <c r="Q54" s="65">
        <v>4</v>
      </c>
      <c r="R54" s="65">
        <v>4</v>
      </c>
      <c r="S54" s="65">
        <v>4</v>
      </c>
      <c r="T54" s="65">
        <v>4</v>
      </c>
      <c r="U54" s="65">
        <v>4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25</v>
      </c>
      <c r="AH54" s="48">
        <f t="shared" si="2"/>
        <v>4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17.100000000000001</v>
      </c>
      <c r="S55" s="65">
        <v>17.100000000000001</v>
      </c>
      <c r="T55" s="65">
        <v>17.100000000000001</v>
      </c>
      <c r="U55" s="65">
        <v>17.100000000000001</v>
      </c>
      <c r="V55" s="65">
        <v>17.100000000000001</v>
      </c>
      <c r="W55" s="65">
        <v>17.100000000000001</v>
      </c>
      <c r="X55" s="65">
        <v>17.100000000000001</v>
      </c>
      <c r="Y55" s="65">
        <v>17.100000000000001</v>
      </c>
      <c r="Z55" s="65">
        <v>17.100000000000001</v>
      </c>
      <c r="AA55" s="45">
        <v>17.100000000000001</v>
      </c>
      <c r="AB55" s="45">
        <v>17.100000000000001</v>
      </c>
      <c r="AC55" s="45">
        <v>17.100000000000001</v>
      </c>
      <c r="AD55" s="45">
        <v>17.100000000000001</v>
      </c>
      <c r="AE55" s="45">
        <v>17.100000000000001</v>
      </c>
      <c r="AF55" s="45">
        <v>17.100000000000001</v>
      </c>
      <c r="AG55" s="55">
        <v>24</v>
      </c>
      <c r="AH55" s="48">
        <f t="shared" si="2"/>
        <v>17.100000000000001</v>
      </c>
      <c r="AI55" s="49">
        <f t="shared" si="3"/>
        <v>17.100000000000001</v>
      </c>
      <c r="AK55" s="50"/>
    </row>
    <row r="56" spans="1:41" x14ac:dyDescent="0.25">
      <c r="A56" s="54" t="s">
        <v>64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14.6</v>
      </c>
      <c r="C57" s="65">
        <v>14.6</v>
      </c>
      <c r="D57" s="65">
        <v>14.6</v>
      </c>
      <c r="E57" s="65">
        <v>15.6</v>
      </c>
      <c r="F57" s="65">
        <v>15.6</v>
      </c>
      <c r="G57" s="65">
        <v>15.6</v>
      </c>
      <c r="H57" s="65">
        <v>15.6</v>
      </c>
      <c r="I57" s="65">
        <v>15.6</v>
      </c>
      <c r="J57" s="65">
        <v>15.6</v>
      </c>
      <c r="K57" s="65">
        <v>15.6</v>
      </c>
      <c r="L57" s="65">
        <v>15.6</v>
      </c>
      <c r="M57" s="65">
        <v>15.6</v>
      </c>
      <c r="N57" s="65">
        <v>15.6</v>
      </c>
      <c r="O57" s="65">
        <v>15.6</v>
      </c>
      <c r="P57" s="65">
        <v>15.6</v>
      </c>
      <c r="Q57" s="65">
        <v>15.6</v>
      </c>
      <c r="R57" s="65">
        <v>15.6</v>
      </c>
      <c r="S57" s="65">
        <v>14.8</v>
      </c>
      <c r="T57" s="65">
        <v>14.8</v>
      </c>
      <c r="U57" s="65">
        <v>14.8</v>
      </c>
      <c r="V57" s="65">
        <v>14.8</v>
      </c>
      <c r="W57" s="65">
        <v>14.8</v>
      </c>
      <c r="X57" s="65">
        <v>14.8</v>
      </c>
      <c r="Y57" s="65">
        <v>14.8</v>
      </c>
      <c r="Z57" s="65">
        <v>14.8</v>
      </c>
      <c r="AA57" s="65">
        <v>14</v>
      </c>
      <c r="AB57" s="65">
        <v>14</v>
      </c>
      <c r="AC57" s="65">
        <v>14</v>
      </c>
      <c r="AD57" s="65">
        <v>14</v>
      </c>
      <c r="AE57" s="65">
        <v>14</v>
      </c>
      <c r="AF57" s="65">
        <v>14</v>
      </c>
      <c r="AG57" s="55">
        <v>14.1</v>
      </c>
      <c r="AH57" s="48">
        <f t="shared" si="2"/>
        <v>15.6</v>
      </c>
      <c r="AI57" s="49">
        <f t="shared" si="3"/>
        <v>14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7</v>
      </c>
      <c r="C58" s="65">
        <v>7</v>
      </c>
      <c r="D58" s="65">
        <v>7</v>
      </c>
      <c r="E58" s="65">
        <v>7.1</v>
      </c>
      <c r="F58" s="65">
        <v>7.1</v>
      </c>
      <c r="G58" s="65">
        <v>7.1</v>
      </c>
      <c r="H58" s="65">
        <v>7.1</v>
      </c>
      <c r="I58" s="65">
        <v>7.1</v>
      </c>
      <c r="J58" s="65">
        <v>7.1</v>
      </c>
      <c r="K58" s="65">
        <v>7.1</v>
      </c>
      <c r="L58" s="65">
        <v>7.1</v>
      </c>
      <c r="M58" s="65">
        <v>7.1</v>
      </c>
      <c r="N58" s="65">
        <v>7.1</v>
      </c>
      <c r="O58" s="65">
        <v>7.1</v>
      </c>
      <c r="P58" s="65">
        <v>7.1</v>
      </c>
      <c r="Q58" s="65">
        <v>7.1</v>
      </c>
      <c r="R58" s="65">
        <v>7.1</v>
      </c>
      <c r="S58" s="65">
        <v>7.1</v>
      </c>
      <c r="T58" s="65">
        <v>7.1</v>
      </c>
      <c r="U58" s="65">
        <v>7.1</v>
      </c>
      <c r="V58" s="65">
        <v>7.1</v>
      </c>
      <c r="W58" s="65">
        <v>7.1</v>
      </c>
      <c r="X58" s="65">
        <v>7.1</v>
      </c>
      <c r="Y58" s="65">
        <v>7.1</v>
      </c>
      <c r="Z58" s="65">
        <v>7.1</v>
      </c>
      <c r="AA58" s="65">
        <v>7.1</v>
      </c>
      <c r="AB58" s="65">
        <v>7.1</v>
      </c>
      <c r="AC58" s="65">
        <v>7.1</v>
      </c>
      <c r="AD58" s="65">
        <v>7.1</v>
      </c>
      <c r="AE58" s="65">
        <v>7.1</v>
      </c>
      <c r="AF58" s="65">
        <v>7.1</v>
      </c>
      <c r="AG58" s="55">
        <v>14</v>
      </c>
      <c r="AH58" s="48">
        <f t="shared" si="2"/>
        <v>7.1</v>
      </c>
      <c r="AI58" s="49">
        <f t="shared" si="3"/>
        <v>7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5.0999999999999996</v>
      </c>
      <c r="F59" s="65">
        <v>5.0999999999999996</v>
      </c>
      <c r="G59" s="65">
        <v>5.0999999999999996</v>
      </c>
      <c r="H59" s="65">
        <v>5.0999999999999996</v>
      </c>
      <c r="I59" s="65">
        <v>5.0999999999999996</v>
      </c>
      <c r="J59" s="65">
        <v>5.0999999999999996</v>
      </c>
      <c r="K59" s="65">
        <v>5.0999999999999996</v>
      </c>
      <c r="L59" s="65">
        <v>5.0999999999999996</v>
      </c>
      <c r="M59" s="65">
        <v>5.0999999999999996</v>
      </c>
      <c r="N59" s="65">
        <v>5.0999999999999996</v>
      </c>
      <c r="O59" s="65">
        <v>5.0999999999999996</v>
      </c>
      <c r="P59" s="65">
        <v>5.0999999999999996</v>
      </c>
      <c r="Q59" s="65">
        <v>5.0999999999999996</v>
      </c>
      <c r="R59" s="65">
        <v>5.0999999999999996</v>
      </c>
      <c r="S59" s="65">
        <v>5.0999999999999996</v>
      </c>
      <c r="T59" s="65">
        <v>5.0999999999999996</v>
      </c>
      <c r="U59" s="65">
        <v>5.0999999999999996</v>
      </c>
      <c r="V59" s="65">
        <v>5.0999999999999996</v>
      </c>
      <c r="W59" s="65">
        <v>5.0999999999999996</v>
      </c>
      <c r="X59" s="65">
        <v>5.0999999999999996</v>
      </c>
      <c r="Y59" s="65">
        <v>5.0999999999999996</v>
      </c>
      <c r="Z59" s="65">
        <v>5.0999999999999996</v>
      </c>
      <c r="AA59" s="65">
        <v>5.0999999999999996</v>
      </c>
      <c r="AB59" s="65">
        <v>5.0999999999999996</v>
      </c>
      <c r="AC59" s="65">
        <v>5.0999999999999996</v>
      </c>
      <c r="AD59" s="65">
        <v>5.0999999999999996</v>
      </c>
      <c r="AE59" s="65">
        <v>5.0999999999999996</v>
      </c>
      <c r="AF59" s="65">
        <v>5.0999999999999996</v>
      </c>
      <c r="AG59" s="55">
        <v>10.050000000000001</v>
      </c>
      <c r="AH59" s="48">
        <f t="shared" si="2"/>
        <v>6.5</v>
      </c>
      <c r="AI59" s="49">
        <f t="shared" si="3"/>
        <v>5.0999999999999996</v>
      </c>
      <c r="AK59" s="50"/>
    </row>
    <row r="60" spans="1:41" x14ac:dyDescent="0.25">
      <c r="A60" s="54" t="s">
        <v>68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>
        <v>3.6</v>
      </c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7">SUM(B49:B61)</f>
        <v>223.64</v>
      </c>
      <c r="C62" s="61">
        <f t="shared" si="7"/>
        <v>161.54</v>
      </c>
      <c r="D62" s="61">
        <f t="shared" si="7"/>
        <v>145.54</v>
      </c>
      <c r="E62" s="61">
        <f t="shared" si="7"/>
        <v>146.03999999999996</v>
      </c>
      <c r="F62" s="61">
        <f t="shared" si="7"/>
        <v>149.93999999999997</v>
      </c>
      <c r="G62" s="61">
        <f t="shared" si="7"/>
        <v>187.95999999999998</v>
      </c>
      <c r="H62" s="61">
        <f t="shared" si="7"/>
        <v>258.03999999999996</v>
      </c>
      <c r="I62" s="61">
        <f t="shared" si="7"/>
        <v>303.04000000000013</v>
      </c>
      <c r="J62" s="61">
        <f t="shared" si="7"/>
        <v>346.54000000000013</v>
      </c>
      <c r="K62" s="61">
        <f t="shared" si="7"/>
        <v>353.84000000000015</v>
      </c>
      <c r="L62" s="61">
        <f t="shared" si="7"/>
        <v>422.94000000000017</v>
      </c>
      <c r="M62" s="61">
        <f t="shared" si="7"/>
        <v>421.1400000000001</v>
      </c>
      <c r="N62" s="61">
        <f t="shared" si="7"/>
        <v>427.1400000000001</v>
      </c>
      <c r="O62" s="61">
        <f t="shared" si="7"/>
        <v>405.44000000000011</v>
      </c>
      <c r="P62" s="61">
        <f t="shared" si="7"/>
        <v>366.1400000000001</v>
      </c>
      <c r="Q62" s="61">
        <f t="shared" si="7"/>
        <v>370.64000000000016</v>
      </c>
      <c r="R62" s="61">
        <f t="shared" si="7"/>
        <v>340.04000000000013</v>
      </c>
      <c r="S62" s="61">
        <f t="shared" si="7"/>
        <v>328.54000000000013</v>
      </c>
      <c r="T62" s="61">
        <f t="shared" si="7"/>
        <v>375.44000000000011</v>
      </c>
      <c r="U62" s="61">
        <f t="shared" si="7"/>
        <v>375.44000000000011</v>
      </c>
      <c r="V62" s="61">
        <f t="shared" si="7"/>
        <v>359.14000000000016</v>
      </c>
      <c r="W62" s="61">
        <f t="shared" si="7"/>
        <v>396.24000000000012</v>
      </c>
      <c r="X62" s="61">
        <f t="shared" si="7"/>
        <v>382.94000000000011</v>
      </c>
      <c r="Y62" s="61">
        <f t="shared" si="7"/>
        <v>382.94000000000011</v>
      </c>
      <c r="Z62" s="61">
        <f t="shared" si="7"/>
        <v>420.84000000000009</v>
      </c>
      <c r="AA62" s="61">
        <f t="shared" si="7"/>
        <v>419.84000000000009</v>
      </c>
      <c r="AB62" s="61">
        <f t="shared" si="7"/>
        <v>405.78000000000014</v>
      </c>
      <c r="AC62" s="61">
        <f t="shared" si="7"/>
        <v>399.6400000000001</v>
      </c>
      <c r="AD62" s="61">
        <f t="shared" si="7"/>
        <v>322.84000000000009</v>
      </c>
      <c r="AE62" s="61">
        <f t="shared" si="7"/>
        <v>290.34000000000009</v>
      </c>
      <c r="AF62" s="61">
        <f t="shared" si="7"/>
        <v>275.6400000000001</v>
      </c>
      <c r="AG62" s="62">
        <f t="shared" si="7"/>
        <v>489.91</v>
      </c>
      <c r="AH62" s="48">
        <f t="shared" si="2"/>
        <v>427.1400000000001</v>
      </c>
      <c r="AI62" s="49">
        <f t="shared" si="3"/>
        <v>145.54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11.6</v>
      </c>
      <c r="L63" s="45">
        <v>59.5</v>
      </c>
      <c r="M63" s="45">
        <v>59.5</v>
      </c>
      <c r="N63" s="45">
        <v>35</v>
      </c>
      <c r="O63" s="45">
        <v>40</v>
      </c>
      <c r="P63" s="45">
        <v>40</v>
      </c>
      <c r="Q63" s="45">
        <v>14</v>
      </c>
      <c r="R63" s="45">
        <v>30</v>
      </c>
      <c r="S63" s="45">
        <v>13.7</v>
      </c>
      <c r="T63" s="45">
        <v>0</v>
      </c>
      <c r="U63" s="45">
        <v>0</v>
      </c>
      <c r="V63" s="45">
        <v>0</v>
      </c>
      <c r="W63" s="45">
        <v>40</v>
      </c>
      <c r="X63" s="45">
        <v>55</v>
      </c>
      <c r="Y63" s="45">
        <v>60</v>
      </c>
      <c r="Z63" s="45">
        <v>20</v>
      </c>
      <c r="AA63" s="45">
        <v>13.4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4.9000000000000004</v>
      </c>
      <c r="L64" s="65">
        <v>28</v>
      </c>
      <c r="M64" s="65">
        <v>28.5</v>
      </c>
      <c r="N64" s="65">
        <v>19.8</v>
      </c>
      <c r="O64" s="65">
        <v>13.9</v>
      </c>
      <c r="P64" s="65">
        <v>23.1</v>
      </c>
      <c r="Q64" s="65">
        <v>5.6</v>
      </c>
      <c r="R64" s="65">
        <v>5.8</v>
      </c>
      <c r="S64" s="65">
        <v>4.9000000000000004</v>
      </c>
      <c r="T64" s="65">
        <v>0</v>
      </c>
      <c r="U64" s="65">
        <v>0</v>
      </c>
      <c r="V64" s="65">
        <v>0</v>
      </c>
      <c r="W64" s="65">
        <v>14.4</v>
      </c>
      <c r="X64" s="65">
        <v>18</v>
      </c>
      <c r="Y64" s="65">
        <v>28.2</v>
      </c>
      <c r="Z64" s="65">
        <v>15.3</v>
      </c>
      <c r="AA64" s="65">
        <v>5.6</v>
      </c>
      <c r="AB64" s="65">
        <v>5.6</v>
      </c>
      <c r="AC64" s="65">
        <v>0</v>
      </c>
      <c r="AD64" s="65">
        <v>0</v>
      </c>
      <c r="AE64" s="65">
        <v>0</v>
      </c>
      <c r="AF64" s="65">
        <v>0</v>
      </c>
      <c r="AG64" s="55">
        <v>32</v>
      </c>
      <c r="AH64" s="48">
        <f t="shared" si="2"/>
        <v>28.5</v>
      </c>
      <c r="AI64" s="49">
        <f t="shared" si="3"/>
        <v>0</v>
      </c>
      <c r="AK64" s="50"/>
    </row>
    <row r="65" spans="1:37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1.8</v>
      </c>
      <c r="L65" s="67">
        <v>10.199999999999999</v>
      </c>
      <c r="M65" s="67">
        <v>10.4</v>
      </c>
      <c r="N65" s="67">
        <v>7.2</v>
      </c>
      <c r="O65" s="67">
        <v>5.0999999999999996</v>
      </c>
      <c r="P65" s="67">
        <v>8.4</v>
      </c>
      <c r="Q65" s="67">
        <v>2</v>
      </c>
      <c r="R65" s="67">
        <v>2.1</v>
      </c>
      <c r="S65" s="67">
        <v>1.8</v>
      </c>
      <c r="T65" s="67">
        <v>0</v>
      </c>
      <c r="U65" s="67">
        <v>0</v>
      </c>
      <c r="V65" s="67">
        <v>0</v>
      </c>
      <c r="W65" s="67">
        <v>5.3</v>
      </c>
      <c r="X65" s="67">
        <v>9.3000000000000007</v>
      </c>
      <c r="Y65" s="67">
        <v>10.3</v>
      </c>
      <c r="Z65" s="67">
        <v>5.6</v>
      </c>
      <c r="AA65" s="67">
        <v>2.1</v>
      </c>
      <c r="AB65" s="67">
        <v>2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8">
        <f t="shared" si="2"/>
        <v>10.4</v>
      </c>
      <c r="AI65" s="49">
        <f t="shared" si="3"/>
        <v>0</v>
      </c>
      <c r="AK65" s="50"/>
    </row>
    <row r="66" spans="1:37" ht="15.75" thickBot="1" x14ac:dyDescent="0.3">
      <c r="A66" s="74" t="s">
        <v>74</v>
      </c>
      <c r="B66" s="61">
        <f t="shared" ref="B66:AG66" si="8">SUM(B63:B65)</f>
        <v>0</v>
      </c>
      <c r="C66" s="61">
        <f t="shared" si="8"/>
        <v>0</v>
      </c>
      <c r="D66" s="61">
        <f t="shared" si="8"/>
        <v>0</v>
      </c>
      <c r="E66" s="61">
        <f t="shared" si="8"/>
        <v>0</v>
      </c>
      <c r="F66" s="61">
        <f t="shared" si="8"/>
        <v>0</v>
      </c>
      <c r="G66" s="61">
        <f t="shared" si="8"/>
        <v>0</v>
      </c>
      <c r="H66" s="61">
        <f t="shared" si="8"/>
        <v>0</v>
      </c>
      <c r="I66" s="61">
        <f t="shared" si="8"/>
        <v>0</v>
      </c>
      <c r="J66" s="61">
        <f t="shared" si="8"/>
        <v>0</v>
      </c>
      <c r="K66" s="61">
        <f t="shared" si="8"/>
        <v>18.3</v>
      </c>
      <c r="L66" s="61">
        <f t="shared" si="8"/>
        <v>97.7</v>
      </c>
      <c r="M66" s="61">
        <f t="shared" si="8"/>
        <v>98.4</v>
      </c>
      <c r="N66" s="61">
        <f t="shared" si="8"/>
        <v>62</v>
      </c>
      <c r="O66" s="61">
        <f t="shared" si="8"/>
        <v>59</v>
      </c>
      <c r="P66" s="61">
        <f t="shared" si="8"/>
        <v>71.5</v>
      </c>
      <c r="Q66" s="61">
        <f t="shared" si="8"/>
        <v>21.6</v>
      </c>
      <c r="R66" s="61">
        <f t="shared" si="8"/>
        <v>37.9</v>
      </c>
      <c r="S66" s="61">
        <f t="shared" si="8"/>
        <v>20.400000000000002</v>
      </c>
      <c r="T66" s="61">
        <f t="shared" si="8"/>
        <v>0</v>
      </c>
      <c r="U66" s="61">
        <f t="shared" si="8"/>
        <v>0</v>
      </c>
      <c r="V66" s="61">
        <f t="shared" si="8"/>
        <v>0</v>
      </c>
      <c r="W66" s="61">
        <f t="shared" si="8"/>
        <v>59.699999999999996</v>
      </c>
      <c r="X66" s="61">
        <f t="shared" si="8"/>
        <v>82.3</v>
      </c>
      <c r="Y66" s="61">
        <f t="shared" si="8"/>
        <v>98.5</v>
      </c>
      <c r="Z66" s="61">
        <f t="shared" si="8"/>
        <v>40.9</v>
      </c>
      <c r="AA66" s="61">
        <f t="shared" si="8"/>
        <v>21.1</v>
      </c>
      <c r="AB66" s="61">
        <f t="shared" si="8"/>
        <v>7.6</v>
      </c>
      <c r="AC66" s="61">
        <f t="shared" si="8"/>
        <v>0</v>
      </c>
      <c r="AD66" s="61">
        <f t="shared" si="8"/>
        <v>0</v>
      </c>
      <c r="AE66" s="61">
        <f t="shared" si="8"/>
        <v>0</v>
      </c>
      <c r="AF66" s="61">
        <f t="shared" si="8"/>
        <v>0</v>
      </c>
      <c r="AG66" s="62">
        <f t="shared" si="8"/>
        <v>106</v>
      </c>
      <c r="AH66" s="48">
        <f t="shared" si="2"/>
        <v>98.5</v>
      </c>
      <c r="AI66" s="49">
        <f t="shared" si="3"/>
        <v>0</v>
      </c>
      <c r="AK66" s="50"/>
    </row>
    <row r="67" spans="1:37" x14ac:dyDescent="0.25">
      <c r="A67" s="44" t="s">
        <v>75</v>
      </c>
      <c r="B67" s="45">
        <v>49</v>
      </c>
      <c r="C67" s="45">
        <v>59.7</v>
      </c>
      <c r="D67" s="45">
        <v>58.5</v>
      </c>
      <c r="E67" s="45">
        <v>59.9</v>
      </c>
      <c r="F67" s="45">
        <v>51</v>
      </c>
      <c r="G67" s="45">
        <v>48</v>
      </c>
      <c r="H67" s="45">
        <v>54.3</v>
      </c>
      <c r="I67" s="45">
        <v>58.5</v>
      </c>
      <c r="J67" s="45">
        <v>52</v>
      </c>
      <c r="K67" s="45">
        <v>61.7</v>
      </c>
      <c r="L67" s="45">
        <v>46.1</v>
      </c>
      <c r="M67" s="45">
        <v>39</v>
      </c>
      <c r="N67" s="45">
        <v>43.7</v>
      </c>
      <c r="O67" s="45">
        <v>67.2</v>
      </c>
      <c r="P67" s="45">
        <v>68.7</v>
      </c>
      <c r="Q67" s="45">
        <v>74</v>
      </c>
      <c r="R67" s="45">
        <v>0</v>
      </c>
      <c r="S67" s="45">
        <v>0</v>
      </c>
      <c r="T67" s="45">
        <v>0</v>
      </c>
      <c r="U67" s="45">
        <v>0</v>
      </c>
      <c r="V67" s="45">
        <v>63.5</v>
      </c>
      <c r="W67" s="45">
        <v>60.1</v>
      </c>
      <c r="X67" s="45">
        <v>0</v>
      </c>
      <c r="Y67" s="45">
        <v>0</v>
      </c>
      <c r="Z67" s="45">
        <v>0</v>
      </c>
      <c r="AA67" s="45">
        <v>37.700000000000003</v>
      </c>
      <c r="AB67" s="45">
        <v>31</v>
      </c>
      <c r="AC67" s="45">
        <v>57.2</v>
      </c>
      <c r="AD67" s="45">
        <v>50.9</v>
      </c>
      <c r="AE67" s="45">
        <v>53</v>
      </c>
      <c r="AF67" s="45">
        <v>47.9</v>
      </c>
      <c r="AG67" s="52"/>
      <c r="AH67" s="48">
        <f t="shared" si="2"/>
        <v>74</v>
      </c>
      <c r="AI67" s="49">
        <f t="shared" si="3"/>
        <v>0</v>
      </c>
      <c r="AK67" s="50"/>
    </row>
    <row r="68" spans="1:37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65">
        <v>10</v>
      </c>
      <c r="C69" s="65">
        <v>70.599999999999994</v>
      </c>
      <c r="D69" s="65">
        <v>34.200000000000003</v>
      </c>
      <c r="E69" s="65">
        <v>57.4</v>
      </c>
      <c r="F69" s="65">
        <v>55.2</v>
      </c>
      <c r="G69" s="65">
        <v>61</v>
      </c>
      <c r="H69" s="65">
        <v>56</v>
      </c>
      <c r="I69" s="65">
        <v>60</v>
      </c>
      <c r="J69" s="65">
        <v>49</v>
      </c>
      <c r="K69" s="65">
        <v>56</v>
      </c>
      <c r="L69" s="65">
        <v>0</v>
      </c>
      <c r="M69" s="65">
        <v>3</v>
      </c>
      <c r="N69" s="65">
        <v>4</v>
      </c>
      <c r="O69" s="65">
        <v>125</v>
      </c>
      <c r="P69" s="65">
        <v>120.3</v>
      </c>
      <c r="Q69" s="65">
        <v>120.3</v>
      </c>
      <c r="R69" s="65">
        <v>128.80000000000001</v>
      </c>
      <c r="S69" s="65">
        <v>200</v>
      </c>
      <c r="T69" s="65">
        <v>219</v>
      </c>
      <c r="U69" s="65">
        <v>225</v>
      </c>
      <c r="V69" s="65">
        <v>100</v>
      </c>
      <c r="W69" s="65">
        <v>-10</v>
      </c>
      <c r="X69" s="65">
        <v>-10</v>
      </c>
      <c r="Y69" s="65">
        <v>0.7</v>
      </c>
      <c r="Z69" s="65">
        <v>2.2000000000000002</v>
      </c>
      <c r="AA69" s="65">
        <v>4</v>
      </c>
      <c r="AB69" s="65">
        <v>0</v>
      </c>
      <c r="AC69" s="65">
        <v>90.4</v>
      </c>
      <c r="AD69" s="65">
        <v>88</v>
      </c>
      <c r="AE69" s="65">
        <v>101</v>
      </c>
      <c r="AF69" s="65">
        <v>100.6</v>
      </c>
      <c r="AG69" s="75"/>
      <c r="AH69" s="48">
        <f t="shared" si="2"/>
        <v>225</v>
      </c>
      <c r="AI69" s="49">
        <f t="shared" si="3"/>
        <v>-10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6">
        <v>0</v>
      </c>
      <c r="AD75" s="76">
        <v>0</v>
      </c>
      <c r="AE75" s="76">
        <v>0</v>
      </c>
      <c r="AF75" s="76">
        <v>0</v>
      </c>
      <c r="AG75" s="75"/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9">
        <v>0</v>
      </c>
      <c r="AD76" s="79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9">
        <v>0</v>
      </c>
      <c r="AD77" s="79">
        <v>0</v>
      </c>
      <c r="AE77" s="79">
        <v>0</v>
      </c>
      <c r="AF77" s="79">
        <v>0</v>
      </c>
      <c r="AG77" s="80"/>
      <c r="AH77" s="48">
        <f t="shared" si="2"/>
        <v>0</v>
      </c>
      <c r="AI77" s="49">
        <f t="shared" si="3"/>
        <v>0</v>
      </c>
      <c r="AK77" s="50"/>
    </row>
    <row r="78" spans="1:37" ht="15.75" thickBot="1" x14ac:dyDescent="0.3">
      <c r="A78" s="74" t="s">
        <v>86</v>
      </c>
      <c r="B78" s="61">
        <f t="shared" ref="B78:AF78" si="9">SUMIF(B67:B77,"&gt;0")</f>
        <v>59</v>
      </c>
      <c r="C78" s="61">
        <f t="shared" si="9"/>
        <v>130.30000000000001</v>
      </c>
      <c r="D78" s="61">
        <f t="shared" si="9"/>
        <v>92.7</v>
      </c>
      <c r="E78" s="61">
        <f t="shared" si="9"/>
        <v>117.3</v>
      </c>
      <c r="F78" s="61">
        <f t="shared" si="9"/>
        <v>106.2</v>
      </c>
      <c r="G78" s="61">
        <f t="shared" si="9"/>
        <v>109</v>
      </c>
      <c r="H78" s="61">
        <f t="shared" si="9"/>
        <v>110.3</v>
      </c>
      <c r="I78" s="61">
        <f t="shared" si="9"/>
        <v>118.5</v>
      </c>
      <c r="J78" s="61">
        <f t="shared" si="9"/>
        <v>101</v>
      </c>
      <c r="K78" s="61">
        <f t="shared" si="9"/>
        <v>117.7</v>
      </c>
      <c r="L78" s="61">
        <f t="shared" si="9"/>
        <v>46.1</v>
      </c>
      <c r="M78" s="61">
        <f t="shared" si="9"/>
        <v>42</v>
      </c>
      <c r="N78" s="61">
        <f t="shared" si="9"/>
        <v>47.7</v>
      </c>
      <c r="O78" s="61">
        <f t="shared" si="9"/>
        <v>192.2</v>
      </c>
      <c r="P78" s="61">
        <f t="shared" si="9"/>
        <v>189</v>
      </c>
      <c r="Q78" s="61">
        <f t="shared" si="9"/>
        <v>194.3</v>
      </c>
      <c r="R78" s="61">
        <f t="shared" si="9"/>
        <v>128.80000000000001</v>
      </c>
      <c r="S78" s="61">
        <f t="shared" si="9"/>
        <v>200</v>
      </c>
      <c r="T78" s="61">
        <f t="shared" si="9"/>
        <v>219</v>
      </c>
      <c r="U78" s="61">
        <f t="shared" si="9"/>
        <v>225</v>
      </c>
      <c r="V78" s="61">
        <f t="shared" si="9"/>
        <v>163.5</v>
      </c>
      <c r="W78" s="61">
        <f t="shared" si="9"/>
        <v>60.1</v>
      </c>
      <c r="X78" s="61">
        <f t="shared" si="9"/>
        <v>0</v>
      </c>
      <c r="Y78" s="61">
        <f t="shared" si="9"/>
        <v>0.7</v>
      </c>
      <c r="Z78" s="61">
        <f t="shared" si="9"/>
        <v>2.2000000000000002</v>
      </c>
      <c r="AA78" s="61">
        <f t="shared" si="9"/>
        <v>41.7</v>
      </c>
      <c r="AB78" s="61">
        <f t="shared" si="9"/>
        <v>31</v>
      </c>
      <c r="AC78" s="61">
        <f t="shared" si="9"/>
        <v>147.60000000000002</v>
      </c>
      <c r="AD78" s="61">
        <f t="shared" si="9"/>
        <v>138.9</v>
      </c>
      <c r="AE78" s="61">
        <f t="shared" si="9"/>
        <v>154</v>
      </c>
      <c r="AF78" s="61">
        <f t="shared" si="9"/>
        <v>148.5</v>
      </c>
      <c r="AG78" s="81">
        <f>SUM(AG67:AG77)</f>
        <v>0</v>
      </c>
      <c r="AH78" s="48">
        <f t="shared" si="2"/>
        <v>225</v>
      </c>
      <c r="AI78" s="49">
        <f t="shared" si="3"/>
        <v>0</v>
      </c>
      <c r="AK78" s="50"/>
    </row>
    <row r="79" spans="1:37" x14ac:dyDescent="0.25">
      <c r="A79" s="44" t="s">
        <v>87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2"/>
        <v>0</v>
      </c>
      <c r="AI79" s="49">
        <f t="shared" si="3"/>
        <v>0</v>
      </c>
      <c r="AK79" s="50"/>
    </row>
    <row r="80" spans="1:37" x14ac:dyDescent="0.25">
      <c r="A80" s="54" t="s">
        <v>88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ref="AH80:AH113" si="10">MAX(B80:AF80)</f>
        <v>0</v>
      </c>
      <c r="AI80" s="49">
        <f t="shared" ref="AI80:AI113" si="11">MIN(B80:AF80)</f>
        <v>0</v>
      </c>
      <c r="AK80" s="50"/>
    </row>
    <row r="81" spans="1:37" ht="15.75" thickBot="1" x14ac:dyDescent="0.3">
      <c r="A81" s="78" t="s">
        <v>89</v>
      </c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0"/>
        <v>0</v>
      </c>
      <c r="AI81" s="49">
        <f t="shared" si="11"/>
        <v>0</v>
      </c>
    </row>
    <row r="82" spans="1:37" ht="15.75" thickBot="1" x14ac:dyDescent="0.3">
      <c r="A82" s="74" t="s">
        <v>90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10"/>
        <v>0</v>
      </c>
      <c r="AI82" s="49">
        <f t="shared" si="11"/>
        <v>0</v>
      </c>
    </row>
    <row r="83" spans="1:37" ht="15.75" thickBot="1" x14ac:dyDescent="0.3">
      <c r="A83" s="74" t="s">
        <v>91</v>
      </c>
      <c r="B83" s="83">
        <f t="shared" ref="B83:AG83" si="12">B44+B48+B66+B62+B78+B82</f>
        <v>937.53899999999999</v>
      </c>
      <c r="C83" s="83">
        <f t="shared" si="12"/>
        <v>931.1389999999999</v>
      </c>
      <c r="D83" s="83">
        <f t="shared" si="12"/>
        <v>877.53899999999999</v>
      </c>
      <c r="E83" s="83">
        <f t="shared" si="12"/>
        <v>889.93899999999996</v>
      </c>
      <c r="F83" s="83">
        <f t="shared" si="12"/>
        <v>882.73900000000003</v>
      </c>
      <c r="G83" s="83">
        <f t="shared" si="12"/>
        <v>923.55899999999997</v>
      </c>
      <c r="H83" s="83">
        <f t="shared" si="12"/>
        <v>1014.939</v>
      </c>
      <c r="I83" s="83">
        <f t="shared" si="12"/>
        <v>1118.239</v>
      </c>
      <c r="J83" s="83">
        <f t="shared" si="12"/>
        <v>1279.239</v>
      </c>
      <c r="K83" s="83">
        <f t="shared" si="12"/>
        <v>1371.539</v>
      </c>
      <c r="L83" s="83">
        <f t="shared" si="12"/>
        <v>1568.4389999999999</v>
      </c>
      <c r="M83" s="83">
        <f t="shared" si="12"/>
        <v>1568.4390000000001</v>
      </c>
      <c r="N83" s="83">
        <f t="shared" si="12"/>
        <v>1496.739</v>
      </c>
      <c r="O83" s="83">
        <f t="shared" si="12"/>
        <v>1404.539</v>
      </c>
      <c r="P83" s="83">
        <f t="shared" si="12"/>
        <v>1371.539</v>
      </c>
      <c r="Q83" s="83">
        <f t="shared" si="12"/>
        <v>1331.6390000000001</v>
      </c>
      <c r="R83" s="83">
        <f t="shared" si="12"/>
        <v>1242.039</v>
      </c>
      <c r="S83" s="83">
        <f t="shared" si="12"/>
        <v>1184.5390000000002</v>
      </c>
      <c r="T83" s="83">
        <f t="shared" si="12"/>
        <v>1230.039</v>
      </c>
      <c r="U83" s="83">
        <f t="shared" si="12"/>
        <v>1251.039</v>
      </c>
      <c r="V83" s="83">
        <f t="shared" si="12"/>
        <v>1172.739</v>
      </c>
      <c r="W83" s="83">
        <f t="shared" si="12"/>
        <v>1558.5390000000002</v>
      </c>
      <c r="X83" s="83">
        <f t="shared" si="12"/>
        <v>1507.739</v>
      </c>
      <c r="Y83" s="83">
        <f t="shared" si="12"/>
        <v>1524.6390000000001</v>
      </c>
      <c r="Z83" s="83">
        <f t="shared" si="12"/>
        <v>1427.1390000000001</v>
      </c>
      <c r="AA83" s="83">
        <f t="shared" si="12"/>
        <v>1390.8390000000002</v>
      </c>
      <c r="AB83" s="83">
        <f t="shared" si="12"/>
        <v>1330.5790000000002</v>
      </c>
      <c r="AC83" s="83">
        <f t="shared" si="12"/>
        <v>1274.5390000000002</v>
      </c>
      <c r="AD83" s="83">
        <f t="shared" si="12"/>
        <v>1207.1390000000001</v>
      </c>
      <c r="AE83" s="83">
        <f t="shared" si="12"/>
        <v>1129.8389999999999</v>
      </c>
      <c r="AF83" s="83">
        <f t="shared" si="12"/>
        <v>1099.6390000000001</v>
      </c>
      <c r="AG83" s="62">
        <f t="shared" si="12"/>
        <v>2004.1900000000003</v>
      </c>
      <c r="AH83" s="48">
        <f t="shared" si="10"/>
        <v>1568.4390000000001</v>
      </c>
      <c r="AI83" s="49">
        <f t="shared" si="11"/>
        <v>877.53899999999999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>
        <v>45</v>
      </c>
      <c r="S84" s="85"/>
      <c r="T84" s="85"/>
      <c r="U84" s="85"/>
      <c r="V84" s="85"/>
      <c r="W84" s="85"/>
      <c r="X84" s="85"/>
      <c r="Y84" s="85">
        <v>40</v>
      </c>
      <c r="Z84" s="85">
        <v>20</v>
      </c>
      <c r="AA84" s="85"/>
      <c r="AB84" s="85"/>
      <c r="AC84" s="85"/>
      <c r="AD84" s="85"/>
      <c r="AE84" s="85"/>
      <c r="AF84" s="85"/>
      <c r="AG84" s="81"/>
      <c r="AH84" s="48">
        <f t="shared" si="10"/>
        <v>45</v>
      </c>
      <c r="AI84" s="49">
        <f t="shared" si="11"/>
        <v>20</v>
      </c>
    </row>
    <row r="85" spans="1:37" ht="15.75" thickBot="1" x14ac:dyDescent="0.3">
      <c r="A85" s="74" t="s">
        <v>93</v>
      </c>
      <c r="B85" s="83">
        <f t="shared" ref="B85:AF85" si="13">B83+B84</f>
        <v>937.53899999999999</v>
      </c>
      <c r="C85" s="83">
        <f t="shared" si="13"/>
        <v>931.1389999999999</v>
      </c>
      <c r="D85" s="83">
        <f t="shared" si="13"/>
        <v>877.53899999999999</v>
      </c>
      <c r="E85" s="83">
        <f t="shared" si="13"/>
        <v>889.93899999999996</v>
      </c>
      <c r="F85" s="83">
        <f t="shared" si="13"/>
        <v>882.73900000000003</v>
      </c>
      <c r="G85" s="83">
        <f t="shared" si="13"/>
        <v>923.55899999999997</v>
      </c>
      <c r="H85" s="83">
        <f t="shared" si="13"/>
        <v>1014.939</v>
      </c>
      <c r="I85" s="83">
        <f t="shared" si="13"/>
        <v>1118.239</v>
      </c>
      <c r="J85" s="83">
        <f t="shared" si="13"/>
        <v>1279.239</v>
      </c>
      <c r="K85" s="83">
        <f t="shared" si="13"/>
        <v>1371.539</v>
      </c>
      <c r="L85" s="83">
        <f t="shared" si="13"/>
        <v>1568.4389999999999</v>
      </c>
      <c r="M85" s="83">
        <f t="shared" si="13"/>
        <v>1568.4390000000001</v>
      </c>
      <c r="N85" s="83">
        <f t="shared" si="13"/>
        <v>1496.739</v>
      </c>
      <c r="O85" s="83">
        <f t="shared" si="13"/>
        <v>1404.539</v>
      </c>
      <c r="P85" s="83">
        <f t="shared" si="13"/>
        <v>1371.539</v>
      </c>
      <c r="Q85" s="83">
        <f t="shared" si="13"/>
        <v>1331.6390000000001</v>
      </c>
      <c r="R85" s="83">
        <f t="shared" si="13"/>
        <v>1287.039</v>
      </c>
      <c r="S85" s="83">
        <f t="shared" si="13"/>
        <v>1184.5390000000002</v>
      </c>
      <c r="T85" s="83">
        <f t="shared" si="13"/>
        <v>1230.039</v>
      </c>
      <c r="U85" s="83">
        <f t="shared" si="13"/>
        <v>1251.039</v>
      </c>
      <c r="V85" s="83">
        <f t="shared" si="13"/>
        <v>1172.739</v>
      </c>
      <c r="W85" s="83">
        <f t="shared" si="13"/>
        <v>1558.5390000000002</v>
      </c>
      <c r="X85" s="83">
        <f t="shared" si="13"/>
        <v>1507.739</v>
      </c>
      <c r="Y85" s="83">
        <f t="shared" si="13"/>
        <v>1564.6390000000001</v>
      </c>
      <c r="Z85" s="83">
        <f t="shared" si="13"/>
        <v>1447.1390000000001</v>
      </c>
      <c r="AA85" s="83">
        <f t="shared" si="13"/>
        <v>1390.8390000000002</v>
      </c>
      <c r="AB85" s="83">
        <f t="shared" si="13"/>
        <v>1330.5790000000002</v>
      </c>
      <c r="AC85" s="83">
        <f t="shared" si="13"/>
        <v>1274.5390000000002</v>
      </c>
      <c r="AD85" s="83">
        <f t="shared" si="13"/>
        <v>1207.1390000000001</v>
      </c>
      <c r="AE85" s="83">
        <f t="shared" si="13"/>
        <v>1129.8389999999999</v>
      </c>
      <c r="AF85" s="83">
        <f t="shared" si="13"/>
        <v>1099.6390000000001</v>
      </c>
      <c r="AG85" s="81">
        <f>AG82+AG78+AG66+AG62+AG44+AG84</f>
        <v>1466.0900000000001</v>
      </c>
      <c r="AH85" s="48">
        <f t="shared" si="10"/>
        <v>1568.4390000000001</v>
      </c>
      <c r="AI85" s="49">
        <f t="shared" si="11"/>
        <v>877.53899999999999</v>
      </c>
    </row>
    <row r="86" spans="1:37" ht="15.75" thickBot="1" x14ac:dyDescent="0.3">
      <c r="A86" s="74" t="s">
        <v>94</v>
      </c>
      <c r="B86" s="83">
        <f t="shared" ref="B86:AF86" si="14">B85-B93</f>
        <v>937.53899999999999</v>
      </c>
      <c r="C86" s="83">
        <f t="shared" si="14"/>
        <v>931.1389999999999</v>
      </c>
      <c r="D86" s="83">
        <f t="shared" si="14"/>
        <v>877.53899999999999</v>
      </c>
      <c r="E86" s="83">
        <f t="shared" si="14"/>
        <v>889.93899999999996</v>
      </c>
      <c r="F86" s="83">
        <f t="shared" si="14"/>
        <v>882.73900000000003</v>
      </c>
      <c r="G86" s="83">
        <f t="shared" si="14"/>
        <v>923.55899999999997</v>
      </c>
      <c r="H86" s="83">
        <f t="shared" si="14"/>
        <v>1014.939</v>
      </c>
      <c r="I86" s="83">
        <f t="shared" si="14"/>
        <v>1118.239</v>
      </c>
      <c r="J86" s="83">
        <f t="shared" si="14"/>
        <v>1279.239</v>
      </c>
      <c r="K86" s="83">
        <f t="shared" si="14"/>
        <v>1371.539</v>
      </c>
      <c r="L86" s="83">
        <f t="shared" si="14"/>
        <v>1568.4389999999999</v>
      </c>
      <c r="M86" s="83">
        <f t="shared" si="14"/>
        <v>1568.4390000000001</v>
      </c>
      <c r="N86" s="83">
        <f t="shared" si="14"/>
        <v>1496.739</v>
      </c>
      <c r="O86" s="83">
        <f t="shared" si="14"/>
        <v>1404.539</v>
      </c>
      <c r="P86" s="83">
        <f t="shared" si="14"/>
        <v>1371.539</v>
      </c>
      <c r="Q86" s="83">
        <f t="shared" si="14"/>
        <v>1331.6390000000001</v>
      </c>
      <c r="R86" s="83">
        <f t="shared" si="14"/>
        <v>1287.039</v>
      </c>
      <c r="S86" s="83">
        <f t="shared" si="14"/>
        <v>1184.5390000000002</v>
      </c>
      <c r="T86" s="83">
        <f t="shared" si="14"/>
        <v>1230.039</v>
      </c>
      <c r="U86" s="83">
        <f t="shared" si="14"/>
        <v>1251.039</v>
      </c>
      <c r="V86" s="83">
        <f t="shared" si="14"/>
        <v>1172.739</v>
      </c>
      <c r="W86" s="83">
        <f t="shared" si="14"/>
        <v>1548.5390000000002</v>
      </c>
      <c r="X86" s="83">
        <f t="shared" si="14"/>
        <v>1497.739</v>
      </c>
      <c r="Y86" s="83">
        <f t="shared" si="14"/>
        <v>1564.6390000000001</v>
      </c>
      <c r="Z86" s="83">
        <f t="shared" si="14"/>
        <v>1447.1390000000001</v>
      </c>
      <c r="AA86" s="83">
        <f t="shared" si="14"/>
        <v>1390.8390000000002</v>
      </c>
      <c r="AB86" s="83">
        <f t="shared" si="14"/>
        <v>1330.5790000000002</v>
      </c>
      <c r="AC86" s="83">
        <f t="shared" si="14"/>
        <v>1274.5390000000002</v>
      </c>
      <c r="AD86" s="83">
        <f t="shared" si="14"/>
        <v>1207.1390000000001</v>
      </c>
      <c r="AE86" s="83">
        <f t="shared" si="14"/>
        <v>1129.8389999999999</v>
      </c>
      <c r="AF86" s="83">
        <f t="shared" si="14"/>
        <v>1099.6390000000001</v>
      </c>
      <c r="AG86" s="81"/>
      <c r="AH86" s="48">
        <f t="shared" si="10"/>
        <v>1568.4390000000001</v>
      </c>
      <c r="AI86" s="49">
        <f t="shared" si="11"/>
        <v>877.53899999999999</v>
      </c>
    </row>
    <row r="87" spans="1:37" x14ac:dyDescent="0.25">
      <c r="A87" s="44" t="s">
        <v>78</v>
      </c>
      <c r="B87" s="76">
        <f t="shared" ref="B87:AF87" si="15">IF(B70&lt;0,B70*-1,0)</f>
        <v>0</v>
      </c>
      <c r="C87" s="76">
        <f t="shared" si="15"/>
        <v>0</v>
      </c>
      <c r="D87" s="76">
        <f t="shared" si="15"/>
        <v>0</v>
      </c>
      <c r="E87" s="76">
        <f t="shared" si="15"/>
        <v>0</v>
      </c>
      <c r="F87" s="76">
        <f t="shared" si="15"/>
        <v>0</v>
      </c>
      <c r="G87" s="76">
        <f t="shared" si="15"/>
        <v>0</v>
      </c>
      <c r="H87" s="76">
        <f t="shared" si="15"/>
        <v>0</v>
      </c>
      <c r="I87" s="76">
        <f t="shared" si="15"/>
        <v>0</v>
      </c>
      <c r="J87" s="76">
        <f t="shared" si="15"/>
        <v>0</v>
      </c>
      <c r="K87" s="76">
        <f t="shared" si="15"/>
        <v>0</v>
      </c>
      <c r="L87" s="76">
        <f t="shared" si="15"/>
        <v>0</v>
      </c>
      <c r="M87" s="76">
        <f t="shared" si="15"/>
        <v>0</v>
      </c>
      <c r="N87" s="76">
        <f t="shared" si="15"/>
        <v>0</v>
      </c>
      <c r="O87" s="76">
        <f t="shared" si="15"/>
        <v>0</v>
      </c>
      <c r="P87" s="76">
        <f t="shared" si="15"/>
        <v>0</v>
      </c>
      <c r="Q87" s="76">
        <f t="shared" si="15"/>
        <v>0</v>
      </c>
      <c r="R87" s="76">
        <f t="shared" si="15"/>
        <v>0</v>
      </c>
      <c r="S87" s="76">
        <f t="shared" si="15"/>
        <v>0</v>
      </c>
      <c r="T87" s="76">
        <f t="shared" si="15"/>
        <v>0</v>
      </c>
      <c r="U87" s="76">
        <f t="shared" si="15"/>
        <v>0</v>
      </c>
      <c r="V87" s="76">
        <f t="shared" si="15"/>
        <v>0</v>
      </c>
      <c r="W87" s="76">
        <f t="shared" si="15"/>
        <v>0</v>
      </c>
      <c r="X87" s="76">
        <f t="shared" si="15"/>
        <v>0</v>
      </c>
      <c r="Y87" s="76">
        <f t="shared" si="15"/>
        <v>0</v>
      </c>
      <c r="Z87" s="76">
        <f t="shared" si="15"/>
        <v>0</v>
      </c>
      <c r="AA87" s="76">
        <f t="shared" si="15"/>
        <v>0</v>
      </c>
      <c r="AB87" s="76">
        <f t="shared" si="15"/>
        <v>0</v>
      </c>
      <c r="AC87" s="76">
        <f t="shared" si="15"/>
        <v>0</v>
      </c>
      <c r="AD87" s="76">
        <f t="shared" si="15"/>
        <v>0</v>
      </c>
      <c r="AE87" s="76">
        <f t="shared" si="15"/>
        <v>0</v>
      </c>
      <c r="AF87" s="76">
        <f t="shared" si="15"/>
        <v>0</v>
      </c>
      <c r="AG87" s="52"/>
      <c r="AH87" s="48">
        <f t="shared" si="10"/>
        <v>0</v>
      </c>
      <c r="AI87" s="49">
        <f t="shared" si="11"/>
        <v>0</v>
      </c>
    </row>
    <row r="88" spans="1:37" x14ac:dyDescent="0.25">
      <c r="A88" s="54" t="s">
        <v>76</v>
      </c>
      <c r="B88" s="76">
        <f t="shared" ref="B88:AF88" si="16">IF(B68&lt;0,B68*-1,0)</f>
        <v>0</v>
      </c>
      <c r="C88" s="76">
        <f t="shared" si="16"/>
        <v>0</v>
      </c>
      <c r="D88" s="76">
        <f t="shared" si="16"/>
        <v>0</v>
      </c>
      <c r="E88" s="76">
        <f t="shared" si="16"/>
        <v>0</v>
      </c>
      <c r="F88" s="76">
        <f t="shared" si="16"/>
        <v>0</v>
      </c>
      <c r="G88" s="76">
        <f t="shared" si="16"/>
        <v>0</v>
      </c>
      <c r="H88" s="76">
        <f t="shared" si="16"/>
        <v>0</v>
      </c>
      <c r="I88" s="76">
        <f t="shared" si="16"/>
        <v>0</v>
      </c>
      <c r="J88" s="76">
        <f t="shared" si="16"/>
        <v>0</v>
      </c>
      <c r="K88" s="76">
        <f t="shared" si="16"/>
        <v>0</v>
      </c>
      <c r="L88" s="76">
        <f t="shared" si="16"/>
        <v>0</v>
      </c>
      <c r="M88" s="76">
        <f t="shared" si="16"/>
        <v>0</v>
      </c>
      <c r="N88" s="76">
        <f t="shared" si="16"/>
        <v>0</v>
      </c>
      <c r="O88" s="76">
        <f t="shared" si="16"/>
        <v>0</v>
      </c>
      <c r="P88" s="76">
        <f t="shared" si="16"/>
        <v>0</v>
      </c>
      <c r="Q88" s="76">
        <f t="shared" si="16"/>
        <v>0</v>
      </c>
      <c r="R88" s="76">
        <f t="shared" si="16"/>
        <v>0</v>
      </c>
      <c r="S88" s="76">
        <f t="shared" si="16"/>
        <v>0</v>
      </c>
      <c r="T88" s="76">
        <f t="shared" si="16"/>
        <v>0</v>
      </c>
      <c r="U88" s="76">
        <f t="shared" si="16"/>
        <v>0</v>
      </c>
      <c r="V88" s="76">
        <f t="shared" si="16"/>
        <v>0</v>
      </c>
      <c r="W88" s="76">
        <f t="shared" si="16"/>
        <v>0</v>
      </c>
      <c r="X88" s="76">
        <f t="shared" si="16"/>
        <v>0</v>
      </c>
      <c r="Y88" s="76">
        <f t="shared" si="16"/>
        <v>0</v>
      </c>
      <c r="Z88" s="76">
        <f t="shared" si="16"/>
        <v>0</v>
      </c>
      <c r="AA88" s="76">
        <f t="shared" si="16"/>
        <v>0</v>
      </c>
      <c r="AB88" s="76">
        <f t="shared" si="16"/>
        <v>0</v>
      </c>
      <c r="AC88" s="76">
        <f t="shared" si="16"/>
        <v>0</v>
      </c>
      <c r="AD88" s="76">
        <f t="shared" si="16"/>
        <v>0</v>
      </c>
      <c r="AE88" s="76">
        <f t="shared" si="16"/>
        <v>0</v>
      </c>
      <c r="AF88" s="76">
        <f t="shared" si="16"/>
        <v>0</v>
      </c>
      <c r="AG88" s="55"/>
      <c r="AH88" s="48">
        <f t="shared" si="10"/>
        <v>0</v>
      </c>
      <c r="AI88" s="49">
        <f t="shared" si="11"/>
        <v>0</v>
      </c>
    </row>
    <row r="89" spans="1:37" x14ac:dyDescent="0.25">
      <c r="A89" s="78" t="s">
        <v>95</v>
      </c>
      <c r="B89" s="76">
        <f t="shared" ref="B89:AF89" si="17">IF(B71&lt;0,B71*-1,0)</f>
        <v>0</v>
      </c>
      <c r="C89" s="76">
        <f t="shared" si="17"/>
        <v>0</v>
      </c>
      <c r="D89" s="76">
        <f t="shared" si="17"/>
        <v>0</v>
      </c>
      <c r="E89" s="76">
        <f t="shared" si="17"/>
        <v>0</v>
      </c>
      <c r="F89" s="76">
        <f t="shared" si="17"/>
        <v>0</v>
      </c>
      <c r="G89" s="76">
        <f t="shared" si="17"/>
        <v>0</v>
      </c>
      <c r="H89" s="76">
        <f t="shared" si="17"/>
        <v>0</v>
      </c>
      <c r="I89" s="76">
        <f t="shared" si="17"/>
        <v>0</v>
      </c>
      <c r="J89" s="76">
        <f t="shared" si="17"/>
        <v>0</v>
      </c>
      <c r="K89" s="76">
        <f t="shared" si="17"/>
        <v>0</v>
      </c>
      <c r="L89" s="76">
        <f t="shared" si="17"/>
        <v>0</v>
      </c>
      <c r="M89" s="76">
        <f t="shared" si="17"/>
        <v>0</v>
      </c>
      <c r="N89" s="76">
        <f t="shared" si="17"/>
        <v>0</v>
      </c>
      <c r="O89" s="76">
        <f t="shared" si="17"/>
        <v>0</v>
      </c>
      <c r="P89" s="76">
        <f t="shared" si="17"/>
        <v>0</v>
      </c>
      <c r="Q89" s="76">
        <f t="shared" si="17"/>
        <v>0</v>
      </c>
      <c r="R89" s="76">
        <f t="shared" si="17"/>
        <v>0</v>
      </c>
      <c r="S89" s="76">
        <f t="shared" si="17"/>
        <v>0</v>
      </c>
      <c r="T89" s="76">
        <f t="shared" si="17"/>
        <v>0</v>
      </c>
      <c r="U89" s="76">
        <f t="shared" si="17"/>
        <v>0</v>
      </c>
      <c r="V89" s="76">
        <f t="shared" si="17"/>
        <v>0</v>
      </c>
      <c r="W89" s="76">
        <f t="shared" si="17"/>
        <v>0</v>
      </c>
      <c r="X89" s="76">
        <f t="shared" si="17"/>
        <v>0</v>
      </c>
      <c r="Y89" s="76">
        <f t="shared" si="17"/>
        <v>0</v>
      </c>
      <c r="Z89" s="76">
        <f t="shared" si="17"/>
        <v>0</v>
      </c>
      <c r="AA89" s="76">
        <f t="shared" si="17"/>
        <v>0</v>
      </c>
      <c r="AB89" s="76">
        <f t="shared" si="17"/>
        <v>0</v>
      </c>
      <c r="AC89" s="76">
        <f t="shared" si="17"/>
        <v>0</v>
      </c>
      <c r="AD89" s="76">
        <f t="shared" si="17"/>
        <v>0</v>
      </c>
      <c r="AE89" s="76">
        <f t="shared" si="17"/>
        <v>0</v>
      </c>
      <c r="AF89" s="76">
        <f t="shared" si="17"/>
        <v>0</v>
      </c>
      <c r="AG89" s="86"/>
      <c r="AH89" s="48">
        <f t="shared" si="10"/>
        <v>0</v>
      </c>
      <c r="AI89" s="49">
        <f t="shared" si="11"/>
        <v>0</v>
      </c>
    </row>
    <row r="90" spans="1:37" x14ac:dyDescent="0.25">
      <c r="A90" s="78" t="s">
        <v>96</v>
      </c>
      <c r="B90" s="76">
        <f t="shared" ref="B90:AF90" si="18">IF(B69&lt;0,B69*-1,0)</f>
        <v>0</v>
      </c>
      <c r="C90" s="76">
        <f t="shared" si="18"/>
        <v>0</v>
      </c>
      <c r="D90" s="76">
        <f t="shared" si="18"/>
        <v>0</v>
      </c>
      <c r="E90" s="76">
        <f t="shared" si="18"/>
        <v>0</v>
      </c>
      <c r="F90" s="76">
        <f t="shared" si="18"/>
        <v>0</v>
      </c>
      <c r="G90" s="76">
        <f t="shared" si="18"/>
        <v>0</v>
      </c>
      <c r="H90" s="76">
        <f t="shared" si="18"/>
        <v>0</v>
      </c>
      <c r="I90" s="76">
        <f t="shared" si="18"/>
        <v>0</v>
      </c>
      <c r="J90" s="76">
        <f t="shared" si="18"/>
        <v>0</v>
      </c>
      <c r="K90" s="76">
        <f t="shared" si="18"/>
        <v>0</v>
      </c>
      <c r="L90" s="76">
        <f t="shared" si="18"/>
        <v>0</v>
      </c>
      <c r="M90" s="76">
        <f t="shared" si="18"/>
        <v>0</v>
      </c>
      <c r="N90" s="76">
        <f t="shared" si="18"/>
        <v>0</v>
      </c>
      <c r="O90" s="76">
        <f t="shared" si="18"/>
        <v>0</v>
      </c>
      <c r="P90" s="76">
        <f t="shared" si="18"/>
        <v>0</v>
      </c>
      <c r="Q90" s="76">
        <f t="shared" si="18"/>
        <v>0</v>
      </c>
      <c r="R90" s="76">
        <f t="shared" si="18"/>
        <v>0</v>
      </c>
      <c r="S90" s="76">
        <f t="shared" si="18"/>
        <v>0</v>
      </c>
      <c r="T90" s="76">
        <f t="shared" si="18"/>
        <v>0</v>
      </c>
      <c r="U90" s="76">
        <f t="shared" si="18"/>
        <v>0</v>
      </c>
      <c r="V90" s="76">
        <f t="shared" si="18"/>
        <v>0</v>
      </c>
      <c r="W90" s="76">
        <f t="shared" si="18"/>
        <v>10</v>
      </c>
      <c r="X90" s="76">
        <f t="shared" si="18"/>
        <v>10</v>
      </c>
      <c r="Y90" s="76">
        <f t="shared" si="18"/>
        <v>0</v>
      </c>
      <c r="Z90" s="76">
        <f t="shared" si="18"/>
        <v>0</v>
      </c>
      <c r="AA90" s="76">
        <f t="shared" si="18"/>
        <v>0</v>
      </c>
      <c r="AB90" s="76">
        <f t="shared" si="18"/>
        <v>0</v>
      </c>
      <c r="AC90" s="76">
        <f t="shared" si="18"/>
        <v>0</v>
      </c>
      <c r="AD90" s="76">
        <f t="shared" si="18"/>
        <v>0</v>
      </c>
      <c r="AE90" s="76">
        <f t="shared" si="18"/>
        <v>0</v>
      </c>
      <c r="AF90" s="76">
        <f t="shared" si="18"/>
        <v>0</v>
      </c>
      <c r="AG90" s="86"/>
      <c r="AH90" s="48">
        <f t="shared" si="10"/>
        <v>10</v>
      </c>
      <c r="AI90" s="49">
        <f t="shared" si="11"/>
        <v>0</v>
      </c>
    </row>
    <row r="91" spans="1:37" x14ac:dyDescent="0.25">
      <c r="A91" s="78" t="s">
        <v>75</v>
      </c>
      <c r="B91" s="76">
        <f t="shared" ref="B91:AF91" si="19">IF(B67&lt;0,B67*-1,0)</f>
        <v>0</v>
      </c>
      <c r="C91" s="76">
        <f t="shared" si="19"/>
        <v>0</v>
      </c>
      <c r="D91" s="76">
        <f t="shared" si="19"/>
        <v>0</v>
      </c>
      <c r="E91" s="76">
        <f t="shared" si="19"/>
        <v>0</v>
      </c>
      <c r="F91" s="76">
        <f t="shared" si="19"/>
        <v>0</v>
      </c>
      <c r="G91" s="76">
        <f t="shared" si="19"/>
        <v>0</v>
      </c>
      <c r="H91" s="76">
        <f t="shared" si="19"/>
        <v>0</v>
      </c>
      <c r="I91" s="76">
        <f t="shared" si="19"/>
        <v>0</v>
      </c>
      <c r="J91" s="76">
        <f t="shared" si="19"/>
        <v>0</v>
      </c>
      <c r="K91" s="76">
        <f t="shared" si="19"/>
        <v>0</v>
      </c>
      <c r="L91" s="76">
        <f t="shared" si="19"/>
        <v>0</v>
      </c>
      <c r="M91" s="76">
        <f t="shared" si="19"/>
        <v>0</v>
      </c>
      <c r="N91" s="76">
        <f t="shared" si="19"/>
        <v>0</v>
      </c>
      <c r="O91" s="76">
        <f t="shared" si="19"/>
        <v>0</v>
      </c>
      <c r="P91" s="76">
        <f t="shared" si="19"/>
        <v>0</v>
      </c>
      <c r="Q91" s="76">
        <f t="shared" si="19"/>
        <v>0</v>
      </c>
      <c r="R91" s="76">
        <f t="shared" si="19"/>
        <v>0</v>
      </c>
      <c r="S91" s="76">
        <f t="shared" si="19"/>
        <v>0</v>
      </c>
      <c r="T91" s="76">
        <f t="shared" si="19"/>
        <v>0</v>
      </c>
      <c r="U91" s="76">
        <f t="shared" si="19"/>
        <v>0</v>
      </c>
      <c r="V91" s="76">
        <f t="shared" si="19"/>
        <v>0</v>
      </c>
      <c r="W91" s="76">
        <f t="shared" si="19"/>
        <v>0</v>
      </c>
      <c r="X91" s="76">
        <f t="shared" si="19"/>
        <v>0</v>
      </c>
      <c r="Y91" s="76">
        <f t="shared" si="19"/>
        <v>0</v>
      </c>
      <c r="Z91" s="76">
        <f t="shared" si="19"/>
        <v>0</v>
      </c>
      <c r="AA91" s="76">
        <f t="shared" si="19"/>
        <v>0</v>
      </c>
      <c r="AB91" s="76">
        <f t="shared" si="19"/>
        <v>0</v>
      </c>
      <c r="AC91" s="76">
        <f t="shared" si="19"/>
        <v>0</v>
      </c>
      <c r="AD91" s="76">
        <f t="shared" si="19"/>
        <v>0</v>
      </c>
      <c r="AE91" s="76">
        <f t="shared" si="19"/>
        <v>0</v>
      </c>
      <c r="AF91" s="76">
        <f t="shared" si="19"/>
        <v>0</v>
      </c>
      <c r="AG91" s="86"/>
      <c r="AH91" s="48">
        <f t="shared" si="10"/>
        <v>0</v>
      </c>
      <c r="AI91" s="49">
        <f t="shared" si="11"/>
        <v>0</v>
      </c>
    </row>
    <row r="92" spans="1:37" ht="15.75" thickBot="1" x14ac:dyDescent="0.3">
      <c r="A92" s="78" t="s">
        <v>97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>
        <v>0</v>
      </c>
      <c r="AA92" s="79">
        <v>0</v>
      </c>
      <c r="AB92" s="79">
        <v>0</v>
      </c>
      <c r="AC92" s="79"/>
      <c r="AD92" s="79"/>
      <c r="AE92" s="79"/>
      <c r="AF92" s="79"/>
      <c r="AG92" s="80"/>
      <c r="AH92" s="48">
        <f t="shared" si="10"/>
        <v>0</v>
      </c>
      <c r="AI92" s="49">
        <f t="shared" si="11"/>
        <v>0</v>
      </c>
    </row>
    <row r="93" spans="1:37" ht="15.75" thickBot="1" x14ac:dyDescent="0.3">
      <c r="A93" s="87" t="s">
        <v>98</v>
      </c>
      <c r="B93" s="61">
        <f t="shared" ref="B93:AF93" si="20">SUM(B87:B92)</f>
        <v>0</v>
      </c>
      <c r="C93" s="61">
        <f t="shared" si="20"/>
        <v>0</v>
      </c>
      <c r="D93" s="61">
        <f t="shared" si="20"/>
        <v>0</v>
      </c>
      <c r="E93" s="61">
        <f t="shared" si="20"/>
        <v>0</v>
      </c>
      <c r="F93" s="61">
        <f t="shared" si="20"/>
        <v>0</v>
      </c>
      <c r="G93" s="61">
        <f t="shared" si="20"/>
        <v>0</v>
      </c>
      <c r="H93" s="61">
        <f t="shared" si="20"/>
        <v>0</v>
      </c>
      <c r="I93" s="61">
        <f t="shared" si="20"/>
        <v>0</v>
      </c>
      <c r="J93" s="61">
        <f t="shared" si="20"/>
        <v>0</v>
      </c>
      <c r="K93" s="61">
        <f t="shared" si="20"/>
        <v>0</v>
      </c>
      <c r="L93" s="61">
        <f t="shared" si="20"/>
        <v>0</v>
      </c>
      <c r="M93" s="61">
        <f t="shared" si="20"/>
        <v>0</v>
      </c>
      <c r="N93" s="61">
        <f t="shared" si="20"/>
        <v>0</v>
      </c>
      <c r="O93" s="61">
        <f t="shared" si="20"/>
        <v>0</v>
      </c>
      <c r="P93" s="61">
        <f t="shared" si="20"/>
        <v>0</v>
      </c>
      <c r="Q93" s="61">
        <f t="shared" si="20"/>
        <v>0</v>
      </c>
      <c r="R93" s="61">
        <f t="shared" si="20"/>
        <v>0</v>
      </c>
      <c r="S93" s="61">
        <f t="shared" si="20"/>
        <v>0</v>
      </c>
      <c r="T93" s="61">
        <f t="shared" si="20"/>
        <v>0</v>
      </c>
      <c r="U93" s="61">
        <f t="shared" si="20"/>
        <v>0</v>
      </c>
      <c r="V93" s="61">
        <f t="shared" si="20"/>
        <v>0</v>
      </c>
      <c r="W93" s="61">
        <f t="shared" si="20"/>
        <v>10</v>
      </c>
      <c r="X93" s="61">
        <f t="shared" si="20"/>
        <v>10</v>
      </c>
      <c r="Y93" s="61">
        <f t="shared" si="20"/>
        <v>0</v>
      </c>
      <c r="Z93" s="61">
        <f t="shared" si="20"/>
        <v>0</v>
      </c>
      <c r="AA93" s="61">
        <f t="shared" si="20"/>
        <v>0</v>
      </c>
      <c r="AB93" s="61">
        <f t="shared" si="20"/>
        <v>0</v>
      </c>
      <c r="AC93" s="61">
        <f t="shared" si="20"/>
        <v>0</v>
      </c>
      <c r="AD93" s="61">
        <f t="shared" si="20"/>
        <v>0</v>
      </c>
      <c r="AE93" s="61">
        <f t="shared" si="20"/>
        <v>0</v>
      </c>
      <c r="AF93" s="61">
        <f t="shared" si="20"/>
        <v>0</v>
      </c>
      <c r="AG93" s="81"/>
      <c r="AH93" s="48">
        <f t="shared" si="10"/>
        <v>10</v>
      </c>
      <c r="AI93" s="49">
        <f t="shared" si="11"/>
        <v>0</v>
      </c>
      <c r="AK93" s="50"/>
    </row>
    <row r="94" spans="1:37" ht="15.75" thickBot="1" x14ac:dyDescent="0.3">
      <c r="A94" s="74" t="s">
        <v>99</v>
      </c>
      <c r="B94" s="61">
        <f t="shared" ref="B94:AF94" si="21">B78-B93</f>
        <v>59</v>
      </c>
      <c r="C94" s="61">
        <f t="shared" si="21"/>
        <v>130.30000000000001</v>
      </c>
      <c r="D94" s="61">
        <f t="shared" si="21"/>
        <v>92.7</v>
      </c>
      <c r="E94" s="61">
        <f t="shared" si="21"/>
        <v>117.3</v>
      </c>
      <c r="F94" s="61">
        <f t="shared" si="21"/>
        <v>106.2</v>
      </c>
      <c r="G94" s="61">
        <f t="shared" si="21"/>
        <v>109</v>
      </c>
      <c r="H94" s="61">
        <f t="shared" si="21"/>
        <v>110.3</v>
      </c>
      <c r="I94" s="61">
        <f t="shared" si="21"/>
        <v>118.5</v>
      </c>
      <c r="J94" s="61">
        <f t="shared" si="21"/>
        <v>101</v>
      </c>
      <c r="K94" s="61">
        <f t="shared" si="21"/>
        <v>117.7</v>
      </c>
      <c r="L94" s="61">
        <f t="shared" si="21"/>
        <v>46.1</v>
      </c>
      <c r="M94" s="61">
        <f t="shared" si="21"/>
        <v>42</v>
      </c>
      <c r="N94" s="61">
        <f t="shared" si="21"/>
        <v>47.7</v>
      </c>
      <c r="O94" s="61">
        <f t="shared" si="21"/>
        <v>192.2</v>
      </c>
      <c r="P94" s="61">
        <f t="shared" si="21"/>
        <v>189</v>
      </c>
      <c r="Q94" s="61">
        <f t="shared" si="21"/>
        <v>194.3</v>
      </c>
      <c r="R94" s="61">
        <f t="shared" si="21"/>
        <v>128.80000000000001</v>
      </c>
      <c r="S94" s="61">
        <f t="shared" si="21"/>
        <v>200</v>
      </c>
      <c r="T94" s="61">
        <f t="shared" si="21"/>
        <v>219</v>
      </c>
      <c r="U94" s="61">
        <f t="shared" si="21"/>
        <v>225</v>
      </c>
      <c r="V94" s="61">
        <f t="shared" si="21"/>
        <v>163.5</v>
      </c>
      <c r="W94" s="61">
        <f t="shared" si="21"/>
        <v>50.1</v>
      </c>
      <c r="X94" s="61">
        <f t="shared" si="21"/>
        <v>-10</v>
      </c>
      <c r="Y94" s="61">
        <f t="shared" si="21"/>
        <v>0.7</v>
      </c>
      <c r="Z94" s="61">
        <f t="shared" si="21"/>
        <v>2.2000000000000002</v>
      </c>
      <c r="AA94" s="61">
        <f t="shared" si="21"/>
        <v>41.7</v>
      </c>
      <c r="AB94" s="61">
        <f t="shared" si="21"/>
        <v>31</v>
      </c>
      <c r="AC94" s="61">
        <f t="shared" si="21"/>
        <v>147.60000000000002</v>
      </c>
      <c r="AD94" s="61">
        <f t="shared" si="21"/>
        <v>138.9</v>
      </c>
      <c r="AE94" s="61">
        <f t="shared" si="21"/>
        <v>154</v>
      </c>
      <c r="AF94" s="61">
        <f t="shared" si="21"/>
        <v>148.5</v>
      </c>
      <c r="AG94" s="81"/>
      <c r="AH94" s="48">
        <f t="shared" si="10"/>
        <v>225</v>
      </c>
      <c r="AI94" s="49">
        <f t="shared" si="11"/>
        <v>-10</v>
      </c>
    </row>
    <row r="95" spans="1:37" x14ac:dyDescent="0.25">
      <c r="A95" s="88" t="s">
        <v>100</v>
      </c>
      <c r="B95" s="89">
        <v>49.8</v>
      </c>
      <c r="C95" s="89">
        <v>49.948</v>
      </c>
      <c r="D95" s="89">
        <v>50.036000000000001</v>
      </c>
      <c r="E95" s="89">
        <v>49.997999999999998</v>
      </c>
      <c r="F95" s="89">
        <v>50.026000000000003</v>
      </c>
      <c r="G95" s="89">
        <v>49.904000000000003</v>
      </c>
      <c r="H95" s="89">
        <v>49.935000000000002</v>
      </c>
      <c r="I95" s="89">
        <v>50.146999999999998</v>
      </c>
      <c r="J95" s="89">
        <v>50.116</v>
      </c>
      <c r="K95" s="89">
        <v>49.957000000000001</v>
      </c>
      <c r="L95" s="89">
        <v>50.1</v>
      </c>
      <c r="M95" s="89">
        <v>49.914000000000001</v>
      </c>
      <c r="N95" s="89">
        <v>49.942999999999998</v>
      </c>
      <c r="O95" s="89">
        <v>49.94</v>
      </c>
      <c r="P95" s="89">
        <v>49.956000000000003</v>
      </c>
      <c r="Q95" s="89">
        <v>49.959000000000003</v>
      </c>
      <c r="R95" s="89">
        <v>49.84</v>
      </c>
      <c r="S95" s="89">
        <v>50.1</v>
      </c>
      <c r="T95" s="89">
        <v>50.28</v>
      </c>
      <c r="U95" s="89">
        <v>49.98</v>
      </c>
      <c r="V95" s="89">
        <v>49.97</v>
      </c>
      <c r="W95" s="89">
        <v>50.2</v>
      </c>
      <c r="X95" s="89">
        <v>50.02</v>
      </c>
      <c r="Y95" s="89">
        <v>50.2</v>
      </c>
      <c r="Z95" s="89">
        <v>50.09</v>
      </c>
      <c r="AA95" s="89">
        <v>49.98</v>
      </c>
      <c r="AB95" s="89">
        <v>49.874000000000002</v>
      </c>
      <c r="AC95" s="89">
        <v>50</v>
      </c>
      <c r="AD95" s="89">
        <v>49.938000000000002</v>
      </c>
      <c r="AE95" s="89">
        <v>50.192</v>
      </c>
      <c r="AF95" s="89">
        <v>49.750999999999998</v>
      </c>
      <c r="AG95" s="90"/>
      <c r="AH95" s="48">
        <f t="shared" si="10"/>
        <v>50.28</v>
      </c>
      <c r="AI95" s="49">
        <f t="shared" si="11"/>
        <v>49.750999999999998</v>
      </c>
    </row>
    <row r="96" spans="1:37" x14ac:dyDescent="0.25">
      <c r="A96" s="91" t="s">
        <v>101</v>
      </c>
      <c r="B96" s="65">
        <v>128</v>
      </c>
      <c r="C96" s="65">
        <v>128.9</v>
      </c>
      <c r="D96" s="65">
        <v>130</v>
      </c>
      <c r="E96" s="65">
        <v>129.19999999999999</v>
      </c>
      <c r="F96" s="65">
        <v>129.1</v>
      </c>
      <c r="G96" s="65">
        <v>128</v>
      </c>
      <c r="H96" s="65">
        <v>128.1</v>
      </c>
      <c r="I96" s="65">
        <v>126.3</v>
      </c>
      <c r="J96" s="65">
        <v>125.8</v>
      </c>
      <c r="K96" s="65">
        <v>123.8</v>
      </c>
      <c r="L96" s="65">
        <v>124.6</v>
      </c>
      <c r="M96" s="65">
        <v>123.1</v>
      </c>
      <c r="N96" s="65">
        <v>124</v>
      </c>
      <c r="O96" s="65">
        <v>124.3</v>
      </c>
      <c r="P96" s="65">
        <v>125.6</v>
      </c>
      <c r="Q96" s="65">
        <v>125.2</v>
      </c>
      <c r="R96" s="65">
        <v>124.4</v>
      </c>
      <c r="S96" s="65">
        <v>126.8</v>
      </c>
      <c r="T96" s="65">
        <v>124.08</v>
      </c>
      <c r="U96" s="65">
        <v>125.1</v>
      </c>
      <c r="V96" s="65">
        <v>126.2</v>
      </c>
      <c r="W96" s="65">
        <v>125</v>
      </c>
      <c r="X96" s="65">
        <v>127.8</v>
      </c>
      <c r="Y96" s="65">
        <v>127.5</v>
      </c>
      <c r="Z96" s="65">
        <v>127.4</v>
      </c>
      <c r="AA96" s="65">
        <v>128.19999999999999</v>
      </c>
      <c r="AB96" s="65">
        <v>128</v>
      </c>
      <c r="AC96" s="65">
        <v>127.9</v>
      </c>
      <c r="AD96" s="65">
        <v>128.30000000000001</v>
      </c>
      <c r="AE96" s="65">
        <v>128.30000000000001</v>
      </c>
      <c r="AF96" s="65">
        <v>127.3</v>
      </c>
      <c r="AG96" s="92"/>
      <c r="AH96" s="48">
        <f t="shared" si="10"/>
        <v>130</v>
      </c>
      <c r="AI96" s="49">
        <f t="shared" si="11"/>
        <v>123.1</v>
      </c>
    </row>
    <row r="97" spans="1:35" x14ac:dyDescent="0.25">
      <c r="A97" s="91" t="s">
        <v>102</v>
      </c>
      <c r="B97" s="65">
        <v>66.099999999999994</v>
      </c>
      <c r="C97" s="65">
        <v>133</v>
      </c>
      <c r="D97" s="65">
        <v>133.69999999999999</v>
      </c>
      <c r="E97" s="65">
        <v>133.4</v>
      </c>
      <c r="F97" s="65">
        <v>133.19999999999999</v>
      </c>
      <c r="G97" s="65">
        <v>132.30000000000001</v>
      </c>
      <c r="H97" s="65">
        <v>132.1</v>
      </c>
      <c r="I97" s="65">
        <v>130.69999999999999</v>
      </c>
      <c r="J97" s="65">
        <v>129.5</v>
      </c>
      <c r="K97" s="65">
        <v>127.5</v>
      </c>
      <c r="L97" s="65">
        <v>127.4</v>
      </c>
      <c r="M97" s="65">
        <v>126.5</v>
      </c>
      <c r="N97" s="65">
        <v>127.4</v>
      </c>
      <c r="O97" s="65">
        <v>127.2</v>
      </c>
      <c r="P97" s="65">
        <v>128.19999999999999</v>
      </c>
      <c r="Q97" s="65">
        <v>128.1</v>
      </c>
      <c r="R97" s="65">
        <v>127.3</v>
      </c>
      <c r="S97" s="65">
        <v>129.4</v>
      </c>
      <c r="T97" s="65">
        <v>127.5</v>
      </c>
      <c r="U97" s="65">
        <v>127.7</v>
      </c>
      <c r="V97" s="65">
        <v>128.69999999999999</v>
      </c>
      <c r="W97" s="65">
        <v>127</v>
      </c>
      <c r="X97" s="65">
        <v>129.4</v>
      </c>
      <c r="Y97" s="65">
        <v>129.4</v>
      </c>
      <c r="Z97" s="65">
        <v>129.19999999999999</v>
      </c>
      <c r="AA97" s="65">
        <v>130</v>
      </c>
      <c r="AB97" s="65">
        <v>130</v>
      </c>
      <c r="AC97" s="65">
        <v>130</v>
      </c>
      <c r="AD97" s="65">
        <v>130.9</v>
      </c>
      <c r="AE97" s="65">
        <v>130.9</v>
      </c>
      <c r="AF97" s="65">
        <v>131</v>
      </c>
      <c r="AG97" s="92"/>
      <c r="AH97" s="48">
        <f t="shared" si="10"/>
        <v>133.69999999999999</v>
      </c>
      <c r="AI97" s="49">
        <f t="shared" si="11"/>
        <v>66.099999999999994</v>
      </c>
    </row>
    <row r="98" spans="1:35" x14ac:dyDescent="0.25">
      <c r="A98" s="91" t="s">
        <v>103</v>
      </c>
      <c r="B98" s="65">
        <v>134</v>
      </c>
      <c r="C98" s="65">
        <v>131.1</v>
      </c>
      <c r="D98" s="65">
        <v>132.80000000000001</v>
      </c>
      <c r="E98" s="65">
        <v>131.9</v>
      </c>
      <c r="F98" s="65">
        <v>131.80000000000001</v>
      </c>
      <c r="G98" s="65">
        <v>131.69999999999999</v>
      </c>
      <c r="H98" s="65">
        <v>129.5</v>
      </c>
      <c r="I98" s="65">
        <v>128.1</v>
      </c>
      <c r="J98" s="65">
        <v>131</v>
      </c>
      <c r="K98" s="65">
        <v>126.3</v>
      </c>
      <c r="L98" s="65">
        <v>126.5</v>
      </c>
      <c r="M98" s="65">
        <v>126.6</v>
      </c>
      <c r="N98" s="65">
        <v>128.30000000000001</v>
      </c>
      <c r="O98" s="65">
        <v>129</v>
      </c>
      <c r="P98" s="65">
        <v>130.19999999999999</v>
      </c>
      <c r="Q98" s="65">
        <v>132.5</v>
      </c>
      <c r="R98" s="65">
        <v>130.69999999999999</v>
      </c>
      <c r="S98" s="65">
        <v>130.69999999999999</v>
      </c>
      <c r="T98" s="65">
        <v>129.80000000000001</v>
      </c>
      <c r="U98" s="65">
        <v>129.80000000000001</v>
      </c>
      <c r="V98" s="65">
        <v>129.9</v>
      </c>
      <c r="W98" s="65">
        <v>127.5</v>
      </c>
      <c r="X98" s="65">
        <v>131.9</v>
      </c>
      <c r="Y98" s="65">
        <v>131.30000000000001</v>
      </c>
      <c r="Z98" s="65">
        <v>132</v>
      </c>
      <c r="AA98" s="65">
        <v>131.5</v>
      </c>
      <c r="AB98" s="65">
        <v>132</v>
      </c>
      <c r="AC98" s="65">
        <v>132.6</v>
      </c>
      <c r="AD98" s="65">
        <v>130.4</v>
      </c>
      <c r="AE98" s="65">
        <v>130.4</v>
      </c>
      <c r="AF98" s="65">
        <v>130.5</v>
      </c>
      <c r="AG98" s="92"/>
      <c r="AH98" s="48">
        <f t="shared" si="10"/>
        <v>134</v>
      </c>
      <c r="AI98" s="49">
        <f t="shared" si="11"/>
        <v>126.3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0"/>
        <v>0</v>
      </c>
      <c r="AI99" s="49">
        <f t="shared" si="11"/>
        <v>0</v>
      </c>
    </row>
    <row r="100" spans="1:35" x14ac:dyDescent="0.25">
      <c r="A100" s="93" t="s">
        <v>105</v>
      </c>
      <c r="B100" s="94">
        <v>132.4</v>
      </c>
      <c r="C100" s="94">
        <v>132.19999999999999</v>
      </c>
      <c r="D100" s="94">
        <v>132.19999999999999</v>
      </c>
      <c r="E100" s="94">
        <v>134.19999999999999</v>
      </c>
      <c r="F100" s="94">
        <v>132.80000000000001</v>
      </c>
      <c r="G100" s="94">
        <v>131.9</v>
      </c>
      <c r="H100" s="94">
        <v>134.1</v>
      </c>
      <c r="I100" s="94">
        <v>132.69999999999999</v>
      </c>
      <c r="J100" s="94">
        <v>130</v>
      </c>
      <c r="K100" s="94">
        <v>129.9</v>
      </c>
      <c r="L100" s="94">
        <v>131</v>
      </c>
      <c r="M100" s="94">
        <v>133.5</v>
      </c>
      <c r="N100" s="94">
        <v>135.30000000000001</v>
      </c>
      <c r="O100" s="94">
        <v>133.6</v>
      </c>
      <c r="P100" s="94">
        <v>134.19999999999999</v>
      </c>
      <c r="Q100" s="94">
        <v>134.5</v>
      </c>
      <c r="R100" s="94">
        <v>130.30000000000001</v>
      </c>
      <c r="S100" s="94">
        <v>134.30000000000001</v>
      </c>
      <c r="T100" s="94">
        <v>134.5</v>
      </c>
      <c r="U100" s="94">
        <v>135.30000000000001</v>
      </c>
      <c r="V100" s="94">
        <v>134.19999999999999</v>
      </c>
      <c r="W100" s="94">
        <v>130.80000000000001</v>
      </c>
      <c r="X100" s="94">
        <v>135.19999999999999</v>
      </c>
      <c r="Y100" s="94">
        <v>133.9</v>
      </c>
      <c r="Z100" s="94">
        <v>133.80000000000001</v>
      </c>
      <c r="AA100" s="94">
        <v>135.4</v>
      </c>
      <c r="AB100" s="94">
        <v>133</v>
      </c>
      <c r="AC100" s="94">
        <v>134.30000000000001</v>
      </c>
      <c r="AD100" s="94">
        <v>135</v>
      </c>
      <c r="AE100" s="94">
        <v>135</v>
      </c>
      <c r="AF100" s="94">
        <v>131.19999999999999</v>
      </c>
      <c r="AG100" s="95"/>
      <c r="AH100" s="48">
        <f t="shared" si="10"/>
        <v>135.4</v>
      </c>
      <c r="AI100" s="49">
        <f t="shared" si="11"/>
        <v>129.9</v>
      </c>
    </row>
    <row r="101" spans="1:35" x14ac:dyDescent="0.25">
      <c r="A101" s="91" t="s">
        <v>106</v>
      </c>
      <c r="B101" s="65">
        <v>134</v>
      </c>
      <c r="C101" s="65">
        <v>131.4</v>
      </c>
      <c r="D101" s="65">
        <v>134.69999999999999</v>
      </c>
      <c r="E101" s="65">
        <v>131.19999999999999</v>
      </c>
      <c r="F101" s="65">
        <v>135.5</v>
      </c>
      <c r="G101" s="65">
        <v>131.80000000000001</v>
      </c>
      <c r="H101" s="65">
        <v>127.7</v>
      </c>
      <c r="I101" s="65">
        <v>127</v>
      </c>
      <c r="J101" s="65">
        <v>123.9</v>
      </c>
      <c r="K101" s="65">
        <v>131</v>
      </c>
      <c r="L101" s="65">
        <v>128.19999999999999</v>
      </c>
      <c r="M101" s="65">
        <v>127.3</v>
      </c>
      <c r="N101" s="65">
        <v>130.5</v>
      </c>
      <c r="O101" s="65">
        <v>124.6</v>
      </c>
      <c r="P101" s="65">
        <v>129.30000000000001</v>
      </c>
      <c r="Q101" s="65">
        <v>133</v>
      </c>
      <c r="R101" s="65">
        <v>128.5</v>
      </c>
      <c r="S101" s="65">
        <v>132.5</v>
      </c>
      <c r="T101" s="65">
        <v>131.9</v>
      </c>
      <c r="U101" s="65">
        <v>134</v>
      </c>
      <c r="V101" s="65">
        <v>129.80000000000001</v>
      </c>
      <c r="W101" s="65">
        <v>129.4</v>
      </c>
      <c r="X101" s="65">
        <v>136.80000000000001</v>
      </c>
      <c r="Y101" s="65">
        <v>130.30000000000001</v>
      </c>
      <c r="Z101" s="65">
        <v>130.69999999999999</v>
      </c>
      <c r="AA101" s="65">
        <v>132.9</v>
      </c>
      <c r="AB101" s="65">
        <v>133</v>
      </c>
      <c r="AC101" s="65">
        <v>133.6</v>
      </c>
      <c r="AD101" s="65">
        <v>133.9</v>
      </c>
      <c r="AE101" s="65">
        <v>133.9</v>
      </c>
      <c r="AF101" s="65">
        <v>131.1</v>
      </c>
      <c r="AG101" s="92"/>
      <c r="AH101" s="48">
        <f t="shared" si="10"/>
        <v>136.80000000000001</v>
      </c>
      <c r="AI101" s="49">
        <f t="shared" si="11"/>
        <v>123.9</v>
      </c>
    </row>
    <row r="102" spans="1:35" ht="15.75" thickBot="1" x14ac:dyDescent="0.3">
      <c r="A102" s="91" t="s">
        <v>107</v>
      </c>
      <c r="B102" s="96">
        <v>67</v>
      </c>
      <c r="C102" s="96">
        <v>67</v>
      </c>
      <c r="D102" s="96">
        <v>67.3</v>
      </c>
      <c r="E102" s="96">
        <v>67.2</v>
      </c>
      <c r="F102" s="96">
        <v>67.3</v>
      </c>
      <c r="G102" s="96">
        <v>66.599999999999994</v>
      </c>
      <c r="H102" s="96">
        <v>66.599999999999994</v>
      </c>
      <c r="I102" s="96">
        <v>65.900000000000006</v>
      </c>
      <c r="J102" s="96">
        <v>65.3</v>
      </c>
      <c r="K102" s="96">
        <v>64.400000000000006</v>
      </c>
      <c r="L102" s="96">
        <v>64.400000000000006</v>
      </c>
      <c r="M102" s="96">
        <v>63.8</v>
      </c>
      <c r="N102" s="96">
        <v>64.400000000000006</v>
      </c>
      <c r="O102" s="96">
        <v>64.2</v>
      </c>
      <c r="P102" s="96">
        <v>64.400000000000006</v>
      </c>
      <c r="Q102" s="96">
        <v>64.3</v>
      </c>
      <c r="R102" s="96">
        <v>63.8</v>
      </c>
      <c r="S102" s="96">
        <v>64.900000000000006</v>
      </c>
      <c r="T102" s="96">
        <v>64.2</v>
      </c>
      <c r="U102" s="96">
        <v>64.2</v>
      </c>
      <c r="V102" s="96">
        <v>64.8</v>
      </c>
      <c r="W102" s="96">
        <v>63.5</v>
      </c>
      <c r="X102" s="96">
        <v>64.5</v>
      </c>
      <c r="Y102" s="96">
        <v>64.5</v>
      </c>
      <c r="Z102" s="96">
        <v>64.599999999999994</v>
      </c>
      <c r="AA102" s="96">
        <v>65.099999999999994</v>
      </c>
      <c r="AB102" s="96">
        <v>65</v>
      </c>
      <c r="AC102" s="96">
        <v>64.900000000000006</v>
      </c>
      <c r="AD102" s="96">
        <v>65.400000000000006</v>
      </c>
      <c r="AE102" s="96">
        <v>65.400000000000006</v>
      </c>
      <c r="AF102" s="96">
        <v>65.900000000000006</v>
      </c>
      <c r="AG102" s="97"/>
      <c r="AH102" s="48">
        <f t="shared" si="10"/>
        <v>67.3</v>
      </c>
      <c r="AI102" s="49">
        <f t="shared" si="11"/>
        <v>63.5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0"/>
        <v>0</v>
      </c>
      <c r="AI103" s="49">
        <f t="shared" si="11"/>
        <v>0</v>
      </c>
    </row>
    <row r="104" spans="1:35" ht="15.75" thickBot="1" x14ac:dyDescent="0.3">
      <c r="A104" s="99" t="s">
        <v>108</v>
      </c>
      <c r="B104" s="100">
        <f t="shared" ref="B104:AF104" si="22">SUM(B16,B22,B25:B26,B52,B54:B55,B57,B59,B105:B109,B131,B137,B143,B152,B154,B166,B173,B176:B177,B184,B186,B188,B192:B194,B196:B198,B203,B209:B210,B212:B214,B222,B227)</f>
        <v>105.29900000000001</v>
      </c>
      <c r="C104" s="100">
        <f t="shared" si="22"/>
        <v>94.338999999999999</v>
      </c>
      <c r="D104" s="100">
        <f t="shared" si="22"/>
        <v>87.039000000000001</v>
      </c>
      <c r="E104" s="100">
        <f t="shared" si="22"/>
        <v>86.228999999999999</v>
      </c>
      <c r="F104" s="100">
        <f t="shared" si="22"/>
        <v>80.239000000000004</v>
      </c>
      <c r="G104" s="100">
        <f t="shared" si="22"/>
        <v>106.839</v>
      </c>
      <c r="H104" s="100">
        <f t="shared" si="22"/>
        <v>136.339</v>
      </c>
      <c r="I104" s="100">
        <f t="shared" si="22"/>
        <v>161.63899999999998</v>
      </c>
      <c r="J104" s="100">
        <f t="shared" si="22"/>
        <v>211.93899999999999</v>
      </c>
      <c r="K104" s="100">
        <f t="shared" si="22"/>
        <v>315.839</v>
      </c>
      <c r="L104" s="100">
        <f t="shared" si="22"/>
        <v>326.03899999999999</v>
      </c>
      <c r="M104" s="100">
        <f t="shared" si="22"/>
        <v>340.03900000000004</v>
      </c>
      <c r="N104" s="100">
        <f t="shared" si="22"/>
        <v>323.53899999999993</v>
      </c>
      <c r="O104" s="100">
        <f t="shared" si="22"/>
        <v>326.339</v>
      </c>
      <c r="P104" s="100">
        <f t="shared" si="22"/>
        <v>268.13899999999995</v>
      </c>
      <c r="Q104" s="100">
        <f t="shared" si="22"/>
        <v>246.09899999999996</v>
      </c>
      <c r="R104" s="100">
        <f t="shared" si="22"/>
        <v>244.59899999999999</v>
      </c>
      <c r="S104" s="100">
        <f t="shared" si="22"/>
        <v>231.19900000000001</v>
      </c>
      <c r="T104" s="100">
        <f t="shared" si="22"/>
        <v>246.79899999999998</v>
      </c>
      <c r="U104" s="100">
        <f t="shared" si="22"/>
        <v>352.69900000000001</v>
      </c>
      <c r="V104" s="100">
        <f t="shared" si="22"/>
        <v>296.99899999999997</v>
      </c>
      <c r="W104" s="100">
        <f t="shared" si="22"/>
        <v>353.09900000000005</v>
      </c>
      <c r="X104" s="100">
        <f t="shared" si="22"/>
        <v>339.29899999999998</v>
      </c>
      <c r="Y104" s="100">
        <f t="shared" si="22"/>
        <v>342.49900000000002</v>
      </c>
      <c r="Z104" s="100">
        <f t="shared" si="22"/>
        <v>348.29899999999998</v>
      </c>
      <c r="AA104" s="100">
        <f t="shared" si="22"/>
        <v>344.399</v>
      </c>
      <c r="AB104" s="100">
        <f t="shared" si="22"/>
        <v>318.93899999999996</v>
      </c>
      <c r="AC104" s="100">
        <f t="shared" si="22"/>
        <v>304.69899999999996</v>
      </c>
      <c r="AD104" s="100">
        <f t="shared" si="22"/>
        <v>268.69900000000001</v>
      </c>
      <c r="AE104" s="100">
        <f t="shared" si="22"/>
        <v>220.53899999999999</v>
      </c>
      <c r="AF104" s="100">
        <f t="shared" si="22"/>
        <v>175.69900000000001</v>
      </c>
      <c r="AG104" s="101"/>
      <c r="AH104" s="48">
        <f t="shared" si="10"/>
        <v>353.09900000000005</v>
      </c>
      <c r="AI104" s="49">
        <f t="shared" si="11"/>
        <v>80.239000000000004</v>
      </c>
    </row>
    <row r="105" spans="1:35" x14ac:dyDescent="0.25">
      <c r="A105" s="88" t="s">
        <v>109</v>
      </c>
      <c r="B105" s="102">
        <v>21.7</v>
      </c>
      <c r="C105" s="102">
        <v>6.4</v>
      </c>
      <c r="D105" s="102">
        <v>4.0999999999999996</v>
      </c>
      <c r="E105" s="102">
        <v>4.4000000000000004</v>
      </c>
      <c r="F105" s="102">
        <v>4.9000000000000004</v>
      </c>
      <c r="G105" s="102">
        <v>12.6</v>
      </c>
      <c r="H105" s="102">
        <v>25.9</v>
      </c>
      <c r="I105" s="102">
        <v>31.4</v>
      </c>
      <c r="J105" s="102">
        <v>24.7</v>
      </c>
      <c r="K105" s="102">
        <v>29</v>
      </c>
      <c r="L105" s="102">
        <v>28.2</v>
      </c>
      <c r="M105" s="102">
        <v>28.4</v>
      </c>
      <c r="N105" s="102">
        <v>35.700000000000003</v>
      </c>
      <c r="O105" s="102">
        <v>41.3</v>
      </c>
      <c r="P105" s="102">
        <v>35.1</v>
      </c>
      <c r="Q105" s="102">
        <v>33.1</v>
      </c>
      <c r="R105" s="102">
        <v>30.7</v>
      </c>
      <c r="S105" s="102">
        <v>32.1</v>
      </c>
      <c r="T105" s="102">
        <v>35.6</v>
      </c>
      <c r="U105" s="102">
        <v>33.6</v>
      </c>
      <c r="V105" s="102">
        <v>29.7</v>
      </c>
      <c r="W105" s="102">
        <v>28.7</v>
      </c>
      <c r="X105" s="102">
        <v>34.799999999999997</v>
      </c>
      <c r="Y105" s="102">
        <v>25.3</v>
      </c>
      <c r="Z105" s="102">
        <v>36.6</v>
      </c>
      <c r="AA105" s="102">
        <v>41.9</v>
      </c>
      <c r="AB105" s="102">
        <v>41.8</v>
      </c>
      <c r="AC105" s="102">
        <v>48.4</v>
      </c>
      <c r="AD105" s="102">
        <v>36.700000000000003</v>
      </c>
      <c r="AE105" s="102">
        <v>32.5</v>
      </c>
      <c r="AF105" s="102">
        <v>27.5</v>
      </c>
      <c r="AG105" s="103">
        <v>75</v>
      </c>
      <c r="AH105" s="48">
        <f t="shared" si="10"/>
        <v>48.4</v>
      </c>
      <c r="AI105" s="49">
        <f t="shared" si="11"/>
        <v>4.0999999999999996</v>
      </c>
    </row>
    <row r="106" spans="1:35" x14ac:dyDescent="0.25">
      <c r="A106" s="91" t="s">
        <v>110</v>
      </c>
      <c r="B106" s="104">
        <v>37.9</v>
      </c>
      <c r="C106" s="104">
        <v>16.2</v>
      </c>
      <c r="D106" s="104">
        <v>13.8</v>
      </c>
      <c r="E106" s="104">
        <v>14.3</v>
      </c>
      <c r="F106" s="104">
        <v>14.9</v>
      </c>
      <c r="G106" s="104">
        <v>28.8</v>
      </c>
      <c r="H106" s="104">
        <v>45.9</v>
      </c>
      <c r="I106" s="104">
        <v>52.3</v>
      </c>
      <c r="J106" s="104">
        <v>42.1</v>
      </c>
      <c r="K106" s="104">
        <v>47.2</v>
      </c>
      <c r="L106" s="104">
        <v>44.1</v>
      </c>
      <c r="M106" s="104">
        <v>44.9</v>
      </c>
      <c r="N106" s="104">
        <v>55.2</v>
      </c>
      <c r="O106" s="104">
        <v>61.2</v>
      </c>
      <c r="P106" s="104">
        <v>52.5</v>
      </c>
      <c r="Q106" s="104">
        <v>49.5</v>
      </c>
      <c r="R106" s="104">
        <v>48.9</v>
      </c>
      <c r="S106" s="104">
        <v>50.8</v>
      </c>
      <c r="T106" s="104">
        <v>54.1</v>
      </c>
      <c r="U106" s="104">
        <v>52.1</v>
      </c>
      <c r="V106" s="104">
        <v>45.3</v>
      </c>
      <c r="W106" s="104">
        <v>43.2</v>
      </c>
      <c r="X106" s="104">
        <v>53.1</v>
      </c>
      <c r="Y106" s="104">
        <v>40.1</v>
      </c>
      <c r="Z106" s="104">
        <v>54.4</v>
      </c>
      <c r="AA106" s="104">
        <v>62.4</v>
      </c>
      <c r="AB106" s="104">
        <v>63</v>
      </c>
      <c r="AC106" s="104">
        <v>71.599999999999994</v>
      </c>
      <c r="AD106" s="104">
        <v>54.5</v>
      </c>
      <c r="AE106" s="104">
        <v>49.74</v>
      </c>
      <c r="AF106" s="104">
        <v>44.2</v>
      </c>
      <c r="AG106" s="103">
        <v>240</v>
      </c>
      <c r="AH106" s="48">
        <f t="shared" si="10"/>
        <v>71.599999999999994</v>
      </c>
      <c r="AI106" s="49">
        <f t="shared" si="11"/>
        <v>13.8</v>
      </c>
    </row>
    <row r="107" spans="1:35" x14ac:dyDescent="0.25">
      <c r="A107" s="91" t="s">
        <v>111</v>
      </c>
      <c r="B107" s="104">
        <v>-100</v>
      </c>
      <c r="C107" s="104">
        <f>-44-48</f>
        <v>-92</v>
      </c>
      <c r="D107" s="104">
        <f>-41-44</f>
        <v>-85</v>
      </c>
      <c r="E107" s="104">
        <f>-44.8-47.6</f>
        <v>-92.4</v>
      </c>
      <c r="F107" s="104">
        <f>-44.3-46</f>
        <v>-90.3</v>
      </c>
      <c r="G107" s="104">
        <f>-44.3-47.2</f>
        <v>-91.5</v>
      </c>
      <c r="H107" s="104">
        <v>-90</v>
      </c>
      <c r="I107" s="104">
        <v>-88</v>
      </c>
      <c r="J107" s="104">
        <f>-30.7-32.9</f>
        <v>-63.599999999999994</v>
      </c>
      <c r="K107" s="104">
        <v>-42</v>
      </c>
      <c r="L107" s="104">
        <f>-13.3-20.5</f>
        <v>-33.799999999999997</v>
      </c>
      <c r="M107" s="104">
        <f>-8.6-18</f>
        <v>-26.6</v>
      </c>
      <c r="N107" s="104">
        <f>-16.7-24.1</f>
        <v>-40.799999999999997</v>
      </c>
      <c r="O107" s="104">
        <f>-5-0.8</f>
        <v>-5.8</v>
      </c>
      <c r="P107" s="104">
        <f>-6.9-1</f>
        <v>-7.9</v>
      </c>
      <c r="Q107" s="104">
        <f>-2-5</f>
        <v>-7</v>
      </c>
      <c r="R107" s="104">
        <f>-4-8</f>
        <v>-12</v>
      </c>
      <c r="S107" s="104">
        <f>-11.8-5.8</f>
        <v>-17.600000000000001</v>
      </c>
      <c r="T107" s="104" t="s">
        <v>249</v>
      </c>
      <c r="U107" s="104">
        <f>15.5+16.7</f>
        <v>32.200000000000003</v>
      </c>
      <c r="V107" s="104">
        <f>-19.2-9.8</f>
        <v>-29</v>
      </c>
      <c r="W107" s="104">
        <f>-8+7.1</f>
        <v>-0.90000000000000036</v>
      </c>
      <c r="X107" s="104">
        <v>-29.6</v>
      </c>
      <c r="Y107" s="104">
        <f>-27.2+3.6</f>
        <v>-23.599999999999998</v>
      </c>
      <c r="Z107" s="104">
        <f>-15.1+2</f>
        <v>-13.1</v>
      </c>
      <c r="AA107" s="104">
        <f>-11.3-5.2</f>
        <v>-16.5</v>
      </c>
      <c r="AB107" s="104">
        <v>-23.9</v>
      </c>
      <c r="AC107" s="104">
        <v>-35</v>
      </c>
      <c r="AD107" s="104">
        <v>-22</v>
      </c>
      <c r="AE107" s="104">
        <v>-35</v>
      </c>
      <c r="AF107" s="104">
        <v>-75</v>
      </c>
      <c r="AG107" s="103">
        <v>240</v>
      </c>
      <c r="AH107" s="48">
        <f t="shared" si="10"/>
        <v>32.200000000000003</v>
      </c>
      <c r="AI107" s="49">
        <f t="shared" si="11"/>
        <v>-100</v>
      </c>
    </row>
    <row r="108" spans="1:35" x14ac:dyDescent="0.25">
      <c r="A108" s="91" t="s">
        <v>112</v>
      </c>
      <c r="B108" s="104">
        <v>0.2</v>
      </c>
      <c r="C108" s="104">
        <v>0.3</v>
      </c>
      <c r="D108" s="104">
        <v>-3.4</v>
      </c>
      <c r="E108" s="104">
        <v>-3.41</v>
      </c>
      <c r="F108" s="104">
        <v>-4.4000000000000004</v>
      </c>
      <c r="G108" s="104">
        <v>-1.2</v>
      </c>
      <c r="H108" s="104">
        <v>0</v>
      </c>
      <c r="I108" s="104">
        <v>1.4</v>
      </c>
      <c r="J108" s="104">
        <v>6.3</v>
      </c>
      <c r="K108" s="104">
        <v>43.7</v>
      </c>
      <c r="L108" s="104">
        <v>44</v>
      </c>
      <c r="M108" s="104">
        <v>53.4</v>
      </c>
      <c r="N108" s="104">
        <v>37.4</v>
      </c>
      <c r="O108" s="104">
        <v>41</v>
      </c>
      <c r="P108" s="104">
        <v>46.9</v>
      </c>
      <c r="Q108" s="104">
        <v>29.7</v>
      </c>
      <c r="R108" s="104">
        <v>36.200000000000003</v>
      </c>
      <c r="S108" s="104">
        <v>25.9</v>
      </c>
      <c r="T108" s="104">
        <v>17.100000000000001</v>
      </c>
      <c r="U108" s="104">
        <v>13</v>
      </c>
      <c r="V108" s="104">
        <v>25.1</v>
      </c>
      <c r="W108" s="104">
        <v>50</v>
      </c>
      <c r="X108" s="104">
        <v>43.8</v>
      </c>
      <c r="Y108" s="104">
        <v>62.1</v>
      </c>
      <c r="Z108" s="104">
        <v>38.4</v>
      </c>
      <c r="AA108" s="104">
        <v>33.200000000000003</v>
      </c>
      <c r="AB108" s="104">
        <v>24</v>
      </c>
      <c r="AC108" s="104">
        <v>17.5</v>
      </c>
      <c r="AD108" s="104">
        <v>15.9</v>
      </c>
      <c r="AE108" s="104">
        <v>11</v>
      </c>
      <c r="AF108" s="104">
        <v>4.4000000000000004</v>
      </c>
      <c r="AG108" s="103">
        <v>60</v>
      </c>
      <c r="AH108" s="48">
        <f t="shared" si="10"/>
        <v>62.1</v>
      </c>
      <c r="AI108" s="49">
        <f t="shared" si="11"/>
        <v>-4.4000000000000004</v>
      </c>
    </row>
    <row r="109" spans="1:35" x14ac:dyDescent="0.25">
      <c r="A109" s="105" t="s">
        <v>113</v>
      </c>
      <c r="B109" s="106">
        <v>7.2</v>
      </c>
      <c r="C109" s="106">
        <v>24.2</v>
      </c>
      <c r="D109" s="106">
        <v>18.3</v>
      </c>
      <c r="E109" s="106">
        <v>24.8</v>
      </c>
      <c r="F109" s="106">
        <v>16.600000000000001</v>
      </c>
      <c r="G109" s="106">
        <v>19.600000000000001</v>
      </c>
      <c r="H109" s="106">
        <v>16</v>
      </c>
      <c r="I109" s="106">
        <v>27</v>
      </c>
      <c r="J109" s="106">
        <v>64.900000000000006</v>
      </c>
      <c r="K109" s="106">
        <v>100.4</v>
      </c>
      <c r="L109" s="106">
        <v>106</v>
      </c>
      <c r="M109" s="106">
        <v>102.4</v>
      </c>
      <c r="N109" s="106">
        <v>94.5</v>
      </c>
      <c r="O109" s="106">
        <v>47.1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81.8</v>
      </c>
      <c r="V109" s="106">
        <v>89.9</v>
      </c>
      <c r="W109" s="106">
        <v>96.1</v>
      </c>
      <c r="X109" s="106">
        <v>101.2</v>
      </c>
      <c r="Y109" s="106">
        <v>102.6</v>
      </c>
      <c r="Z109" s="106">
        <v>96</v>
      </c>
      <c r="AA109" s="106">
        <v>88.2</v>
      </c>
      <c r="AB109" s="106">
        <v>78.8</v>
      </c>
      <c r="AC109" s="106">
        <v>67</v>
      </c>
      <c r="AD109" s="106">
        <v>48.4</v>
      </c>
      <c r="AE109" s="106">
        <v>27.1</v>
      </c>
      <c r="AF109" s="106">
        <v>39.200000000000003</v>
      </c>
      <c r="AG109" s="107">
        <v>120</v>
      </c>
      <c r="AH109" s="48">
        <f t="shared" si="10"/>
        <v>106</v>
      </c>
      <c r="AI109" s="49">
        <f t="shared" si="11"/>
        <v>0</v>
      </c>
    </row>
    <row r="110" spans="1:35" x14ac:dyDescent="0.25">
      <c r="A110" s="105" t="s">
        <v>115</v>
      </c>
      <c r="B110" s="106">
        <v>28.8</v>
      </c>
      <c r="C110" s="106">
        <v>41.7</v>
      </c>
      <c r="D110" s="106">
        <v>30</v>
      </c>
      <c r="E110" s="106">
        <v>41.3</v>
      </c>
      <c r="F110" s="106">
        <v>31.2</v>
      </c>
      <c r="G110" s="106">
        <v>35.299999999999997</v>
      </c>
      <c r="H110" s="106">
        <v>29.7</v>
      </c>
      <c r="I110" s="106">
        <v>35.200000000000003</v>
      </c>
      <c r="J110" s="106">
        <v>61.8</v>
      </c>
      <c r="K110" s="106">
        <v>78.7</v>
      </c>
      <c r="L110" s="106">
        <v>76</v>
      </c>
      <c r="M110" s="106">
        <v>82.1</v>
      </c>
      <c r="N110" s="106">
        <v>78.599999999999994</v>
      </c>
      <c r="O110" s="106">
        <v>95</v>
      </c>
      <c r="P110" s="106">
        <v>87.6</v>
      </c>
      <c r="Q110" s="106">
        <v>97</v>
      </c>
      <c r="R110" s="106">
        <v>100</v>
      </c>
      <c r="S110" s="106">
        <v>88.8</v>
      </c>
      <c r="T110" s="106">
        <v>23.5</v>
      </c>
      <c r="U110" s="106">
        <v>62.8</v>
      </c>
      <c r="V110" s="106">
        <v>66</v>
      </c>
      <c r="W110" s="106">
        <v>86.3</v>
      </c>
      <c r="X110" s="106">
        <v>57</v>
      </c>
      <c r="Y110" s="106">
        <v>64.099999999999994</v>
      </c>
      <c r="Z110" s="106">
        <v>60.5</v>
      </c>
      <c r="AA110" s="106">
        <v>56.3</v>
      </c>
      <c r="AB110" s="106">
        <v>43.6</v>
      </c>
      <c r="AC110" s="106">
        <v>29.5</v>
      </c>
      <c r="AD110" s="106">
        <v>49.8</v>
      </c>
      <c r="AE110" s="106">
        <v>49.9</v>
      </c>
      <c r="AF110" s="106">
        <v>44.2</v>
      </c>
      <c r="AG110" s="107"/>
      <c r="AH110" s="48">
        <f t="shared" si="10"/>
        <v>100</v>
      </c>
      <c r="AI110" s="49">
        <f t="shared" si="11"/>
        <v>23.5</v>
      </c>
    </row>
    <row r="111" spans="1:35" x14ac:dyDescent="0.25">
      <c r="A111" s="105" t="s">
        <v>116</v>
      </c>
      <c r="B111" s="106">
        <v>33</v>
      </c>
      <c r="C111" s="106">
        <v>50.5</v>
      </c>
      <c r="D111" s="106">
        <v>46</v>
      </c>
      <c r="E111" s="106">
        <v>47.9</v>
      </c>
      <c r="F111" s="106">
        <v>36</v>
      </c>
      <c r="G111" s="106">
        <v>37.799999999999997</v>
      </c>
      <c r="H111" s="106">
        <v>8.1</v>
      </c>
      <c r="I111" s="106">
        <v>7.9</v>
      </c>
      <c r="J111" s="106">
        <v>20.7</v>
      </c>
      <c r="K111" s="106">
        <v>51.2</v>
      </c>
      <c r="L111" s="106">
        <v>42.1</v>
      </c>
      <c r="M111" s="106">
        <v>42.8</v>
      </c>
      <c r="N111" s="106">
        <v>27</v>
      </c>
      <c r="O111" s="106">
        <v>12.3</v>
      </c>
      <c r="P111" s="106">
        <v>19.8</v>
      </c>
      <c r="Q111" s="106">
        <v>22.5</v>
      </c>
      <c r="R111" s="106">
        <v>35.5</v>
      </c>
      <c r="S111" s="106">
        <v>24.1</v>
      </c>
      <c r="T111" s="106">
        <v>22.22</v>
      </c>
      <c r="U111" s="106">
        <v>11.5</v>
      </c>
      <c r="V111" s="106">
        <v>16.399999999999999</v>
      </c>
      <c r="W111" s="106">
        <v>44</v>
      </c>
      <c r="X111" s="106">
        <v>35.299999999999997</v>
      </c>
      <c r="Y111" s="106">
        <v>55.7</v>
      </c>
      <c r="Z111" s="106">
        <v>37</v>
      </c>
      <c r="AA111" s="106">
        <v>23.5</v>
      </c>
      <c r="AB111" s="106">
        <v>15.4</v>
      </c>
      <c r="AC111" s="106">
        <v>6.2</v>
      </c>
      <c r="AD111" s="106">
        <v>15.3</v>
      </c>
      <c r="AE111" s="106">
        <v>14</v>
      </c>
      <c r="AF111" s="106">
        <v>36.4</v>
      </c>
      <c r="AG111" s="108"/>
      <c r="AH111" s="48">
        <f t="shared" si="10"/>
        <v>55.7</v>
      </c>
      <c r="AI111" s="49">
        <f t="shared" si="11"/>
        <v>6.2</v>
      </c>
    </row>
    <row r="112" spans="1:35" x14ac:dyDescent="0.25">
      <c r="A112" s="109" t="s">
        <v>117</v>
      </c>
      <c r="B112" s="94">
        <v>26.4</v>
      </c>
      <c r="C112" s="94">
        <v>26.9</v>
      </c>
      <c r="D112" s="94">
        <v>34</v>
      </c>
      <c r="E112" s="94">
        <v>31.7</v>
      </c>
      <c r="F112" s="94">
        <v>28.2</v>
      </c>
      <c r="G112" s="94">
        <v>25.6</v>
      </c>
      <c r="H112" s="94">
        <v>22</v>
      </c>
      <c r="I112" s="94">
        <v>19</v>
      </c>
      <c r="J112" s="94">
        <v>12.1</v>
      </c>
      <c r="K112" s="94">
        <v>4.2</v>
      </c>
      <c r="L112" s="94">
        <v>2.6</v>
      </c>
      <c r="M112" s="94">
        <v>2.9</v>
      </c>
      <c r="N112" s="94">
        <v>1.2</v>
      </c>
      <c r="O112" s="94">
        <v>8.5</v>
      </c>
      <c r="P112" s="94">
        <v>7.4</v>
      </c>
      <c r="Q112" s="94">
        <v>11.1</v>
      </c>
      <c r="R112" s="94">
        <v>10.8</v>
      </c>
      <c r="S112" s="94">
        <v>8.3000000000000007</v>
      </c>
      <c r="T112" s="94">
        <v>6.8</v>
      </c>
      <c r="U112" s="94">
        <v>1.5</v>
      </c>
      <c r="V112" s="94">
        <v>-10</v>
      </c>
      <c r="W112" s="94">
        <v>-20.7</v>
      </c>
      <c r="X112" s="94">
        <v>-8.1</v>
      </c>
      <c r="Y112" s="94">
        <v>-9.6</v>
      </c>
      <c r="Z112" s="94">
        <v>-7.3</v>
      </c>
      <c r="AA112" s="94">
        <v>-6.2</v>
      </c>
      <c r="AB112" s="94">
        <v>0</v>
      </c>
      <c r="AC112" s="94">
        <v>3.4</v>
      </c>
      <c r="AD112" s="94">
        <v>4.7</v>
      </c>
      <c r="AE112" s="94">
        <v>8.8000000000000007</v>
      </c>
      <c r="AF112" s="94">
        <v>13.2</v>
      </c>
      <c r="AG112" s="108"/>
      <c r="AH112" s="48">
        <f t="shared" si="10"/>
        <v>34</v>
      </c>
      <c r="AI112" s="49">
        <f t="shared" si="11"/>
        <v>-20.7</v>
      </c>
    </row>
    <row r="113" spans="1:37" ht="15.75" thickBot="1" x14ac:dyDescent="0.3">
      <c r="A113" s="109" t="s">
        <v>118</v>
      </c>
      <c r="B113" s="94">
        <v>67</v>
      </c>
      <c r="C113" s="94">
        <v>54</v>
      </c>
      <c r="D113" s="94">
        <v>50.2</v>
      </c>
      <c r="E113" s="94">
        <v>55</v>
      </c>
      <c r="F113" s="94">
        <v>55.8</v>
      </c>
      <c r="G113" s="94">
        <v>57</v>
      </c>
      <c r="H113" s="94">
        <v>65.099999999999994</v>
      </c>
      <c r="I113" s="94">
        <v>64.099999999999994</v>
      </c>
      <c r="J113" s="94">
        <v>42.9</v>
      </c>
      <c r="K113" s="94">
        <v>33.799999999999997</v>
      </c>
      <c r="L113" s="94">
        <v>37.5</v>
      </c>
      <c r="M113" s="94">
        <v>41.1</v>
      </c>
      <c r="N113" s="94">
        <v>45.4</v>
      </c>
      <c r="O113" s="94">
        <v>21.1</v>
      </c>
      <c r="P113" s="94">
        <v>19.899999999999999</v>
      </c>
      <c r="Q113" s="94">
        <v>12.6</v>
      </c>
      <c r="R113" s="94">
        <v>19</v>
      </c>
      <c r="S113" s="94">
        <v>14</v>
      </c>
      <c r="T113" s="94">
        <v>1.3</v>
      </c>
      <c r="U113" s="94">
        <v>24.7</v>
      </c>
      <c r="V113" s="94">
        <v>17.399999999999999</v>
      </c>
      <c r="W113" s="94">
        <v>-2.6</v>
      </c>
      <c r="X113" s="94">
        <v>19.7</v>
      </c>
      <c r="Y113" s="94">
        <v>12.8</v>
      </c>
      <c r="Z113" s="94">
        <v>7.1</v>
      </c>
      <c r="AA113" s="94">
        <v>16.5</v>
      </c>
      <c r="AB113" s="94">
        <v>20.7</v>
      </c>
      <c r="AC113" s="94">
        <v>32.299999999999997</v>
      </c>
      <c r="AD113" s="94">
        <v>18.899999999999999</v>
      </c>
      <c r="AE113" s="94">
        <v>28.9</v>
      </c>
      <c r="AF113" s="94">
        <v>54.1</v>
      </c>
      <c r="AG113" s="108"/>
      <c r="AH113" s="48">
        <f t="shared" si="10"/>
        <v>67</v>
      </c>
      <c r="AI113" s="49">
        <f t="shared" si="11"/>
        <v>-2.6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23">SUM(B115:B219)</f>
        <v>0</v>
      </c>
      <c r="C220" s="125">
        <f t="shared" si="23"/>
        <v>0</v>
      </c>
      <c r="D220" s="125">
        <f t="shared" si="23"/>
        <v>0</v>
      </c>
      <c r="E220" s="125">
        <f t="shared" si="23"/>
        <v>0</v>
      </c>
      <c r="F220" s="125">
        <f t="shared" si="23"/>
        <v>0</v>
      </c>
      <c r="G220" s="125">
        <f t="shared" si="23"/>
        <v>0</v>
      </c>
      <c r="H220" s="125">
        <f t="shared" si="23"/>
        <v>0</v>
      </c>
      <c r="I220" s="125">
        <f t="shared" si="23"/>
        <v>0</v>
      </c>
      <c r="J220" s="125">
        <f t="shared" si="23"/>
        <v>0</v>
      </c>
      <c r="K220" s="125">
        <f t="shared" si="23"/>
        <v>0</v>
      </c>
      <c r="L220" s="125">
        <f t="shared" si="23"/>
        <v>0</v>
      </c>
      <c r="M220" s="125">
        <f t="shared" si="23"/>
        <v>0</v>
      </c>
      <c r="N220" s="125">
        <f t="shared" si="23"/>
        <v>0</v>
      </c>
      <c r="O220" s="125">
        <f t="shared" si="23"/>
        <v>0</v>
      </c>
      <c r="P220" s="125">
        <f t="shared" si="23"/>
        <v>0</v>
      </c>
      <c r="Q220" s="125">
        <f t="shared" si="23"/>
        <v>0</v>
      </c>
      <c r="R220" s="125">
        <f t="shared" si="23"/>
        <v>0</v>
      </c>
      <c r="S220" s="125">
        <f t="shared" si="23"/>
        <v>0</v>
      </c>
      <c r="T220" s="125">
        <f t="shared" si="23"/>
        <v>0</v>
      </c>
      <c r="U220" s="125">
        <f t="shared" si="23"/>
        <v>0</v>
      </c>
      <c r="V220" s="125">
        <f t="shared" si="23"/>
        <v>0</v>
      </c>
      <c r="W220" s="125">
        <f t="shared" si="23"/>
        <v>0</v>
      </c>
      <c r="X220" s="125">
        <f t="shared" si="23"/>
        <v>0</v>
      </c>
      <c r="Y220" s="125">
        <f t="shared" si="23"/>
        <v>0</v>
      </c>
      <c r="Z220" s="125">
        <f t="shared" si="23"/>
        <v>0</v>
      </c>
      <c r="AA220" s="125">
        <f t="shared" si="23"/>
        <v>0</v>
      </c>
      <c r="AB220" s="125">
        <f t="shared" si="23"/>
        <v>0</v>
      </c>
      <c r="AC220" s="125">
        <f t="shared" si="23"/>
        <v>0</v>
      </c>
      <c r="AD220" s="125">
        <f t="shared" si="23"/>
        <v>0</v>
      </c>
      <c r="AE220" s="125">
        <f t="shared" si="23"/>
        <v>0</v>
      </c>
      <c r="AF220" s="126">
        <f t="shared" si="23"/>
        <v>0</v>
      </c>
      <c r="AG220" s="127">
        <f t="shared" si="23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24">AF222</f>
        <v>0</v>
      </c>
      <c r="C222" s="129">
        <v>0.3</v>
      </c>
      <c r="D222" s="129">
        <f t="shared" ref="D222:P227" si="25">C222</f>
        <v>0.3</v>
      </c>
      <c r="E222" s="129">
        <f t="shared" si="25"/>
        <v>0.3</v>
      </c>
      <c r="F222" s="129">
        <f t="shared" si="25"/>
        <v>0.3</v>
      </c>
      <c r="G222" s="129">
        <f t="shared" si="25"/>
        <v>0.3</v>
      </c>
      <c r="H222" s="129">
        <f t="shared" si="25"/>
        <v>0.3</v>
      </c>
      <c r="I222" s="129">
        <f t="shared" si="25"/>
        <v>0.3</v>
      </c>
      <c r="J222" s="129">
        <f t="shared" si="25"/>
        <v>0.3</v>
      </c>
      <c r="K222" s="129">
        <f t="shared" si="25"/>
        <v>0.3</v>
      </c>
      <c r="L222" s="129">
        <f t="shared" si="25"/>
        <v>0.3</v>
      </c>
      <c r="M222" s="129">
        <f t="shared" si="25"/>
        <v>0.3</v>
      </c>
      <c r="N222" s="129">
        <f t="shared" si="25"/>
        <v>0.3</v>
      </c>
      <c r="O222" s="129">
        <f t="shared" si="25"/>
        <v>0.3</v>
      </c>
      <c r="P222" s="129">
        <f t="shared" si="25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x14ac:dyDescent="0.25">
      <c r="A223" s="91" t="s">
        <v>227</v>
      </c>
      <c r="B223" s="117">
        <f t="shared" si="24"/>
        <v>0</v>
      </c>
      <c r="C223" s="117">
        <v>0.4</v>
      </c>
      <c r="D223" s="117">
        <f t="shared" si="25"/>
        <v>0.4</v>
      </c>
      <c r="E223" s="117">
        <f t="shared" si="25"/>
        <v>0.4</v>
      </c>
      <c r="F223" s="117">
        <f t="shared" si="25"/>
        <v>0.4</v>
      </c>
      <c r="G223" s="117">
        <f t="shared" si="25"/>
        <v>0.4</v>
      </c>
      <c r="H223" s="117">
        <f t="shared" si="25"/>
        <v>0.4</v>
      </c>
      <c r="I223" s="117">
        <f t="shared" si="25"/>
        <v>0.4</v>
      </c>
      <c r="J223" s="117">
        <f t="shared" si="25"/>
        <v>0.4</v>
      </c>
      <c r="K223" s="117">
        <f t="shared" si="25"/>
        <v>0.4</v>
      </c>
      <c r="L223" s="117">
        <f t="shared" si="25"/>
        <v>0.4</v>
      </c>
      <c r="M223" s="117">
        <f t="shared" si="25"/>
        <v>0.4</v>
      </c>
      <c r="N223" s="117">
        <f t="shared" si="25"/>
        <v>0.4</v>
      </c>
      <c r="O223" s="117">
        <f t="shared" si="25"/>
        <v>0.4</v>
      </c>
      <c r="P223" s="117">
        <f t="shared" si="25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24"/>
        <v>0</v>
      </c>
      <c r="C224" s="117">
        <v>1.5</v>
      </c>
      <c r="D224" s="117">
        <f t="shared" si="25"/>
        <v>1.5</v>
      </c>
      <c r="E224" s="117">
        <f t="shared" si="25"/>
        <v>1.5</v>
      </c>
      <c r="F224" s="117">
        <f t="shared" si="25"/>
        <v>1.5</v>
      </c>
      <c r="G224" s="117">
        <f t="shared" si="25"/>
        <v>1.5</v>
      </c>
      <c r="H224" s="117">
        <f t="shared" si="25"/>
        <v>1.5</v>
      </c>
      <c r="I224" s="117">
        <f t="shared" si="25"/>
        <v>1.5</v>
      </c>
      <c r="J224" s="117">
        <f t="shared" si="25"/>
        <v>1.5</v>
      </c>
      <c r="K224" s="117">
        <f t="shared" si="25"/>
        <v>1.5</v>
      </c>
      <c r="L224" s="117">
        <f t="shared" si="25"/>
        <v>1.5</v>
      </c>
      <c r="M224" s="117">
        <f t="shared" si="25"/>
        <v>1.5</v>
      </c>
      <c r="N224" s="117">
        <f t="shared" si="25"/>
        <v>1.5</v>
      </c>
      <c r="O224" s="117">
        <f t="shared" si="25"/>
        <v>1.5</v>
      </c>
      <c r="P224" s="117">
        <f t="shared" si="25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24"/>
        <v>0</v>
      </c>
      <c r="C225" s="117">
        <v>0.3</v>
      </c>
      <c r="D225" s="117">
        <f t="shared" si="25"/>
        <v>0.3</v>
      </c>
      <c r="E225" s="117">
        <f t="shared" si="25"/>
        <v>0.3</v>
      </c>
      <c r="F225" s="117">
        <f t="shared" si="25"/>
        <v>0.3</v>
      </c>
      <c r="G225" s="117">
        <f t="shared" si="25"/>
        <v>0.3</v>
      </c>
      <c r="H225" s="117">
        <f t="shared" si="25"/>
        <v>0.3</v>
      </c>
      <c r="I225" s="117">
        <f t="shared" si="25"/>
        <v>0.3</v>
      </c>
      <c r="J225" s="117">
        <f t="shared" si="25"/>
        <v>0.3</v>
      </c>
      <c r="K225" s="117">
        <f t="shared" si="25"/>
        <v>0.3</v>
      </c>
      <c r="L225" s="117">
        <f t="shared" si="25"/>
        <v>0.3</v>
      </c>
      <c r="M225" s="117">
        <f t="shared" si="25"/>
        <v>0.3</v>
      </c>
      <c r="N225" s="117">
        <f t="shared" si="25"/>
        <v>0.3</v>
      </c>
      <c r="O225" s="117">
        <f t="shared" si="25"/>
        <v>0.3</v>
      </c>
      <c r="P225" s="117">
        <f t="shared" si="25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24"/>
        <v>0</v>
      </c>
      <c r="C226" s="117">
        <v>0.4</v>
      </c>
      <c r="D226" s="117">
        <f t="shared" si="25"/>
        <v>0.4</v>
      </c>
      <c r="E226" s="117">
        <f t="shared" si="25"/>
        <v>0.4</v>
      </c>
      <c r="F226" s="117">
        <f t="shared" si="25"/>
        <v>0.4</v>
      </c>
      <c r="G226" s="117">
        <f t="shared" si="25"/>
        <v>0.4</v>
      </c>
      <c r="H226" s="117">
        <f t="shared" si="25"/>
        <v>0.4</v>
      </c>
      <c r="I226" s="117">
        <f t="shared" si="25"/>
        <v>0.4</v>
      </c>
      <c r="J226" s="117">
        <f t="shared" si="25"/>
        <v>0.4</v>
      </c>
      <c r="K226" s="117">
        <f t="shared" si="25"/>
        <v>0.4</v>
      </c>
      <c r="L226" s="117">
        <f t="shared" si="25"/>
        <v>0.4</v>
      </c>
      <c r="M226" s="117">
        <f t="shared" si="25"/>
        <v>0.4</v>
      </c>
      <c r="N226" s="117">
        <f t="shared" si="25"/>
        <v>0.4</v>
      </c>
      <c r="O226" s="117">
        <f t="shared" si="25"/>
        <v>0.4</v>
      </c>
      <c r="P226" s="117">
        <f t="shared" si="25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24"/>
        <v>0</v>
      </c>
      <c r="C227" s="121">
        <v>0.64</v>
      </c>
      <c r="D227" s="121">
        <f t="shared" si="25"/>
        <v>0.64</v>
      </c>
      <c r="E227" s="121">
        <f t="shared" si="25"/>
        <v>0.64</v>
      </c>
      <c r="F227" s="121">
        <f t="shared" si="25"/>
        <v>0.64</v>
      </c>
      <c r="G227" s="121">
        <f t="shared" si="25"/>
        <v>0.64</v>
      </c>
      <c r="H227" s="121">
        <f t="shared" si="25"/>
        <v>0.64</v>
      </c>
      <c r="I227" s="121">
        <f t="shared" si="25"/>
        <v>0.64</v>
      </c>
      <c r="J227" s="121">
        <f t="shared" si="25"/>
        <v>0.64</v>
      </c>
      <c r="K227" s="121">
        <f t="shared" si="25"/>
        <v>0.64</v>
      </c>
      <c r="L227" s="121">
        <f t="shared" si="25"/>
        <v>0.64</v>
      </c>
      <c r="M227" s="121">
        <f t="shared" si="25"/>
        <v>0.64</v>
      </c>
      <c r="N227" s="121">
        <f t="shared" si="25"/>
        <v>0.64</v>
      </c>
      <c r="O227" s="121">
        <f t="shared" si="25"/>
        <v>0.64</v>
      </c>
      <c r="P227" s="121">
        <f t="shared" si="25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6">SUM(B222:B227)</f>
        <v>0</v>
      </c>
      <c r="C228" s="125">
        <f t="shared" si="26"/>
        <v>3.54</v>
      </c>
      <c r="D228" s="125">
        <f t="shared" si="26"/>
        <v>3.54</v>
      </c>
      <c r="E228" s="125">
        <f t="shared" si="26"/>
        <v>3.54</v>
      </c>
      <c r="F228" s="125">
        <f t="shared" si="26"/>
        <v>3.54</v>
      </c>
      <c r="G228" s="125">
        <f t="shared" si="26"/>
        <v>3.54</v>
      </c>
      <c r="H228" s="125">
        <f t="shared" si="26"/>
        <v>3.54</v>
      </c>
      <c r="I228" s="125">
        <f t="shared" si="26"/>
        <v>3.54</v>
      </c>
      <c r="J228" s="125">
        <f t="shared" si="26"/>
        <v>3.54</v>
      </c>
      <c r="K228" s="125">
        <f t="shared" si="26"/>
        <v>3.54</v>
      </c>
      <c r="L228" s="125">
        <f t="shared" si="26"/>
        <v>3.54</v>
      </c>
      <c r="M228" s="125">
        <f t="shared" si="26"/>
        <v>3.54</v>
      </c>
      <c r="N228" s="125">
        <f t="shared" si="26"/>
        <v>3.54</v>
      </c>
      <c r="O228" s="125">
        <f t="shared" si="26"/>
        <v>3.54</v>
      </c>
      <c r="P228" s="125">
        <f t="shared" si="26"/>
        <v>3.54</v>
      </c>
      <c r="Q228" s="125">
        <f t="shared" si="26"/>
        <v>0</v>
      </c>
      <c r="R228" s="125">
        <f t="shared" si="26"/>
        <v>0</v>
      </c>
      <c r="S228" s="125">
        <f t="shared" si="26"/>
        <v>0</v>
      </c>
      <c r="T228" s="125">
        <f t="shared" si="26"/>
        <v>0</v>
      </c>
      <c r="U228" s="125">
        <f t="shared" si="26"/>
        <v>0</v>
      </c>
      <c r="V228" s="125">
        <f t="shared" si="26"/>
        <v>0</v>
      </c>
      <c r="W228" s="125">
        <f t="shared" si="26"/>
        <v>0</v>
      </c>
      <c r="X228" s="125">
        <f t="shared" si="26"/>
        <v>0</v>
      </c>
      <c r="Y228" s="125">
        <f t="shared" si="26"/>
        <v>0</v>
      </c>
      <c r="Z228" s="125">
        <f t="shared" si="26"/>
        <v>0</v>
      </c>
      <c r="AA228" s="125">
        <f t="shared" si="26"/>
        <v>0</v>
      </c>
      <c r="AB228" s="125">
        <f t="shared" si="26"/>
        <v>0</v>
      </c>
      <c r="AC228" s="125">
        <f t="shared" si="26"/>
        <v>0</v>
      </c>
      <c r="AD228" s="125">
        <f t="shared" si="26"/>
        <v>0</v>
      </c>
      <c r="AE228" s="125">
        <f t="shared" si="26"/>
        <v>0</v>
      </c>
      <c r="AF228" s="125">
        <f t="shared" si="26"/>
        <v>0</v>
      </c>
      <c r="AG228" s="134">
        <f t="shared" si="26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1568.4390000000001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3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2079/09/3)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2079/09/3)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7">B85</f>
        <v>937.53899999999999</v>
      </c>
      <c r="U242" s="159">
        <f t="shared" si="27"/>
        <v>931.1389999999999</v>
      </c>
      <c r="V242" s="159">
        <f t="shared" si="27"/>
        <v>877.53899999999999</v>
      </c>
      <c r="W242" s="159">
        <f t="shared" si="27"/>
        <v>889.93899999999996</v>
      </c>
      <c r="X242" s="159">
        <f t="shared" si="27"/>
        <v>882.73900000000003</v>
      </c>
      <c r="Y242" s="159">
        <f t="shared" si="27"/>
        <v>923.55899999999997</v>
      </c>
      <c r="Z242" s="159">
        <f t="shared" si="27"/>
        <v>1014.939</v>
      </c>
      <c r="AA242" s="159">
        <f t="shared" si="27"/>
        <v>1118.239</v>
      </c>
      <c r="AB242" s="159">
        <f t="shared" si="27"/>
        <v>1279.239</v>
      </c>
      <c r="AC242" s="159">
        <f t="shared" si="27"/>
        <v>1371.539</v>
      </c>
      <c r="AD242" s="159">
        <f t="shared" si="27"/>
        <v>1568.4389999999999</v>
      </c>
      <c r="AE242" s="159">
        <f t="shared" si="27"/>
        <v>1568.4390000000001</v>
      </c>
      <c r="AF242" s="159">
        <f t="shared" si="27"/>
        <v>1496.739</v>
      </c>
      <c r="AG242" s="159">
        <f t="shared" si="27"/>
        <v>1404.539</v>
      </c>
      <c r="AH242" s="159">
        <f t="shared" si="27"/>
        <v>1371.539</v>
      </c>
      <c r="AI242" s="159">
        <f t="shared" si="27"/>
        <v>1331.6390000000001</v>
      </c>
      <c r="AJ242" s="159">
        <f t="shared" si="27"/>
        <v>1287.039</v>
      </c>
      <c r="AK242" s="159">
        <f t="shared" si="27"/>
        <v>1184.5390000000002</v>
      </c>
      <c r="AL242" s="159">
        <f t="shared" si="27"/>
        <v>1230.039</v>
      </c>
      <c r="AM242" s="159">
        <f t="shared" si="27"/>
        <v>1251.039</v>
      </c>
      <c r="AN242" s="159">
        <f t="shared" si="27"/>
        <v>1172.739</v>
      </c>
      <c r="AO242" s="159">
        <f t="shared" si="27"/>
        <v>1558.5390000000002</v>
      </c>
      <c r="AP242" s="159">
        <f t="shared" si="27"/>
        <v>1507.739</v>
      </c>
      <c r="AQ242" s="159">
        <f t="shared" si="27"/>
        <v>1564.6390000000001</v>
      </c>
      <c r="AR242" s="159">
        <f t="shared" si="27"/>
        <v>1447.1390000000001</v>
      </c>
      <c r="AS242" s="159">
        <f t="shared" si="27"/>
        <v>1390.8390000000002</v>
      </c>
      <c r="AT242" s="159">
        <f t="shared" si="27"/>
        <v>1330.5790000000002</v>
      </c>
      <c r="AU242" s="159">
        <f t="shared" si="27"/>
        <v>1274.5390000000002</v>
      </c>
      <c r="AV242" s="159">
        <f t="shared" si="27"/>
        <v>1207.1390000000001</v>
      </c>
      <c r="AW242" s="159">
        <f t="shared" si="27"/>
        <v>1129.8389999999999</v>
      </c>
      <c r="AX242" s="159">
        <f t="shared" si="27"/>
        <v>1099.6390000000001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8">C227</f>
        <v>0.64</v>
      </c>
      <c r="C263" s="162">
        <f t="shared" si="28"/>
        <v>0.64</v>
      </c>
      <c r="D263" s="162">
        <f t="shared" si="28"/>
        <v>0.64</v>
      </c>
      <c r="E263" s="162">
        <f t="shared" si="28"/>
        <v>0.64</v>
      </c>
      <c r="F263" s="162">
        <f t="shared" si="28"/>
        <v>0.64</v>
      </c>
      <c r="G263" s="162">
        <f t="shared" si="28"/>
        <v>0.64</v>
      </c>
      <c r="H263" s="162">
        <f t="shared" si="28"/>
        <v>0.64</v>
      </c>
      <c r="I263" s="162">
        <f t="shared" si="28"/>
        <v>0.64</v>
      </c>
      <c r="J263" s="162">
        <f t="shared" si="28"/>
        <v>0.64</v>
      </c>
      <c r="K263" s="162">
        <f t="shared" si="28"/>
        <v>0.64</v>
      </c>
      <c r="L263" s="162">
        <f t="shared" si="28"/>
        <v>0.64</v>
      </c>
      <c r="M263" s="162">
        <f t="shared" si="28"/>
        <v>0.64</v>
      </c>
      <c r="N263" s="162">
        <f t="shared" si="28"/>
        <v>0.64</v>
      </c>
      <c r="O263" s="162">
        <f t="shared" si="28"/>
        <v>0.64</v>
      </c>
      <c r="P263" s="162">
        <f t="shared" si="28"/>
        <v>0</v>
      </c>
      <c r="Q263" s="162">
        <f t="shared" si="28"/>
        <v>0</v>
      </c>
      <c r="R263" s="162">
        <f t="shared" si="28"/>
        <v>0</v>
      </c>
      <c r="S263" s="162">
        <f t="shared" si="28"/>
        <v>0</v>
      </c>
      <c r="T263" s="162">
        <f t="shared" si="28"/>
        <v>0</v>
      </c>
      <c r="U263" s="162">
        <f t="shared" si="28"/>
        <v>0</v>
      </c>
      <c r="V263" s="162">
        <f t="shared" si="28"/>
        <v>0</v>
      </c>
      <c r="W263" s="162">
        <f t="shared" si="28"/>
        <v>0</v>
      </c>
      <c r="X263" s="162">
        <f t="shared" si="28"/>
        <v>0</v>
      </c>
      <c r="Y263" s="162">
        <f t="shared" si="28"/>
        <v>0</v>
      </c>
      <c r="Z263" s="162">
        <f t="shared" si="28"/>
        <v>0</v>
      </c>
      <c r="AA263" s="162">
        <f t="shared" si="28"/>
        <v>0</v>
      </c>
      <c r="AB263" s="162">
        <f t="shared" si="28"/>
        <v>0</v>
      </c>
      <c r="AC263" s="162">
        <f t="shared" si="28"/>
        <v>0</v>
      </c>
      <c r="AD263" s="162">
        <f t="shared" si="28"/>
        <v>0</v>
      </c>
      <c r="AE263" s="162">
        <f t="shared" si="28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9">IF(B231&lt;100,"",B231-520)</f>
        <v/>
      </c>
      <c r="C264" s="163" t="str">
        <f t="shared" si="29"/>
        <v/>
      </c>
      <c r="D264" s="163" t="str">
        <f t="shared" si="29"/>
        <v/>
      </c>
      <c r="E264" s="163" t="str">
        <f t="shared" si="29"/>
        <v/>
      </c>
      <c r="F264" s="163" t="str">
        <f t="shared" si="29"/>
        <v/>
      </c>
      <c r="G264" s="163" t="str">
        <f t="shared" si="29"/>
        <v/>
      </c>
      <c r="H264" s="163" t="str">
        <f t="shared" si="29"/>
        <v/>
      </c>
      <c r="I264" s="163" t="str">
        <f t="shared" si="29"/>
        <v/>
      </c>
      <c r="J264" s="163" t="str">
        <f t="shared" si="29"/>
        <v/>
      </c>
      <c r="K264" s="163" t="str">
        <f t="shared" si="29"/>
        <v/>
      </c>
      <c r="L264" s="163" t="str">
        <f t="shared" si="29"/>
        <v/>
      </c>
      <c r="M264" s="163" t="str">
        <f t="shared" si="29"/>
        <v/>
      </c>
      <c r="N264" s="163" t="str">
        <f t="shared" si="29"/>
        <v/>
      </c>
      <c r="O264" s="163" t="str">
        <f t="shared" si="29"/>
        <v/>
      </c>
      <c r="P264" s="163" t="str">
        <f t="shared" si="29"/>
        <v/>
      </c>
      <c r="Q264" s="163" t="str">
        <f t="shared" si="29"/>
        <v/>
      </c>
      <c r="R264" s="163" t="str">
        <f t="shared" si="29"/>
        <v/>
      </c>
      <c r="S264" s="163" t="str">
        <f t="shared" si="29"/>
        <v/>
      </c>
      <c r="T264" s="163" t="str">
        <f t="shared" si="29"/>
        <v/>
      </c>
      <c r="U264" s="163" t="str">
        <f t="shared" si="29"/>
        <v/>
      </c>
      <c r="V264" s="163" t="str">
        <f t="shared" si="29"/>
        <v/>
      </c>
      <c r="W264" s="163" t="str">
        <f t="shared" si="29"/>
        <v/>
      </c>
      <c r="X264" s="163" t="str">
        <f t="shared" si="29"/>
        <v/>
      </c>
      <c r="Y264" s="163" t="str">
        <f t="shared" si="29"/>
        <v/>
      </c>
      <c r="Z264" s="163" t="str">
        <f t="shared" si="29"/>
        <v/>
      </c>
      <c r="AA264" s="163" t="str">
        <f t="shared" si="29"/>
        <v/>
      </c>
      <c r="AB264" s="163" t="str">
        <f t="shared" si="29"/>
        <v/>
      </c>
      <c r="AC264" s="163" t="str">
        <f t="shared" si="29"/>
        <v/>
      </c>
      <c r="AD264" s="163" t="str">
        <f t="shared" si="29"/>
        <v/>
      </c>
      <c r="AE264" s="163" t="str">
        <f t="shared" si="29"/>
        <v/>
      </c>
      <c r="AF264" s="163" t="str">
        <f t="shared" si="29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0">IF(B232&lt;100,"",B232-620)</f>
        <v/>
      </c>
      <c r="C265" s="163" t="str">
        <f t="shared" si="30"/>
        <v/>
      </c>
      <c r="D265" s="163" t="str">
        <f t="shared" si="30"/>
        <v/>
      </c>
      <c r="E265" s="163" t="str">
        <f t="shared" si="30"/>
        <v/>
      </c>
      <c r="F265" s="163" t="str">
        <f t="shared" si="30"/>
        <v/>
      </c>
      <c r="G265" s="163" t="str">
        <f t="shared" si="30"/>
        <v/>
      </c>
      <c r="H265" s="163" t="str">
        <f t="shared" si="30"/>
        <v/>
      </c>
      <c r="I265" s="163" t="str">
        <f t="shared" si="30"/>
        <v/>
      </c>
      <c r="J265" s="163" t="str">
        <f t="shared" si="30"/>
        <v/>
      </c>
      <c r="K265" s="163" t="str">
        <f t="shared" si="30"/>
        <v/>
      </c>
      <c r="L265" s="163" t="str">
        <f t="shared" si="30"/>
        <v/>
      </c>
      <c r="M265" s="163" t="str">
        <f t="shared" si="30"/>
        <v/>
      </c>
      <c r="N265" s="163" t="str">
        <f t="shared" si="30"/>
        <v/>
      </c>
      <c r="O265" s="163" t="str">
        <f t="shared" si="30"/>
        <v/>
      </c>
      <c r="P265" s="163" t="str">
        <f t="shared" si="30"/>
        <v/>
      </c>
      <c r="Q265" s="163" t="str">
        <f t="shared" si="30"/>
        <v/>
      </c>
      <c r="R265" s="163" t="str">
        <f t="shared" si="30"/>
        <v/>
      </c>
      <c r="S265" s="163" t="str">
        <f t="shared" si="30"/>
        <v/>
      </c>
      <c r="T265" s="163" t="str">
        <f t="shared" si="30"/>
        <v/>
      </c>
      <c r="U265" s="163" t="str">
        <f t="shared" si="30"/>
        <v/>
      </c>
      <c r="V265" s="163" t="str">
        <f t="shared" si="30"/>
        <v/>
      </c>
      <c r="W265" s="163" t="str">
        <f t="shared" si="30"/>
        <v/>
      </c>
      <c r="X265" s="163" t="str">
        <f t="shared" si="30"/>
        <v/>
      </c>
      <c r="Y265" s="163" t="str">
        <f t="shared" si="30"/>
        <v/>
      </c>
      <c r="Z265" s="163" t="str">
        <f t="shared" si="30"/>
        <v/>
      </c>
      <c r="AA265" s="163" t="str">
        <f t="shared" si="30"/>
        <v/>
      </c>
      <c r="AB265" s="163" t="str">
        <f t="shared" si="30"/>
        <v/>
      </c>
      <c r="AC265" s="163" t="str">
        <f t="shared" si="30"/>
        <v/>
      </c>
      <c r="AD265" s="163" t="str">
        <f t="shared" si="30"/>
        <v/>
      </c>
      <c r="AE265" s="163" t="str">
        <f t="shared" si="30"/>
        <v/>
      </c>
      <c r="AF265" s="163" t="str">
        <f t="shared" si="30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1">IF(B233&lt;100,"",B233-330)</f>
        <v/>
      </c>
      <c r="C266" s="163" t="str">
        <f t="shared" si="31"/>
        <v/>
      </c>
      <c r="D266" s="163" t="str">
        <f t="shared" si="31"/>
        <v/>
      </c>
      <c r="E266" s="163" t="str">
        <f t="shared" si="31"/>
        <v/>
      </c>
      <c r="F266" s="163" t="str">
        <f t="shared" si="31"/>
        <v/>
      </c>
      <c r="G266" s="163" t="str">
        <f t="shared" si="31"/>
        <v/>
      </c>
      <c r="H266" s="163" t="str">
        <f t="shared" si="31"/>
        <v/>
      </c>
      <c r="I266" s="163" t="str">
        <f t="shared" si="31"/>
        <v/>
      </c>
      <c r="J266" s="163" t="str">
        <f t="shared" si="31"/>
        <v/>
      </c>
      <c r="K266" s="163" t="str">
        <f t="shared" si="31"/>
        <v/>
      </c>
      <c r="L266" s="163" t="str">
        <f t="shared" si="31"/>
        <v/>
      </c>
      <c r="M266" s="163" t="str">
        <f t="shared" si="31"/>
        <v/>
      </c>
      <c r="N266" s="163" t="str">
        <f t="shared" si="31"/>
        <v/>
      </c>
      <c r="O266" s="163" t="str">
        <f t="shared" si="31"/>
        <v/>
      </c>
      <c r="P266" s="163" t="str">
        <f t="shared" si="31"/>
        <v/>
      </c>
      <c r="Q266" s="163" t="str">
        <f t="shared" si="31"/>
        <v/>
      </c>
      <c r="R266" s="163" t="str">
        <f t="shared" si="31"/>
        <v/>
      </c>
      <c r="S266" s="163" t="str">
        <f t="shared" si="31"/>
        <v/>
      </c>
      <c r="T266" s="163" t="str">
        <f t="shared" si="31"/>
        <v/>
      </c>
      <c r="U266" s="163" t="str">
        <f t="shared" si="31"/>
        <v/>
      </c>
      <c r="V266" s="163" t="str">
        <f t="shared" si="31"/>
        <v/>
      </c>
      <c r="W266" s="163" t="str">
        <f t="shared" si="31"/>
        <v/>
      </c>
      <c r="X266" s="163" t="str">
        <f t="shared" si="31"/>
        <v/>
      </c>
      <c r="Y266" s="163" t="str">
        <f t="shared" si="31"/>
        <v/>
      </c>
      <c r="Z266" s="163" t="str">
        <f t="shared" si="31"/>
        <v/>
      </c>
      <c r="AA266" s="163" t="str">
        <f t="shared" si="31"/>
        <v/>
      </c>
      <c r="AB266" s="163" t="str">
        <f t="shared" si="31"/>
        <v/>
      </c>
      <c r="AC266" s="163" t="str">
        <f t="shared" si="31"/>
        <v/>
      </c>
      <c r="AD266" s="163" t="str">
        <f t="shared" si="31"/>
        <v/>
      </c>
      <c r="AE266" s="163" t="str">
        <f t="shared" si="31"/>
        <v/>
      </c>
      <c r="AF266" s="163" t="str">
        <f t="shared" si="31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2">IF(B234&lt;100,"",B234-1500)</f>
        <v/>
      </c>
      <c r="C267" s="163" t="str">
        <f t="shared" si="32"/>
        <v/>
      </c>
      <c r="D267" s="163" t="str">
        <f t="shared" si="32"/>
        <v/>
      </c>
      <c r="E267" s="163" t="str">
        <f t="shared" si="32"/>
        <v/>
      </c>
      <c r="F267" s="163" t="str">
        <f t="shared" si="32"/>
        <v/>
      </c>
      <c r="G267" s="163" t="str">
        <f t="shared" si="32"/>
        <v/>
      </c>
      <c r="H267" s="163" t="str">
        <f t="shared" si="32"/>
        <v/>
      </c>
      <c r="I267" s="163" t="str">
        <f t="shared" si="32"/>
        <v/>
      </c>
      <c r="J267" s="163" t="str">
        <f t="shared" si="32"/>
        <v/>
      </c>
      <c r="K267" s="163" t="str">
        <f t="shared" si="32"/>
        <v/>
      </c>
      <c r="L267" s="163" t="str">
        <f t="shared" si="32"/>
        <v/>
      </c>
      <c r="M267" s="163" t="str">
        <f t="shared" si="32"/>
        <v/>
      </c>
      <c r="N267" s="163" t="str">
        <f t="shared" si="32"/>
        <v/>
      </c>
      <c r="O267" s="163" t="str">
        <f t="shared" si="32"/>
        <v/>
      </c>
      <c r="P267" s="163" t="str">
        <f t="shared" si="32"/>
        <v/>
      </c>
      <c r="Q267" s="163" t="str">
        <f t="shared" si="32"/>
        <v/>
      </c>
      <c r="R267" s="163" t="str">
        <f t="shared" si="32"/>
        <v/>
      </c>
      <c r="S267" s="163" t="str">
        <f t="shared" si="32"/>
        <v/>
      </c>
      <c r="T267" s="163" t="str">
        <f t="shared" si="32"/>
        <v/>
      </c>
      <c r="U267" s="163" t="str">
        <f t="shared" si="32"/>
        <v/>
      </c>
      <c r="V267" s="163" t="str">
        <f t="shared" si="32"/>
        <v/>
      </c>
      <c r="W267" s="163" t="str">
        <f t="shared" si="32"/>
        <v/>
      </c>
      <c r="X267" s="163" t="str">
        <f t="shared" si="32"/>
        <v/>
      </c>
      <c r="Y267" s="163" t="str">
        <f t="shared" si="32"/>
        <v/>
      </c>
      <c r="Z267" s="163" t="str">
        <f t="shared" si="32"/>
        <v/>
      </c>
      <c r="AA267" s="163" t="str">
        <f t="shared" si="32"/>
        <v/>
      </c>
      <c r="AB267" s="163" t="str">
        <f t="shared" si="32"/>
        <v/>
      </c>
      <c r="AC267" s="163" t="str">
        <f t="shared" si="32"/>
        <v/>
      </c>
      <c r="AD267" s="163" t="str">
        <f t="shared" si="32"/>
        <v/>
      </c>
      <c r="AE267" s="163" t="str">
        <f t="shared" si="32"/>
        <v/>
      </c>
      <c r="AF267" s="163" t="str">
        <f t="shared" si="32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1727" priority="107">
      <formula>$AH11=0</formula>
    </cfRule>
  </conditionalFormatting>
  <conditionalFormatting sqref="B8 M8 S8 AB8">
    <cfRule type="expression" dxfId="1726" priority="309">
      <formula>AND(C$9&gt;=14/24,C$9&lt;20/24)</formula>
    </cfRule>
    <cfRule type="expression" dxfId="1725" priority="310">
      <formula>AND(C$9&gt;=8/24,C$9&lt;14/24)</formula>
    </cfRule>
    <cfRule type="expression" dxfId="1724" priority="311">
      <formula>C$9&lt;8/24</formula>
    </cfRule>
  </conditionalFormatting>
  <conditionalFormatting sqref="B49:I51">
    <cfRule type="expression" dxfId="1723" priority="212">
      <formula>AND(B$9&gt;=8/24,B$9&lt;14/24)</formula>
    </cfRule>
    <cfRule type="expression" dxfId="1722" priority="210">
      <formula>B$9&gt;=20/24</formula>
    </cfRule>
    <cfRule type="expression" dxfId="1721" priority="211">
      <formula>AND(B$9&gt;=14/24,B$9&lt;20/24)</formula>
    </cfRule>
    <cfRule type="expression" dxfId="1720" priority="213">
      <formula>B$9&lt;8/24</formula>
    </cfRule>
  </conditionalFormatting>
  <conditionalFormatting sqref="B54:U60 AA56:AF60">
    <cfRule type="expression" dxfId="1719" priority="183">
      <formula>B$9&gt;=20/24</formula>
    </cfRule>
    <cfRule type="expression" dxfId="1718" priority="184">
      <formula>AND(B$9&gt;=14/24,B$9&lt;20/24)</formula>
    </cfRule>
    <cfRule type="expression" dxfId="1717" priority="185">
      <formula>AND(B$9&gt;=8/24,B$9&lt;14/24)</formula>
    </cfRule>
    <cfRule type="expression" dxfId="1716" priority="186">
      <formula>B$9&lt;8/24</formula>
    </cfRule>
  </conditionalFormatting>
  <conditionalFormatting sqref="B11:X11">
    <cfRule type="expression" dxfId="1715" priority="230">
      <formula>B$9&lt;8/24</formula>
    </cfRule>
    <cfRule type="expression" dxfId="1714" priority="229">
      <formula>AND(B$9&gt;=8/24,B$9&lt;14/24)</formula>
    </cfRule>
    <cfRule type="expression" dxfId="1713" priority="227">
      <formula>B$9&gt;=20/24</formula>
    </cfRule>
    <cfRule type="expression" dxfId="1712" priority="228">
      <formula>AND(B$9&gt;=14/24,B$9&lt;20/24)</formula>
    </cfRule>
  </conditionalFormatting>
  <conditionalFormatting sqref="B11:X20">
    <cfRule type="expression" dxfId="1711" priority="118">
      <formula>B11&gt;$AG11</formula>
    </cfRule>
  </conditionalFormatting>
  <conditionalFormatting sqref="B15:X15 B17:X18 B9:AF10 B220:AF220 B222:B228 D222:AF228 U241:AF241">
    <cfRule type="expression" dxfId="1710" priority="302">
      <formula>B$9&gt;=20/24</formula>
    </cfRule>
  </conditionalFormatting>
  <conditionalFormatting sqref="B9:AF10 B15:X15 B17:X18 B220:AF220 B222:B228 D222:AF228 U241:AF241">
    <cfRule type="expression" dxfId="1709" priority="303">
      <formula>AND(B$9&gt;=14/24,B$9&lt;20/24)</formula>
    </cfRule>
    <cfRule type="expression" dxfId="1708" priority="304">
      <formula>AND(B$9&gt;=8/24,B$9&lt;14/24)</formula>
    </cfRule>
    <cfRule type="expression" dxfId="1707" priority="305">
      <formula>B$9&lt;8/24</formula>
    </cfRule>
  </conditionalFormatting>
  <conditionalFormatting sqref="B12:AF14 B30:AF31 B33:AF33">
    <cfRule type="expression" dxfId="1706" priority="60">
      <formula>AND(B$9&gt;=8/24,B$9&lt;14/24)</formula>
    </cfRule>
    <cfRule type="expression" dxfId="1705" priority="59">
      <formula>AND(B$9&gt;=14/24,B$9&lt;20/24)</formula>
    </cfRule>
    <cfRule type="expression" dxfId="1704" priority="61">
      <formula>B$9&lt;8/24</formula>
    </cfRule>
  </conditionalFormatting>
  <conditionalFormatting sqref="B16:AF16">
    <cfRule type="expression" dxfId="1703" priority="46">
      <formula>AND(B$9&gt;=14/24,B$9&lt;20/24)</formula>
    </cfRule>
    <cfRule type="expression" dxfId="1702" priority="47">
      <formula>AND(B$9&gt;=8/24,B$9&lt;14/24)</formula>
    </cfRule>
    <cfRule type="expression" dxfId="1701" priority="48">
      <formula>B$9&lt;8/24</formula>
    </cfRule>
    <cfRule type="expression" dxfId="1700" priority="45">
      <formula>B$9&gt;=20/24</formula>
    </cfRule>
  </conditionalFormatting>
  <conditionalFormatting sqref="B19:AF19">
    <cfRule type="expression" dxfId="1699" priority="27">
      <formula>AND(B$9&gt;=14/24,B$9&lt;20/24)</formula>
    </cfRule>
    <cfRule type="expression" dxfId="1698" priority="29">
      <formula>B$9&lt;8/24</formula>
    </cfRule>
    <cfRule type="expression" dxfId="1697" priority="28">
      <formula>AND(B$9&gt;=8/24,B$9&lt;14/24)</formula>
    </cfRule>
    <cfRule type="expression" dxfId="1696" priority="26">
      <formula>B$9&gt;=20/24</formula>
    </cfRule>
  </conditionalFormatting>
  <conditionalFormatting sqref="B20:AF29">
    <cfRule type="expression" dxfId="1695" priority="34">
      <formula>AND(B$9&gt;=8/24,B$9&lt;14/24)</formula>
    </cfRule>
    <cfRule type="expression" dxfId="1694" priority="35">
      <formula>B$9&lt;8/24</formula>
    </cfRule>
    <cfRule type="expression" dxfId="1693" priority="33">
      <formula>AND(B$9&gt;=14/24,B$9&lt;20/24)</formula>
    </cfRule>
    <cfRule type="expression" dxfId="1692" priority="32">
      <formula>B$9&gt;=20/24</formula>
    </cfRule>
  </conditionalFormatting>
  <conditionalFormatting sqref="B21:AF29">
    <cfRule type="expression" dxfId="1691" priority="31">
      <formula>B21&gt;$AG21</formula>
    </cfRule>
  </conditionalFormatting>
  <conditionalFormatting sqref="B30:AF31 B33:AF33 B12:AF14">
    <cfRule type="expression" dxfId="1690" priority="58">
      <formula>B$9&gt;=20/24</formula>
    </cfRule>
  </conditionalFormatting>
  <conditionalFormatting sqref="B30:AF33">
    <cfRule type="expression" dxfId="1689" priority="53">
      <formula>B30&gt;$AG30</formula>
    </cfRule>
  </conditionalFormatting>
  <conditionalFormatting sqref="B32:AF32">
    <cfRule type="expression" dxfId="1688" priority="39">
      <formula>B$9&lt;8/24</formula>
    </cfRule>
    <cfRule type="expression" dxfId="1687" priority="38">
      <formula>AND(B$9&gt;=8/24,B$9&lt;14/24)</formula>
    </cfRule>
    <cfRule type="expression" dxfId="1686" priority="37">
      <formula>AND(B$9&gt;=14/24,B$9&lt;20/24)</formula>
    </cfRule>
    <cfRule type="expression" dxfId="1685" priority="36">
      <formula>B$9&gt;=20/24</formula>
    </cfRule>
  </conditionalFormatting>
  <conditionalFormatting sqref="B34:AF40">
    <cfRule type="expression" dxfId="1684" priority="21">
      <formula>B34&gt;$AG34</formula>
    </cfRule>
  </conditionalFormatting>
  <conditionalFormatting sqref="B34:AF41">
    <cfRule type="expression" dxfId="1683" priority="25">
      <formula>B$9&lt;8/24</formula>
    </cfRule>
    <cfRule type="expression" dxfId="1682" priority="24">
      <formula>AND(B$9&gt;=8/24,B$9&lt;14/24)</formula>
    </cfRule>
    <cfRule type="expression" dxfId="1681" priority="23">
      <formula>AND(B$9&gt;=14/24,B$9&lt;20/24)</formula>
    </cfRule>
    <cfRule type="expression" dxfId="1680" priority="22">
      <formula>B$9&gt;=20/24</formula>
    </cfRule>
  </conditionalFormatting>
  <conditionalFormatting sqref="B41:AF43">
    <cfRule type="expression" dxfId="1679" priority="62">
      <formula>B41&gt;$AG41</formula>
    </cfRule>
  </conditionalFormatting>
  <conditionalFormatting sqref="B42:AF43">
    <cfRule type="expression" dxfId="1678" priority="63">
      <formula>B$9&gt;=20/24</formula>
    </cfRule>
    <cfRule type="expression" dxfId="1677" priority="65">
      <formula>AND(B$9&gt;=8/24,B$9&lt;14/24)</formula>
    </cfRule>
    <cfRule type="expression" dxfId="1676" priority="66">
      <formula>B$9&lt;8/24</formula>
    </cfRule>
    <cfRule type="expression" dxfId="1675" priority="64">
      <formula>AND(B$9&gt;=14/24,B$9&lt;20/24)</formula>
    </cfRule>
  </conditionalFormatting>
  <conditionalFormatting sqref="B67:AF78">
    <cfRule type="expression" dxfId="1674" priority="9">
      <formula>B$9&gt;=20/24</formula>
    </cfRule>
    <cfRule type="expression" dxfId="1673" priority="10">
      <formula>AND(B$9&gt;=14/24,B$9&lt;20/24)</formula>
    </cfRule>
    <cfRule type="expression" dxfId="1672" priority="12">
      <formula>B$9&lt;8/24</formula>
    </cfRule>
    <cfRule type="expression" dxfId="1671" priority="11">
      <formula>AND(B$9&gt;=8/24,B$9&lt;14/24)</formula>
    </cfRule>
  </conditionalFormatting>
  <conditionalFormatting sqref="B87:AF103">
    <cfRule type="expression" dxfId="1666" priority="2">
      <formula>AND(B$9&gt;=14/24,B$9&lt;20/24)</formula>
    </cfRule>
    <cfRule type="expression" dxfId="1665" priority="3">
      <formula>AND(B$9&gt;=8/24,B$9&lt;14/24)</formula>
    </cfRule>
    <cfRule type="expression" dxfId="1664" priority="4">
      <formula>B$9&lt;8/24</formula>
    </cfRule>
    <cfRule type="expression" dxfId="1663" priority="1">
      <formula>B$9&gt;=20/24</formula>
    </cfRule>
  </conditionalFormatting>
  <conditionalFormatting sqref="B105:AF112">
    <cfRule type="expression" dxfId="1662" priority="123">
      <formula>B$9&lt;8/24</formula>
    </cfRule>
    <cfRule type="expression" dxfId="1661" priority="122">
      <formula>AND(B$9&gt;=8/24,B$9&lt;14/24)</formula>
    </cfRule>
    <cfRule type="expression" dxfId="1660" priority="121">
      <formula>AND(B$9&gt;=14/24,B$9&lt;20/24)</formula>
    </cfRule>
    <cfRule type="expression" dxfId="1659" priority="120">
      <formula>B$9&gt;=20/24</formula>
    </cfRule>
  </conditionalFormatting>
  <conditionalFormatting sqref="B44:AG44 B49:I53 J53:U53 B61:B66 C63:AF65 C66:AG66">
    <cfRule type="expression" dxfId="1654" priority="200">
      <formula>B44&gt;$AG44</formula>
    </cfRule>
  </conditionalFormatting>
  <conditionalFormatting sqref="C45:AF47 B45:B48 C48:AG48">
    <cfRule type="expression" dxfId="1653" priority="158">
      <formula>B$9&lt;8/24</formula>
    </cfRule>
    <cfRule type="expression" dxfId="1652" priority="154">
      <formula>B45&gt;$AG45</formula>
    </cfRule>
    <cfRule type="expression" dxfId="1651" priority="156">
      <formula>AND(B$9&gt;=14/24,B$9&lt;20/24)</formula>
    </cfRule>
    <cfRule type="expression" dxfId="1650" priority="157">
      <formula>AND(B$9&gt;=8/24,B$9&lt;14/24)</formula>
    </cfRule>
    <cfRule type="expression" dxfId="1649" priority="155">
      <formula>B$9&gt;=20/24</formula>
    </cfRule>
  </conditionalFormatting>
  <conditionalFormatting sqref="C63:AF65 B63:B66 C66:AG66 B79:B83 C83:AG83 B84:AF85">
    <cfRule type="expression" dxfId="1648" priority="205">
      <formula>B$9&gt;=20/24</formula>
    </cfRule>
    <cfRule type="expression" dxfId="1647" priority="206">
      <formula>AND(B$9&gt;=14/24,B$9&lt;20/24)</formula>
    </cfRule>
    <cfRule type="expression" dxfId="1646" priority="207">
      <formula>AND(B$9&gt;=8/24,B$9&lt;14/24)</formula>
    </cfRule>
    <cfRule type="expression" dxfId="1645" priority="208">
      <formula>B$9&lt;8/24</formula>
    </cfRule>
  </conditionalFormatting>
  <conditionalFormatting sqref="C79:AF82">
    <cfRule type="expression" dxfId="1644" priority="259">
      <formula>C$9&gt;=20/24</formula>
    </cfRule>
    <cfRule type="expression" dxfId="1643" priority="262">
      <formula>C$9&lt;8/24</formula>
    </cfRule>
    <cfRule type="expression" dxfId="1642" priority="260">
      <formula>AND(C$9&gt;=14/24,C$9&lt;20/24)</formula>
    </cfRule>
    <cfRule type="expression" dxfId="1641" priority="261">
      <formula>AND(C$9&gt;=8/24,C$9&lt;14/24)</formula>
    </cfRule>
  </conditionalFormatting>
  <conditionalFormatting sqref="C61:AG62">
    <cfRule type="expression" dxfId="1640" priority="87">
      <formula>C61&gt;$AG61</formula>
    </cfRule>
  </conditionalFormatting>
  <conditionalFormatting sqref="J49:Q51 AA49:AF51">
    <cfRule type="expression" dxfId="1639" priority="267">
      <formula>J$9&lt;8/24</formula>
    </cfRule>
    <cfRule type="expression" dxfId="1638" priority="265">
      <formula>AND(J$9&gt;=14/24,J$9&lt;20/24)</formula>
    </cfRule>
    <cfRule type="expression" dxfId="1637" priority="264">
      <formula>J$9&gt;=20/24</formula>
    </cfRule>
    <cfRule type="expression" dxfId="1636" priority="266">
      <formula>AND(J$9&gt;=8/24,J$9&lt;14/24)</formula>
    </cfRule>
  </conditionalFormatting>
  <conditionalFormatting sqref="J49:Q52">
    <cfRule type="expression" dxfId="1635" priority="254">
      <formula>J49&gt;$AG49</formula>
    </cfRule>
  </conditionalFormatting>
  <conditionalFormatting sqref="O3:P3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R52:U52 AA52:AA55 AB54:AF55">
    <cfRule type="expression" dxfId="1634" priority="235">
      <formula>R$9&lt;8/24</formula>
    </cfRule>
    <cfRule type="expression" dxfId="1633" priority="232">
      <formula>R$9&gt;=20/24</formula>
    </cfRule>
    <cfRule type="expression" dxfId="1632" priority="233">
      <formula>AND(R$9&gt;=14/24,R$9&lt;20/24)</formula>
    </cfRule>
    <cfRule type="expression" dxfId="1631" priority="234">
      <formula>AND(R$9&gt;=8/24,R$9&lt;14/24)</formula>
    </cfRule>
  </conditionalFormatting>
  <conditionalFormatting sqref="R52:U52">
    <cfRule type="expression" dxfId="1630" priority="231">
      <formula>R52&gt;$AG52</formula>
    </cfRule>
  </conditionalFormatting>
  <conditionalFormatting sqref="R49:Z51">
    <cfRule type="expression" dxfId="1629" priority="95">
      <formula>AND(R$9&gt;=14/24,R$9&lt;20/24)</formula>
    </cfRule>
    <cfRule type="expression" dxfId="1628" priority="93">
      <formula>R49&gt;$AG49</formula>
    </cfRule>
    <cfRule type="expression" dxfId="1627" priority="97">
      <formula>R$9&lt;8/24</formula>
    </cfRule>
    <cfRule type="expression" dxfId="1626" priority="94">
      <formula>R$9&gt;=20/24</formula>
    </cfRule>
    <cfRule type="expression" dxfId="1625" priority="96">
      <formula>AND(R$9&gt;=8/24,R$9&lt;14/24)</formula>
    </cfRule>
  </conditionalFormatting>
  <conditionalFormatting sqref="S8 AB8 B8 M8">
    <cfRule type="expression" dxfId="1624" priority="308">
      <formula>C$9&gt;=20/24</formula>
    </cfRule>
  </conditionalFormatting>
  <conditionalFormatting sqref="S8">
    <cfRule type="expression" dxfId="1623" priority="279">
      <formula>AND(U$9&gt;=8/24,U$9&lt;14/24)</formula>
    </cfRule>
    <cfRule type="expression" dxfId="1622" priority="280">
      <formula>U$9&lt;8/24</formula>
    </cfRule>
    <cfRule type="expression" dxfId="1621" priority="277">
      <formula>U$9&gt;=20/24</formula>
    </cfRule>
    <cfRule type="expression" dxfId="1620" priority="278">
      <formula>AND(U$9&gt;=14/24,U$9&lt;20/24)</formula>
    </cfRule>
  </conditionalFormatting>
  <conditionalFormatting sqref="T241">
    <cfRule type="expression" dxfId="1619" priority="321">
      <formula>AX$9&gt;=20/24</formula>
    </cfRule>
    <cfRule type="expression" dxfId="1618" priority="322">
      <formula>AND(AX$9&gt;=14/24,AX$9&lt;20/24)</formula>
    </cfRule>
    <cfRule type="expression" dxfId="1617" priority="323">
      <formula>AND(AX$9&gt;=8/24,AX$9&lt;14/24)</formula>
    </cfRule>
    <cfRule type="expression" dxfId="1616" priority="324">
      <formula>AX$9&lt;8/24</formula>
    </cfRule>
  </conditionalFormatting>
  <conditionalFormatting sqref="V3 AB3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V52:Z60">
    <cfRule type="expression" dxfId="1615" priority="85">
      <formula>AND(V$9&gt;=8/24,V$9&lt;14/24)</formula>
    </cfRule>
    <cfRule type="expression" dxfId="1614" priority="86">
      <formula>V$9&lt;8/24</formula>
    </cfRule>
    <cfRule type="expression" dxfId="1613" priority="83">
      <formula>V$9&gt;=20/24</formula>
    </cfRule>
    <cfRule type="expression" dxfId="1612" priority="82">
      <formula>V52&gt;$AG52</formula>
    </cfRule>
    <cfRule type="expression" dxfId="1611" priority="84">
      <formula>AND(V$9&gt;=14/24,V$9&lt;20/24)</formula>
    </cfRule>
  </conditionalFormatting>
  <conditionalFormatting sqref="Y11:AF11">
    <cfRule type="expression" dxfId="1610" priority="68">
      <formula>Y$9&gt;=20/24</formula>
    </cfRule>
    <cfRule type="expression" dxfId="1609" priority="69">
      <formula>AND(Y$9&gt;=14/24,Y$9&lt;20/24)</formula>
    </cfRule>
    <cfRule type="expression" dxfId="1608" priority="70">
      <formula>AND(Y$9&gt;=8/24,Y$9&lt;14/24)</formula>
    </cfRule>
    <cfRule type="expression" dxfId="1607" priority="71">
      <formula>Y$9&lt;8/24</formula>
    </cfRule>
  </conditionalFormatting>
  <conditionalFormatting sqref="Y11:AF18">
    <cfRule type="expression" dxfId="1606" priority="67">
      <formula>Y11&gt;$AG11</formula>
    </cfRule>
  </conditionalFormatting>
  <conditionalFormatting sqref="Y15:AF15 Y17:AF18">
    <cfRule type="expression" dxfId="1605" priority="78">
      <formula>Y$9&gt;=20/24</formula>
    </cfRule>
    <cfRule type="expression" dxfId="1604" priority="80">
      <formula>AND(Y$9&gt;=8/24,Y$9&lt;14/24)</formula>
    </cfRule>
    <cfRule type="expression" dxfId="1603" priority="81">
      <formula>Y$9&lt;8/24</formula>
    </cfRule>
    <cfRule type="expression" dxfId="1602" priority="79">
      <formula>AND(Y$9&gt;=14/24,Y$9&lt;20/24)</formula>
    </cfRule>
  </conditionalFormatting>
  <conditionalFormatting sqref="Y19:AF19">
    <cfRule type="expression" dxfId="1601" priority="30">
      <formula>Y19&gt;$AG19</formula>
    </cfRule>
  </conditionalFormatting>
  <conditionalFormatting sqref="Y20:AF20">
    <cfRule type="expression" dxfId="1600" priority="77">
      <formula>Y20&gt;$AG20</formula>
    </cfRule>
  </conditionalFormatting>
  <conditionalFormatting sqref="AA49:AF60 B54:U60">
    <cfRule type="expression" dxfId="1599" priority="182">
      <formula>B49&gt;$AG49</formula>
    </cfRule>
  </conditionalFormatting>
  <conditionalFormatting sqref="AB8">
    <cfRule type="expression" dxfId="1598" priority="274">
      <formula>AND(AD$9&gt;=14/24,AD$9&lt;20/24)</formula>
    </cfRule>
    <cfRule type="expression" dxfId="1597" priority="275">
      <formula>AND(AD$9&gt;=8/24,AD$9&lt;14/24)</formula>
    </cfRule>
    <cfRule type="expression" dxfId="1596" priority="276">
      <formula>AD$9&lt;8/24</formula>
    </cfRule>
    <cfRule type="expression" dxfId="1595" priority="273">
      <formula>AD$9&gt;=20/24</formula>
    </cfRule>
  </conditionalFormatting>
  <conditionalFormatting sqref="AB52:AE53">
    <cfRule type="expression" dxfId="1594" priority="238">
      <formula>AND(AB$9&gt;=14/24,AB$9&lt;20/24)</formula>
    </cfRule>
    <cfRule type="expression" dxfId="1593" priority="239">
      <formula>AND(AB$9&gt;=8/24,AB$9&lt;14/24)</formula>
    </cfRule>
    <cfRule type="expression" dxfId="1592" priority="240">
      <formula>AB$9&lt;8/24</formula>
    </cfRule>
    <cfRule type="expression" dxfId="1591" priority="237">
      <formula>AB$9&gt;=20/24</formula>
    </cfRule>
  </conditionalFormatting>
  <conditionalFormatting sqref="AG241">
    <cfRule type="expression" dxfId="1590" priority="313">
      <formula>B$9&gt;=20/24</formula>
    </cfRule>
    <cfRule type="expression" dxfId="1589" priority="314">
      <formula>AND(B$9&gt;=14/24,B$9&lt;20/24)</formula>
    </cfRule>
    <cfRule type="expression" dxfId="1588" priority="315">
      <formula>AND(B$9&gt;=8/24,B$9&lt;14/24)</formula>
    </cfRule>
    <cfRule type="expression" dxfId="1587" priority="316">
      <formula>B$9&lt;8/24</formula>
    </cfRule>
  </conditionalFormatting>
  <conditionalFormatting sqref="AH241:AX241">
    <cfRule type="expression" dxfId="1586" priority="317">
      <formula>AG$9&gt;=20/24</formula>
    </cfRule>
    <cfRule type="expression" dxfId="1585" priority="318">
      <formula>AND(AG$9&gt;=14/24,AG$9&lt;20/24)</formula>
    </cfRule>
    <cfRule type="expression" dxfId="1584" priority="319">
      <formula>AND(AG$9&gt;=8/24,AG$9&lt;14/24)</formula>
    </cfRule>
    <cfRule type="expression" dxfId="1583" priority="320">
      <formula>AG$9&lt;8/24</formula>
    </cfRule>
  </conditionalFormatting>
  <conditionalFormatting sqref="AL4:AL6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19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08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3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81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325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4" id="{341937F7-FC21-40B3-A692-43CAD034892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1" id="{65A5B66A-250F-4F1E-927C-CFF694877E4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2" id="{2DAB18A5-0FEF-43E4-A204-864F7FCD93B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3" id="{648FA997-7F9B-462E-B22D-432C4545D3A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3" id="{632B5834-3B8B-461E-90AF-6DBDFA1C091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2" id="{E6579FEC-E7C0-4123-A29B-B659F97FA0A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1" id="{B83A5C46-EFE3-4233-8007-D03EDA3491A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0" id="{A4377CB4-64E8-4578-AAB0-BE7E7262C77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B113:AF113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274"/>
  <sheetViews>
    <sheetView zoomScaleNormal="100" workbookViewId="0">
      <pane xSplit="1" ySplit="10" topLeftCell="C61" activePane="bottomRight" state="frozen"/>
      <selection activeCell="AF88" sqref="AF88"/>
      <selection pane="topRight" activeCell="AF88" sqref="AF88"/>
      <selection pane="bottomLeft" activeCell="AF88" sqref="AF88"/>
      <selection pane="bottomRight" activeCell="C70" sqref="C70:AB7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2079/09/4</v>
      </c>
      <c r="C4" s="197"/>
      <c r="D4" s="197"/>
      <c r="E4" s="198" t="str">
        <f ca="1">"2079/"&amp;"09/"&amp;INT(MID(CELL("filename",G6),FIND("]",CELL("filename",G6))+1,200))</f>
        <v>2079/09/4</v>
      </c>
      <c r="F4" s="198"/>
      <c r="G4" s="198"/>
      <c r="H4" s="198" t="str">
        <f ca="1">TEXT(E4,"dddd")</f>
        <v>Monday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148.30000000000001</v>
      </c>
      <c r="C5" s="30">
        <f t="shared" si="0"/>
        <v>165</v>
      </c>
      <c r="D5" s="30">
        <f t="shared" si="0"/>
        <v>180</v>
      </c>
      <c r="E5" s="30">
        <f t="shared" si="0"/>
        <v>183.7</v>
      </c>
      <c r="F5" s="30">
        <f t="shared" si="0"/>
        <v>155.30000000000001</v>
      </c>
      <c r="G5" s="30">
        <f t="shared" si="0"/>
        <v>170</v>
      </c>
      <c r="H5" s="30">
        <f t="shared" si="0"/>
        <v>167.6</v>
      </c>
      <c r="I5" s="30">
        <f t="shared" si="0"/>
        <v>166.7</v>
      </c>
      <c r="J5" s="30">
        <f t="shared" si="0"/>
        <v>118.9</v>
      </c>
      <c r="K5" s="30">
        <f t="shared" si="0"/>
        <v>50.9</v>
      </c>
      <c r="L5" s="30">
        <f t="shared" si="0"/>
        <v>41.4</v>
      </c>
      <c r="M5" s="30">
        <f t="shared" si="0"/>
        <v>47.8</v>
      </c>
      <c r="N5" s="30">
        <f t="shared" si="0"/>
        <v>67</v>
      </c>
      <c r="O5" s="30">
        <f t="shared" si="0"/>
        <v>233.3</v>
      </c>
      <c r="P5" s="30">
        <f t="shared" si="0"/>
        <v>253</v>
      </c>
      <c r="Q5" s="30">
        <f t="shared" si="0"/>
        <v>292</v>
      </c>
      <c r="R5" s="30">
        <f t="shared" si="0"/>
        <v>311.3</v>
      </c>
      <c r="S5" s="30">
        <f t="shared" si="0"/>
        <v>311.3</v>
      </c>
      <c r="T5" s="30">
        <f t="shared" si="0"/>
        <v>316.60000000000002</v>
      </c>
      <c r="U5" s="30">
        <f t="shared" si="0"/>
        <v>212</v>
      </c>
      <c r="V5" s="30">
        <f t="shared" si="0"/>
        <v>41.5</v>
      </c>
      <c r="W5" s="30">
        <f t="shared" si="0"/>
        <v>53.8</v>
      </c>
      <c r="X5" s="30">
        <f t="shared" si="0"/>
        <v>58.9</v>
      </c>
      <c r="Y5" s="30">
        <f t="shared" si="0"/>
        <v>47.8</v>
      </c>
      <c r="Z5" s="30">
        <f t="shared" si="0"/>
        <v>28.9</v>
      </c>
      <c r="AA5" s="30">
        <f t="shared" si="0"/>
        <v>119.6</v>
      </c>
      <c r="AB5" s="30">
        <f t="shared" si="0"/>
        <v>155.6</v>
      </c>
      <c r="AC5" s="30">
        <f t="shared" si="0"/>
        <v>149.6</v>
      </c>
      <c r="AD5" s="30">
        <f t="shared" si="0"/>
        <v>162.4</v>
      </c>
      <c r="AE5" s="30">
        <f t="shared" si="0"/>
        <v>158.5</v>
      </c>
      <c r="AF5" s="30">
        <f>B78</f>
        <v>140.69999999999999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1593MW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Load=948</v>
      </c>
      <c r="B7" s="35">
        <f t="shared" ref="B7:AF7" si="1">B85</f>
        <v>1061.1389999999999</v>
      </c>
      <c r="C7" s="35">
        <f t="shared" si="1"/>
        <v>977.23899999999981</v>
      </c>
      <c r="D7" s="35">
        <f t="shared" si="1"/>
        <v>953.1389999999999</v>
      </c>
      <c r="E7" s="35">
        <f t="shared" si="1"/>
        <v>947.74900000000002</v>
      </c>
      <c r="F7" s="35">
        <f t="shared" si="1"/>
        <v>963.53899999999999</v>
      </c>
      <c r="G7" s="35">
        <f t="shared" si="1"/>
        <v>1046.1389999999999</v>
      </c>
      <c r="H7" s="35">
        <f t="shared" si="1"/>
        <v>1152.3389999999999</v>
      </c>
      <c r="I7" s="35">
        <f t="shared" si="1"/>
        <v>1191.4390000000001</v>
      </c>
      <c r="J7" s="35">
        <f t="shared" si="1"/>
        <v>1355.979</v>
      </c>
      <c r="K7" s="35">
        <f t="shared" si="1"/>
        <v>1436.9490000000001</v>
      </c>
      <c r="L7" s="35">
        <f t="shared" si="1"/>
        <v>1592.6490000000003</v>
      </c>
      <c r="M7" s="35">
        <f t="shared" si="1"/>
        <v>1565.239</v>
      </c>
      <c r="N7" s="35">
        <f t="shared" si="1"/>
        <v>1450.8390000000002</v>
      </c>
      <c r="O7" s="35">
        <f t="shared" si="1"/>
        <v>1397.539</v>
      </c>
      <c r="P7" s="35">
        <f t="shared" si="1"/>
        <v>1364.6390000000001</v>
      </c>
      <c r="Q7" s="35">
        <f t="shared" si="1"/>
        <v>1286.739</v>
      </c>
      <c r="R7" s="35">
        <f t="shared" si="1"/>
        <v>1314.239</v>
      </c>
      <c r="S7" s="35">
        <f t="shared" si="1"/>
        <v>1272.6390000000001</v>
      </c>
      <c r="T7" s="35">
        <f t="shared" si="1"/>
        <v>1292.6390000000001</v>
      </c>
      <c r="U7" s="35">
        <f t="shared" si="1"/>
        <v>1360.1390000000001</v>
      </c>
      <c r="V7" s="35">
        <f t="shared" si="1"/>
        <v>1382.3390000000002</v>
      </c>
      <c r="W7" s="35">
        <f t="shared" si="1"/>
        <v>1573.8390000000002</v>
      </c>
      <c r="X7" s="35">
        <f t="shared" si="1"/>
        <v>1622.6390000000001</v>
      </c>
      <c r="Y7" s="35">
        <f t="shared" si="1"/>
        <v>1584.1390000000001</v>
      </c>
      <c r="Z7" s="35">
        <f t="shared" si="1"/>
        <v>1490.3389999999999</v>
      </c>
      <c r="AA7" s="35">
        <f t="shared" si="1"/>
        <v>1400.039</v>
      </c>
      <c r="AB7" s="35">
        <f t="shared" si="1"/>
        <v>1309.739</v>
      </c>
      <c r="AC7" s="35">
        <f t="shared" si="1"/>
        <v>1257.039</v>
      </c>
      <c r="AD7" s="35">
        <f t="shared" si="1"/>
        <v>1179.539</v>
      </c>
      <c r="AE7" s="35">
        <f t="shared" si="1"/>
        <v>1060.739</v>
      </c>
      <c r="AF7" s="35">
        <f t="shared" si="1"/>
        <v>995.23899999999992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27.5</v>
      </c>
      <c r="C11" s="45">
        <v>27.5</v>
      </c>
      <c r="D11" s="45">
        <v>27.6</v>
      </c>
      <c r="E11" s="45">
        <v>27.6</v>
      </c>
      <c r="F11" s="45">
        <v>27.6</v>
      </c>
      <c r="G11" s="45">
        <v>27.6</v>
      </c>
      <c r="H11" s="45">
        <v>27.6</v>
      </c>
      <c r="I11" s="45">
        <v>27.6</v>
      </c>
      <c r="J11" s="45">
        <v>27.6</v>
      </c>
      <c r="K11" s="45">
        <v>27.6</v>
      </c>
      <c r="L11" s="45">
        <v>27.6</v>
      </c>
      <c r="M11" s="45">
        <v>26.4</v>
      </c>
      <c r="N11" s="45">
        <v>26.4</v>
      </c>
      <c r="O11" s="45">
        <v>26.4</v>
      </c>
      <c r="P11" s="45">
        <v>26.1</v>
      </c>
      <c r="Q11" s="45">
        <v>26.4</v>
      </c>
      <c r="R11" s="45">
        <v>26.4</v>
      </c>
      <c r="S11" s="45">
        <v>26.4</v>
      </c>
      <c r="T11" s="45">
        <v>26.4</v>
      </c>
      <c r="U11" s="45">
        <v>26.4</v>
      </c>
      <c r="V11" s="45">
        <v>26.4</v>
      </c>
      <c r="W11" s="45">
        <v>26.4</v>
      </c>
      <c r="X11" s="45">
        <v>25.2</v>
      </c>
      <c r="Y11" s="45">
        <f>26.6</f>
        <v>26.6</v>
      </c>
      <c r="Z11" s="45">
        <f>26.6</f>
        <v>26.6</v>
      </c>
      <c r="AA11" s="45">
        <f>26.6</f>
        <v>26.6</v>
      </c>
      <c r="AB11" s="45">
        <v>25.8</v>
      </c>
      <c r="AC11" s="45">
        <v>25.8</v>
      </c>
      <c r="AD11" s="45">
        <v>25.8</v>
      </c>
      <c r="AE11" s="45">
        <v>25.8</v>
      </c>
      <c r="AF11" s="45">
        <v>25.8</v>
      </c>
      <c r="AG11" s="47">
        <v>52.4</v>
      </c>
      <c r="AH11" s="48">
        <f t="shared" ref="AH11:AH41" si="2">MAX(B11:AF11)</f>
        <v>27.6</v>
      </c>
      <c r="AI11" s="49">
        <f t="shared" ref="AI11:AI41" si="3">MIN(B11:AF11)</f>
        <v>25.2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50.6</v>
      </c>
      <c r="C12" s="45">
        <v>50.6</v>
      </c>
      <c r="D12" s="45">
        <v>50.6</v>
      </c>
      <c r="E12" s="45">
        <v>50.6</v>
      </c>
      <c r="F12" s="45">
        <v>50.6</v>
      </c>
      <c r="G12" s="45">
        <v>50.6</v>
      </c>
      <c r="H12" s="45">
        <v>50.6</v>
      </c>
      <c r="I12" s="45">
        <v>50.6</v>
      </c>
      <c r="J12" s="45">
        <v>50.6</v>
      </c>
      <c r="K12" s="45">
        <v>50.6</v>
      </c>
      <c r="L12" s="45">
        <v>50.6</v>
      </c>
      <c r="M12" s="45">
        <v>50.4</v>
      </c>
      <c r="N12" s="45">
        <v>50.4</v>
      </c>
      <c r="O12" s="45">
        <v>50.4</v>
      </c>
      <c r="P12" s="45">
        <v>50.4</v>
      </c>
      <c r="Q12" s="45">
        <v>50.3</v>
      </c>
      <c r="R12" s="45">
        <v>50.3</v>
      </c>
      <c r="S12" s="45">
        <v>50.3</v>
      </c>
      <c r="T12" s="45">
        <v>50.3</v>
      </c>
      <c r="U12" s="45">
        <v>50.3</v>
      </c>
      <c r="V12" s="45">
        <v>50.3</v>
      </c>
      <c r="W12" s="45">
        <v>50.3</v>
      </c>
      <c r="X12" s="45">
        <v>50.3</v>
      </c>
      <c r="Y12" s="45">
        <v>50.3</v>
      </c>
      <c r="Z12" s="45">
        <v>50.3</v>
      </c>
      <c r="AA12" s="45">
        <v>50.3</v>
      </c>
      <c r="AB12" s="45">
        <v>50.3</v>
      </c>
      <c r="AC12" s="45">
        <v>50.3</v>
      </c>
      <c r="AD12" s="45">
        <v>50.3</v>
      </c>
      <c r="AE12" s="45">
        <v>50.3</v>
      </c>
      <c r="AF12" s="45">
        <v>50.3</v>
      </c>
      <c r="AG12" s="51">
        <v>50</v>
      </c>
      <c r="AH12" s="48">
        <f t="shared" si="2"/>
        <v>50.6</v>
      </c>
      <c r="AI12" s="49">
        <f t="shared" si="3"/>
        <v>50.3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24.4</v>
      </c>
      <c r="C13" s="45">
        <v>24.4</v>
      </c>
      <c r="D13" s="45">
        <v>23.8</v>
      </c>
      <c r="E13" s="45">
        <v>23.8</v>
      </c>
      <c r="F13" s="45">
        <v>23.8</v>
      </c>
      <c r="G13" s="45">
        <v>23.8</v>
      </c>
      <c r="H13" s="45">
        <v>23.8</v>
      </c>
      <c r="I13" s="45">
        <v>23.8</v>
      </c>
      <c r="J13" s="45">
        <v>23.8</v>
      </c>
      <c r="K13" s="45">
        <v>23.8</v>
      </c>
      <c r="L13" s="45">
        <v>23.8</v>
      </c>
      <c r="M13" s="45">
        <v>24.4</v>
      </c>
      <c r="N13" s="45">
        <v>24.4</v>
      </c>
      <c r="O13" s="45">
        <v>24.4</v>
      </c>
      <c r="P13" s="45">
        <v>24.4</v>
      </c>
      <c r="Q13" s="45">
        <v>23.6</v>
      </c>
      <c r="R13" s="45">
        <v>23.6</v>
      </c>
      <c r="S13" s="45">
        <v>23.6</v>
      </c>
      <c r="T13" s="45">
        <v>23.6</v>
      </c>
      <c r="U13" s="45">
        <v>23.6</v>
      </c>
      <c r="V13" s="45">
        <v>23.6</v>
      </c>
      <c r="W13" s="45">
        <v>23.6</v>
      </c>
      <c r="X13" s="45">
        <v>25.6</v>
      </c>
      <c r="Y13" s="45">
        <v>25.5</v>
      </c>
      <c r="Z13" s="45">
        <v>26</v>
      </c>
      <c r="AA13" s="45">
        <v>26</v>
      </c>
      <c r="AB13" s="45">
        <v>26</v>
      </c>
      <c r="AC13" s="45">
        <v>26</v>
      </c>
      <c r="AD13" s="45">
        <v>26</v>
      </c>
      <c r="AE13" s="45">
        <v>26</v>
      </c>
      <c r="AF13" s="45">
        <v>26</v>
      </c>
      <c r="AG13" s="51">
        <v>45</v>
      </c>
      <c r="AH13" s="48">
        <f t="shared" si="2"/>
        <v>26</v>
      </c>
      <c r="AI13" s="49">
        <f t="shared" si="3"/>
        <v>23.6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20</v>
      </c>
      <c r="C15" s="45">
        <v>20</v>
      </c>
      <c r="D15" s="45">
        <v>21</v>
      </c>
      <c r="E15" s="45">
        <v>21</v>
      </c>
      <c r="F15" s="45">
        <v>21</v>
      </c>
      <c r="G15" s="45">
        <v>21</v>
      </c>
      <c r="H15" s="45">
        <v>21</v>
      </c>
      <c r="I15" s="45">
        <v>21</v>
      </c>
      <c r="J15" s="45">
        <v>21</v>
      </c>
      <c r="K15" s="45">
        <v>21</v>
      </c>
      <c r="L15" s="45">
        <v>21</v>
      </c>
      <c r="M15" s="45">
        <v>21</v>
      </c>
      <c r="N15" s="45">
        <v>21</v>
      </c>
      <c r="O15" s="45">
        <v>21</v>
      </c>
      <c r="P15" s="45">
        <v>21</v>
      </c>
      <c r="Q15" s="45">
        <v>21</v>
      </c>
      <c r="R15" s="45">
        <v>21</v>
      </c>
      <c r="S15" s="45">
        <v>21</v>
      </c>
      <c r="T15" s="45">
        <v>21</v>
      </c>
      <c r="U15" s="45">
        <v>21</v>
      </c>
      <c r="V15" s="45">
        <v>21</v>
      </c>
      <c r="W15" s="45">
        <v>21</v>
      </c>
      <c r="X15" s="45">
        <v>21</v>
      </c>
      <c r="Y15" s="45">
        <v>21</v>
      </c>
      <c r="Z15" s="45">
        <v>21</v>
      </c>
      <c r="AA15" s="45">
        <v>21</v>
      </c>
      <c r="AB15" s="45">
        <v>21</v>
      </c>
      <c r="AC15" s="45">
        <v>21</v>
      </c>
      <c r="AD15" s="45">
        <v>21</v>
      </c>
      <c r="AE15" s="45">
        <v>21</v>
      </c>
      <c r="AF15" s="45">
        <v>21</v>
      </c>
      <c r="AG15" s="51">
        <v>36</v>
      </c>
      <c r="AH15" s="48">
        <f t="shared" si="2"/>
        <v>21</v>
      </c>
      <c r="AI15" s="49">
        <f t="shared" si="3"/>
        <v>20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13.5</v>
      </c>
      <c r="C16" s="45">
        <v>13.5</v>
      </c>
      <c r="D16" s="45">
        <v>13.5</v>
      </c>
      <c r="E16" s="45">
        <v>13.5</v>
      </c>
      <c r="F16" s="45">
        <v>13.5</v>
      </c>
      <c r="G16" s="45">
        <v>13.5</v>
      </c>
      <c r="H16" s="45">
        <v>13.5</v>
      </c>
      <c r="I16" s="45">
        <v>13.5</v>
      </c>
      <c r="J16" s="45">
        <v>13.5</v>
      </c>
      <c r="K16" s="45">
        <v>13.5</v>
      </c>
      <c r="L16" s="45">
        <v>13.5</v>
      </c>
      <c r="M16" s="45">
        <v>13.5</v>
      </c>
      <c r="N16" s="45">
        <v>13.5</v>
      </c>
      <c r="O16" s="45">
        <v>13.5</v>
      </c>
      <c r="P16" s="45">
        <v>13.5</v>
      </c>
      <c r="Q16" s="45">
        <v>13.5</v>
      </c>
      <c r="R16" s="45">
        <v>13.5</v>
      </c>
      <c r="S16" s="45">
        <v>13.5</v>
      </c>
      <c r="T16" s="45">
        <v>13.5</v>
      </c>
      <c r="U16" s="45">
        <v>13.5</v>
      </c>
      <c r="V16" s="45">
        <v>13.5</v>
      </c>
      <c r="W16" s="45">
        <v>13.5</v>
      </c>
      <c r="X16" s="45">
        <v>13.5</v>
      </c>
      <c r="Y16" s="45">
        <v>13.5</v>
      </c>
      <c r="Z16" s="45">
        <v>13.5</v>
      </c>
      <c r="AA16" s="45">
        <v>13.5</v>
      </c>
      <c r="AB16" s="45">
        <v>13.5</v>
      </c>
      <c r="AC16" s="45">
        <v>13.5</v>
      </c>
      <c r="AD16" s="45">
        <v>13.5</v>
      </c>
      <c r="AE16" s="45">
        <v>13.5</v>
      </c>
      <c r="AF16" s="45">
        <v>13.5</v>
      </c>
      <c r="AG16" s="52">
        <v>30</v>
      </c>
      <c r="AH16" s="48">
        <f t="shared" si="2"/>
        <v>13.5</v>
      </c>
      <c r="AI16" s="49">
        <f t="shared" si="3"/>
        <v>13.5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12.4</v>
      </c>
      <c r="C17" s="45">
        <v>12.4</v>
      </c>
      <c r="D17" s="45">
        <v>11.8</v>
      </c>
      <c r="E17" s="45">
        <v>11.8</v>
      </c>
      <c r="F17" s="45">
        <v>11.8</v>
      </c>
      <c r="G17" s="45">
        <v>11.8</v>
      </c>
      <c r="H17" s="45">
        <v>11.8</v>
      </c>
      <c r="I17" s="45">
        <v>11.8</v>
      </c>
      <c r="J17" s="45">
        <v>11.8</v>
      </c>
      <c r="K17" s="45">
        <v>11.8</v>
      </c>
      <c r="L17" s="45">
        <v>11.8</v>
      </c>
      <c r="M17" s="45">
        <v>11.8</v>
      </c>
      <c r="N17" s="45">
        <v>11.8</v>
      </c>
      <c r="O17" s="45">
        <v>11.8</v>
      </c>
      <c r="P17" s="45">
        <v>11.8</v>
      </c>
      <c r="Q17" s="45">
        <v>11.8</v>
      </c>
      <c r="R17" s="45">
        <v>11.8</v>
      </c>
      <c r="S17" s="45">
        <v>11.8</v>
      </c>
      <c r="T17" s="45">
        <v>11.8</v>
      </c>
      <c r="U17" s="45">
        <v>11.8</v>
      </c>
      <c r="V17" s="45">
        <v>11.8</v>
      </c>
      <c r="W17" s="45">
        <v>11.8</v>
      </c>
      <c r="X17" s="45">
        <v>11.8</v>
      </c>
      <c r="Y17" s="45">
        <v>11.8</v>
      </c>
      <c r="Z17" s="45">
        <v>11.8</v>
      </c>
      <c r="AA17" s="45">
        <v>11.8</v>
      </c>
      <c r="AB17" s="45">
        <v>11.8</v>
      </c>
      <c r="AC17" s="45">
        <v>11.8</v>
      </c>
      <c r="AD17" s="45">
        <v>11.8</v>
      </c>
      <c r="AE17" s="45">
        <v>11.8</v>
      </c>
      <c r="AF17" s="45">
        <v>11.8</v>
      </c>
      <c r="AG17" s="51">
        <v>24.2</v>
      </c>
      <c r="AH17" s="48">
        <f t="shared" si="2"/>
        <v>12.4</v>
      </c>
      <c r="AI17" s="49">
        <f t="shared" si="3"/>
        <v>11.8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13.2</v>
      </c>
      <c r="C18" s="45">
        <v>13.2</v>
      </c>
      <c r="D18" s="45">
        <v>13.2</v>
      </c>
      <c r="E18" s="45">
        <v>13.2</v>
      </c>
      <c r="F18" s="45">
        <v>13.2</v>
      </c>
      <c r="G18" s="45">
        <v>13.2</v>
      </c>
      <c r="H18" s="45">
        <v>13.2</v>
      </c>
      <c r="I18" s="45">
        <v>13.2</v>
      </c>
      <c r="J18" s="45">
        <v>13.2</v>
      </c>
      <c r="K18" s="45">
        <v>13.2</v>
      </c>
      <c r="L18" s="45">
        <v>13.2</v>
      </c>
      <c r="M18" s="45">
        <v>13.2</v>
      </c>
      <c r="N18" s="45">
        <v>13.2</v>
      </c>
      <c r="O18" s="45">
        <v>13.2</v>
      </c>
      <c r="P18" s="45">
        <v>13.2</v>
      </c>
      <c r="Q18" s="45">
        <v>13.2</v>
      </c>
      <c r="R18" s="45">
        <v>13.2</v>
      </c>
      <c r="S18" s="45">
        <v>13.2</v>
      </c>
      <c r="T18" s="45">
        <v>13.2</v>
      </c>
      <c r="U18" s="45">
        <v>13.2</v>
      </c>
      <c r="V18" s="45">
        <v>13.2</v>
      </c>
      <c r="W18" s="45">
        <v>13.2</v>
      </c>
      <c r="X18" s="45">
        <v>13.2</v>
      </c>
      <c r="Y18" s="45">
        <v>13.2</v>
      </c>
      <c r="Z18" s="45">
        <v>13.2</v>
      </c>
      <c r="AA18" s="45">
        <v>13.2</v>
      </c>
      <c r="AB18" s="45">
        <v>13.2</v>
      </c>
      <c r="AC18" s="45">
        <v>13.2</v>
      </c>
      <c r="AD18" s="45">
        <v>13.2</v>
      </c>
      <c r="AE18" s="45">
        <v>13.2</v>
      </c>
      <c r="AF18" s="45">
        <v>13.2</v>
      </c>
      <c r="AG18" s="51">
        <v>28</v>
      </c>
      <c r="AH18" s="48">
        <f t="shared" si="2"/>
        <v>13.2</v>
      </c>
      <c r="AI18" s="49">
        <f t="shared" si="3"/>
        <v>13.2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14</v>
      </c>
      <c r="C19" s="45">
        <v>14</v>
      </c>
      <c r="D19" s="45">
        <v>14</v>
      </c>
      <c r="E19" s="45">
        <v>14</v>
      </c>
      <c r="F19" s="45">
        <v>14</v>
      </c>
      <c r="G19" s="45">
        <v>14</v>
      </c>
      <c r="H19" s="45">
        <v>14</v>
      </c>
      <c r="I19" s="45">
        <v>14</v>
      </c>
      <c r="J19" s="45">
        <v>14</v>
      </c>
      <c r="K19" s="45">
        <v>14</v>
      </c>
      <c r="L19" s="45">
        <v>14</v>
      </c>
      <c r="M19" s="45">
        <v>14</v>
      </c>
      <c r="N19" s="45">
        <v>14</v>
      </c>
      <c r="O19" s="45">
        <v>14</v>
      </c>
      <c r="P19" s="45">
        <v>14</v>
      </c>
      <c r="Q19" s="45">
        <v>14</v>
      </c>
      <c r="R19" s="45">
        <v>14</v>
      </c>
      <c r="S19" s="45">
        <v>14</v>
      </c>
      <c r="T19" s="45">
        <v>14</v>
      </c>
      <c r="U19" s="45">
        <v>14</v>
      </c>
      <c r="V19" s="45">
        <v>14</v>
      </c>
      <c r="W19" s="45">
        <v>14</v>
      </c>
      <c r="X19" s="45">
        <v>14</v>
      </c>
      <c r="Y19" s="45">
        <v>14</v>
      </c>
      <c r="Z19" s="45">
        <v>14</v>
      </c>
      <c r="AA19" s="45">
        <v>14</v>
      </c>
      <c r="AB19" s="45">
        <v>14</v>
      </c>
      <c r="AC19" s="45">
        <v>14</v>
      </c>
      <c r="AD19" s="45">
        <v>14</v>
      </c>
      <c r="AE19" s="45">
        <v>14</v>
      </c>
      <c r="AF19" s="45">
        <v>14</v>
      </c>
      <c r="AG19" s="52">
        <v>30</v>
      </c>
      <c r="AH19" s="48">
        <f t="shared" si="2"/>
        <v>14</v>
      </c>
      <c r="AI19" s="49">
        <f t="shared" si="3"/>
        <v>14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13.2</v>
      </c>
      <c r="C20" s="45">
        <v>13.2</v>
      </c>
      <c r="D20" s="45">
        <v>13.4</v>
      </c>
      <c r="E20" s="45">
        <v>13.4</v>
      </c>
      <c r="F20" s="45">
        <v>13.4</v>
      </c>
      <c r="G20" s="45">
        <v>13.4</v>
      </c>
      <c r="H20" s="45">
        <v>13.4</v>
      </c>
      <c r="I20" s="45">
        <v>13.4</v>
      </c>
      <c r="J20" s="45">
        <v>13.4</v>
      </c>
      <c r="K20" s="45">
        <v>13.4</v>
      </c>
      <c r="L20" s="45">
        <v>13.4</v>
      </c>
      <c r="M20" s="45">
        <v>13.4</v>
      </c>
      <c r="N20" s="45">
        <v>13.4</v>
      </c>
      <c r="O20" s="45">
        <v>13.4</v>
      </c>
      <c r="P20" s="45">
        <v>13.4</v>
      </c>
      <c r="Q20" s="45">
        <v>13.4</v>
      </c>
      <c r="R20" s="45">
        <v>13.4</v>
      </c>
      <c r="S20" s="45">
        <v>13.4</v>
      </c>
      <c r="T20" s="45">
        <v>13.4</v>
      </c>
      <c r="U20" s="45">
        <v>13.4</v>
      </c>
      <c r="V20" s="45">
        <v>13.4</v>
      </c>
      <c r="W20" s="45">
        <v>13.4</v>
      </c>
      <c r="X20" s="45">
        <v>13.4</v>
      </c>
      <c r="Y20" s="45">
        <v>13.4</v>
      </c>
      <c r="Z20" s="45">
        <v>13.4</v>
      </c>
      <c r="AA20" s="45">
        <v>13.4</v>
      </c>
      <c r="AB20" s="45">
        <v>13.4</v>
      </c>
      <c r="AC20" s="45">
        <v>13.4</v>
      </c>
      <c r="AD20" s="45">
        <v>13.4</v>
      </c>
      <c r="AE20" s="45">
        <v>13.4</v>
      </c>
      <c r="AF20" s="45">
        <v>13.4</v>
      </c>
      <c r="AG20" s="51">
        <v>25</v>
      </c>
      <c r="AH20" s="48">
        <f t="shared" si="2"/>
        <v>13.4</v>
      </c>
      <c r="AI20" s="49">
        <f t="shared" si="3"/>
        <v>13.2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51">
        <v>25</v>
      </c>
      <c r="AH21" s="48">
        <f t="shared" si="2"/>
        <v>0</v>
      </c>
      <c r="AI21" s="49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12</v>
      </c>
      <c r="C23" s="45">
        <v>12</v>
      </c>
      <c r="D23" s="45">
        <v>13.5</v>
      </c>
      <c r="E23" s="45">
        <v>13.5</v>
      </c>
      <c r="F23" s="45">
        <v>13.5</v>
      </c>
      <c r="G23" s="45">
        <v>13.5</v>
      </c>
      <c r="H23" s="45">
        <v>13.5</v>
      </c>
      <c r="I23" s="45">
        <v>13.5</v>
      </c>
      <c r="J23" s="45">
        <v>13.5</v>
      </c>
      <c r="K23" s="45">
        <v>13.5</v>
      </c>
      <c r="L23" s="45">
        <v>13.5</v>
      </c>
      <c r="M23" s="45">
        <v>13.5</v>
      </c>
      <c r="N23" s="45">
        <v>13.5</v>
      </c>
      <c r="O23" s="45">
        <v>13.5</v>
      </c>
      <c r="P23" s="45">
        <v>13.5</v>
      </c>
      <c r="Q23" s="45">
        <v>13.5</v>
      </c>
      <c r="R23" s="45">
        <v>13.5</v>
      </c>
      <c r="S23" s="45">
        <v>13.5</v>
      </c>
      <c r="T23" s="45">
        <v>13.5</v>
      </c>
      <c r="U23" s="45">
        <v>13.5</v>
      </c>
      <c r="V23" s="45">
        <v>13.5</v>
      </c>
      <c r="W23" s="45">
        <v>13.5</v>
      </c>
      <c r="X23" s="45">
        <v>13.5</v>
      </c>
      <c r="Y23" s="45">
        <v>13.5</v>
      </c>
      <c r="Z23" s="45">
        <v>13.5</v>
      </c>
      <c r="AA23" s="45">
        <v>13.5</v>
      </c>
      <c r="AB23" s="45">
        <v>13.5</v>
      </c>
      <c r="AC23" s="45">
        <v>13.5</v>
      </c>
      <c r="AD23" s="45">
        <v>13.5</v>
      </c>
      <c r="AE23" s="45">
        <v>13.5</v>
      </c>
      <c r="AF23" s="45">
        <v>13.5</v>
      </c>
      <c r="AG23" s="51">
        <v>25</v>
      </c>
      <c r="AH23" s="48">
        <f t="shared" si="2"/>
        <v>13.5</v>
      </c>
      <c r="AI23" s="49">
        <f t="shared" si="3"/>
        <v>12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11.8</v>
      </c>
      <c r="C24" s="45">
        <v>11.8</v>
      </c>
      <c r="D24" s="45">
        <v>11.8</v>
      </c>
      <c r="E24" s="45">
        <v>11.8</v>
      </c>
      <c r="F24" s="45">
        <v>11.8</v>
      </c>
      <c r="G24" s="45">
        <v>11.8</v>
      </c>
      <c r="H24" s="45">
        <v>11.8</v>
      </c>
      <c r="I24" s="45">
        <v>11.8</v>
      </c>
      <c r="J24" s="45">
        <v>11.8</v>
      </c>
      <c r="K24" s="45">
        <v>11.8</v>
      </c>
      <c r="L24" s="45">
        <v>11.8</v>
      </c>
      <c r="M24" s="45">
        <v>11.8</v>
      </c>
      <c r="N24" s="45">
        <v>11.8</v>
      </c>
      <c r="O24" s="45">
        <v>11.8</v>
      </c>
      <c r="P24" s="45">
        <v>11.8</v>
      </c>
      <c r="Q24" s="45">
        <v>11.8</v>
      </c>
      <c r="R24" s="45">
        <v>11.8</v>
      </c>
      <c r="S24" s="45">
        <v>11.8</v>
      </c>
      <c r="T24" s="45">
        <v>11.8</v>
      </c>
      <c r="U24" s="45">
        <v>11.8</v>
      </c>
      <c r="V24" s="45">
        <v>11.8</v>
      </c>
      <c r="W24" s="45">
        <v>11.8</v>
      </c>
      <c r="X24" s="45">
        <v>11.8</v>
      </c>
      <c r="Y24" s="45">
        <v>11.8</v>
      </c>
      <c r="Z24" s="45">
        <v>11.8</v>
      </c>
      <c r="AA24" s="45">
        <v>11.8</v>
      </c>
      <c r="AB24" s="45">
        <v>11.8</v>
      </c>
      <c r="AC24" s="45">
        <v>11.8</v>
      </c>
      <c r="AD24" s="45">
        <v>11.8</v>
      </c>
      <c r="AE24" s="45">
        <v>11.8</v>
      </c>
      <c r="AF24" s="45">
        <v>11.8</v>
      </c>
      <c r="AG24" s="51">
        <v>23.5</v>
      </c>
      <c r="AH24" s="48">
        <f t="shared" si="2"/>
        <v>11.8</v>
      </c>
      <c r="AI24" s="49">
        <f t="shared" si="3"/>
        <v>11.8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7.0990000000000002</v>
      </c>
      <c r="C26" s="45">
        <v>7.0990000000000002</v>
      </c>
      <c r="D26" s="45">
        <v>7.0990000000000002</v>
      </c>
      <c r="E26" s="45">
        <v>7.0990000000000002</v>
      </c>
      <c r="F26" s="45">
        <v>7.0990000000000002</v>
      </c>
      <c r="G26" s="45">
        <v>7.0990000000000002</v>
      </c>
      <c r="H26" s="45">
        <v>7.0990000000000002</v>
      </c>
      <c r="I26" s="45">
        <v>7.0990000000000002</v>
      </c>
      <c r="J26" s="45">
        <v>7.0990000000000002</v>
      </c>
      <c r="K26" s="45">
        <v>7.0990000000000002</v>
      </c>
      <c r="L26" s="45">
        <v>7.0990000000000002</v>
      </c>
      <c r="M26" s="45">
        <v>7.0990000000000002</v>
      </c>
      <c r="N26" s="45">
        <v>7.0990000000000002</v>
      </c>
      <c r="O26" s="45">
        <v>7.0990000000000002</v>
      </c>
      <c r="P26" s="45">
        <v>7.0990000000000002</v>
      </c>
      <c r="Q26" s="45">
        <v>7.0990000000000002</v>
      </c>
      <c r="R26" s="45">
        <v>7.0990000000000002</v>
      </c>
      <c r="S26" s="45">
        <v>7.0990000000000002</v>
      </c>
      <c r="T26" s="45">
        <v>7.0990000000000002</v>
      </c>
      <c r="U26" s="45">
        <v>7.0990000000000002</v>
      </c>
      <c r="V26" s="45">
        <v>7.0990000000000002</v>
      </c>
      <c r="W26" s="45">
        <v>7.0990000000000002</v>
      </c>
      <c r="X26" s="45">
        <v>7.0990000000000002</v>
      </c>
      <c r="Y26" s="45">
        <v>7.0990000000000002</v>
      </c>
      <c r="Z26" s="45">
        <v>7.0990000000000002</v>
      </c>
      <c r="AA26" s="45">
        <v>7.0990000000000002</v>
      </c>
      <c r="AB26" s="45">
        <v>7.0990000000000002</v>
      </c>
      <c r="AC26" s="45">
        <v>7.0990000000000002</v>
      </c>
      <c r="AD26" s="45">
        <v>7.0990000000000002</v>
      </c>
      <c r="AE26" s="45">
        <v>7.0990000000000002</v>
      </c>
      <c r="AF26" s="45">
        <v>7.0990000000000002</v>
      </c>
      <c r="AG26" s="51">
        <v>22.1</v>
      </c>
      <c r="AH26" s="48">
        <f t="shared" si="2"/>
        <v>7.0990000000000002</v>
      </c>
      <c r="AI26" s="49">
        <f t="shared" si="3"/>
        <v>7.0990000000000002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14</v>
      </c>
      <c r="C28" s="45">
        <v>14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14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200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ref="AH42:AH79" si="4">MAX(B42:AF42)</f>
        <v>200</v>
      </c>
      <c r="AI42" s="49">
        <f t="shared" ref="AI42:AI79" si="5">MIN(B42:AF42)</f>
        <v>200</v>
      </c>
      <c r="AK42" s="50"/>
    </row>
    <row r="43" spans="1:88" ht="15.75" thickBot="1" x14ac:dyDescent="0.3">
      <c r="A43" s="58" t="s">
        <v>51</v>
      </c>
      <c r="B43" s="59">
        <v>52.6</v>
      </c>
      <c r="C43" s="59">
        <f>13.7+36.1</f>
        <v>49.8</v>
      </c>
      <c r="D43" s="59">
        <f>14+36.9</f>
        <v>50.9</v>
      </c>
      <c r="E43" s="59">
        <v>53.8</v>
      </c>
      <c r="F43" s="59">
        <v>53.8</v>
      </c>
      <c r="G43" s="59">
        <v>52.9</v>
      </c>
      <c r="H43" s="59">
        <v>53.8</v>
      </c>
      <c r="I43" s="59">
        <v>53.8</v>
      </c>
      <c r="J43" s="59">
        <v>50.7</v>
      </c>
      <c r="K43" s="59">
        <v>53.8</v>
      </c>
      <c r="L43" s="59">
        <v>51</v>
      </c>
      <c r="M43" s="59">
        <f>36+14.7</f>
        <v>50.7</v>
      </c>
      <c r="N43" s="59">
        <f>36+14.7</f>
        <v>50.7</v>
      </c>
      <c r="O43" s="57">
        <v>52</v>
      </c>
      <c r="P43" s="57">
        <v>52.3</v>
      </c>
      <c r="Q43" s="57">
        <v>52.3</v>
      </c>
      <c r="R43" s="57">
        <v>51.9</v>
      </c>
      <c r="S43" s="57">
        <v>51.9</v>
      </c>
      <c r="T43" s="57">
        <v>51.9</v>
      </c>
      <c r="U43" s="57">
        <v>51.9</v>
      </c>
      <c r="V43" s="57">
        <f>13.9+35.3</f>
        <v>49.199999999999996</v>
      </c>
      <c r="W43" s="57">
        <f>11.6+33.8</f>
        <v>45.4</v>
      </c>
      <c r="X43" s="57">
        <f>11.5+31.8</f>
        <v>43.3</v>
      </c>
      <c r="Y43" s="57">
        <f>12+32.5</f>
        <v>44.5</v>
      </c>
      <c r="Z43" s="57">
        <f>11.9+32.8</f>
        <v>44.699999999999996</v>
      </c>
      <c r="AA43" s="57">
        <f>13.1+32.6</f>
        <v>45.7</v>
      </c>
      <c r="AB43" s="59">
        <f>30.9+13.1</f>
        <v>44</v>
      </c>
      <c r="AC43" s="59">
        <v>45</v>
      </c>
      <c r="AD43" s="59">
        <f>34.6+14.2</f>
        <v>48.8</v>
      </c>
      <c r="AE43" s="59">
        <f>34.6+15</f>
        <v>49.6</v>
      </c>
      <c r="AF43" s="59">
        <f>35.8+15.1</f>
        <v>50.9</v>
      </c>
      <c r="AG43" s="55">
        <v>240</v>
      </c>
      <c r="AH43" s="48">
        <f t="shared" si="4"/>
        <v>53.8</v>
      </c>
      <c r="AI43" s="49">
        <f t="shared" si="5"/>
        <v>43.3</v>
      </c>
      <c r="AK43" s="50"/>
    </row>
    <row r="44" spans="1:88" ht="15.75" thickBot="1" x14ac:dyDescent="0.3">
      <c r="A44" s="60" t="s">
        <v>52</v>
      </c>
      <c r="B44" s="61">
        <f>SUM(B11:B42)</f>
        <v>560.39899999999989</v>
      </c>
      <c r="C44" s="61">
        <f>SUM(C11:C42)</f>
        <v>560.39899999999989</v>
      </c>
      <c r="D44" s="61">
        <f t="shared" ref="D44:AG44" si="6">SUM(D11:D42)</f>
        <v>559.99900000000002</v>
      </c>
      <c r="E44" s="61">
        <f t="shared" si="6"/>
        <v>559.99900000000002</v>
      </c>
      <c r="F44" s="61">
        <f t="shared" si="6"/>
        <v>559.99900000000002</v>
      </c>
      <c r="G44" s="61">
        <f t="shared" si="6"/>
        <v>559.99900000000002</v>
      </c>
      <c r="H44" s="61">
        <f t="shared" si="6"/>
        <v>559.99900000000002</v>
      </c>
      <c r="I44" s="61">
        <f t="shared" si="6"/>
        <v>559.99900000000002</v>
      </c>
      <c r="J44" s="61">
        <f t="shared" si="6"/>
        <v>559.99900000000002</v>
      </c>
      <c r="K44" s="61">
        <f t="shared" si="6"/>
        <v>559.99900000000002</v>
      </c>
      <c r="L44" s="61">
        <f t="shared" si="6"/>
        <v>559.99900000000002</v>
      </c>
      <c r="M44" s="61">
        <f t="shared" si="6"/>
        <v>559.19900000000007</v>
      </c>
      <c r="N44" s="61">
        <f t="shared" si="6"/>
        <v>559.19900000000007</v>
      </c>
      <c r="O44" s="61">
        <f t="shared" si="6"/>
        <v>559.19900000000007</v>
      </c>
      <c r="P44" s="61">
        <f t="shared" si="6"/>
        <v>558.899</v>
      </c>
      <c r="Q44" s="61">
        <f t="shared" si="6"/>
        <v>558.29899999999998</v>
      </c>
      <c r="R44" s="61">
        <f t="shared" si="6"/>
        <v>558.29899999999998</v>
      </c>
      <c r="S44" s="61">
        <f t="shared" si="6"/>
        <v>558.29899999999998</v>
      </c>
      <c r="T44" s="61">
        <f t="shared" si="6"/>
        <v>558.29899999999998</v>
      </c>
      <c r="U44" s="61">
        <f t="shared" si="6"/>
        <v>558.29899999999998</v>
      </c>
      <c r="V44" s="61">
        <f t="shared" si="6"/>
        <v>558.29899999999998</v>
      </c>
      <c r="W44" s="61">
        <f t="shared" si="6"/>
        <v>558.29899999999998</v>
      </c>
      <c r="X44" s="61">
        <f t="shared" si="6"/>
        <v>559.09899999999993</v>
      </c>
      <c r="Y44" s="61">
        <f t="shared" si="6"/>
        <v>560.399</v>
      </c>
      <c r="Z44" s="61">
        <f t="shared" si="6"/>
        <v>560.899</v>
      </c>
      <c r="AA44" s="61">
        <f t="shared" si="6"/>
        <v>560.899</v>
      </c>
      <c r="AB44" s="61">
        <f t="shared" si="6"/>
        <v>560.09899999999993</v>
      </c>
      <c r="AC44" s="61">
        <f t="shared" si="6"/>
        <v>560.09899999999993</v>
      </c>
      <c r="AD44" s="61">
        <f t="shared" si="6"/>
        <v>560.09899999999993</v>
      </c>
      <c r="AE44" s="61">
        <f t="shared" si="6"/>
        <v>560.09899999999993</v>
      </c>
      <c r="AF44" s="61">
        <f t="shared" si="6"/>
        <v>560.09899999999993</v>
      </c>
      <c r="AG44" s="62">
        <f t="shared" si="6"/>
        <v>814.78000000000009</v>
      </c>
      <c r="AH44" s="48">
        <f t="shared" si="4"/>
        <v>560.899</v>
      </c>
      <c r="AI44" s="49">
        <f t="shared" si="5"/>
        <v>558.29899999999998</v>
      </c>
      <c r="AK44" s="50"/>
    </row>
    <row r="45" spans="1:88" x14ac:dyDescent="0.25">
      <c r="A45" s="63" t="s">
        <v>53</v>
      </c>
      <c r="B45" s="45">
        <v>30</v>
      </c>
      <c r="C45" s="45">
        <v>15</v>
      </c>
      <c r="D45" s="45">
        <v>15</v>
      </c>
      <c r="E45" s="45">
        <v>15</v>
      </c>
      <c r="F45" s="45">
        <v>20</v>
      </c>
      <c r="G45" s="45">
        <v>15</v>
      </c>
      <c r="H45" s="45">
        <v>105</v>
      </c>
      <c r="I45" s="45">
        <v>100</v>
      </c>
      <c r="J45" s="45">
        <v>155</v>
      </c>
      <c r="K45" s="45">
        <v>220</v>
      </c>
      <c r="L45" s="45">
        <v>415</v>
      </c>
      <c r="M45" s="164">
        <v>380</v>
      </c>
      <c r="N45" s="45">
        <v>305</v>
      </c>
      <c r="O45" s="45">
        <v>290</v>
      </c>
      <c r="P45" s="45">
        <v>152</v>
      </c>
      <c r="Q45" s="45">
        <v>70</v>
      </c>
      <c r="R45" s="45">
        <v>50</v>
      </c>
      <c r="S45" s="45">
        <v>15</v>
      </c>
      <c r="T45" s="45">
        <v>35</v>
      </c>
      <c r="U45" s="45">
        <v>55</v>
      </c>
      <c r="V45" s="45">
        <v>185</v>
      </c>
      <c r="W45" s="45">
        <v>435</v>
      </c>
      <c r="X45" s="45">
        <v>450</v>
      </c>
      <c r="Y45" s="45">
        <v>410</v>
      </c>
      <c r="Z45" s="45">
        <v>370</v>
      </c>
      <c r="AA45" s="45">
        <v>180</v>
      </c>
      <c r="AB45" s="45">
        <v>80</v>
      </c>
      <c r="AC45" s="45">
        <v>120</v>
      </c>
      <c r="AD45" s="45">
        <v>100</v>
      </c>
      <c r="AE45" s="45">
        <v>30</v>
      </c>
      <c r="AF45" s="45">
        <v>15</v>
      </c>
      <c r="AG45" s="52">
        <v>456</v>
      </c>
      <c r="AH45" s="48">
        <f t="shared" si="4"/>
        <v>450</v>
      </c>
      <c r="AI45" s="49">
        <f t="shared" si="5"/>
        <v>15</v>
      </c>
      <c r="AK45" s="50"/>
    </row>
    <row r="46" spans="1:88" x14ac:dyDescent="0.25">
      <c r="A46" s="64" t="s">
        <v>54</v>
      </c>
      <c r="B46" s="65">
        <v>46</v>
      </c>
      <c r="C46" s="65">
        <v>46</v>
      </c>
      <c r="D46" s="65">
        <v>46</v>
      </c>
      <c r="E46" s="65">
        <v>46</v>
      </c>
      <c r="F46" s="65">
        <v>46</v>
      </c>
      <c r="G46" s="65">
        <v>46</v>
      </c>
      <c r="H46" s="65">
        <v>46</v>
      </c>
      <c r="I46" s="65">
        <v>46</v>
      </c>
      <c r="J46" s="65">
        <v>46</v>
      </c>
      <c r="K46" s="65">
        <v>46</v>
      </c>
      <c r="L46" s="65">
        <v>46</v>
      </c>
      <c r="M46" s="165">
        <v>46</v>
      </c>
      <c r="N46" s="65">
        <v>46</v>
      </c>
      <c r="O46" s="65">
        <v>46</v>
      </c>
      <c r="P46" s="65">
        <v>46</v>
      </c>
      <c r="Q46" s="65">
        <v>46</v>
      </c>
      <c r="R46" s="65">
        <v>46</v>
      </c>
      <c r="S46" s="65">
        <v>46</v>
      </c>
      <c r="T46" s="65">
        <v>46</v>
      </c>
      <c r="U46" s="65">
        <v>46</v>
      </c>
      <c r="V46" s="65">
        <v>46</v>
      </c>
      <c r="W46" s="65">
        <v>46</v>
      </c>
      <c r="X46" s="65">
        <v>46</v>
      </c>
      <c r="Y46" s="65">
        <v>46</v>
      </c>
      <c r="Z46" s="65">
        <v>46</v>
      </c>
      <c r="AA46" s="65">
        <v>46</v>
      </c>
      <c r="AB46" s="65">
        <v>46</v>
      </c>
      <c r="AC46" s="65">
        <v>46</v>
      </c>
      <c r="AD46" s="65">
        <v>46</v>
      </c>
      <c r="AE46" s="65">
        <v>46</v>
      </c>
      <c r="AF46" s="65">
        <v>46</v>
      </c>
      <c r="AG46" s="55">
        <v>60</v>
      </c>
      <c r="AH46" s="48">
        <f t="shared" si="4"/>
        <v>46</v>
      </c>
      <c r="AI46" s="49">
        <f t="shared" si="5"/>
        <v>46</v>
      </c>
      <c r="AK46" s="50"/>
    </row>
    <row r="47" spans="1:88" ht="15.75" thickBot="1" x14ac:dyDescent="0.3">
      <c r="A47" s="66" t="s">
        <v>55</v>
      </c>
      <c r="B47" s="67">
        <v>18.899999999999999</v>
      </c>
      <c r="C47" s="67">
        <v>18.3</v>
      </c>
      <c r="D47" s="67">
        <v>18.3</v>
      </c>
      <c r="E47" s="67">
        <v>18.3</v>
      </c>
      <c r="F47" s="67">
        <v>18.3</v>
      </c>
      <c r="G47" s="67">
        <v>18.3</v>
      </c>
      <c r="H47" s="67">
        <v>18.3</v>
      </c>
      <c r="I47" s="67">
        <v>18.3</v>
      </c>
      <c r="J47" s="67">
        <v>18.3</v>
      </c>
      <c r="K47" s="67">
        <v>18.3</v>
      </c>
      <c r="L47" s="67">
        <v>18.3</v>
      </c>
      <c r="M47" s="166">
        <v>18.3</v>
      </c>
      <c r="N47" s="67">
        <v>18.3</v>
      </c>
      <c r="O47" s="67">
        <v>18.3</v>
      </c>
      <c r="P47" s="67">
        <v>18.3</v>
      </c>
      <c r="Q47" s="67">
        <v>18.3</v>
      </c>
      <c r="R47" s="67">
        <v>18.399999999999999</v>
      </c>
      <c r="S47" s="67">
        <v>18</v>
      </c>
      <c r="T47" s="67">
        <v>18</v>
      </c>
      <c r="U47" s="67">
        <v>18</v>
      </c>
      <c r="V47" s="67">
        <v>6.2</v>
      </c>
      <c r="W47" s="67">
        <v>6.2</v>
      </c>
      <c r="X47" s="67">
        <v>6.2</v>
      </c>
      <c r="Y47" s="67">
        <v>6.2</v>
      </c>
      <c r="Z47" s="67">
        <v>6.2</v>
      </c>
      <c r="AA47" s="67">
        <v>6.2</v>
      </c>
      <c r="AB47" s="67">
        <v>18</v>
      </c>
      <c r="AC47" s="67">
        <v>19</v>
      </c>
      <c r="AD47" s="67">
        <v>19</v>
      </c>
      <c r="AE47" s="67">
        <v>18</v>
      </c>
      <c r="AF47" s="67">
        <v>18</v>
      </c>
      <c r="AG47" s="68">
        <v>22.1</v>
      </c>
      <c r="AH47" s="48">
        <f t="shared" si="4"/>
        <v>19</v>
      </c>
      <c r="AI47" s="49">
        <f t="shared" si="5"/>
        <v>6.2</v>
      </c>
      <c r="AK47" s="50"/>
    </row>
    <row r="48" spans="1:88" ht="15.75" thickBot="1" x14ac:dyDescent="0.3">
      <c r="A48" s="69" t="s">
        <v>56</v>
      </c>
      <c r="B48" s="61">
        <f t="shared" ref="B48:AG48" si="7">SUM(B45:B47)</f>
        <v>94.9</v>
      </c>
      <c r="C48" s="61">
        <f t="shared" si="7"/>
        <v>79.3</v>
      </c>
      <c r="D48" s="61">
        <f t="shared" si="7"/>
        <v>79.3</v>
      </c>
      <c r="E48" s="61">
        <f t="shared" si="7"/>
        <v>79.3</v>
      </c>
      <c r="F48" s="61">
        <f t="shared" si="7"/>
        <v>84.3</v>
      </c>
      <c r="G48" s="61">
        <f t="shared" si="7"/>
        <v>79.3</v>
      </c>
      <c r="H48" s="61">
        <f t="shared" si="7"/>
        <v>169.3</v>
      </c>
      <c r="I48" s="61">
        <f t="shared" si="7"/>
        <v>164.3</v>
      </c>
      <c r="J48" s="61">
        <f t="shared" si="7"/>
        <v>219.3</v>
      </c>
      <c r="K48" s="61">
        <f t="shared" si="7"/>
        <v>284.3</v>
      </c>
      <c r="L48" s="61">
        <f t="shared" si="7"/>
        <v>479.3</v>
      </c>
      <c r="M48" s="61">
        <f t="shared" si="7"/>
        <v>444.3</v>
      </c>
      <c r="N48" s="61">
        <f t="shared" si="7"/>
        <v>369.3</v>
      </c>
      <c r="O48" s="61">
        <f t="shared" si="7"/>
        <v>354.3</v>
      </c>
      <c r="P48" s="61">
        <f t="shared" si="7"/>
        <v>216.3</v>
      </c>
      <c r="Q48" s="61">
        <f t="shared" si="7"/>
        <v>134.30000000000001</v>
      </c>
      <c r="R48" s="61">
        <f t="shared" si="7"/>
        <v>114.4</v>
      </c>
      <c r="S48" s="61">
        <f t="shared" si="7"/>
        <v>79</v>
      </c>
      <c r="T48" s="61">
        <f t="shared" si="7"/>
        <v>99</v>
      </c>
      <c r="U48" s="61">
        <f t="shared" si="7"/>
        <v>119</v>
      </c>
      <c r="V48" s="61">
        <f t="shared" si="7"/>
        <v>237.2</v>
      </c>
      <c r="W48" s="61">
        <f t="shared" si="7"/>
        <v>487.2</v>
      </c>
      <c r="X48" s="61">
        <f t="shared" si="7"/>
        <v>502.2</v>
      </c>
      <c r="Y48" s="61">
        <f t="shared" si="7"/>
        <v>462.2</v>
      </c>
      <c r="Z48" s="61">
        <f t="shared" si="7"/>
        <v>422.2</v>
      </c>
      <c r="AA48" s="61">
        <f t="shared" si="7"/>
        <v>232.2</v>
      </c>
      <c r="AB48" s="61">
        <f t="shared" si="7"/>
        <v>144</v>
      </c>
      <c r="AC48" s="61">
        <f t="shared" si="7"/>
        <v>185</v>
      </c>
      <c r="AD48" s="61">
        <f t="shared" si="7"/>
        <v>165</v>
      </c>
      <c r="AE48" s="61">
        <f t="shared" si="7"/>
        <v>94</v>
      </c>
      <c r="AF48" s="61">
        <f t="shared" si="7"/>
        <v>79</v>
      </c>
      <c r="AG48" s="62">
        <f t="shared" si="7"/>
        <v>538.1</v>
      </c>
      <c r="AH48" s="48">
        <f t="shared" si="4"/>
        <v>502.2</v>
      </c>
      <c r="AI48" s="49">
        <f t="shared" si="5"/>
        <v>79</v>
      </c>
      <c r="AK48" s="50"/>
    </row>
    <row r="49" spans="1:41" x14ac:dyDescent="0.25">
      <c r="A49" s="44" t="s">
        <v>57</v>
      </c>
      <c r="B49" s="45">
        <v>60.7</v>
      </c>
      <c r="C49" s="45">
        <v>30.5</v>
      </c>
      <c r="D49" s="45">
        <v>0</v>
      </c>
      <c r="E49" s="45">
        <v>0</v>
      </c>
      <c r="F49" s="45">
        <v>0</v>
      </c>
      <c r="G49" s="45">
        <v>42.7</v>
      </c>
      <c r="H49" s="45">
        <v>47.2</v>
      </c>
      <c r="I49" s="45">
        <v>89.8</v>
      </c>
      <c r="J49" s="45">
        <v>143.9</v>
      </c>
      <c r="K49" s="45">
        <v>143.69999999999999</v>
      </c>
      <c r="L49" s="45">
        <v>143.30000000000001</v>
      </c>
      <c r="M49" s="45">
        <v>143.4</v>
      </c>
      <c r="N49" s="45">
        <v>143.19999999999999</v>
      </c>
      <c r="O49" s="45">
        <v>143</v>
      </c>
      <c r="P49" s="45">
        <v>120</v>
      </c>
      <c r="Q49" s="45">
        <v>116.4</v>
      </c>
      <c r="R49" s="45">
        <v>96</v>
      </c>
      <c r="S49" s="45">
        <v>90</v>
      </c>
      <c r="T49" s="45">
        <v>90</v>
      </c>
      <c r="U49" s="45">
        <v>122.6</v>
      </c>
      <c r="V49" s="45">
        <v>122.6</v>
      </c>
      <c r="W49" s="45">
        <v>141.9</v>
      </c>
      <c r="X49" s="45">
        <v>142.30000000000001</v>
      </c>
      <c r="Y49" s="45">
        <v>142</v>
      </c>
      <c r="Z49" s="45">
        <v>141.5</v>
      </c>
      <c r="AA49" s="45">
        <v>141.1</v>
      </c>
      <c r="AB49" s="45">
        <v>141</v>
      </c>
      <c r="AC49" s="45">
        <v>89.8</v>
      </c>
      <c r="AD49" s="45">
        <v>60.6</v>
      </c>
      <c r="AE49" s="45">
        <v>45</v>
      </c>
      <c r="AF49" s="45">
        <v>25</v>
      </c>
      <c r="AG49" s="52">
        <v>144</v>
      </c>
      <c r="AH49" s="48">
        <f t="shared" si="4"/>
        <v>143.9</v>
      </c>
      <c r="AI49" s="49">
        <f t="shared" si="5"/>
        <v>0</v>
      </c>
      <c r="AK49" s="50"/>
    </row>
    <row r="50" spans="1:41" x14ac:dyDescent="0.25">
      <c r="A50" s="54" t="s">
        <v>58</v>
      </c>
      <c r="B50" s="65">
        <v>30.5</v>
      </c>
      <c r="C50" s="65">
        <v>0</v>
      </c>
      <c r="D50" s="65">
        <v>0</v>
      </c>
      <c r="E50" s="65">
        <v>0</v>
      </c>
      <c r="F50" s="65">
        <v>0</v>
      </c>
      <c r="G50" s="65">
        <v>35.200000000000003</v>
      </c>
      <c r="H50" s="65">
        <v>35</v>
      </c>
      <c r="I50" s="65">
        <v>35</v>
      </c>
      <c r="J50" s="65">
        <v>65.2</v>
      </c>
      <c r="K50" s="65">
        <v>69</v>
      </c>
      <c r="L50" s="65">
        <v>70.3</v>
      </c>
      <c r="M50" s="65">
        <v>70.3</v>
      </c>
      <c r="N50" s="65">
        <v>62.7</v>
      </c>
      <c r="O50" s="65">
        <v>70.7</v>
      </c>
      <c r="P50" s="65">
        <v>55</v>
      </c>
      <c r="Q50" s="65">
        <v>65.8</v>
      </c>
      <c r="R50" s="45">
        <v>50</v>
      </c>
      <c r="S50" s="45">
        <v>62</v>
      </c>
      <c r="T50" s="45">
        <v>62</v>
      </c>
      <c r="U50" s="45">
        <v>47.6</v>
      </c>
      <c r="V50" s="45">
        <v>56.4</v>
      </c>
      <c r="W50" s="65">
        <v>70.599999999999994</v>
      </c>
      <c r="X50" s="65">
        <v>72.3</v>
      </c>
      <c r="Y50" s="65">
        <v>71.400000000000006</v>
      </c>
      <c r="Z50" s="65">
        <v>69</v>
      </c>
      <c r="AA50" s="65">
        <v>70.099999999999994</v>
      </c>
      <c r="AB50" s="65">
        <v>69</v>
      </c>
      <c r="AC50" s="65">
        <v>50</v>
      </c>
      <c r="AD50" s="65">
        <v>49.6</v>
      </c>
      <c r="AE50" s="65">
        <v>34</v>
      </c>
      <c r="AF50" s="65">
        <v>26</v>
      </c>
      <c r="AG50" s="55">
        <v>70</v>
      </c>
      <c r="AH50" s="48">
        <f t="shared" si="4"/>
        <v>72.3</v>
      </c>
      <c r="AI50" s="49">
        <f t="shared" si="5"/>
        <v>0</v>
      </c>
      <c r="AK50" s="50"/>
    </row>
    <row r="51" spans="1:41" x14ac:dyDescent="0.25">
      <c r="A51" s="54" t="s">
        <v>59</v>
      </c>
      <c r="B51" s="65">
        <v>61</v>
      </c>
      <c r="C51" s="65">
        <v>45.4</v>
      </c>
      <c r="D51" s="65">
        <v>35.5</v>
      </c>
      <c r="E51" s="65">
        <v>15.41</v>
      </c>
      <c r="F51" s="65">
        <v>22.5</v>
      </c>
      <c r="G51" s="65">
        <v>45.6</v>
      </c>
      <c r="H51" s="65">
        <v>44.2</v>
      </c>
      <c r="I51" s="65">
        <v>46.7</v>
      </c>
      <c r="J51" s="65">
        <v>46.9</v>
      </c>
      <c r="K51" s="65">
        <v>46.6</v>
      </c>
      <c r="L51" s="65">
        <v>46.41</v>
      </c>
      <c r="M51" s="65">
        <v>69</v>
      </c>
      <c r="N51" s="65">
        <v>65.900000000000006</v>
      </c>
      <c r="O51" s="65">
        <v>69.099999999999994</v>
      </c>
      <c r="P51" s="65">
        <v>55</v>
      </c>
      <c r="Q51" s="65">
        <v>32.4</v>
      </c>
      <c r="R51" s="45">
        <v>32</v>
      </c>
      <c r="S51" s="45">
        <v>45.5</v>
      </c>
      <c r="T51" s="45">
        <v>45.5</v>
      </c>
      <c r="U51" s="45">
        <v>69.5</v>
      </c>
      <c r="V51" s="45">
        <v>69.3</v>
      </c>
      <c r="W51" s="65">
        <v>69.2</v>
      </c>
      <c r="X51" s="65">
        <v>69.099999999999994</v>
      </c>
      <c r="Y51" s="65">
        <v>67.900000000000006</v>
      </c>
      <c r="Z51" s="65">
        <v>68.900000000000006</v>
      </c>
      <c r="AA51" s="65">
        <v>69.099999999999994</v>
      </c>
      <c r="AB51" s="65">
        <v>68.8</v>
      </c>
      <c r="AC51" s="65">
        <v>69</v>
      </c>
      <c r="AD51" s="65">
        <v>69.7</v>
      </c>
      <c r="AE51" s="65">
        <v>53.6</v>
      </c>
      <c r="AF51" s="65">
        <v>35</v>
      </c>
      <c r="AG51" s="55">
        <v>69</v>
      </c>
      <c r="AH51" s="48">
        <f t="shared" si="4"/>
        <v>69.7</v>
      </c>
      <c r="AI51" s="49">
        <f t="shared" si="5"/>
        <v>15.41</v>
      </c>
      <c r="AK51" s="50"/>
    </row>
    <row r="52" spans="1:41" x14ac:dyDescent="0.25">
      <c r="A52" s="54" t="s">
        <v>60</v>
      </c>
      <c r="B52" s="57">
        <v>60.7</v>
      </c>
      <c r="C52" s="57">
        <v>61</v>
      </c>
      <c r="D52" s="57">
        <v>61</v>
      </c>
      <c r="E52" s="57">
        <v>60.7</v>
      </c>
      <c r="F52" s="57">
        <v>60.7</v>
      </c>
      <c r="G52" s="57">
        <v>60.7</v>
      </c>
      <c r="H52" s="57">
        <v>60.7</v>
      </c>
      <c r="I52" s="57">
        <v>60.7</v>
      </c>
      <c r="J52" s="57">
        <v>60.7</v>
      </c>
      <c r="K52" s="57">
        <v>60.7</v>
      </c>
      <c r="L52" s="57">
        <v>60.7</v>
      </c>
      <c r="M52" s="57">
        <v>60.7</v>
      </c>
      <c r="N52" s="57">
        <v>60.7</v>
      </c>
      <c r="O52" s="65">
        <v>60.7</v>
      </c>
      <c r="P52" s="65">
        <v>60.3</v>
      </c>
      <c r="Q52" s="65">
        <v>60.7</v>
      </c>
      <c r="R52" s="65">
        <v>60.7</v>
      </c>
      <c r="S52" s="65">
        <v>60.7</v>
      </c>
      <c r="T52" s="65">
        <v>60.7</v>
      </c>
      <c r="U52" s="65">
        <v>60.7</v>
      </c>
      <c r="V52" s="65">
        <v>60.7</v>
      </c>
      <c r="W52" s="45">
        <v>60.7</v>
      </c>
      <c r="X52" s="45">
        <v>60.7</v>
      </c>
      <c r="Y52" s="45">
        <v>60.7</v>
      </c>
      <c r="Z52" s="45">
        <v>60.7</v>
      </c>
      <c r="AA52" s="45">
        <v>60.7</v>
      </c>
      <c r="AB52" s="65">
        <v>60.7</v>
      </c>
      <c r="AC52" s="65">
        <v>60.7</v>
      </c>
      <c r="AD52" s="65">
        <v>60.7</v>
      </c>
      <c r="AE52" s="65">
        <v>60.7</v>
      </c>
      <c r="AF52" s="57">
        <v>60.7</v>
      </c>
      <c r="AG52" s="55">
        <v>60</v>
      </c>
      <c r="AH52" s="48">
        <f t="shared" si="4"/>
        <v>61</v>
      </c>
      <c r="AI52" s="49">
        <f t="shared" si="5"/>
        <v>60.3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15</v>
      </c>
      <c r="H53" s="57">
        <v>13.6</v>
      </c>
      <c r="I53" s="57">
        <v>15</v>
      </c>
      <c r="J53" s="57">
        <v>13.4</v>
      </c>
      <c r="K53" s="57">
        <v>29</v>
      </c>
      <c r="L53" s="57">
        <v>30</v>
      </c>
      <c r="M53" s="57">
        <v>27</v>
      </c>
      <c r="N53" s="57">
        <v>27</v>
      </c>
      <c r="O53" s="65">
        <v>13.2</v>
      </c>
      <c r="P53" s="65">
        <v>13.5</v>
      </c>
      <c r="Q53" s="65">
        <v>13.5</v>
      </c>
      <c r="R53" s="65">
        <v>13.5</v>
      </c>
      <c r="S53" s="65">
        <v>13.5</v>
      </c>
      <c r="T53" s="65">
        <v>13.5</v>
      </c>
      <c r="U53" s="65">
        <v>13.5</v>
      </c>
      <c r="V53" s="65">
        <v>13.5</v>
      </c>
      <c r="W53" s="45">
        <v>25.9</v>
      </c>
      <c r="X53" s="45">
        <v>29.9</v>
      </c>
      <c r="Y53" s="45">
        <v>29.6</v>
      </c>
      <c r="Z53" s="45">
        <v>29.2</v>
      </c>
      <c r="AA53" s="45">
        <v>29.2</v>
      </c>
      <c r="AB53" s="65">
        <v>26</v>
      </c>
      <c r="AC53" s="65">
        <v>13.3</v>
      </c>
      <c r="AD53" s="65">
        <v>13.3</v>
      </c>
      <c r="AE53" s="65">
        <v>0</v>
      </c>
      <c r="AF53" s="57">
        <v>0</v>
      </c>
      <c r="AG53" s="55">
        <v>30</v>
      </c>
      <c r="AH53" s="48">
        <f t="shared" si="4"/>
        <v>30</v>
      </c>
      <c r="AI53" s="49">
        <f t="shared" si="5"/>
        <v>0</v>
      </c>
      <c r="AK53" s="50"/>
    </row>
    <row r="54" spans="1:41" x14ac:dyDescent="0.25">
      <c r="A54" s="54" t="s">
        <v>62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25</v>
      </c>
      <c r="AH54" s="48">
        <f t="shared" si="4"/>
        <v>0</v>
      </c>
      <c r="AI54" s="49">
        <f t="shared" si="5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17.100000000000001</v>
      </c>
      <c r="S55" s="65">
        <v>17.100000000000001</v>
      </c>
      <c r="T55" s="65">
        <v>17.100000000000001</v>
      </c>
      <c r="U55" s="65">
        <v>17.100000000000001</v>
      </c>
      <c r="V55" s="65">
        <v>17.100000000000001</v>
      </c>
      <c r="W55" s="65">
        <v>17.100000000000001</v>
      </c>
      <c r="X55" s="65">
        <v>17.100000000000001</v>
      </c>
      <c r="Y55" s="65">
        <v>17.100000000000001</v>
      </c>
      <c r="Z55" s="65">
        <v>17.100000000000001</v>
      </c>
      <c r="AA55" s="65">
        <v>17.100000000000001</v>
      </c>
      <c r="AB55" s="65">
        <v>17.100000000000001</v>
      </c>
      <c r="AC55" s="65">
        <v>17.100000000000001</v>
      </c>
      <c r="AD55" s="65">
        <v>17.100000000000001</v>
      </c>
      <c r="AE55" s="65">
        <v>17.100000000000001</v>
      </c>
      <c r="AF55" s="65">
        <v>17.100000000000001</v>
      </c>
      <c r="AG55" s="55">
        <v>24</v>
      </c>
      <c r="AH55" s="48">
        <f t="shared" si="4"/>
        <v>17.100000000000001</v>
      </c>
      <c r="AI55" s="49">
        <f t="shared" si="5"/>
        <v>17.100000000000001</v>
      </c>
      <c r="AK55" s="50"/>
    </row>
    <row r="56" spans="1:41" x14ac:dyDescent="0.25">
      <c r="A56" s="54" t="s">
        <v>64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4"/>
        <v>0</v>
      </c>
      <c r="AI56" s="49">
        <f t="shared" si="5"/>
        <v>0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15.6</v>
      </c>
      <c r="C57" s="65">
        <v>14.6</v>
      </c>
      <c r="D57" s="65">
        <v>14.6</v>
      </c>
      <c r="E57" s="65">
        <v>14.6</v>
      </c>
      <c r="F57" s="65">
        <v>14.6</v>
      </c>
      <c r="G57" s="65">
        <v>14.6</v>
      </c>
      <c r="H57" s="65">
        <v>14.6</v>
      </c>
      <c r="I57" s="65">
        <v>14.6</v>
      </c>
      <c r="J57" s="65">
        <v>14.6</v>
      </c>
      <c r="K57" s="65">
        <v>14.6</v>
      </c>
      <c r="L57" s="65">
        <v>14.6</v>
      </c>
      <c r="M57" s="65">
        <v>14.6</v>
      </c>
      <c r="N57" s="65">
        <v>14.6</v>
      </c>
      <c r="O57" s="65">
        <v>14.6</v>
      </c>
      <c r="P57" s="65">
        <v>14.6</v>
      </c>
      <c r="Q57" s="65">
        <v>14.6</v>
      </c>
      <c r="R57" s="65">
        <v>14.6</v>
      </c>
      <c r="S57" s="65">
        <v>14.6</v>
      </c>
      <c r="T57" s="65">
        <v>14.6</v>
      </c>
      <c r="U57" s="65">
        <v>14.6</v>
      </c>
      <c r="V57" s="65">
        <v>14.6</v>
      </c>
      <c r="W57" s="65">
        <v>14.6</v>
      </c>
      <c r="X57" s="65">
        <v>14.6</v>
      </c>
      <c r="Y57" s="65">
        <v>13.2</v>
      </c>
      <c r="Z57" s="65">
        <v>13.2</v>
      </c>
      <c r="AA57" s="65">
        <v>13.2</v>
      </c>
      <c r="AB57" s="65">
        <v>13.2</v>
      </c>
      <c r="AC57" s="65">
        <v>13.2</v>
      </c>
      <c r="AD57" s="65">
        <v>13.2</v>
      </c>
      <c r="AE57" s="65">
        <v>13.2</v>
      </c>
      <c r="AF57" s="65">
        <v>13.2</v>
      </c>
      <c r="AG57" s="55">
        <v>14.1</v>
      </c>
      <c r="AH57" s="48">
        <f t="shared" si="4"/>
        <v>15.6</v>
      </c>
      <c r="AI57" s="49">
        <f t="shared" si="5"/>
        <v>13.2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7.3</v>
      </c>
      <c r="C58" s="65">
        <v>7</v>
      </c>
      <c r="D58" s="65">
        <v>7</v>
      </c>
      <c r="E58" s="65">
        <v>7</v>
      </c>
      <c r="F58" s="65">
        <v>7</v>
      </c>
      <c r="G58" s="65">
        <v>7</v>
      </c>
      <c r="H58" s="65">
        <v>7</v>
      </c>
      <c r="I58" s="65">
        <v>7</v>
      </c>
      <c r="J58" s="65">
        <v>7</v>
      </c>
      <c r="K58" s="65">
        <v>7</v>
      </c>
      <c r="L58" s="65">
        <v>7</v>
      </c>
      <c r="M58" s="65">
        <v>7</v>
      </c>
      <c r="N58" s="65">
        <v>7</v>
      </c>
      <c r="O58" s="65">
        <v>7</v>
      </c>
      <c r="P58" s="65">
        <v>7</v>
      </c>
      <c r="Q58" s="65">
        <v>7</v>
      </c>
      <c r="R58" s="65">
        <v>7</v>
      </c>
      <c r="S58" s="65">
        <v>7</v>
      </c>
      <c r="T58" s="65">
        <v>7</v>
      </c>
      <c r="U58" s="65">
        <v>7</v>
      </c>
      <c r="V58" s="65">
        <v>7</v>
      </c>
      <c r="W58" s="65">
        <v>7</v>
      </c>
      <c r="X58" s="65">
        <v>7</v>
      </c>
      <c r="Y58" s="65">
        <v>7</v>
      </c>
      <c r="Z58" s="65">
        <v>7</v>
      </c>
      <c r="AA58" s="65">
        <v>7</v>
      </c>
      <c r="AB58" s="65">
        <v>7</v>
      </c>
      <c r="AC58" s="65">
        <v>7</v>
      </c>
      <c r="AD58" s="65">
        <v>7</v>
      </c>
      <c r="AE58" s="65">
        <v>7</v>
      </c>
      <c r="AF58" s="65">
        <v>7</v>
      </c>
      <c r="AG58" s="55">
        <v>14</v>
      </c>
      <c r="AH58" s="48">
        <f t="shared" si="4"/>
        <v>7.3</v>
      </c>
      <c r="AI58" s="49">
        <f t="shared" si="5"/>
        <v>7</v>
      </c>
      <c r="AK58" s="50"/>
    </row>
    <row r="59" spans="1:41" x14ac:dyDescent="0.25">
      <c r="A59" s="54" t="s">
        <v>67</v>
      </c>
      <c r="B59" s="65">
        <v>5.0999999999999996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4"/>
        <v>6.5</v>
      </c>
      <c r="AI59" s="49">
        <f t="shared" si="5"/>
        <v>5.0999999999999996</v>
      </c>
      <c r="AK59" s="50"/>
    </row>
    <row r="60" spans="1:41" x14ac:dyDescent="0.25">
      <c r="A60" s="54" t="s">
        <v>68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>
        <v>3.6</v>
      </c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4"/>
        <v>3.6</v>
      </c>
      <c r="AI60" s="49">
        <f t="shared" si="5"/>
        <v>3.6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4"/>
        <v>3.54</v>
      </c>
      <c r="AI61" s="49">
        <f t="shared" si="5"/>
        <v>3.54</v>
      </c>
      <c r="AK61" s="50"/>
    </row>
    <row r="62" spans="1:41" ht="15.75" thickBot="1" x14ac:dyDescent="0.3">
      <c r="A62" s="74" t="s">
        <v>70</v>
      </c>
      <c r="B62" s="61">
        <f t="shared" ref="B62:AG62" si="8">SUM(B49:B61)</f>
        <v>265.14000000000004</v>
      </c>
      <c r="C62" s="61">
        <f t="shared" si="8"/>
        <v>189.23999999999998</v>
      </c>
      <c r="D62" s="61">
        <f t="shared" si="8"/>
        <v>148.83999999999997</v>
      </c>
      <c r="E62" s="61">
        <f t="shared" si="8"/>
        <v>128.44999999999999</v>
      </c>
      <c r="F62" s="61">
        <f t="shared" si="8"/>
        <v>135.54</v>
      </c>
      <c r="G62" s="61">
        <f t="shared" si="8"/>
        <v>251.53999999999996</v>
      </c>
      <c r="H62" s="61">
        <f t="shared" si="8"/>
        <v>253.04</v>
      </c>
      <c r="I62" s="61">
        <f t="shared" si="8"/>
        <v>299.54000000000008</v>
      </c>
      <c r="J62" s="61">
        <f t="shared" si="8"/>
        <v>382.44000000000005</v>
      </c>
      <c r="K62" s="61">
        <f t="shared" si="8"/>
        <v>401.34000000000009</v>
      </c>
      <c r="L62" s="61">
        <f t="shared" si="8"/>
        <v>403.05000000000007</v>
      </c>
      <c r="M62" s="61">
        <f t="shared" si="8"/>
        <v>422.74000000000007</v>
      </c>
      <c r="N62" s="61">
        <f t="shared" si="8"/>
        <v>411.84000000000003</v>
      </c>
      <c r="O62" s="61">
        <f t="shared" si="8"/>
        <v>409.04</v>
      </c>
      <c r="P62" s="61">
        <f t="shared" si="8"/>
        <v>356.1400000000001</v>
      </c>
      <c r="Q62" s="61">
        <f t="shared" si="8"/>
        <v>341.1400000000001</v>
      </c>
      <c r="R62" s="61">
        <f t="shared" si="8"/>
        <v>304.54000000000008</v>
      </c>
      <c r="S62" s="61">
        <f t="shared" si="8"/>
        <v>324.04000000000008</v>
      </c>
      <c r="T62" s="61">
        <f t="shared" si="8"/>
        <v>324.04000000000008</v>
      </c>
      <c r="U62" s="61">
        <f t="shared" si="8"/>
        <v>366.24000000000007</v>
      </c>
      <c r="V62" s="61">
        <f t="shared" si="8"/>
        <v>374.84000000000009</v>
      </c>
      <c r="W62" s="61">
        <f t="shared" si="8"/>
        <v>420.64000000000004</v>
      </c>
      <c r="X62" s="61">
        <f t="shared" si="8"/>
        <v>426.6400000000001</v>
      </c>
      <c r="Y62" s="61">
        <f t="shared" si="8"/>
        <v>422.54000000000008</v>
      </c>
      <c r="Z62" s="61">
        <f t="shared" si="8"/>
        <v>420.24</v>
      </c>
      <c r="AA62" s="61">
        <f t="shared" si="8"/>
        <v>421.14</v>
      </c>
      <c r="AB62" s="61">
        <f t="shared" si="8"/>
        <v>416.44000000000005</v>
      </c>
      <c r="AC62" s="61">
        <f t="shared" si="8"/>
        <v>333.74000000000007</v>
      </c>
      <c r="AD62" s="61">
        <f t="shared" si="8"/>
        <v>304.84000000000009</v>
      </c>
      <c r="AE62" s="61">
        <f t="shared" si="8"/>
        <v>244.23999999999998</v>
      </c>
      <c r="AF62" s="61">
        <f t="shared" si="8"/>
        <v>197.63999999999996</v>
      </c>
      <c r="AG62" s="62">
        <f t="shared" si="8"/>
        <v>489.91</v>
      </c>
      <c r="AH62" s="48">
        <f t="shared" si="4"/>
        <v>426.6400000000001</v>
      </c>
      <c r="AI62" s="49">
        <f t="shared" si="5"/>
        <v>128.44999999999999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14.3</v>
      </c>
      <c r="K63" s="45">
        <v>44.7</v>
      </c>
      <c r="L63" s="45">
        <v>59.1</v>
      </c>
      <c r="M63" s="45">
        <v>59.7</v>
      </c>
      <c r="N63" s="45">
        <v>39.799999999999997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43</v>
      </c>
      <c r="X63" s="45">
        <v>50.1</v>
      </c>
      <c r="Y63" s="45">
        <v>49.4</v>
      </c>
      <c r="Z63" s="45">
        <v>20</v>
      </c>
      <c r="AA63" s="45">
        <v>60</v>
      </c>
      <c r="AB63" s="45">
        <v>40</v>
      </c>
      <c r="AC63" s="45">
        <v>13.7</v>
      </c>
      <c r="AD63" s="45">
        <v>0</v>
      </c>
      <c r="AE63" s="45">
        <v>0</v>
      </c>
      <c r="AF63" s="45">
        <v>0</v>
      </c>
      <c r="AG63" s="52">
        <v>60</v>
      </c>
      <c r="AH63" s="48">
        <f t="shared" si="4"/>
        <v>60</v>
      </c>
      <c r="AI63" s="49">
        <f t="shared" si="5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9.74</v>
      </c>
      <c r="K64" s="65">
        <v>20.41</v>
      </c>
      <c r="L64" s="65">
        <v>29.5</v>
      </c>
      <c r="M64" s="65">
        <v>27.8</v>
      </c>
      <c r="N64" s="65">
        <v>16.8</v>
      </c>
      <c r="O64" s="65">
        <v>5.9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17</v>
      </c>
      <c r="X64" s="65">
        <v>22.6</v>
      </c>
      <c r="Y64" s="65">
        <v>22.5</v>
      </c>
      <c r="Z64" s="65">
        <v>14.1</v>
      </c>
      <c r="AA64" s="65">
        <v>27</v>
      </c>
      <c r="AB64" s="65">
        <v>21.7</v>
      </c>
      <c r="AC64" s="65">
        <v>6.5</v>
      </c>
      <c r="AD64" s="65">
        <v>0</v>
      </c>
      <c r="AE64" s="65">
        <v>0</v>
      </c>
      <c r="AF64" s="65">
        <v>0</v>
      </c>
      <c r="AG64" s="55">
        <v>32</v>
      </c>
      <c r="AH64" s="48">
        <f t="shared" si="4"/>
        <v>29.5</v>
      </c>
      <c r="AI64" s="49">
        <f t="shared" si="5"/>
        <v>0</v>
      </c>
      <c r="AK64" s="50"/>
    </row>
    <row r="65" spans="1:37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3.5</v>
      </c>
      <c r="K65" s="67">
        <v>7.3</v>
      </c>
      <c r="L65" s="67">
        <v>10.8</v>
      </c>
      <c r="M65" s="67">
        <v>10.1</v>
      </c>
      <c r="N65" s="67">
        <v>6.1</v>
      </c>
      <c r="O65" s="67">
        <v>2.1</v>
      </c>
      <c r="P65" s="67">
        <v>0</v>
      </c>
      <c r="Q65" s="67">
        <v>0</v>
      </c>
      <c r="R65" s="67">
        <v>0</v>
      </c>
      <c r="S65" s="67">
        <v>0</v>
      </c>
      <c r="T65" s="67">
        <v>0</v>
      </c>
      <c r="U65" s="67">
        <v>0</v>
      </c>
      <c r="V65" s="67">
        <v>0</v>
      </c>
      <c r="W65" s="67">
        <v>6.2</v>
      </c>
      <c r="X65" s="67">
        <v>8.1999999999999993</v>
      </c>
      <c r="Y65" s="67">
        <v>8.1999999999999993</v>
      </c>
      <c r="Z65" s="67">
        <v>5.0999999999999996</v>
      </c>
      <c r="AA65" s="67">
        <v>9.9</v>
      </c>
      <c r="AB65" s="67">
        <v>7.9</v>
      </c>
      <c r="AC65" s="67">
        <v>2.4</v>
      </c>
      <c r="AD65" s="67">
        <v>0</v>
      </c>
      <c r="AE65" s="67">
        <v>0</v>
      </c>
      <c r="AF65" s="67">
        <v>0</v>
      </c>
      <c r="AG65" s="68">
        <v>14</v>
      </c>
      <c r="AH65" s="48">
        <f t="shared" si="4"/>
        <v>10.8</v>
      </c>
      <c r="AI65" s="49">
        <f t="shared" si="5"/>
        <v>0</v>
      </c>
      <c r="AK65" s="50"/>
    </row>
    <row r="66" spans="1:37" ht="15.75" thickBot="1" x14ac:dyDescent="0.3">
      <c r="A66" s="74" t="s">
        <v>74</v>
      </c>
      <c r="B66" s="61">
        <f t="shared" ref="B66:AG66" si="9">SUM(B63:B65)</f>
        <v>0</v>
      </c>
      <c r="C66" s="61">
        <f t="shared" si="9"/>
        <v>0</v>
      </c>
      <c r="D66" s="61">
        <f t="shared" si="9"/>
        <v>0</v>
      </c>
      <c r="E66" s="61">
        <f t="shared" si="9"/>
        <v>0</v>
      </c>
      <c r="F66" s="61">
        <f t="shared" si="9"/>
        <v>0</v>
      </c>
      <c r="G66" s="61">
        <f t="shared" si="9"/>
        <v>0</v>
      </c>
      <c r="H66" s="61">
        <f t="shared" si="9"/>
        <v>0</v>
      </c>
      <c r="I66" s="61">
        <f t="shared" si="9"/>
        <v>0</v>
      </c>
      <c r="J66" s="61">
        <f t="shared" si="9"/>
        <v>27.54</v>
      </c>
      <c r="K66" s="61">
        <f t="shared" si="9"/>
        <v>72.41</v>
      </c>
      <c r="L66" s="61">
        <f t="shared" si="9"/>
        <v>99.399999999999991</v>
      </c>
      <c r="M66" s="61">
        <f t="shared" si="9"/>
        <v>97.6</v>
      </c>
      <c r="N66" s="61">
        <f t="shared" si="9"/>
        <v>62.699999999999996</v>
      </c>
      <c r="O66" s="61">
        <f t="shared" si="9"/>
        <v>8</v>
      </c>
      <c r="P66" s="61">
        <v>0</v>
      </c>
      <c r="Q66" s="61">
        <f t="shared" si="9"/>
        <v>0</v>
      </c>
      <c r="R66" s="61">
        <f t="shared" si="9"/>
        <v>0</v>
      </c>
      <c r="S66" s="61">
        <f t="shared" si="9"/>
        <v>0</v>
      </c>
      <c r="T66" s="61">
        <f t="shared" si="9"/>
        <v>0</v>
      </c>
      <c r="U66" s="61">
        <f t="shared" si="9"/>
        <v>0</v>
      </c>
      <c r="V66" s="61">
        <f t="shared" si="9"/>
        <v>0</v>
      </c>
      <c r="W66" s="61">
        <f t="shared" si="9"/>
        <v>66.2</v>
      </c>
      <c r="X66" s="61">
        <f t="shared" si="9"/>
        <v>80.900000000000006</v>
      </c>
      <c r="Y66" s="61">
        <f t="shared" si="9"/>
        <v>80.100000000000009</v>
      </c>
      <c r="Z66" s="61">
        <f t="shared" si="9"/>
        <v>39.200000000000003</v>
      </c>
      <c r="AA66" s="61">
        <f t="shared" si="9"/>
        <v>96.9</v>
      </c>
      <c r="AB66" s="61">
        <f t="shared" si="9"/>
        <v>69.600000000000009</v>
      </c>
      <c r="AC66" s="61">
        <f t="shared" si="9"/>
        <v>22.599999999999998</v>
      </c>
      <c r="AD66" s="61">
        <f t="shared" si="9"/>
        <v>0</v>
      </c>
      <c r="AE66" s="61">
        <f t="shared" si="9"/>
        <v>0</v>
      </c>
      <c r="AF66" s="61">
        <f t="shared" si="9"/>
        <v>0</v>
      </c>
      <c r="AG66" s="62">
        <f t="shared" si="9"/>
        <v>106</v>
      </c>
      <c r="AH66" s="48">
        <f t="shared" si="4"/>
        <v>99.399999999999991</v>
      </c>
      <c r="AI66" s="49">
        <f t="shared" si="5"/>
        <v>0</v>
      </c>
      <c r="AK66" s="50"/>
    </row>
    <row r="67" spans="1:37" x14ac:dyDescent="0.25">
      <c r="A67" s="44" t="s">
        <v>75</v>
      </c>
      <c r="B67" s="45">
        <v>50.2</v>
      </c>
      <c r="C67" s="45">
        <v>46.3</v>
      </c>
      <c r="D67" s="45">
        <v>47</v>
      </c>
      <c r="E67" s="45">
        <v>61</v>
      </c>
      <c r="F67" s="45">
        <v>63.7</v>
      </c>
      <c r="G67" s="45">
        <v>60</v>
      </c>
      <c r="H67" s="45">
        <v>65</v>
      </c>
      <c r="I67" s="45">
        <v>67.599999999999994</v>
      </c>
      <c r="J67" s="45">
        <v>65</v>
      </c>
      <c r="K67" s="45">
        <v>68.7</v>
      </c>
      <c r="L67" s="45">
        <v>50.9</v>
      </c>
      <c r="M67" s="45">
        <v>41.4</v>
      </c>
      <c r="N67" s="45">
        <v>47.8</v>
      </c>
      <c r="O67" s="45">
        <v>65</v>
      </c>
      <c r="P67" s="45">
        <v>65.3</v>
      </c>
      <c r="Q67" s="45">
        <v>57</v>
      </c>
      <c r="R67" s="45">
        <v>67</v>
      </c>
      <c r="S67" s="45">
        <v>73.3</v>
      </c>
      <c r="T67" s="45">
        <v>73.3</v>
      </c>
      <c r="U67" s="45">
        <v>70.599999999999994</v>
      </c>
      <c r="V67" s="45">
        <v>72</v>
      </c>
      <c r="W67" s="45">
        <v>41.5</v>
      </c>
      <c r="X67" s="45">
        <v>53.8</v>
      </c>
      <c r="Y67" s="45">
        <v>58.9</v>
      </c>
      <c r="Z67" s="45">
        <v>47.8</v>
      </c>
      <c r="AA67" s="45">
        <v>28.9</v>
      </c>
      <c r="AB67" s="45">
        <v>47.9</v>
      </c>
      <c r="AC67" s="45">
        <v>53</v>
      </c>
      <c r="AD67" s="45">
        <v>54</v>
      </c>
      <c r="AE67" s="45">
        <v>62</v>
      </c>
      <c r="AF67" s="45">
        <v>53.5</v>
      </c>
      <c r="AG67" s="52"/>
      <c r="AH67" s="48">
        <f t="shared" si="4"/>
        <v>73.3</v>
      </c>
      <c r="AI67" s="49">
        <f t="shared" si="5"/>
        <v>28.9</v>
      </c>
      <c r="AK67" s="50"/>
    </row>
    <row r="68" spans="1:37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4"/>
        <v>0</v>
      </c>
      <c r="AI68" s="49">
        <f t="shared" si="5"/>
        <v>0</v>
      </c>
      <c r="AK68" s="50"/>
    </row>
    <row r="69" spans="1:37" x14ac:dyDescent="0.25">
      <c r="A69" s="54" t="s">
        <v>77</v>
      </c>
      <c r="B69" s="65">
        <v>90.5</v>
      </c>
      <c r="C69" s="65">
        <v>102</v>
      </c>
      <c r="D69" s="65">
        <v>118</v>
      </c>
      <c r="E69" s="65">
        <v>119</v>
      </c>
      <c r="F69" s="65">
        <v>120</v>
      </c>
      <c r="G69" s="65">
        <v>95.3</v>
      </c>
      <c r="H69" s="65">
        <v>105</v>
      </c>
      <c r="I69" s="65">
        <v>100</v>
      </c>
      <c r="J69" s="65">
        <v>101.7</v>
      </c>
      <c r="K69" s="65">
        <v>50.2</v>
      </c>
      <c r="L69" s="65">
        <v>-1</v>
      </c>
      <c r="M69" s="65">
        <v>-5</v>
      </c>
      <c r="N69" s="65">
        <v>0</v>
      </c>
      <c r="O69" s="65">
        <v>2</v>
      </c>
      <c r="P69" s="65">
        <v>168</v>
      </c>
      <c r="Q69" s="65">
        <v>196</v>
      </c>
      <c r="R69" s="65">
        <v>225</v>
      </c>
      <c r="S69" s="65">
        <v>238</v>
      </c>
      <c r="T69" s="65">
        <v>238</v>
      </c>
      <c r="U69" s="65">
        <f>246</f>
        <v>246</v>
      </c>
      <c r="V69" s="65">
        <v>140</v>
      </c>
      <c r="W69" s="65">
        <v>-6.9</v>
      </c>
      <c r="X69" s="65">
        <v>-2</v>
      </c>
      <c r="Y69" s="65">
        <v>0</v>
      </c>
      <c r="Z69" s="65">
        <v>0</v>
      </c>
      <c r="AA69" s="65">
        <v>0</v>
      </c>
      <c r="AB69" s="65">
        <v>71.7</v>
      </c>
      <c r="AC69" s="65">
        <v>102.6</v>
      </c>
      <c r="AD69" s="65">
        <v>95.6</v>
      </c>
      <c r="AE69" s="65">
        <v>100.4</v>
      </c>
      <c r="AF69" s="65">
        <v>105</v>
      </c>
      <c r="AG69" s="75"/>
      <c r="AH69" s="48">
        <f t="shared" si="4"/>
        <v>246</v>
      </c>
      <c r="AI69" s="49">
        <f t="shared" si="5"/>
        <v>-6.9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4"/>
        <v>0</v>
      </c>
      <c r="AI70" s="49">
        <f t="shared" si="5"/>
        <v>0</v>
      </c>
      <c r="AK70" s="50"/>
    </row>
    <row r="71" spans="1:37" x14ac:dyDescent="0.25">
      <c r="A71" s="54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75"/>
      <c r="AH71" s="48">
        <f t="shared" si="4"/>
        <v>0</v>
      </c>
      <c r="AI71" s="49">
        <f t="shared" si="5"/>
        <v>0</v>
      </c>
      <c r="AK71" s="50"/>
    </row>
    <row r="72" spans="1:37" x14ac:dyDescent="0.25">
      <c r="A72" s="54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4"/>
        <v>0</v>
      </c>
      <c r="AI72" s="49">
        <f t="shared" si="5"/>
        <v>0</v>
      </c>
      <c r="AK72" s="50"/>
    </row>
    <row r="73" spans="1:37" x14ac:dyDescent="0.25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4"/>
        <v>0</v>
      </c>
      <c r="AI73" s="49">
        <f t="shared" si="5"/>
        <v>0</v>
      </c>
      <c r="AK73" s="50"/>
    </row>
    <row r="74" spans="1:37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4"/>
        <v>0</v>
      </c>
      <c r="AI74" s="49">
        <f t="shared" si="5"/>
        <v>0</v>
      </c>
      <c r="AK74" s="50"/>
    </row>
    <row r="75" spans="1:37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si="4"/>
        <v>0</v>
      </c>
      <c r="AI75" s="49">
        <f t="shared" si="5"/>
        <v>0</v>
      </c>
      <c r="AK75" s="50"/>
    </row>
    <row r="76" spans="1:37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4"/>
        <v>0</v>
      </c>
      <c r="AI76" s="49">
        <f t="shared" si="5"/>
        <v>0</v>
      </c>
      <c r="AK76" s="50"/>
    </row>
    <row r="77" spans="1:37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4"/>
        <v>0</v>
      </c>
      <c r="AI77" s="49">
        <f t="shared" si="5"/>
        <v>0</v>
      </c>
      <c r="AK77" s="50"/>
    </row>
    <row r="78" spans="1:37" ht="15.75" thickBot="1" x14ac:dyDescent="0.3">
      <c r="A78" s="74" t="s">
        <v>86</v>
      </c>
      <c r="B78" s="61">
        <f t="shared" ref="B78:AF78" si="10">SUMIF(B67:B77,"&gt;0")</f>
        <v>140.69999999999999</v>
      </c>
      <c r="C78" s="61">
        <f t="shared" si="10"/>
        <v>148.30000000000001</v>
      </c>
      <c r="D78" s="61">
        <f t="shared" si="10"/>
        <v>165</v>
      </c>
      <c r="E78" s="61">
        <f t="shared" si="10"/>
        <v>180</v>
      </c>
      <c r="F78" s="61">
        <f t="shared" si="10"/>
        <v>183.7</v>
      </c>
      <c r="G78" s="61">
        <f t="shared" si="10"/>
        <v>155.30000000000001</v>
      </c>
      <c r="H78" s="61">
        <f t="shared" si="10"/>
        <v>170</v>
      </c>
      <c r="I78" s="61">
        <f t="shared" si="10"/>
        <v>167.6</v>
      </c>
      <c r="J78" s="61">
        <f t="shared" si="10"/>
        <v>166.7</v>
      </c>
      <c r="K78" s="61">
        <f t="shared" si="10"/>
        <v>118.9</v>
      </c>
      <c r="L78" s="61">
        <f t="shared" si="10"/>
        <v>50.9</v>
      </c>
      <c r="M78" s="61">
        <f t="shared" si="10"/>
        <v>41.4</v>
      </c>
      <c r="N78" s="61">
        <f t="shared" si="10"/>
        <v>47.8</v>
      </c>
      <c r="O78" s="61">
        <f t="shared" si="10"/>
        <v>67</v>
      </c>
      <c r="P78" s="61">
        <f t="shared" si="10"/>
        <v>233.3</v>
      </c>
      <c r="Q78" s="61">
        <f t="shared" si="10"/>
        <v>253</v>
      </c>
      <c r="R78" s="61">
        <f t="shared" si="10"/>
        <v>292</v>
      </c>
      <c r="S78" s="61">
        <f t="shared" si="10"/>
        <v>311.3</v>
      </c>
      <c r="T78" s="61">
        <f t="shared" si="10"/>
        <v>311.3</v>
      </c>
      <c r="U78" s="61">
        <f t="shared" si="10"/>
        <v>316.60000000000002</v>
      </c>
      <c r="V78" s="61">
        <f t="shared" si="10"/>
        <v>212</v>
      </c>
      <c r="W78" s="61">
        <f t="shared" si="10"/>
        <v>41.5</v>
      </c>
      <c r="X78" s="61">
        <f t="shared" si="10"/>
        <v>53.8</v>
      </c>
      <c r="Y78" s="61">
        <f t="shared" si="10"/>
        <v>58.9</v>
      </c>
      <c r="Z78" s="61">
        <f t="shared" si="10"/>
        <v>47.8</v>
      </c>
      <c r="AA78" s="61">
        <f t="shared" si="10"/>
        <v>28.9</v>
      </c>
      <c r="AB78" s="61">
        <f t="shared" si="10"/>
        <v>119.6</v>
      </c>
      <c r="AC78" s="61">
        <f t="shared" si="10"/>
        <v>155.6</v>
      </c>
      <c r="AD78" s="61">
        <f t="shared" si="10"/>
        <v>149.6</v>
      </c>
      <c r="AE78" s="61">
        <f t="shared" si="10"/>
        <v>162.4</v>
      </c>
      <c r="AF78" s="61">
        <f t="shared" si="10"/>
        <v>158.5</v>
      </c>
      <c r="AG78" s="81">
        <f>SUM(AG67:AG77)</f>
        <v>0</v>
      </c>
      <c r="AH78" s="48">
        <f t="shared" si="4"/>
        <v>316.60000000000002</v>
      </c>
      <c r="AI78" s="49">
        <f t="shared" si="5"/>
        <v>28.9</v>
      </c>
      <c r="AK78" s="50"/>
    </row>
    <row r="79" spans="1:37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4"/>
        <v>0</v>
      </c>
      <c r="AI79" s="49">
        <f t="shared" si="5"/>
        <v>0</v>
      </c>
      <c r="AK79" s="50"/>
    </row>
    <row r="80" spans="1:37" x14ac:dyDescent="0.25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ref="AH80:AH113" si="11">MAX(B80:AF80)</f>
        <v>0</v>
      </c>
      <c r="AI80" s="49">
        <f t="shared" ref="AI80:AI113" si="12">MIN(B80:AF80)</f>
        <v>0</v>
      </c>
      <c r="AK80" s="50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1"/>
        <v>0</v>
      </c>
      <c r="AI81" s="49">
        <f t="shared" si="12"/>
        <v>0</v>
      </c>
    </row>
    <row r="82" spans="1:37" ht="15.75" thickBot="1" x14ac:dyDescent="0.3">
      <c r="A82" s="74" t="s">
        <v>90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11"/>
        <v>0</v>
      </c>
      <c r="AI82" s="49">
        <f t="shared" si="12"/>
        <v>0</v>
      </c>
    </row>
    <row r="83" spans="1:37" ht="15.75" thickBot="1" x14ac:dyDescent="0.3">
      <c r="A83" s="74" t="s">
        <v>91</v>
      </c>
      <c r="B83" s="83">
        <f t="shared" ref="B83:AG83" si="13">B44+B48+B66+B62+B78+B82</f>
        <v>1061.1389999999999</v>
      </c>
      <c r="C83" s="83">
        <f t="shared" si="13"/>
        <v>977.23899999999981</v>
      </c>
      <c r="D83" s="83">
        <f t="shared" si="13"/>
        <v>953.1389999999999</v>
      </c>
      <c r="E83" s="83">
        <f t="shared" si="13"/>
        <v>947.74900000000002</v>
      </c>
      <c r="F83" s="83">
        <f t="shared" si="13"/>
        <v>963.53899999999999</v>
      </c>
      <c r="G83" s="83">
        <f t="shared" si="13"/>
        <v>1046.1389999999999</v>
      </c>
      <c r="H83" s="83">
        <f t="shared" si="13"/>
        <v>1152.3389999999999</v>
      </c>
      <c r="I83" s="83">
        <f t="shared" si="13"/>
        <v>1191.4390000000001</v>
      </c>
      <c r="J83" s="83">
        <f t="shared" si="13"/>
        <v>1355.979</v>
      </c>
      <c r="K83" s="83">
        <f t="shared" si="13"/>
        <v>1436.9490000000001</v>
      </c>
      <c r="L83" s="83">
        <f t="shared" si="13"/>
        <v>1592.6490000000003</v>
      </c>
      <c r="M83" s="83">
        <f t="shared" si="13"/>
        <v>1565.239</v>
      </c>
      <c r="N83" s="83">
        <f t="shared" si="13"/>
        <v>1450.8390000000002</v>
      </c>
      <c r="O83" s="83">
        <f t="shared" si="13"/>
        <v>1397.539</v>
      </c>
      <c r="P83" s="83">
        <f t="shared" si="13"/>
        <v>1364.6390000000001</v>
      </c>
      <c r="Q83" s="83">
        <f t="shared" si="13"/>
        <v>1286.739</v>
      </c>
      <c r="R83" s="83">
        <f t="shared" si="13"/>
        <v>1269.239</v>
      </c>
      <c r="S83" s="83">
        <f t="shared" si="13"/>
        <v>1272.6390000000001</v>
      </c>
      <c r="T83" s="83">
        <f t="shared" si="13"/>
        <v>1292.6390000000001</v>
      </c>
      <c r="U83" s="83">
        <f t="shared" si="13"/>
        <v>1360.1390000000001</v>
      </c>
      <c r="V83" s="83">
        <f t="shared" si="13"/>
        <v>1382.3390000000002</v>
      </c>
      <c r="W83" s="83">
        <f t="shared" si="13"/>
        <v>1573.8390000000002</v>
      </c>
      <c r="X83" s="83">
        <f t="shared" si="13"/>
        <v>1622.6390000000001</v>
      </c>
      <c r="Y83" s="83">
        <f t="shared" si="13"/>
        <v>1584.1390000000001</v>
      </c>
      <c r="Z83" s="83">
        <f t="shared" si="13"/>
        <v>1490.3389999999999</v>
      </c>
      <c r="AA83" s="83">
        <f t="shared" si="13"/>
        <v>1340.039</v>
      </c>
      <c r="AB83" s="83">
        <f t="shared" si="13"/>
        <v>1309.739</v>
      </c>
      <c r="AC83" s="83">
        <f t="shared" si="13"/>
        <v>1257.039</v>
      </c>
      <c r="AD83" s="83">
        <f t="shared" si="13"/>
        <v>1179.539</v>
      </c>
      <c r="AE83" s="83">
        <f t="shared" si="13"/>
        <v>1060.739</v>
      </c>
      <c r="AF83" s="83">
        <f t="shared" si="13"/>
        <v>995.23899999999992</v>
      </c>
      <c r="AG83" s="62">
        <f t="shared" si="13"/>
        <v>2004.1900000000003</v>
      </c>
      <c r="AH83" s="48">
        <f t="shared" si="11"/>
        <v>1622.6390000000001</v>
      </c>
      <c r="AI83" s="49">
        <f t="shared" si="12"/>
        <v>947.74900000000002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>
        <v>45</v>
      </c>
      <c r="S84" s="85"/>
      <c r="T84" s="85"/>
      <c r="U84" s="85"/>
      <c r="V84" s="85"/>
      <c r="W84" s="85"/>
      <c r="X84" s="85"/>
      <c r="Y84" s="85"/>
      <c r="Z84" s="85"/>
      <c r="AA84" s="85">
        <v>60</v>
      </c>
      <c r="AB84" s="85"/>
      <c r="AC84" s="85"/>
      <c r="AD84" s="85"/>
      <c r="AE84" s="85"/>
      <c r="AF84" s="85"/>
      <c r="AG84" s="81"/>
      <c r="AH84" s="48">
        <f t="shared" si="11"/>
        <v>60</v>
      </c>
      <c r="AI84" s="49">
        <f t="shared" si="12"/>
        <v>45</v>
      </c>
    </row>
    <row r="85" spans="1:37" ht="15.75" thickBot="1" x14ac:dyDescent="0.3">
      <c r="A85" s="74" t="s">
        <v>93</v>
      </c>
      <c r="B85" s="83">
        <f t="shared" ref="B85:AF85" si="14">B83+B84</f>
        <v>1061.1389999999999</v>
      </c>
      <c r="C85" s="83">
        <f t="shared" si="14"/>
        <v>977.23899999999981</v>
      </c>
      <c r="D85" s="83">
        <f t="shared" si="14"/>
        <v>953.1389999999999</v>
      </c>
      <c r="E85" s="83">
        <f t="shared" si="14"/>
        <v>947.74900000000002</v>
      </c>
      <c r="F85" s="83">
        <f t="shared" si="14"/>
        <v>963.53899999999999</v>
      </c>
      <c r="G85" s="83">
        <f t="shared" si="14"/>
        <v>1046.1389999999999</v>
      </c>
      <c r="H85" s="83">
        <f t="shared" si="14"/>
        <v>1152.3389999999999</v>
      </c>
      <c r="I85" s="83">
        <f t="shared" si="14"/>
        <v>1191.4390000000001</v>
      </c>
      <c r="J85" s="83">
        <f t="shared" si="14"/>
        <v>1355.979</v>
      </c>
      <c r="K85" s="83">
        <f t="shared" si="14"/>
        <v>1436.9490000000001</v>
      </c>
      <c r="L85" s="83">
        <f t="shared" si="14"/>
        <v>1592.6490000000003</v>
      </c>
      <c r="M85" s="83">
        <f t="shared" si="14"/>
        <v>1565.239</v>
      </c>
      <c r="N85" s="83">
        <f t="shared" si="14"/>
        <v>1450.8390000000002</v>
      </c>
      <c r="O85" s="83">
        <f t="shared" si="14"/>
        <v>1397.539</v>
      </c>
      <c r="P85" s="83">
        <f t="shared" si="14"/>
        <v>1364.6390000000001</v>
      </c>
      <c r="Q85" s="83">
        <f t="shared" si="14"/>
        <v>1286.739</v>
      </c>
      <c r="R85" s="83">
        <f t="shared" si="14"/>
        <v>1314.239</v>
      </c>
      <c r="S85" s="83">
        <f t="shared" si="14"/>
        <v>1272.6390000000001</v>
      </c>
      <c r="T85" s="83">
        <f t="shared" si="14"/>
        <v>1292.6390000000001</v>
      </c>
      <c r="U85" s="83">
        <f t="shared" si="14"/>
        <v>1360.1390000000001</v>
      </c>
      <c r="V85" s="83">
        <f t="shared" si="14"/>
        <v>1382.3390000000002</v>
      </c>
      <c r="W85" s="83">
        <f t="shared" si="14"/>
        <v>1573.8390000000002</v>
      </c>
      <c r="X85" s="83">
        <f t="shared" si="14"/>
        <v>1622.6390000000001</v>
      </c>
      <c r="Y85" s="83">
        <f t="shared" si="14"/>
        <v>1584.1390000000001</v>
      </c>
      <c r="Z85" s="83">
        <f t="shared" si="14"/>
        <v>1490.3389999999999</v>
      </c>
      <c r="AA85" s="83">
        <f t="shared" si="14"/>
        <v>1400.039</v>
      </c>
      <c r="AB85" s="83">
        <f t="shared" si="14"/>
        <v>1309.739</v>
      </c>
      <c r="AC85" s="83">
        <f t="shared" si="14"/>
        <v>1257.039</v>
      </c>
      <c r="AD85" s="83">
        <f t="shared" si="14"/>
        <v>1179.539</v>
      </c>
      <c r="AE85" s="83">
        <f t="shared" si="14"/>
        <v>1060.739</v>
      </c>
      <c r="AF85" s="83">
        <f t="shared" si="14"/>
        <v>995.23899999999992</v>
      </c>
      <c r="AG85" s="81">
        <f>AG82+AG78+AG66+AG62+AG44+AG84</f>
        <v>1466.0900000000001</v>
      </c>
      <c r="AH85" s="48">
        <f t="shared" si="11"/>
        <v>1622.6390000000001</v>
      </c>
      <c r="AI85" s="49">
        <f t="shared" si="12"/>
        <v>947.74900000000002</v>
      </c>
    </row>
    <row r="86" spans="1:37" ht="15.75" thickBot="1" x14ac:dyDescent="0.3">
      <c r="A86" s="74" t="s">
        <v>94</v>
      </c>
      <c r="B86" s="83">
        <f t="shared" ref="B86:AF86" si="15">B85-B93</f>
        <v>1061.1389999999999</v>
      </c>
      <c r="C86" s="83">
        <f t="shared" si="15"/>
        <v>977.23899999999981</v>
      </c>
      <c r="D86" s="83">
        <f t="shared" si="15"/>
        <v>953.1389999999999</v>
      </c>
      <c r="E86" s="83">
        <f t="shared" si="15"/>
        <v>947.74900000000002</v>
      </c>
      <c r="F86" s="83">
        <f t="shared" si="15"/>
        <v>963.53899999999999</v>
      </c>
      <c r="G86" s="83">
        <f t="shared" si="15"/>
        <v>1046.1389999999999</v>
      </c>
      <c r="H86" s="83">
        <f t="shared" si="15"/>
        <v>1152.3389999999999</v>
      </c>
      <c r="I86" s="83">
        <f t="shared" si="15"/>
        <v>1191.4390000000001</v>
      </c>
      <c r="J86" s="83">
        <f t="shared" si="15"/>
        <v>1355.979</v>
      </c>
      <c r="K86" s="83">
        <f t="shared" si="15"/>
        <v>1436.9490000000001</v>
      </c>
      <c r="L86" s="83">
        <f t="shared" si="15"/>
        <v>1591.6490000000003</v>
      </c>
      <c r="M86" s="83">
        <f t="shared" si="15"/>
        <v>1560.239</v>
      </c>
      <c r="N86" s="83">
        <f t="shared" si="15"/>
        <v>1450.8390000000002</v>
      </c>
      <c r="O86" s="83">
        <f t="shared" si="15"/>
        <v>1397.539</v>
      </c>
      <c r="P86" s="83">
        <f t="shared" si="15"/>
        <v>1364.6390000000001</v>
      </c>
      <c r="Q86" s="83">
        <f t="shared" si="15"/>
        <v>1286.739</v>
      </c>
      <c r="R86" s="83">
        <f t="shared" si="15"/>
        <v>1314.239</v>
      </c>
      <c r="S86" s="83">
        <f t="shared" si="15"/>
        <v>1272.6390000000001</v>
      </c>
      <c r="T86" s="83">
        <f t="shared" si="15"/>
        <v>1292.6390000000001</v>
      </c>
      <c r="U86" s="83">
        <f t="shared" si="15"/>
        <v>1360.1390000000001</v>
      </c>
      <c r="V86" s="83">
        <f t="shared" si="15"/>
        <v>1382.3390000000002</v>
      </c>
      <c r="W86" s="83">
        <f t="shared" si="15"/>
        <v>1566.9390000000001</v>
      </c>
      <c r="X86" s="83">
        <f t="shared" si="15"/>
        <v>1620.6390000000001</v>
      </c>
      <c r="Y86" s="83">
        <f t="shared" si="15"/>
        <v>1584.1390000000001</v>
      </c>
      <c r="Z86" s="83">
        <f t="shared" si="15"/>
        <v>1490.3389999999999</v>
      </c>
      <c r="AA86" s="83">
        <f t="shared" si="15"/>
        <v>1400.039</v>
      </c>
      <c r="AB86" s="83">
        <f t="shared" si="15"/>
        <v>1309.739</v>
      </c>
      <c r="AC86" s="83">
        <f t="shared" si="15"/>
        <v>1257.039</v>
      </c>
      <c r="AD86" s="83">
        <f t="shared" si="15"/>
        <v>1179.539</v>
      </c>
      <c r="AE86" s="83">
        <f t="shared" si="15"/>
        <v>1060.739</v>
      </c>
      <c r="AF86" s="83">
        <f t="shared" si="15"/>
        <v>995.23899999999992</v>
      </c>
      <c r="AG86" s="81"/>
      <c r="AH86" s="48">
        <f t="shared" si="11"/>
        <v>1620.6390000000001</v>
      </c>
      <c r="AI86" s="49">
        <f t="shared" si="12"/>
        <v>947.74900000000002</v>
      </c>
    </row>
    <row r="87" spans="1:37" x14ac:dyDescent="0.25">
      <c r="A87" s="44" t="s">
        <v>78</v>
      </c>
      <c r="B87" s="76">
        <f t="shared" ref="B87:AF87" si="16">IF(B70&lt;0,B70*-1,0)</f>
        <v>0</v>
      </c>
      <c r="C87" s="76">
        <f t="shared" si="16"/>
        <v>0</v>
      </c>
      <c r="D87" s="76">
        <f t="shared" si="16"/>
        <v>0</v>
      </c>
      <c r="E87" s="76">
        <f t="shared" si="16"/>
        <v>0</v>
      </c>
      <c r="F87" s="76">
        <f t="shared" si="16"/>
        <v>0</v>
      </c>
      <c r="G87" s="76">
        <f t="shared" si="16"/>
        <v>0</v>
      </c>
      <c r="H87" s="76">
        <f t="shared" si="16"/>
        <v>0</v>
      </c>
      <c r="I87" s="76">
        <f t="shared" si="16"/>
        <v>0</v>
      </c>
      <c r="J87" s="76">
        <f t="shared" si="16"/>
        <v>0</v>
      </c>
      <c r="K87" s="76">
        <f t="shared" si="16"/>
        <v>0</v>
      </c>
      <c r="L87" s="76">
        <f t="shared" si="16"/>
        <v>0</v>
      </c>
      <c r="M87" s="76">
        <f t="shared" si="16"/>
        <v>0</v>
      </c>
      <c r="N87" s="76">
        <f t="shared" si="16"/>
        <v>0</v>
      </c>
      <c r="O87" s="76">
        <f t="shared" si="16"/>
        <v>0</v>
      </c>
      <c r="P87" s="76">
        <f t="shared" si="16"/>
        <v>0</v>
      </c>
      <c r="Q87" s="76">
        <f t="shared" si="16"/>
        <v>0</v>
      </c>
      <c r="R87" s="76">
        <f t="shared" si="16"/>
        <v>0</v>
      </c>
      <c r="S87" s="76">
        <f t="shared" si="16"/>
        <v>0</v>
      </c>
      <c r="T87" s="76">
        <f t="shared" si="16"/>
        <v>0</v>
      </c>
      <c r="U87" s="76">
        <f t="shared" si="16"/>
        <v>0</v>
      </c>
      <c r="V87" s="76">
        <f t="shared" si="16"/>
        <v>0</v>
      </c>
      <c r="W87" s="76">
        <f t="shared" si="16"/>
        <v>0</v>
      </c>
      <c r="X87" s="76">
        <f t="shared" si="16"/>
        <v>0</v>
      </c>
      <c r="Y87" s="76">
        <f t="shared" si="16"/>
        <v>0</v>
      </c>
      <c r="Z87" s="76">
        <f t="shared" si="16"/>
        <v>0</v>
      </c>
      <c r="AA87" s="76">
        <f t="shared" si="16"/>
        <v>0</v>
      </c>
      <c r="AB87" s="76">
        <f t="shared" si="16"/>
        <v>0</v>
      </c>
      <c r="AC87" s="76">
        <f t="shared" si="16"/>
        <v>0</v>
      </c>
      <c r="AD87" s="76">
        <f t="shared" si="16"/>
        <v>0</v>
      </c>
      <c r="AE87" s="76">
        <f t="shared" si="16"/>
        <v>0</v>
      </c>
      <c r="AF87" s="76">
        <f t="shared" si="16"/>
        <v>0</v>
      </c>
      <c r="AG87" s="52"/>
      <c r="AH87" s="48">
        <f t="shared" si="11"/>
        <v>0</v>
      </c>
      <c r="AI87" s="49">
        <f t="shared" si="12"/>
        <v>0</v>
      </c>
    </row>
    <row r="88" spans="1:37" x14ac:dyDescent="0.25">
      <c r="A88" s="54" t="s">
        <v>76</v>
      </c>
      <c r="B88" s="76">
        <f t="shared" ref="B88:AF88" si="17">IF(B68&lt;0,B68*-1,0)</f>
        <v>0</v>
      </c>
      <c r="C88" s="76">
        <f t="shared" si="17"/>
        <v>0</v>
      </c>
      <c r="D88" s="76">
        <f t="shared" si="17"/>
        <v>0</v>
      </c>
      <c r="E88" s="76">
        <f t="shared" si="17"/>
        <v>0</v>
      </c>
      <c r="F88" s="76">
        <f t="shared" si="17"/>
        <v>0</v>
      </c>
      <c r="G88" s="76">
        <f t="shared" si="17"/>
        <v>0</v>
      </c>
      <c r="H88" s="76">
        <f t="shared" si="17"/>
        <v>0</v>
      </c>
      <c r="I88" s="76">
        <f t="shared" si="17"/>
        <v>0</v>
      </c>
      <c r="J88" s="76">
        <f t="shared" si="17"/>
        <v>0</v>
      </c>
      <c r="K88" s="76">
        <f t="shared" si="17"/>
        <v>0</v>
      </c>
      <c r="L88" s="76">
        <f t="shared" si="17"/>
        <v>0</v>
      </c>
      <c r="M88" s="76">
        <f t="shared" si="17"/>
        <v>0</v>
      </c>
      <c r="N88" s="76">
        <f t="shared" si="17"/>
        <v>0</v>
      </c>
      <c r="O88" s="76">
        <f t="shared" si="17"/>
        <v>0</v>
      </c>
      <c r="P88" s="76">
        <f t="shared" si="17"/>
        <v>0</v>
      </c>
      <c r="Q88" s="76">
        <f t="shared" si="17"/>
        <v>0</v>
      </c>
      <c r="R88" s="76">
        <f t="shared" si="17"/>
        <v>0</v>
      </c>
      <c r="S88" s="76">
        <f t="shared" si="17"/>
        <v>0</v>
      </c>
      <c r="T88" s="76">
        <f t="shared" si="17"/>
        <v>0</v>
      </c>
      <c r="U88" s="76">
        <f t="shared" si="17"/>
        <v>0</v>
      </c>
      <c r="V88" s="76">
        <f t="shared" si="17"/>
        <v>0</v>
      </c>
      <c r="W88" s="76">
        <f t="shared" si="17"/>
        <v>0</v>
      </c>
      <c r="X88" s="76">
        <f t="shared" si="17"/>
        <v>0</v>
      </c>
      <c r="Y88" s="76">
        <f t="shared" si="17"/>
        <v>0</v>
      </c>
      <c r="Z88" s="76">
        <f t="shared" si="17"/>
        <v>0</v>
      </c>
      <c r="AA88" s="76">
        <f t="shared" si="17"/>
        <v>0</v>
      </c>
      <c r="AB88" s="76">
        <f t="shared" si="17"/>
        <v>0</v>
      </c>
      <c r="AC88" s="76">
        <f t="shared" si="17"/>
        <v>0</v>
      </c>
      <c r="AD88" s="76">
        <f t="shared" si="17"/>
        <v>0</v>
      </c>
      <c r="AE88" s="76">
        <f t="shared" si="17"/>
        <v>0</v>
      </c>
      <c r="AF88" s="76">
        <f t="shared" si="17"/>
        <v>0</v>
      </c>
      <c r="AG88" s="55"/>
      <c r="AH88" s="48">
        <f t="shared" si="11"/>
        <v>0</v>
      </c>
      <c r="AI88" s="49">
        <f t="shared" si="12"/>
        <v>0</v>
      </c>
    </row>
    <row r="89" spans="1:37" x14ac:dyDescent="0.25">
      <c r="A89" s="78" t="s">
        <v>95</v>
      </c>
      <c r="B89" s="76">
        <f t="shared" ref="B89:AF89" si="18">IF(B71&lt;0,B71*-1,0)</f>
        <v>0</v>
      </c>
      <c r="C89" s="76">
        <f t="shared" si="18"/>
        <v>0</v>
      </c>
      <c r="D89" s="76">
        <f t="shared" si="18"/>
        <v>0</v>
      </c>
      <c r="E89" s="76">
        <f t="shared" si="18"/>
        <v>0</v>
      </c>
      <c r="F89" s="76">
        <f t="shared" si="18"/>
        <v>0</v>
      </c>
      <c r="G89" s="76">
        <f t="shared" si="18"/>
        <v>0</v>
      </c>
      <c r="H89" s="76">
        <f t="shared" si="18"/>
        <v>0</v>
      </c>
      <c r="I89" s="76">
        <f t="shared" si="18"/>
        <v>0</v>
      </c>
      <c r="J89" s="76">
        <f t="shared" si="18"/>
        <v>0</v>
      </c>
      <c r="K89" s="76">
        <f t="shared" si="18"/>
        <v>0</v>
      </c>
      <c r="L89" s="76">
        <f t="shared" si="18"/>
        <v>0</v>
      </c>
      <c r="M89" s="76">
        <f t="shared" si="18"/>
        <v>0</v>
      </c>
      <c r="N89" s="76">
        <f t="shared" si="18"/>
        <v>0</v>
      </c>
      <c r="O89" s="76">
        <f t="shared" si="18"/>
        <v>0</v>
      </c>
      <c r="P89" s="76">
        <f t="shared" si="18"/>
        <v>0</v>
      </c>
      <c r="Q89" s="76">
        <f t="shared" si="18"/>
        <v>0</v>
      </c>
      <c r="R89" s="76">
        <f t="shared" si="18"/>
        <v>0</v>
      </c>
      <c r="S89" s="76">
        <f t="shared" si="18"/>
        <v>0</v>
      </c>
      <c r="T89" s="76">
        <f t="shared" si="18"/>
        <v>0</v>
      </c>
      <c r="U89" s="76">
        <f t="shared" si="18"/>
        <v>0</v>
      </c>
      <c r="V89" s="76">
        <f t="shared" si="18"/>
        <v>0</v>
      </c>
      <c r="W89" s="76">
        <f t="shared" si="18"/>
        <v>0</v>
      </c>
      <c r="X89" s="76">
        <f t="shared" si="18"/>
        <v>0</v>
      </c>
      <c r="Y89" s="76">
        <f t="shared" si="18"/>
        <v>0</v>
      </c>
      <c r="Z89" s="76">
        <f t="shared" si="18"/>
        <v>0</v>
      </c>
      <c r="AA89" s="76">
        <f t="shared" si="18"/>
        <v>0</v>
      </c>
      <c r="AB89" s="76">
        <f t="shared" si="18"/>
        <v>0</v>
      </c>
      <c r="AC89" s="76">
        <f t="shared" si="18"/>
        <v>0</v>
      </c>
      <c r="AD89" s="76">
        <f t="shared" si="18"/>
        <v>0</v>
      </c>
      <c r="AE89" s="76">
        <f t="shared" si="18"/>
        <v>0</v>
      </c>
      <c r="AF89" s="76">
        <f t="shared" si="18"/>
        <v>0</v>
      </c>
      <c r="AG89" s="86"/>
      <c r="AH89" s="48">
        <f t="shared" si="11"/>
        <v>0</v>
      </c>
      <c r="AI89" s="49">
        <f t="shared" si="12"/>
        <v>0</v>
      </c>
    </row>
    <row r="90" spans="1:37" x14ac:dyDescent="0.25">
      <c r="A90" s="78" t="s">
        <v>96</v>
      </c>
      <c r="B90" s="76">
        <f t="shared" ref="B90:AF90" si="19">IF(B69&lt;0,B69*-1,0)</f>
        <v>0</v>
      </c>
      <c r="C90" s="76">
        <f t="shared" si="19"/>
        <v>0</v>
      </c>
      <c r="D90" s="76">
        <f t="shared" si="19"/>
        <v>0</v>
      </c>
      <c r="E90" s="76">
        <f t="shared" si="19"/>
        <v>0</v>
      </c>
      <c r="F90" s="76">
        <f t="shared" si="19"/>
        <v>0</v>
      </c>
      <c r="G90" s="76">
        <f t="shared" si="19"/>
        <v>0</v>
      </c>
      <c r="H90" s="76">
        <f t="shared" si="19"/>
        <v>0</v>
      </c>
      <c r="I90" s="76">
        <f t="shared" si="19"/>
        <v>0</v>
      </c>
      <c r="J90" s="76">
        <f t="shared" si="19"/>
        <v>0</v>
      </c>
      <c r="K90" s="76">
        <f t="shared" si="19"/>
        <v>0</v>
      </c>
      <c r="L90" s="76">
        <f t="shared" si="19"/>
        <v>1</v>
      </c>
      <c r="M90" s="76">
        <f t="shared" si="19"/>
        <v>5</v>
      </c>
      <c r="N90" s="76">
        <f t="shared" si="19"/>
        <v>0</v>
      </c>
      <c r="O90" s="76">
        <f t="shared" si="19"/>
        <v>0</v>
      </c>
      <c r="P90" s="76">
        <f t="shared" si="19"/>
        <v>0</v>
      </c>
      <c r="Q90" s="76">
        <f t="shared" si="19"/>
        <v>0</v>
      </c>
      <c r="R90" s="76">
        <f t="shared" si="19"/>
        <v>0</v>
      </c>
      <c r="S90" s="76">
        <f t="shared" si="19"/>
        <v>0</v>
      </c>
      <c r="T90" s="76">
        <f t="shared" si="19"/>
        <v>0</v>
      </c>
      <c r="U90" s="76">
        <f t="shared" si="19"/>
        <v>0</v>
      </c>
      <c r="V90" s="76">
        <f t="shared" si="19"/>
        <v>0</v>
      </c>
      <c r="W90" s="76">
        <f t="shared" si="19"/>
        <v>6.9</v>
      </c>
      <c r="X90" s="76">
        <f t="shared" si="19"/>
        <v>2</v>
      </c>
      <c r="Y90" s="76">
        <f t="shared" si="19"/>
        <v>0</v>
      </c>
      <c r="Z90" s="76">
        <f t="shared" si="19"/>
        <v>0</v>
      </c>
      <c r="AA90" s="76">
        <f t="shared" si="19"/>
        <v>0</v>
      </c>
      <c r="AB90" s="76">
        <f t="shared" si="19"/>
        <v>0</v>
      </c>
      <c r="AC90" s="76">
        <f t="shared" si="19"/>
        <v>0</v>
      </c>
      <c r="AD90" s="76">
        <f t="shared" si="19"/>
        <v>0</v>
      </c>
      <c r="AE90" s="76">
        <f t="shared" si="19"/>
        <v>0</v>
      </c>
      <c r="AF90" s="76">
        <f t="shared" si="19"/>
        <v>0</v>
      </c>
      <c r="AG90" s="86"/>
      <c r="AH90" s="48">
        <f t="shared" si="11"/>
        <v>6.9</v>
      </c>
      <c r="AI90" s="49">
        <f t="shared" si="12"/>
        <v>0</v>
      </c>
    </row>
    <row r="91" spans="1:37" x14ac:dyDescent="0.25">
      <c r="A91" s="78" t="s">
        <v>75</v>
      </c>
      <c r="B91" s="76">
        <f t="shared" ref="B91:AF91" si="20">IF(B67&lt;0,B67*-1,0)</f>
        <v>0</v>
      </c>
      <c r="C91" s="76">
        <f t="shared" si="20"/>
        <v>0</v>
      </c>
      <c r="D91" s="76">
        <f t="shared" si="20"/>
        <v>0</v>
      </c>
      <c r="E91" s="76">
        <f t="shared" si="20"/>
        <v>0</v>
      </c>
      <c r="F91" s="76">
        <f t="shared" si="20"/>
        <v>0</v>
      </c>
      <c r="G91" s="76">
        <f t="shared" si="20"/>
        <v>0</v>
      </c>
      <c r="H91" s="76">
        <f t="shared" si="20"/>
        <v>0</v>
      </c>
      <c r="I91" s="76">
        <f t="shared" si="20"/>
        <v>0</v>
      </c>
      <c r="J91" s="76">
        <f t="shared" si="20"/>
        <v>0</v>
      </c>
      <c r="K91" s="76">
        <f t="shared" si="20"/>
        <v>0</v>
      </c>
      <c r="L91" s="76">
        <f t="shared" si="20"/>
        <v>0</v>
      </c>
      <c r="M91" s="76">
        <f t="shared" si="20"/>
        <v>0</v>
      </c>
      <c r="N91" s="76">
        <f t="shared" si="20"/>
        <v>0</v>
      </c>
      <c r="O91" s="76">
        <f t="shared" si="20"/>
        <v>0</v>
      </c>
      <c r="P91" s="76">
        <f t="shared" si="20"/>
        <v>0</v>
      </c>
      <c r="Q91" s="76">
        <f t="shared" si="20"/>
        <v>0</v>
      </c>
      <c r="R91" s="76">
        <f t="shared" si="20"/>
        <v>0</v>
      </c>
      <c r="S91" s="76">
        <f t="shared" si="20"/>
        <v>0</v>
      </c>
      <c r="T91" s="76">
        <f t="shared" si="20"/>
        <v>0</v>
      </c>
      <c r="U91" s="76">
        <f t="shared" si="20"/>
        <v>0</v>
      </c>
      <c r="V91" s="76">
        <f t="shared" si="20"/>
        <v>0</v>
      </c>
      <c r="W91" s="76">
        <f t="shared" si="20"/>
        <v>0</v>
      </c>
      <c r="X91" s="76">
        <f t="shared" si="20"/>
        <v>0</v>
      </c>
      <c r="Y91" s="76">
        <f t="shared" si="20"/>
        <v>0</v>
      </c>
      <c r="Z91" s="76">
        <f t="shared" si="20"/>
        <v>0</v>
      </c>
      <c r="AA91" s="76">
        <f t="shared" si="20"/>
        <v>0</v>
      </c>
      <c r="AB91" s="76">
        <f t="shared" si="20"/>
        <v>0</v>
      </c>
      <c r="AC91" s="76">
        <f t="shared" si="20"/>
        <v>0</v>
      </c>
      <c r="AD91" s="76">
        <f t="shared" si="20"/>
        <v>0</v>
      </c>
      <c r="AE91" s="76">
        <f t="shared" si="20"/>
        <v>0</v>
      </c>
      <c r="AF91" s="76">
        <f t="shared" si="20"/>
        <v>0</v>
      </c>
      <c r="AG91" s="86"/>
      <c r="AH91" s="48">
        <f t="shared" si="11"/>
        <v>0</v>
      </c>
      <c r="AI91" s="49">
        <f t="shared" si="12"/>
        <v>0</v>
      </c>
    </row>
    <row r="92" spans="1:37" ht="15.75" thickBot="1" x14ac:dyDescent="0.3">
      <c r="A92" s="78" t="s">
        <v>97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>
        <v>0</v>
      </c>
      <c r="AA92" s="79">
        <v>0</v>
      </c>
      <c r="AB92" s="79">
        <v>0</v>
      </c>
      <c r="AC92" s="79"/>
      <c r="AD92" s="79"/>
      <c r="AE92" s="79"/>
      <c r="AF92" s="79"/>
      <c r="AG92" s="80"/>
      <c r="AH92" s="48">
        <f t="shared" si="11"/>
        <v>0</v>
      </c>
      <c r="AI92" s="49">
        <f t="shared" si="12"/>
        <v>0</v>
      </c>
    </row>
    <row r="93" spans="1:37" ht="15.75" thickBot="1" x14ac:dyDescent="0.3">
      <c r="A93" s="87" t="s">
        <v>98</v>
      </c>
      <c r="B93" s="61">
        <f t="shared" ref="B93:AF93" si="21">SUM(B87:B92)</f>
        <v>0</v>
      </c>
      <c r="C93" s="61">
        <f t="shared" si="21"/>
        <v>0</v>
      </c>
      <c r="D93" s="61">
        <f t="shared" si="21"/>
        <v>0</v>
      </c>
      <c r="E93" s="61">
        <f t="shared" si="21"/>
        <v>0</v>
      </c>
      <c r="F93" s="61">
        <f t="shared" si="21"/>
        <v>0</v>
      </c>
      <c r="G93" s="61">
        <f t="shared" si="21"/>
        <v>0</v>
      </c>
      <c r="H93" s="61">
        <f t="shared" si="21"/>
        <v>0</v>
      </c>
      <c r="I93" s="61">
        <f t="shared" si="21"/>
        <v>0</v>
      </c>
      <c r="J93" s="61">
        <f t="shared" si="21"/>
        <v>0</v>
      </c>
      <c r="K93" s="61">
        <f t="shared" si="21"/>
        <v>0</v>
      </c>
      <c r="L93" s="61">
        <f t="shared" si="21"/>
        <v>1</v>
      </c>
      <c r="M93" s="61">
        <f t="shared" si="21"/>
        <v>5</v>
      </c>
      <c r="N93" s="61">
        <f t="shared" si="21"/>
        <v>0</v>
      </c>
      <c r="O93" s="61">
        <f t="shared" si="21"/>
        <v>0</v>
      </c>
      <c r="P93" s="61">
        <f t="shared" si="21"/>
        <v>0</v>
      </c>
      <c r="Q93" s="61">
        <f t="shared" si="21"/>
        <v>0</v>
      </c>
      <c r="R93" s="61">
        <f t="shared" si="21"/>
        <v>0</v>
      </c>
      <c r="S93" s="61">
        <f t="shared" si="21"/>
        <v>0</v>
      </c>
      <c r="T93" s="61">
        <f t="shared" si="21"/>
        <v>0</v>
      </c>
      <c r="U93" s="61">
        <f t="shared" si="21"/>
        <v>0</v>
      </c>
      <c r="V93" s="61">
        <f t="shared" si="21"/>
        <v>0</v>
      </c>
      <c r="W93" s="61">
        <f t="shared" si="21"/>
        <v>6.9</v>
      </c>
      <c r="X93" s="61">
        <f t="shared" si="21"/>
        <v>2</v>
      </c>
      <c r="Y93" s="61">
        <f t="shared" si="21"/>
        <v>0</v>
      </c>
      <c r="Z93" s="61">
        <f t="shared" si="21"/>
        <v>0</v>
      </c>
      <c r="AA93" s="61">
        <f t="shared" si="21"/>
        <v>0</v>
      </c>
      <c r="AB93" s="61">
        <f t="shared" si="21"/>
        <v>0</v>
      </c>
      <c r="AC93" s="61">
        <f t="shared" si="21"/>
        <v>0</v>
      </c>
      <c r="AD93" s="61">
        <f t="shared" si="21"/>
        <v>0</v>
      </c>
      <c r="AE93" s="61">
        <f t="shared" si="21"/>
        <v>0</v>
      </c>
      <c r="AF93" s="61">
        <f t="shared" si="21"/>
        <v>0</v>
      </c>
      <c r="AG93" s="81"/>
      <c r="AH93" s="48">
        <f t="shared" si="11"/>
        <v>6.9</v>
      </c>
      <c r="AI93" s="49">
        <f t="shared" si="12"/>
        <v>0</v>
      </c>
      <c r="AK93" s="50"/>
    </row>
    <row r="94" spans="1:37" ht="15.75" thickBot="1" x14ac:dyDescent="0.3">
      <c r="A94" s="74" t="s">
        <v>99</v>
      </c>
      <c r="B94" s="61">
        <f t="shared" ref="B94:AF94" si="22">B78-B93</f>
        <v>140.69999999999999</v>
      </c>
      <c r="C94" s="61">
        <f t="shared" si="22"/>
        <v>148.30000000000001</v>
      </c>
      <c r="D94" s="61">
        <f t="shared" si="22"/>
        <v>165</v>
      </c>
      <c r="E94" s="61">
        <f t="shared" si="22"/>
        <v>180</v>
      </c>
      <c r="F94" s="61">
        <f t="shared" si="22"/>
        <v>183.7</v>
      </c>
      <c r="G94" s="61">
        <f t="shared" si="22"/>
        <v>155.30000000000001</v>
      </c>
      <c r="H94" s="61">
        <f t="shared" si="22"/>
        <v>170</v>
      </c>
      <c r="I94" s="61">
        <f t="shared" si="22"/>
        <v>167.6</v>
      </c>
      <c r="J94" s="61">
        <f t="shared" si="22"/>
        <v>166.7</v>
      </c>
      <c r="K94" s="61">
        <f t="shared" si="22"/>
        <v>118.9</v>
      </c>
      <c r="L94" s="61">
        <f t="shared" si="22"/>
        <v>49.9</v>
      </c>
      <c r="M94" s="61">
        <f t="shared" si="22"/>
        <v>36.4</v>
      </c>
      <c r="N94" s="61">
        <f t="shared" si="22"/>
        <v>47.8</v>
      </c>
      <c r="O94" s="61">
        <f t="shared" si="22"/>
        <v>67</v>
      </c>
      <c r="P94" s="61">
        <f t="shared" si="22"/>
        <v>233.3</v>
      </c>
      <c r="Q94" s="61">
        <f t="shared" si="22"/>
        <v>253</v>
      </c>
      <c r="R94" s="61">
        <f t="shared" si="22"/>
        <v>292</v>
      </c>
      <c r="S94" s="61">
        <f t="shared" si="22"/>
        <v>311.3</v>
      </c>
      <c r="T94" s="61">
        <f t="shared" si="22"/>
        <v>311.3</v>
      </c>
      <c r="U94" s="61">
        <f t="shared" si="22"/>
        <v>316.60000000000002</v>
      </c>
      <c r="V94" s="61">
        <f t="shared" si="22"/>
        <v>212</v>
      </c>
      <c r="W94" s="61">
        <f t="shared" si="22"/>
        <v>34.6</v>
      </c>
      <c r="X94" s="61">
        <f t="shared" si="22"/>
        <v>51.8</v>
      </c>
      <c r="Y94" s="61">
        <f t="shared" si="22"/>
        <v>58.9</v>
      </c>
      <c r="Z94" s="61">
        <f t="shared" si="22"/>
        <v>47.8</v>
      </c>
      <c r="AA94" s="61">
        <f t="shared" si="22"/>
        <v>28.9</v>
      </c>
      <c r="AB94" s="61">
        <f t="shared" si="22"/>
        <v>119.6</v>
      </c>
      <c r="AC94" s="61">
        <f t="shared" si="22"/>
        <v>155.6</v>
      </c>
      <c r="AD94" s="61">
        <f t="shared" si="22"/>
        <v>149.6</v>
      </c>
      <c r="AE94" s="61">
        <f t="shared" si="22"/>
        <v>162.4</v>
      </c>
      <c r="AF94" s="61">
        <f t="shared" si="22"/>
        <v>158.5</v>
      </c>
      <c r="AG94" s="81"/>
      <c r="AH94" s="48">
        <f t="shared" si="11"/>
        <v>316.60000000000002</v>
      </c>
      <c r="AI94" s="49">
        <f t="shared" si="12"/>
        <v>28.9</v>
      </c>
    </row>
    <row r="95" spans="1:37" x14ac:dyDescent="0.25">
      <c r="A95" s="88" t="s">
        <v>100</v>
      </c>
      <c r="B95" s="89">
        <v>49.8</v>
      </c>
      <c r="C95" s="89">
        <v>49.896000000000001</v>
      </c>
      <c r="D95" s="89">
        <v>49.94</v>
      </c>
      <c r="E95" s="89">
        <v>50.021000000000001</v>
      </c>
      <c r="F95" s="89">
        <v>49.991</v>
      </c>
      <c r="G95" s="89">
        <v>49.97</v>
      </c>
      <c r="H95" s="89">
        <v>49.954000000000001</v>
      </c>
      <c r="I95" s="89">
        <v>50</v>
      </c>
      <c r="J95" s="89">
        <v>50.125999999999998</v>
      </c>
      <c r="K95" s="89">
        <v>50.124000000000002</v>
      </c>
      <c r="L95" s="89">
        <v>50.048999999999999</v>
      </c>
      <c r="M95" s="89">
        <v>50.015999999999998</v>
      </c>
      <c r="N95" s="89">
        <v>49.976999999999997</v>
      </c>
      <c r="O95" s="89">
        <v>50.015000000000001</v>
      </c>
      <c r="P95" s="89">
        <v>49.984000000000002</v>
      </c>
      <c r="Q95" s="89">
        <v>49.978999999999999</v>
      </c>
      <c r="R95" s="89">
        <v>50.253</v>
      </c>
      <c r="S95" s="89">
        <v>49.82</v>
      </c>
      <c r="T95" s="89">
        <v>49.82</v>
      </c>
      <c r="U95" s="89">
        <v>49.87</v>
      </c>
      <c r="V95" s="89">
        <v>49.76</v>
      </c>
      <c r="W95" s="89">
        <v>49.85</v>
      </c>
      <c r="X95" s="89">
        <v>49.73</v>
      </c>
      <c r="Y95" s="89">
        <v>49.8</v>
      </c>
      <c r="Z95" s="89">
        <v>50.1</v>
      </c>
      <c r="AA95" s="89">
        <v>50</v>
      </c>
      <c r="AB95" s="89">
        <v>50.024000000000001</v>
      </c>
      <c r="AC95" s="89">
        <v>49.920999999999999</v>
      </c>
      <c r="AD95" s="89">
        <v>50.079000000000001</v>
      </c>
      <c r="AE95" s="89">
        <v>50.066000000000003</v>
      </c>
      <c r="AF95" s="89">
        <v>49.975000000000001</v>
      </c>
      <c r="AG95" s="90"/>
      <c r="AH95" s="48">
        <f t="shared" si="11"/>
        <v>50.253</v>
      </c>
      <c r="AI95" s="49">
        <f t="shared" si="12"/>
        <v>49.73</v>
      </c>
    </row>
    <row r="96" spans="1:37" x14ac:dyDescent="0.25">
      <c r="A96" s="91" t="s">
        <v>101</v>
      </c>
      <c r="B96" s="65">
        <v>126</v>
      </c>
      <c r="C96" s="65">
        <v>129</v>
      </c>
      <c r="D96" s="65">
        <v>129.19999999999999</v>
      </c>
      <c r="E96" s="65">
        <v>129</v>
      </c>
      <c r="F96" s="65">
        <v>128</v>
      </c>
      <c r="G96" s="65">
        <v>1274.8</v>
      </c>
      <c r="H96" s="65">
        <v>127.36</v>
      </c>
      <c r="I96" s="65">
        <v>125.7</v>
      </c>
      <c r="J96" s="65">
        <v>125.6</v>
      </c>
      <c r="K96" s="65">
        <v>126.5</v>
      </c>
      <c r="L96" s="65">
        <v>124.2</v>
      </c>
      <c r="M96" s="65">
        <v>126.4</v>
      </c>
      <c r="N96" s="65">
        <v>125.5</v>
      </c>
      <c r="O96" s="65">
        <v>123.6</v>
      </c>
      <c r="P96" s="65">
        <v>123</v>
      </c>
      <c r="Q96" s="65">
        <v>124.2</v>
      </c>
      <c r="R96" s="65">
        <v>125.5</v>
      </c>
      <c r="S96" s="65">
        <v>124.9</v>
      </c>
      <c r="T96" s="65">
        <v>124.9</v>
      </c>
      <c r="U96" s="65">
        <v>123.9</v>
      </c>
      <c r="V96" s="65">
        <v>123.4</v>
      </c>
      <c r="W96" s="65">
        <v>124.8</v>
      </c>
      <c r="X96" s="65">
        <v>126.1</v>
      </c>
      <c r="Y96" s="65">
        <v>127</v>
      </c>
      <c r="Z96" s="65">
        <v>126.6</v>
      </c>
      <c r="AA96" s="65">
        <v>130.4</v>
      </c>
      <c r="AB96" s="65">
        <v>129.6</v>
      </c>
      <c r="AC96" s="65">
        <v>129</v>
      </c>
      <c r="AD96" s="65">
        <v>129.4</v>
      </c>
      <c r="AE96" s="65">
        <v>129.6</v>
      </c>
      <c r="AF96" s="65">
        <v>129.19999999999999</v>
      </c>
      <c r="AG96" s="92"/>
      <c r="AH96" s="48">
        <f t="shared" si="11"/>
        <v>1274.8</v>
      </c>
      <c r="AI96" s="49">
        <f t="shared" si="12"/>
        <v>123</v>
      </c>
    </row>
    <row r="97" spans="1:35" x14ac:dyDescent="0.25">
      <c r="A97" s="91" t="s">
        <v>102</v>
      </c>
      <c r="B97" s="65">
        <v>127.4</v>
      </c>
      <c r="C97" s="65">
        <v>132.9</v>
      </c>
      <c r="D97" s="65">
        <v>132.9</v>
      </c>
      <c r="E97" s="65">
        <v>133</v>
      </c>
      <c r="F97" s="65">
        <v>132</v>
      </c>
      <c r="G97" s="65">
        <v>132.5</v>
      </c>
      <c r="H97" s="65">
        <v>131.9</v>
      </c>
      <c r="I97" s="65">
        <v>130</v>
      </c>
      <c r="J97" s="65">
        <v>129.63</v>
      </c>
      <c r="K97" s="65">
        <v>129.85</v>
      </c>
      <c r="L97" s="65">
        <v>127.7</v>
      </c>
      <c r="M97" s="65">
        <v>129.30000000000001</v>
      </c>
      <c r="N97" s="65">
        <v>128.69999999999999</v>
      </c>
      <c r="O97" s="65">
        <v>126.6</v>
      </c>
      <c r="P97" s="65">
        <v>126.6</v>
      </c>
      <c r="Q97" s="65">
        <v>127.2</v>
      </c>
      <c r="R97" s="65">
        <v>128.19999999999999</v>
      </c>
      <c r="S97" s="65">
        <v>127.7</v>
      </c>
      <c r="T97" s="65">
        <v>127.7</v>
      </c>
      <c r="U97" s="65">
        <v>127</v>
      </c>
      <c r="V97" s="65">
        <v>126.3</v>
      </c>
      <c r="W97" s="65">
        <v>127.1</v>
      </c>
      <c r="X97" s="65">
        <v>128</v>
      </c>
      <c r="Y97" s="65">
        <v>129</v>
      </c>
      <c r="Z97" s="65">
        <v>129</v>
      </c>
      <c r="AA97" s="65">
        <v>131.69999999999999</v>
      </c>
      <c r="AB97" s="65">
        <v>131.19999999999999</v>
      </c>
      <c r="AC97" s="65">
        <v>131</v>
      </c>
      <c r="AD97" s="65">
        <v>131.69999999999999</v>
      </c>
      <c r="AE97" s="65">
        <v>132.80000000000001</v>
      </c>
      <c r="AF97" s="65">
        <v>132.80000000000001</v>
      </c>
      <c r="AG97" s="92"/>
      <c r="AH97" s="48">
        <f t="shared" si="11"/>
        <v>133</v>
      </c>
      <c r="AI97" s="49">
        <f t="shared" si="12"/>
        <v>126.3</v>
      </c>
    </row>
    <row r="98" spans="1:35" x14ac:dyDescent="0.25">
      <c r="A98" s="91" t="s">
        <v>103</v>
      </c>
      <c r="B98" s="65">
        <v>131.69999999999999</v>
      </c>
      <c r="C98" s="65">
        <v>130</v>
      </c>
      <c r="D98" s="65">
        <v>130</v>
      </c>
      <c r="E98" s="65">
        <v>131</v>
      </c>
      <c r="F98" s="65">
        <v>130</v>
      </c>
      <c r="G98" s="65">
        <v>129</v>
      </c>
      <c r="H98" s="65">
        <v>129</v>
      </c>
      <c r="I98" s="65">
        <v>129</v>
      </c>
      <c r="J98" s="65">
        <v>129</v>
      </c>
      <c r="K98" s="65">
        <v>126.2</v>
      </c>
      <c r="L98" s="65">
        <v>128.30000000000001</v>
      </c>
      <c r="M98" s="65">
        <v>127.2</v>
      </c>
      <c r="N98" s="65">
        <v>128.30000000000001</v>
      </c>
      <c r="O98" s="65">
        <v>128.30000000000001</v>
      </c>
      <c r="P98" s="65">
        <v>129.5</v>
      </c>
      <c r="Q98" s="65">
        <v>131.30000000000001</v>
      </c>
      <c r="R98" s="65">
        <v>131.30000000000001</v>
      </c>
      <c r="S98" s="65">
        <v>130.30000000000001</v>
      </c>
      <c r="T98" s="65">
        <v>130.30000000000001</v>
      </c>
      <c r="U98" s="65">
        <v>129.5</v>
      </c>
      <c r="V98" s="65">
        <v>129.5</v>
      </c>
      <c r="W98" s="65">
        <v>126.2</v>
      </c>
      <c r="X98" s="65">
        <v>130.1</v>
      </c>
      <c r="Y98" s="65">
        <v>130.30000000000001</v>
      </c>
      <c r="Z98" s="65">
        <v>131.30000000000001</v>
      </c>
      <c r="AA98" s="65">
        <v>133.80000000000001</v>
      </c>
      <c r="AB98" s="65">
        <v>131.5</v>
      </c>
      <c r="AC98" s="65">
        <v>131</v>
      </c>
      <c r="AD98" s="65">
        <v>132.6</v>
      </c>
      <c r="AE98" s="65">
        <v>130.5</v>
      </c>
      <c r="AF98" s="65">
        <v>130.4</v>
      </c>
      <c r="AG98" s="92"/>
      <c r="AH98" s="48">
        <f t="shared" si="11"/>
        <v>133.80000000000001</v>
      </c>
      <c r="AI98" s="49">
        <f t="shared" si="12"/>
        <v>126.2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1"/>
        <v>0</v>
      </c>
      <c r="AI99" s="49">
        <f t="shared" si="12"/>
        <v>0</v>
      </c>
    </row>
    <row r="100" spans="1:35" x14ac:dyDescent="0.25">
      <c r="A100" s="93" t="s">
        <v>105</v>
      </c>
      <c r="B100" s="94">
        <v>131.80000000000001</v>
      </c>
      <c r="C100" s="94">
        <v>132.6</v>
      </c>
      <c r="D100" s="94">
        <v>132.19999999999999</v>
      </c>
      <c r="E100" s="94">
        <v>131</v>
      </c>
      <c r="F100" s="94">
        <v>131</v>
      </c>
      <c r="G100" s="94">
        <v>135.6</v>
      </c>
      <c r="H100" s="94">
        <v>134</v>
      </c>
      <c r="I100" s="94">
        <v>134.9</v>
      </c>
      <c r="J100" s="94">
        <v>131.9</v>
      </c>
      <c r="K100" s="94">
        <v>133</v>
      </c>
      <c r="L100" s="94">
        <v>133.6</v>
      </c>
      <c r="M100" s="94">
        <v>135</v>
      </c>
      <c r="N100" s="94">
        <v>133.30000000000001</v>
      </c>
      <c r="O100" s="94">
        <v>133.30000000000001</v>
      </c>
      <c r="P100" s="94">
        <v>133.5</v>
      </c>
      <c r="Q100" s="94">
        <v>134.1</v>
      </c>
      <c r="R100" s="94">
        <v>131.80000000000001</v>
      </c>
      <c r="S100" s="94">
        <v>133.4</v>
      </c>
      <c r="T100" s="94">
        <v>133.4</v>
      </c>
      <c r="U100" s="94">
        <v>134.69999999999999</v>
      </c>
      <c r="V100" s="94">
        <v>132</v>
      </c>
      <c r="W100" s="94">
        <v>132.30000000000001</v>
      </c>
      <c r="X100" s="94">
        <v>134</v>
      </c>
      <c r="Y100" s="94">
        <v>133.6</v>
      </c>
      <c r="Z100" s="94">
        <v>133.69999999999999</v>
      </c>
      <c r="AA100" s="94">
        <v>134.30000000000001</v>
      </c>
      <c r="AB100" s="94">
        <v>133.6</v>
      </c>
      <c r="AC100" s="94">
        <v>134</v>
      </c>
      <c r="AD100" s="94">
        <v>134.19999999999999</v>
      </c>
      <c r="AE100" s="94">
        <v>135.69999999999999</v>
      </c>
      <c r="AF100" s="94">
        <v>132.9</v>
      </c>
      <c r="AG100" s="95"/>
      <c r="AH100" s="48">
        <f t="shared" si="11"/>
        <v>135.69999999999999</v>
      </c>
      <c r="AI100" s="49">
        <f t="shared" si="12"/>
        <v>131</v>
      </c>
    </row>
    <row r="101" spans="1:35" x14ac:dyDescent="0.25">
      <c r="A101" s="91" t="s">
        <v>106</v>
      </c>
      <c r="B101" s="65">
        <v>131.69999999999999</v>
      </c>
      <c r="C101" s="65">
        <v>133.80000000000001</v>
      </c>
      <c r="D101" s="65">
        <v>133.6</v>
      </c>
      <c r="E101" s="65">
        <v>132</v>
      </c>
      <c r="F101" s="65">
        <v>128.6</v>
      </c>
      <c r="G101" s="65">
        <v>130.4</v>
      </c>
      <c r="H101" s="65">
        <v>134</v>
      </c>
      <c r="I101" s="65">
        <v>128.9</v>
      </c>
      <c r="J101" s="65">
        <v>126.9</v>
      </c>
      <c r="K101" s="65">
        <v>125.6</v>
      </c>
      <c r="L101" s="65">
        <v>128</v>
      </c>
      <c r="M101" s="65">
        <v>131.6</v>
      </c>
      <c r="N101" s="65">
        <v>123.4</v>
      </c>
      <c r="O101" s="65">
        <v>123.4</v>
      </c>
      <c r="P101" s="65">
        <v>130.1</v>
      </c>
      <c r="Q101" s="65">
        <v>129.6</v>
      </c>
      <c r="R101" s="65">
        <v>137.19999999999999</v>
      </c>
      <c r="S101" s="65">
        <v>126.6</v>
      </c>
      <c r="T101" s="65">
        <v>126.6</v>
      </c>
      <c r="U101" s="65">
        <v>127.2</v>
      </c>
      <c r="V101" s="65">
        <v>134.9</v>
      </c>
      <c r="W101" s="65">
        <v>133.19999999999999</v>
      </c>
      <c r="X101" s="65">
        <v>129</v>
      </c>
      <c r="Y101" s="65">
        <v>130.30000000000001</v>
      </c>
      <c r="Z101" s="65">
        <v>132.30000000000001</v>
      </c>
      <c r="AA101" s="65">
        <v>125.8</v>
      </c>
      <c r="AB101" s="65">
        <v>125.8</v>
      </c>
      <c r="AC101" s="65">
        <v>126</v>
      </c>
      <c r="AD101" s="65">
        <v>132.80000000000001</v>
      </c>
      <c r="AE101" s="65">
        <v>126.8</v>
      </c>
      <c r="AF101" s="65">
        <v>133.30000000000001</v>
      </c>
      <c r="AG101" s="92"/>
      <c r="AH101" s="48">
        <f t="shared" si="11"/>
        <v>137.19999999999999</v>
      </c>
      <c r="AI101" s="49">
        <f t="shared" si="12"/>
        <v>123.4</v>
      </c>
    </row>
    <row r="102" spans="1:35" ht="15.75" thickBot="1" x14ac:dyDescent="0.3">
      <c r="A102" s="91" t="s">
        <v>107</v>
      </c>
      <c r="B102" s="96">
        <v>66.099999999999994</v>
      </c>
      <c r="C102" s="96">
        <v>66.599999999999994</v>
      </c>
      <c r="D102" s="96">
        <v>66.7</v>
      </c>
      <c r="E102" s="96">
        <v>66.8</v>
      </c>
      <c r="F102" s="96">
        <v>66</v>
      </c>
      <c r="G102" s="96">
        <v>66.599999999999994</v>
      </c>
      <c r="H102" s="96">
        <v>66</v>
      </c>
      <c r="I102" s="96">
        <v>65.3</v>
      </c>
      <c r="J102" s="96">
        <v>65.099999999999994</v>
      </c>
      <c r="K102" s="96">
        <v>65.099999999999994</v>
      </c>
      <c r="L102" s="96">
        <v>64.099999999999994</v>
      </c>
      <c r="M102" s="96">
        <v>64.7</v>
      </c>
      <c r="N102" s="96">
        <v>64.599999999999994</v>
      </c>
      <c r="O102" s="96">
        <v>64.599999999999994</v>
      </c>
      <c r="P102" s="96">
        <v>63.69</v>
      </c>
      <c r="Q102" s="96">
        <v>63.7</v>
      </c>
      <c r="R102" s="96">
        <v>64</v>
      </c>
      <c r="S102" s="96">
        <v>63.9</v>
      </c>
      <c r="T102" s="96">
        <v>63.9</v>
      </c>
      <c r="U102" s="96">
        <v>63.5</v>
      </c>
      <c r="V102" s="96">
        <v>63.4</v>
      </c>
      <c r="W102" s="96">
        <v>63.6</v>
      </c>
      <c r="X102" s="96">
        <v>64.099999999999994</v>
      </c>
      <c r="Y102" s="96">
        <v>64.599999999999994</v>
      </c>
      <c r="Z102" s="96">
        <v>64.8</v>
      </c>
      <c r="AA102" s="96">
        <v>65.900000000000006</v>
      </c>
      <c r="AB102" s="96">
        <v>65.7</v>
      </c>
      <c r="AC102" s="96">
        <v>65.7</v>
      </c>
      <c r="AD102" s="96">
        <v>66</v>
      </c>
      <c r="AE102" s="96">
        <v>66.599999999999994</v>
      </c>
      <c r="AF102" s="96">
        <v>66.8</v>
      </c>
      <c r="AG102" s="97"/>
      <c r="AH102" s="48">
        <f t="shared" si="11"/>
        <v>66.8</v>
      </c>
      <c r="AI102" s="49">
        <f t="shared" si="12"/>
        <v>63.4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1"/>
        <v>0</v>
      </c>
      <c r="AI103" s="49">
        <f t="shared" si="12"/>
        <v>0</v>
      </c>
    </row>
    <row r="104" spans="1:35" ht="15.75" thickBot="1" x14ac:dyDescent="0.3">
      <c r="A104" s="99" t="s">
        <v>108</v>
      </c>
      <c r="B104" s="100">
        <f t="shared" ref="B104:AF104" si="23">SUM(B16,B22,B25:B26,B52,B54:B55,B57,B59,B105:B109,B131,B137,B143,B152,B154,B166,B173,B176:B177,B184,B186,B188,B192:B194,B196:B198,B203,B209:B210,B212:B214,B222,B227)</f>
        <v>104.59899999999999</v>
      </c>
      <c r="C104" s="100">
        <f t="shared" si="23"/>
        <v>111.63899999999998</v>
      </c>
      <c r="D104" s="100">
        <f t="shared" si="23"/>
        <v>101.43900000000001</v>
      </c>
      <c r="E104" s="100">
        <f>SUM(B16,B22,B25:B26,E52,E54:E55,E57,E59,E105:E109,E131,E137,E143,E152,E154,E166,E173,E176:E177,E184,E186,E188,E192:E194,E196:E198,E203,E209:E210,E212:E214,E222,E227)</f>
        <v>105.239</v>
      </c>
      <c r="F104" s="100">
        <f>SUM(C16,C22,C25:C26,F52,F54:F55,F57,F59,F105:F109,F131,F137,F143,F152,F154,F166,F173,F176:F177,F184,F186,F188,F192:F194,F196:F198,F203,F209:F210,F212:F214,F222,F227)</f>
        <v>100.239</v>
      </c>
      <c r="G104" s="100">
        <f t="shared" si="23"/>
        <v>117.43900000000001</v>
      </c>
      <c r="H104" s="100">
        <f t="shared" si="23"/>
        <v>149.73899999999998</v>
      </c>
      <c r="I104" s="100">
        <f t="shared" si="23"/>
        <v>180.23899999999998</v>
      </c>
      <c r="J104" s="100">
        <f t="shared" si="23"/>
        <v>210.53899999999999</v>
      </c>
      <c r="K104" s="100">
        <f t="shared" si="23"/>
        <v>239.23899999999998</v>
      </c>
      <c r="L104" s="100">
        <f>SUM(L16,L22,L25:L26,L52,L54:L55,L57,L59,L105:L109,L131,L137,L143,L152,L154,L166,L173,L176:L177,L184,L186,L188,L192:L194,L196:L198,L203,L209:L210,L212:L214,L222,L227)</f>
        <v>335.63900000000001</v>
      </c>
      <c r="M104" s="100">
        <f t="shared" si="23"/>
        <v>302.30500000000001</v>
      </c>
      <c r="N104" s="100">
        <f t="shared" si="23"/>
        <v>315.13899999999995</v>
      </c>
      <c r="O104" s="100">
        <f t="shared" si="23"/>
        <v>307.03899999999999</v>
      </c>
      <c r="P104" s="100">
        <f t="shared" si="23"/>
        <v>138.53899999999999</v>
      </c>
      <c r="Q104" s="100">
        <f t="shared" si="23"/>
        <v>265.09899999999999</v>
      </c>
      <c r="R104" s="100">
        <f t="shared" si="23"/>
        <v>252.49899999999997</v>
      </c>
      <c r="S104" s="100">
        <f t="shared" si="23"/>
        <v>254.59899999999999</v>
      </c>
      <c r="T104" s="100">
        <f t="shared" si="23"/>
        <v>254.59899999999999</v>
      </c>
      <c r="U104" s="100">
        <f t="shared" si="23"/>
        <v>285.899</v>
      </c>
      <c r="V104" s="100">
        <f t="shared" si="23"/>
        <v>309.99900000000002</v>
      </c>
      <c r="W104" s="100">
        <f t="shared" si="23"/>
        <v>355.69900000000001</v>
      </c>
      <c r="X104" s="100">
        <f t="shared" si="23"/>
        <v>366.69900000000001</v>
      </c>
      <c r="Y104" s="100">
        <f t="shared" si="23"/>
        <v>360.899</v>
      </c>
      <c r="Z104" s="100">
        <f t="shared" si="23"/>
        <v>352.99900000000002</v>
      </c>
      <c r="AA104" s="100">
        <f t="shared" si="23"/>
        <v>304.89899999999994</v>
      </c>
      <c r="AB104" s="100">
        <f t="shared" si="23"/>
        <v>331.19899999999996</v>
      </c>
      <c r="AC104" s="100">
        <f t="shared" si="23"/>
        <v>309.29899999999998</v>
      </c>
      <c r="AD104" s="100">
        <f t="shared" si="23"/>
        <v>265.19900000000001</v>
      </c>
      <c r="AE104" s="100">
        <f t="shared" si="23"/>
        <v>187.399</v>
      </c>
      <c r="AF104" s="100">
        <f t="shared" si="23"/>
        <v>130.999</v>
      </c>
      <c r="AG104" s="101"/>
      <c r="AH104" s="48">
        <f t="shared" si="11"/>
        <v>366.69900000000001</v>
      </c>
      <c r="AI104" s="49">
        <f t="shared" si="12"/>
        <v>100.239</v>
      </c>
    </row>
    <row r="105" spans="1:35" x14ac:dyDescent="0.25">
      <c r="A105" s="88" t="s">
        <v>109</v>
      </c>
      <c r="B105" s="102">
        <v>21.7</v>
      </c>
      <c r="C105" s="102">
        <v>11.1</v>
      </c>
      <c r="D105" s="102">
        <v>6.8</v>
      </c>
      <c r="E105" s="102">
        <v>-2.6</v>
      </c>
      <c r="F105" s="102">
        <v>1.4</v>
      </c>
      <c r="G105" s="102">
        <v>20.3</v>
      </c>
      <c r="H105" s="102">
        <v>20.100000000000001</v>
      </c>
      <c r="I105" s="102">
        <v>20.6</v>
      </c>
      <c r="J105" s="102">
        <v>12.9</v>
      </c>
      <c r="K105" s="102">
        <v>33.5</v>
      </c>
      <c r="L105" s="102">
        <v>22.5</v>
      </c>
      <c r="M105" s="102">
        <v>27.3</v>
      </c>
      <c r="N105" s="102">
        <v>38.5</v>
      </c>
      <c r="O105" s="102">
        <v>43.1</v>
      </c>
      <c r="P105" s="102"/>
      <c r="Q105" s="102">
        <v>33.299999999999997</v>
      </c>
      <c r="R105" s="102">
        <v>24.7</v>
      </c>
      <c r="S105" s="102">
        <v>24.9</v>
      </c>
      <c r="T105" s="102">
        <v>24.9</v>
      </c>
      <c r="U105" s="102">
        <v>34.200000000000003</v>
      </c>
      <c r="V105" s="102">
        <v>35.799999999999997</v>
      </c>
      <c r="W105" s="102">
        <v>32.200000000000003</v>
      </c>
      <c r="X105" s="102">
        <v>30.5</v>
      </c>
      <c r="Y105" s="102">
        <v>31.7</v>
      </c>
      <c r="Z105" s="102">
        <v>38.799999999999997</v>
      </c>
      <c r="AA105" s="102">
        <v>38.200000000000003</v>
      </c>
      <c r="AB105" s="102">
        <v>46.3</v>
      </c>
      <c r="AC105" s="102">
        <v>33.200000000000003</v>
      </c>
      <c r="AD105" s="102">
        <v>30.9</v>
      </c>
      <c r="AE105" s="102">
        <v>21.8</v>
      </c>
      <c r="AF105" s="102">
        <v>6.8</v>
      </c>
      <c r="AG105" s="103">
        <v>75</v>
      </c>
      <c r="AH105" s="48">
        <f t="shared" si="11"/>
        <v>46.3</v>
      </c>
      <c r="AI105" s="49">
        <f t="shared" si="12"/>
        <v>-2.6</v>
      </c>
    </row>
    <row r="106" spans="1:35" x14ac:dyDescent="0.25">
      <c r="A106" s="91" t="s">
        <v>110</v>
      </c>
      <c r="B106" s="104">
        <v>37.9</v>
      </c>
      <c r="C106" s="104">
        <v>19.7</v>
      </c>
      <c r="D106" s="104">
        <v>14.1</v>
      </c>
      <c r="E106" s="104">
        <v>2.9</v>
      </c>
      <c r="F106" s="104">
        <v>8</v>
      </c>
      <c r="G106" s="104">
        <v>37</v>
      </c>
      <c r="H106" s="104">
        <v>36</v>
      </c>
      <c r="I106" s="104">
        <v>35.700000000000003</v>
      </c>
      <c r="J106" s="104">
        <v>22.1</v>
      </c>
      <c r="K106" s="104">
        <v>52.8</v>
      </c>
      <c r="L106" s="104">
        <v>37.1</v>
      </c>
      <c r="M106" s="104">
        <v>42.966000000000001</v>
      </c>
      <c r="N106" s="104">
        <v>58.4</v>
      </c>
      <c r="O106" s="104">
        <v>65.2</v>
      </c>
      <c r="P106" s="104"/>
      <c r="Q106" s="104">
        <v>53.1</v>
      </c>
      <c r="R106" s="104">
        <v>40.4</v>
      </c>
      <c r="S106" s="104">
        <v>41.7</v>
      </c>
      <c r="T106" s="104">
        <v>41.7</v>
      </c>
      <c r="U106" s="104">
        <v>50.6</v>
      </c>
      <c r="V106" s="104">
        <v>54.9</v>
      </c>
      <c r="W106" s="104">
        <v>47.7</v>
      </c>
      <c r="X106" s="104">
        <v>46.2</v>
      </c>
      <c r="Y106" s="104">
        <v>47.8</v>
      </c>
      <c r="Z106" s="104">
        <v>57.3</v>
      </c>
      <c r="AA106" s="104">
        <v>58.2</v>
      </c>
      <c r="AB106" s="104">
        <v>69.7</v>
      </c>
      <c r="AC106" s="104">
        <v>50.5</v>
      </c>
      <c r="AD106" s="104">
        <v>47.7</v>
      </c>
      <c r="AE106" s="104">
        <v>36.4</v>
      </c>
      <c r="AF106" s="104">
        <v>18</v>
      </c>
      <c r="AG106" s="103">
        <v>240</v>
      </c>
      <c r="AH106" s="48">
        <f t="shared" si="11"/>
        <v>69.7</v>
      </c>
      <c r="AI106" s="49">
        <f t="shared" si="12"/>
        <v>2.9</v>
      </c>
    </row>
    <row r="107" spans="1:35" x14ac:dyDescent="0.25">
      <c r="A107" s="91" t="s">
        <v>111</v>
      </c>
      <c r="B107" s="104">
        <v>-100</v>
      </c>
      <c r="C107" s="104">
        <v>-87</v>
      </c>
      <c r="D107" s="104">
        <v>-86</v>
      </c>
      <c r="E107" s="104">
        <v>-78.5</v>
      </c>
      <c r="F107" s="104">
        <v>-88.8</v>
      </c>
      <c r="G107" s="104">
        <v>-101</v>
      </c>
      <c r="H107" s="104">
        <v>-85.7</v>
      </c>
      <c r="I107" s="104">
        <v>-74</v>
      </c>
      <c r="J107" s="104">
        <v>-68.8</v>
      </c>
      <c r="K107" s="104">
        <v>-80</v>
      </c>
      <c r="L107" s="104">
        <v>-5</v>
      </c>
      <c r="M107" s="104">
        <v>-50.3</v>
      </c>
      <c r="N107" s="104">
        <v>-30</v>
      </c>
      <c r="O107" s="104">
        <v>-48.5</v>
      </c>
      <c r="P107" s="104"/>
      <c r="Q107" s="104">
        <v>-44</v>
      </c>
      <c r="R107" s="104">
        <v>-39.799999999999997</v>
      </c>
      <c r="S107" s="104">
        <f>-19.1-20.4</f>
        <v>-39.5</v>
      </c>
      <c r="T107" s="104">
        <f t="shared" ref="T107" si="24">-19.1-20.4</f>
        <v>-39.5</v>
      </c>
      <c r="U107" s="104">
        <f>-15.7-16.9</f>
        <v>-32.599999999999994</v>
      </c>
      <c r="V107" s="104">
        <f>-13.4-14.5</f>
        <v>-27.9</v>
      </c>
      <c r="W107" s="104">
        <f>-14.8+4</f>
        <v>-10.8</v>
      </c>
      <c r="X107" s="104">
        <f>-15+9.5</f>
        <v>-5.5</v>
      </c>
      <c r="Y107" s="104">
        <f>-16.7+7.5</f>
        <v>-9.1999999999999993</v>
      </c>
      <c r="Z107" s="104">
        <f>-12.7+4</f>
        <v>-8.6999999999999993</v>
      </c>
      <c r="AA107" s="104">
        <f>-41.2-11.7</f>
        <v>-52.900000000000006</v>
      </c>
      <c r="AB107" s="104">
        <f>-12.9-20.9</f>
        <v>-33.799999999999997</v>
      </c>
      <c r="AC107" s="104">
        <v>-13</v>
      </c>
      <c r="AD107" s="104">
        <f>-13-15</f>
        <v>-28</v>
      </c>
      <c r="AE107" s="104">
        <f>-27.9-30</f>
        <v>-57.9</v>
      </c>
      <c r="AF107" s="104">
        <f>-36-39</f>
        <v>-75</v>
      </c>
      <c r="AG107" s="103">
        <v>240</v>
      </c>
      <c r="AH107" s="48">
        <f t="shared" si="11"/>
        <v>-5</v>
      </c>
      <c r="AI107" s="49">
        <f t="shared" si="12"/>
        <v>-101</v>
      </c>
    </row>
    <row r="108" spans="1:35" x14ac:dyDescent="0.25">
      <c r="A108" s="91" t="s">
        <v>112</v>
      </c>
      <c r="B108" s="104">
        <v>0.2</v>
      </c>
      <c r="C108" s="104">
        <v>-7</v>
      </c>
      <c r="D108" s="104">
        <v>-6.2</v>
      </c>
      <c r="E108" s="104">
        <v>-4.8</v>
      </c>
      <c r="F108" s="104">
        <v>-4.0999999999999996</v>
      </c>
      <c r="G108" s="104">
        <v>-4.0999999999999996</v>
      </c>
      <c r="H108" s="104">
        <v>-2.1</v>
      </c>
      <c r="I108" s="104">
        <v>-0.5</v>
      </c>
      <c r="J108" s="104">
        <v>21.8</v>
      </c>
      <c r="K108" s="104">
        <v>32.5</v>
      </c>
      <c r="L108" s="104">
        <v>47.9</v>
      </c>
      <c r="M108" s="104">
        <v>49</v>
      </c>
      <c r="N108" s="104">
        <v>35.200000000000003</v>
      </c>
      <c r="O108" s="104">
        <v>9.3000000000000007</v>
      </c>
      <c r="P108" s="104"/>
      <c r="Q108" s="104">
        <v>7</v>
      </c>
      <c r="R108" s="104">
        <v>5.0999999999999996</v>
      </c>
      <c r="S108" s="104">
        <v>6.3</v>
      </c>
      <c r="T108" s="104">
        <v>6.3</v>
      </c>
      <c r="U108" s="104">
        <v>11.2</v>
      </c>
      <c r="V108" s="104">
        <v>14.8</v>
      </c>
      <c r="W108" s="104">
        <v>57.8</v>
      </c>
      <c r="X108" s="104">
        <v>59</v>
      </c>
      <c r="Y108" s="104">
        <v>59</v>
      </c>
      <c r="Z108" s="104">
        <v>41.1</v>
      </c>
      <c r="AA108" s="104">
        <v>60.1</v>
      </c>
      <c r="AB108" s="104">
        <v>46.5</v>
      </c>
      <c r="AC108" s="104">
        <v>30.9</v>
      </c>
      <c r="AD108" s="104">
        <v>16.899999999999999</v>
      </c>
      <c r="AE108" s="104">
        <v>8.9</v>
      </c>
      <c r="AF108" s="104">
        <v>3.6</v>
      </c>
      <c r="AG108" s="103">
        <v>60</v>
      </c>
      <c r="AH108" s="48">
        <f t="shared" si="11"/>
        <v>60.1</v>
      </c>
      <c r="AI108" s="49">
        <f t="shared" si="12"/>
        <v>-7</v>
      </c>
    </row>
    <row r="109" spans="1:35" x14ac:dyDescent="0.25">
      <c r="A109" s="105" t="s">
        <v>113</v>
      </c>
      <c r="B109" s="106">
        <v>7.2</v>
      </c>
      <c r="C109" s="106">
        <v>35.6</v>
      </c>
      <c r="D109" s="106">
        <v>33.5</v>
      </c>
      <c r="E109" s="106">
        <v>49.3</v>
      </c>
      <c r="F109" s="106">
        <v>44.8</v>
      </c>
      <c r="G109" s="106">
        <v>26.3</v>
      </c>
      <c r="H109" s="106">
        <v>42.5</v>
      </c>
      <c r="I109" s="106">
        <v>59.5</v>
      </c>
      <c r="J109" s="106">
        <v>83.6</v>
      </c>
      <c r="K109" s="106">
        <v>61.5</v>
      </c>
      <c r="L109" s="106">
        <v>94.2</v>
      </c>
      <c r="M109" s="106">
        <v>94.4</v>
      </c>
      <c r="N109" s="106">
        <v>74.099999999999994</v>
      </c>
      <c r="O109" s="106">
        <v>99</v>
      </c>
      <c r="P109" s="106"/>
      <c r="Q109" s="106">
        <v>77.7</v>
      </c>
      <c r="R109" s="106">
        <v>84.1</v>
      </c>
      <c r="S109" s="106">
        <v>83.2</v>
      </c>
      <c r="T109" s="106">
        <v>83.2</v>
      </c>
      <c r="U109" s="106">
        <v>84.5</v>
      </c>
      <c r="V109" s="106">
        <v>94.4</v>
      </c>
      <c r="W109" s="106">
        <v>90.8</v>
      </c>
      <c r="X109" s="106">
        <v>98.5</v>
      </c>
      <c r="Y109" s="106">
        <v>95</v>
      </c>
      <c r="Z109" s="106">
        <v>87.9</v>
      </c>
      <c r="AA109" s="106">
        <v>64.7</v>
      </c>
      <c r="AB109" s="106">
        <v>65.900000000000006</v>
      </c>
      <c r="AC109" s="106">
        <v>71.099999999999994</v>
      </c>
      <c r="AD109" s="106">
        <v>61.1</v>
      </c>
      <c r="AE109" s="106">
        <v>41.6</v>
      </c>
      <c r="AF109" s="106">
        <v>41</v>
      </c>
      <c r="AG109" s="107">
        <v>120</v>
      </c>
      <c r="AH109" s="48">
        <f t="shared" si="11"/>
        <v>99</v>
      </c>
      <c r="AI109" s="49">
        <f t="shared" si="12"/>
        <v>7.2</v>
      </c>
    </row>
    <row r="110" spans="1:35" x14ac:dyDescent="0.25">
      <c r="A110" s="105" t="s">
        <v>115</v>
      </c>
      <c r="B110" s="106">
        <v>28.8</v>
      </c>
      <c r="C110" s="106">
        <v>48.9</v>
      </c>
      <c r="D110" s="106">
        <v>47.3</v>
      </c>
      <c r="E110" s="106">
        <v>55.4</v>
      </c>
      <c r="F110" s="106">
        <v>52</v>
      </c>
      <c r="G110" s="106">
        <v>36.1</v>
      </c>
      <c r="H110" s="106">
        <v>50.8</v>
      </c>
      <c r="I110" s="106">
        <v>63.3</v>
      </c>
      <c r="J110" s="106">
        <v>71.5</v>
      </c>
      <c r="K110" s="106">
        <v>51</v>
      </c>
      <c r="L110" s="106">
        <v>97.2</v>
      </c>
      <c r="M110" s="106">
        <v>92.8</v>
      </c>
      <c r="N110" s="106">
        <v>75.099999999999994</v>
      </c>
      <c r="O110" s="106">
        <v>87.3</v>
      </c>
      <c r="P110" s="106"/>
      <c r="Q110" s="106">
        <v>73.7</v>
      </c>
      <c r="R110" s="106">
        <v>52.7</v>
      </c>
      <c r="S110" s="106">
        <v>83</v>
      </c>
      <c r="T110" s="106">
        <v>83</v>
      </c>
      <c r="U110" s="106">
        <v>73.400000000000006</v>
      </c>
      <c r="V110" s="106">
        <v>74.11</v>
      </c>
      <c r="W110" s="106">
        <v>90.6</v>
      </c>
      <c r="X110" s="106">
        <v>86.5</v>
      </c>
      <c r="Y110" s="106">
        <v>83.5</v>
      </c>
      <c r="Z110" s="106">
        <v>76.599999999999994</v>
      </c>
      <c r="AA110" s="106">
        <v>11.4</v>
      </c>
      <c r="AB110" s="106">
        <v>5.6</v>
      </c>
      <c r="AC110" s="106">
        <v>46.1</v>
      </c>
      <c r="AD110" s="106">
        <v>45.8</v>
      </c>
      <c r="AE110" s="106">
        <v>40.5</v>
      </c>
      <c r="AF110" s="106">
        <v>50.3</v>
      </c>
      <c r="AG110" s="107"/>
      <c r="AH110" s="48">
        <f t="shared" si="11"/>
        <v>97.2</v>
      </c>
      <c r="AI110" s="49">
        <f t="shared" si="12"/>
        <v>5.6</v>
      </c>
    </row>
    <row r="111" spans="1:35" x14ac:dyDescent="0.25">
      <c r="A111" s="105" t="s">
        <v>116</v>
      </c>
      <c r="B111" s="106">
        <v>33</v>
      </c>
      <c r="C111" s="106">
        <v>40.700000000000003</v>
      </c>
      <c r="D111" s="106">
        <v>45</v>
      </c>
      <c r="E111" s="106">
        <v>48.1</v>
      </c>
      <c r="F111" s="106">
        <v>43.8</v>
      </c>
      <c r="G111" s="106">
        <v>28.4</v>
      </c>
      <c r="H111" s="106">
        <v>34.799999999999997</v>
      </c>
      <c r="I111" s="106">
        <v>28.3</v>
      </c>
      <c r="J111" s="106">
        <v>22.1</v>
      </c>
      <c r="K111" s="106">
        <v>17.2</v>
      </c>
      <c r="L111" s="106">
        <v>43.2</v>
      </c>
      <c r="M111" s="106">
        <v>45.8</v>
      </c>
      <c r="N111" s="106">
        <v>11.8</v>
      </c>
      <c r="O111" s="106">
        <v>16.2</v>
      </c>
      <c r="P111" s="106"/>
      <c r="Q111" s="106" t="s">
        <v>250</v>
      </c>
      <c r="R111" s="106">
        <v>27.8</v>
      </c>
      <c r="S111" s="106">
        <v>40.4</v>
      </c>
      <c r="T111" s="106">
        <v>40.4</v>
      </c>
      <c r="U111" s="106">
        <v>23.7</v>
      </c>
      <c r="V111" s="106">
        <v>-27.7</v>
      </c>
      <c r="W111" s="106">
        <v>-40.1</v>
      </c>
      <c r="X111" s="106">
        <v>-45.7</v>
      </c>
      <c r="Y111" s="106">
        <v>46.4</v>
      </c>
      <c r="Z111" s="106">
        <v>26.5</v>
      </c>
      <c r="AA111" s="106">
        <v>25.1</v>
      </c>
      <c r="AB111" s="106">
        <v>12.3</v>
      </c>
      <c r="AC111" s="106">
        <v>31.6</v>
      </c>
      <c r="AD111" s="106">
        <v>38.9</v>
      </c>
      <c r="AE111" s="106">
        <v>40.4</v>
      </c>
      <c r="AF111" s="106">
        <v>56.1</v>
      </c>
      <c r="AG111" s="108"/>
      <c r="AH111" s="48">
        <f t="shared" si="11"/>
        <v>56.1</v>
      </c>
      <c r="AI111" s="49">
        <f t="shared" si="12"/>
        <v>-45.7</v>
      </c>
    </row>
    <row r="112" spans="1:35" x14ac:dyDescent="0.25">
      <c r="A112" s="109" t="s">
        <v>117</v>
      </c>
      <c r="B112" s="94">
        <v>26.4</v>
      </c>
      <c r="C112" s="94">
        <v>20.399999999999999</v>
      </c>
      <c r="D112" s="94">
        <v>22.2</v>
      </c>
      <c r="E112" s="94">
        <v>25.41</v>
      </c>
      <c r="F112" s="94">
        <v>24.3</v>
      </c>
      <c r="G112" s="94">
        <v>23.4</v>
      </c>
      <c r="H112" s="94">
        <v>19.600000000000001</v>
      </c>
      <c r="I112" s="94">
        <v>13.3</v>
      </c>
      <c r="J112" s="94">
        <v>7.6</v>
      </c>
      <c r="K112" s="94">
        <v>2</v>
      </c>
      <c r="L112" s="94">
        <v>-4.0999999999999996</v>
      </c>
      <c r="M112" s="94">
        <v>-5.9</v>
      </c>
      <c r="N112" s="94">
        <v>2.2000000000000002</v>
      </c>
      <c r="O112" s="94">
        <v>6</v>
      </c>
      <c r="P112" s="94"/>
      <c r="Q112" s="94">
        <v>8.1999999999999993</v>
      </c>
      <c r="R112" s="94">
        <v>8.4</v>
      </c>
      <c r="S112" s="94">
        <v>12.4</v>
      </c>
      <c r="T112" s="94">
        <v>12.4</v>
      </c>
      <c r="U112" s="94">
        <v>-0.9</v>
      </c>
      <c r="V112" s="94">
        <v>-7.5</v>
      </c>
      <c r="W112" s="94">
        <v>-22.3</v>
      </c>
      <c r="X112" s="94">
        <v>-16.8</v>
      </c>
      <c r="Y112" s="94">
        <v>-11</v>
      </c>
      <c r="Z112" s="94">
        <v>-5.8</v>
      </c>
      <c r="AA112" s="94">
        <v>-2.2999999999999998</v>
      </c>
      <c r="AB112" s="94">
        <v>2.2000000000000002</v>
      </c>
      <c r="AC112" s="94">
        <v>6.85</v>
      </c>
      <c r="AD112" s="94">
        <v>13.4</v>
      </c>
      <c r="AE112" s="94">
        <v>19.3</v>
      </c>
      <c r="AF112" s="94">
        <v>19.600000000000001</v>
      </c>
      <c r="AG112" s="108"/>
      <c r="AH112" s="48">
        <f t="shared" si="11"/>
        <v>26.4</v>
      </c>
      <c r="AI112" s="49">
        <f t="shared" si="12"/>
        <v>-22.3</v>
      </c>
    </row>
    <row r="113" spans="1:37" ht="15.75" thickBot="1" x14ac:dyDescent="0.3">
      <c r="A113" s="109" t="s">
        <v>118</v>
      </c>
      <c r="B113" s="94">
        <v>67</v>
      </c>
      <c r="C113" s="94">
        <v>51.2</v>
      </c>
      <c r="D113" s="94">
        <v>45.9</v>
      </c>
      <c r="E113" s="94">
        <v>38.5</v>
      </c>
      <c r="F113" s="94">
        <v>49</v>
      </c>
      <c r="G113" s="94">
        <v>66.2</v>
      </c>
      <c r="H113" s="94">
        <v>53.5</v>
      </c>
      <c r="I113" s="94">
        <v>45</v>
      </c>
      <c r="J113" s="94">
        <v>43</v>
      </c>
      <c r="K113" s="94">
        <v>40</v>
      </c>
      <c r="L113" s="94">
        <v>29</v>
      </c>
      <c r="M113" s="94">
        <v>31.9</v>
      </c>
      <c r="N113" s="94">
        <v>40</v>
      </c>
      <c r="O113" s="94">
        <v>22.5</v>
      </c>
      <c r="P113" s="94"/>
      <c r="Q113" s="94">
        <v>27.5</v>
      </c>
      <c r="R113" s="94">
        <v>21.8</v>
      </c>
      <c r="S113" s="94">
        <v>21.3</v>
      </c>
      <c r="T113" s="94">
        <v>21.3</v>
      </c>
      <c r="U113" s="94">
        <v>22</v>
      </c>
      <c r="V113" s="94">
        <v>17.8</v>
      </c>
      <c r="W113" s="94">
        <v>7.3</v>
      </c>
      <c r="X113" s="94">
        <v>1.2</v>
      </c>
      <c r="Y113" s="94">
        <v>4.5999999999999996</v>
      </c>
      <c r="Z113" s="94">
        <v>9.3000000000000007</v>
      </c>
      <c r="AA113" s="94">
        <v>39.9</v>
      </c>
      <c r="AB113" s="94">
        <v>49.4</v>
      </c>
      <c r="AC113" s="94">
        <v>17.100000000000001</v>
      </c>
      <c r="AD113" s="94">
        <v>19.5</v>
      </c>
      <c r="AE113" s="94">
        <v>34.200000000000003</v>
      </c>
      <c r="AF113" s="94">
        <v>40.9</v>
      </c>
      <c r="AG113" s="108"/>
      <c r="AH113" s="48">
        <f t="shared" si="11"/>
        <v>67</v>
      </c>
      <c r="AI113" s="49">
        <f t="shared" si="12"/>
        <v>1.2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25">SUM(B115:B219)</f>
        <v>0</v>
      </c>
      <c r="C220" s="125">
        <f t="shared" si="25"/>
        <v>0</v>
      </c>
      <c r="D220" s="125">
        <f t="shared" si="25"/>
        <v>0</v>
      </c>
      <c r="E220" s="125">
        <f t="shared" si="25"/>
        <v>0</v>
      </c>
      <c r="F220" s="125">
        <f t="shared" si="25"/>
        <v>0</v>
      </c>
      <c r="G220" s="125">
        <f t="shared" si="25"/>
        <v>0</v>
      </c>
      <c r="H220" s="125">
        <f t="shared" si="25"/>
        <v>0</v>
      </c>
      <c r="I220" s="125">
        <f t="shared" si="25"/>
        <v>0</v>
      </c>
      <c r="J220" s="125">
        <f t="shared" si="25"/>
        <v>0</v>
      </c>
      <c r="K220" s="125">
        <f t="shared" si="25"/>
        <v>0</v>
      </c>
      <c r="L220" s="125">
        <f t="shared" si="25"/>
        <v>0</v>
      </c>
      <c r="M220" s="125">
        <f t="shared" si="25"/>
        <v>0</v>
      </c>
      <c r="N220" s="125">
        <f t="shared" si="25"/>
        <v>0</v>
      </c>
      <c r="O220" s="125">
        <f t="shared" si="25"/>
        <v>0</v>
      </c>
      <c r="P220" s="125">
        <f t="shared" si="25"/>
        <v>0</v>
      </c>
      <c r="Q220" s="125">
        <f t="shared" si="25"/>
        <v>0</v>
      </c>
      <c r="R220" s="125">
        <f t="shared" si="25"/>
        <v>0</v>
      </c>
      <c r="S220" s="125">
        <f t="shared" si="25"/>
        <v>0</v>
      </c>
      <c r="T220" s="125">
        <f t="shared" si="25"/>
        <v>0</v>
      </c>
      <c r="U220" s="125">
        <f t="shared" si="25"/>
        <v>0</v>
      </c>
      <c r="V220" s="125">
        <f t="shared" si="25"/>
        <v>0</v>
      </c>
      <c r="W220" s="125">
        <f t="shared" si="25"/>
        <v>0</v>
      </c>
      <c r="X220" s="125">
        <f t="shared" si="25"/>
        <v>0</v>
      </c>
      <c r="Y220" s="125">
        <f t="shared" si="25"/>
        <v>0</v>
      </c>
      <c r="Z220" s="125">
        <f t="shared" si="25"/>
        <v>0</v>
      </c>
      <c r="AA220" s="125">
        <f t="shared" si="25"/>
        <v>0</v>
      </c>
      <c r="AB220" s="125">
        <f t="shared" si="25"/>
        <v>0</v>
      </c>
      <c r="AC220" s="125">
        <f t="shared" si="25"/>
        <v>0</v>
      </c>
      <c r="AD220" s="125">
        <f t="shared" si="25"/>
        <v>0</v>
      </c>
      <c r="AE220" s="125">
        <f t="shared" si="25"/>
        <v>0</v>
      </c>
      <c r="AF220" s="126">
        <f t="shared" si="25"/>
        <v>0</v>
      </c>
      <c r="AG220" s="127">
        <f t="shared" si="25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26">AF222</f>
        <v>0</v>
      </c>
      <c r="C222" s="129">
        <v>0.3</v>
      </c>
      <c r="D222" s="129">
        <f t="shared" ref="D222:P227" si="27">C222</f>
        <v>0.3</v>
      </c>
      <c r="E222" s="129">
        <f t="shared" si="27"/>
        <v>0.3</v>
      </c>
      <c r="F222" s="129">
        <f t="shared" si="27"/>
        <v>0.3</v>
      </c>
      <c r="G222" s="129">
        <f t="shared" si="27"/>
        <v>0.3</v>
      </c>
      <c r="H222" s="129">
        <f t="shared" si="27"/>
        <v>0.3</v>
      </c>
      <c r="I222" s="129">
        <f t="shared" si="27"/>
        <v>0.3</v>
      </c>
      <c r="J222" s="129">
        <f t="shared" si="27"/>
        <v>0.3</v>
      </c>
      <c r="K222" s="129">
        <f t="shared" si="27"/>
        <v>0.3</v>
      </c>
      <c r="L222" s="129">
        <f t="shared" si="27"/>
        <v>0.3</v>
      </c>
      <c r="M222" s="129">
        <f t="shared" si="27"/>
        <v>0.3</v>
      </c>
      <c r="N222" s="129">
        <f t="shared" si="27"/>
        <v>0.3</v>
      </c>
      <c r="O222" s="129">
        <f t="shared" si="27"/>
        <v>0.3</v>
      </c>
      <c r="P222" s="129">
        <f t="shared" si="27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26"/>
        <v>0</v>
      </c>
      <c r="C223" s="117">
        <v>0.4</v>
      </c>
      <c r="D223" s="117">
        <f t="shared" si="27"/>
        <v>0.4</v>
      </c>
      <c r="E223" s="117">
        <f t="shared" si="27"/>
        <v>0.4</v>
      </c>
      <c r="F223" s="117">
        <f t="shared" si="27"/>
        <v>0.4</v>
      </c>
      <c r="G223" s="117">
        <f t="shared" si="27"/>
        <v>0.4</v>
      </c>
      <c r="H223" s="117">
        <f t="shared" si="27"/>
        <v>0.4</v>
      </c>
      <c r="I223" s="117">
        <f t="shared" si="27"/>
        <v>0.4</v>
      </c>
      <c r="J223" s="117">
        <f t="shared" si="27"/>
        <v>0.4</v>
      </c>
      <c r="K223" s="117">
        <f t="shared" si="27"/>
        <v>0.4</v>
      </c>
      <c r="L223" s="117">
        <f t="shared" si="27"/>
        <v>0.4</v>
      </c>
      <c r="M223" s="117">
        <f t="shared" si="27"/>
        <v>0.4</v>
      </c>
      <c r="N223" s="117">
        <f t="shared" si="27"/>
        <v>0.4</v>
      </c>
      <c r="O223" s="117">
        <f t="shared" si="27"/>
        <v>0.4</v>
      </c>
      <c r="P223" s="117">
        <f t="shared" si="27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26"/>
        <v>0</v>
      </c>
      <c r="C224" s="117">
        <v>1.5</v>
      </c>
      <c r="D224" s="117">
        <f t="shared" si="27"/>
        <v>1.5</v>
      </c>
      <c r="E224" s="117">
        <f t="shared" si="27"/>
        <v>1.5</v>
      </c>
      <c r="F224" s="117">
        <f t="shared" si="27"/>
        <v>1.5</v>
      </c>
      <c r="G224" s="117">
        <f t="shared" si="27"/>
        <v>1.5</v>
      </c>
      <c r="H224" s="117">
        <f t="shared" si="27"/>
        <v>1.5</v>
      </c>
      <c r="I224" s="100">
        <f t="shared" ref="I224" ca="1" si="28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27"/>
        <v>1.5</v>
      </c>
      <c r="K224" s="117">
        <f t="shared" ca="1" si="27"/>
        <v>1.5</v>
      </c>
      <c r="L224" s="117">
        <f t="shared" ca="1" si="27"/>
        <v>1.5</v>
      </c>
      <c r="M224" s="117">
        <f t="shared" ca="1" si="27"/>
        <v>1.5</v>
      </c>
      <c r="N224" s="117">
        <f t="shared" ca="1" si="27"/>
        <v>1.5</v>
      </c>
      <c r="O224" s="117">
        <f t="shared" ca="1" si="27"/>
        <v>1.5</v>
      </c>
      <c r="P224" s="117">
        <f t="shared" ca="1" si="27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26"/>
        <v>0</v>
      </c>
      <c r="C225" s="117">
        <v>0.3</v>
      </c>
      <c r="D225" s="117">
        <f t="shared" si="27"/>
        <v>0.3</v>
      </c>
      <c r="E225" s="117">
        <f t="shared" si="27"/>
        <v>0.3</v>
      </c>
      <c r="F225" s="117">
        <f t="shared" si="27"/>
        <v>0.3</v>
      </c>
      <c r="G225" s="117">
        <f t="shared" si="27"/>
        <v>0.3</v>
      </c>
      <c r="H225" s="117">
        <f t="shared" si="27"/>
        <v>0.3</v>
      </c>
      <c r="I225" s="117">
        <f t="shared" si="27"/>
        <v>0.3</v>
      </c>
      <c r="J225" s="117">
        <f t="shared" si="27"/>
        <v>0.3</v>
      </c>
      <c r="K225" s="117">
        <f t="shared" si="27"/>
        <v>0.3</v>
      </c>
      <c r="L225" s="117">
        <f t="shared" si="27"/>
        <v>0.3</v>
      </c>
      <c r="M225" s="117">
        <f t="shared" si="27"/>
        <v>0.3</v>
      </c>
      <c r="N225" s="117">
        <f t="shared" si="27"/>
        <v>0.3</v>
      </c>
      <c r="O225" s="117">
        <f t="shared" si="27"/>
        <v>0.3</v>
      </c>
      <c r="P225" s="117">
        <f t="shared" si="27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26"/>
        <v>0</v>
      </c>
      <c r="C226" s="117">
        <v>0.4</v>
      </c>
      <c r="D226" s="117">
        <f t="shared" si="27"/>
        <v>0.4</v>
      </c>
      <c r="E226" s="117">
        <f t="shared" si="27"/>
        <v>0.4</v>
      </c>
      <c r="F226" s="117">
        <f t="shared" si="27"/>
        <v>0.4</v>
      </c>
      <c r="G226" s="117">
        <f t="shared" si="27"/>
        <v>0.4</v>
      </c>
      <c r="H226" s="117">
        <f t="shared" si="27"/>
        <v>0.4</v>
      </c>
      <c r="I226" s="117">
        <f t="shared" si="27"/>
        <v>0.4</v>
      </c>
      <c r="J226" s="117">
        <f t="shared" si="27"/>
        <v>0.4</v>
      </c>
      <c r="K226" s="117">
        <f t="shared" si="27"/>
        <v>0.4</v>
      </c>
      <c r="L226" s="117">
        <f t="shared" si="27"/>
        <v>0.4</v>
      </c>
      <c r="M226" s="117">
        <f t="shared" si="27"/>
        <v>0.4</v>
      </c>
      <c r="N226" s="117">
        <f t="shared" si="27"/>
        <v>0.4</v>
      </c>
      <c r="O226" s="117">
        <f t="shared" si="27"/>
        <v>0.4</v>
      </c>
      <c r="P226" s="117">
        <f t="shared" si="27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26"/>
        <v>0</v>
      </c>
      <c r="C227" s="121">
        <v>0.64</v>
      </c>
      <c r="D227" s="121">
        <f t="shared" si="27"/>
        <v>0.64</v>
      </c>
      <c r="E227" s="121">
        <f t="shared" si="27"/>
        <v>0.64</v>
      </c>
      <c r="F227" s="121">
        <f t="shared" si="27"/>
        <v>0.64</v>
      </c>
      <c r="G227" s="121">
        <f t="shared" si="27"/>
        <v>0.64</v>
      </c>
      <c r="H227" s="121">
        <f t="shared" si="27"/>
        <v>0.64</v>
      </c>
      <c r="I227" s="121">
        <f t="shared" si="27"/>
        <v>0.64</v>
      </c>
      <c r="J227" s="121">
        <f t="shared" si="27"/>
        <v>0.64</v>
      </c>
      <c r="K227" s="121">
        <f t="shared" si="27"/>
        <v>0.64</v>
      </c>
      <c r="L227" s="121">
        <f t="shared" si="27"/>
        <v>0.64</v>
      </c>
      <c r="M227" s="121">
        <f t="shared" si="27"/>
        <v>0.64</v>
      </c>
      <c r="N227" s="121">
        <f t="shared" si="27"/>
        <v>0.64</v>
      </c>
      <c r="O227" s="121">
        <f t="shared" si="27"/>
        <v>0.64</v>
      </c>
      <c r="P227" s="121">
        <f t="shared" si="27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9">SUM(B222:B227)</f>
        <v>0</v>
      </c>
      <c r="C228" s="125">
        <f t="shared" si="29"/>
        <v>3.54</v>
      </c>
      <c r="D228" s="125">
        <f t="shared" si="29"/>
        <v>3.54</v>
      </c>
      <c r="E228" s="125">
        <f t="shared" si="29"/>
        <v>3.54</v>
      </c>
      <c r="F228" s="125">
        <f t="shared" si="29"/>
        <v>3.54</v>
      </c>
      <c r="G228" s="125">
        <f t="shared" si="29"/>
        <v>3.54</v>
      </c>
      <c r="H228" s="125">
        <f t="shared" si="29"/>
        <v>3.54</v>
      </c>
      <c r="I228" s="125">
        <f t="shared" ca="1" si="29"/>
        <v>3.54</v>
      </c>
      <c r="J228" s="125">
        <f t="shared" ca="1" si="29"/>
        <v>3.54</v>
      </c>
      <c r="K228" s="125">
        <f t="shared" ca="1" si="29"/>
        <v>3.54</v>
      </c>
      <c r="L228" s="125">
        <f t="shared" ca="1" si="29"/>
        <v>3.54</v>
      </c>
      <c r="M228" s="125">
        <f t="shared" ca="1" si="29"/>
        <v>3.54</v>
      </c>
      <c r="N228" s="125">
        <f t="shared" ca="1" si="29"/>
        <v>3.54</v>
      </c>
      <c r="O228" s="125">
        <f t="shared" ca="1" si="29"/>
        <v>3.54</v>
      </c>
      <c r="P228" s="125">
        <f t="shared" ca="1" si="29"/>
        <v>3.54</v>
      </c>
      <c r="Q228" s="125">
        <f t="shared" si="29"/>
        <v>0</v>
      </c>
      <c r="R228" s="125">
        <f t="shared" si="29"/>
        <v>0</v>
      </c>
      <c r="S228" s="125">
        <f t="shared" si="29"/>
        <v>0</v>
      </c>
      <c r="T228" s="125">
        <f t="shared" si="29"/>
        <v>0</v>
      </c>
      <c r="U228" s="125">
        <f t="shared" si="29"/>
        <v>0</v>
      </c>
      <c r="V228" s="125">
        <f t="shared" si="29"/>
        <v>0</v>
      </c>
      <c r="W228" s="125">
        <f t="shared" si="29"/>
        <v>0</v>
      </c>
      <c r="X228" s="125">
        <f t="shared" si="29"/>
        <v>0</v>
      </c>
      <c r="Y228" s="125">
        <f t="shared" si="29"/>
        <v>0</v>
      </c>
      <c r="Z228" s="125">
        <f t="shared" si="29"/>
        <v>0</v>
      </c>
      <c r="AA228" s="125">
        <f t="shared" si="29"/>
        <v>0</v>
      </c>
      <c r="AB228" s="125">
        <f t="shared" si="29"/>
        <v>0</v>
      </c>
      <c r="AC228" s="125">
        <f t="shared" si="29"/>
        <v>0</v>
      </c>
      <c r="AD228" s="125">
        <f t="shared" si="29"/>
        <v>0</v>
      </c>
      <c r="AE228" s="125">
        <f t="shared" si="29"/>
        <v>0</v>
      </c>
      <c r="AF228" s="125">
        <f t="shared" si="29"/>
        <v>0</v>
      </c>
      <c r="AG228" s="134">
        <f t="shared" si="29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1592.6490000000003</v>
      </c>
      <c r="C237" s="150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4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2079/09/4)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2079/09/4)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30">B85</f>
        <v>1061.1389999999999</v>
      </c>
      <c r="U242" s="159">
        <f t="shared" si="30"/>
        <v>977.23899999999981</v>
      </c>
      <c r="V242" s="159">
        <f t="shared" si="30"/>
        <v>953.1389999999999</v>
      </c>
      <c r="W242" s="159">
        <f t="shared" si="30"/>
        <v>947.74900000000002</v>
      </c>
      <c r="X242" s="159">
        <f t="shared" si="30"/>
        <v>963.53899999999999</v>
      </c>
      <c r="Y242" s="159">
        <f t="shared" si="30"/>
        <v>1046.1389999999999</v>
      </c>
      <c r="Z242" s="159">
        <f t="shared" si="30"/>
        <v>1152.3389999999999</v>
      </c>
      <c r="AA242" s="159">
        <f t="shared" si="30"/>
        <v>1191.4390000000001</v>
      </c>
      <c r="AB242" s="159">
        <f t="shared" si="30"/>
        <v>1355.979</v>
      </c>
      <c r="AC242" s="159">
        <f t="shared" si="30"/>
        <v>1436.9490000000001</v>
      </c>
      <c r="AD242" s="159">
        <f t="shared" si="30"/>
        <v>1592.6490000000003</v>
      </c>
      <c r="AE242" s="159">
        <f t="shared" si="30"/>
        <v>1565.239</v>
      </c>
      <c r="AF242" s="159">
        <f t="shared" si="30"/>
        <v>1450.8390000000002</v>
      </c>
      <c r="AG242" s="159">
        <f t="shared" si="30"/>
        <v>1397.539</v>
      </c>
      <c r="AH242" s="159">
        <f t="shared" si="30"/>
        <v>1364.6390000000001</v>
      </c>
      <c r="AI242" s="159">
        <f t="shared" si="30"/>
        <v>1286.739</v>
      </c>
      <c r="AJ242" s="159">
        <f t="shared" si="30"/>
        <v>1314.239</v>
      </c>
      <c r="AK242" s="159">
        <f t="shared" si="30"/>
        <v>1272.6390000000001</v>
      </c>
      <c r="AL242" s="159">
        <f t="shared" si="30"/>
        <v>1292.6390000000001</v>
      </c>
      <c r="AM242" s="159">
        <f t="shared" si="30"/>
        <v>1360.1390000000001</v>
      </c>
      <c r="AN242" s="159">
        <f t="shared" si="30"/>
        <v>1382.3390000000002</v>
      </c>
      <c r="AO242" s="159">
        <f t="shared" si="30"/>
        <v>1573.8390000000002</v>
      </c>
      <c r="AP242" s="159">
        <f t="shared" si="30"/>
        <v>1622.6390000000001</v>
      </c>
      <c r="AQ242" s="159">
        <f t="shared" si="30"/>
        <v>1584.1390000000001</v>
      </c>
      <c r="AR242" s="159">
        <f t="shared" si="30"/>
        <v>1490.3389999999999</v>
      </c>
      <c r="AS242" s="159">
        <f t="shared" si="30"/>
        <v>1400.039</v>
      </c>
      <c r="AT242" s="159">
        <f t="shared" si="30"/>
        <v>1309.739</v>
      </c>
      <c r="AU242" s="159">
        <f t="shared" si="30"/>
        <v>1257.039</v>
      </c>
      <c r="AV242" s="159">
        <f t="shared" si="30"/>
        <v>1179.539</v>
      </c>
      <c r="AW242" s="159">
        <f t="shared" si="30"/>
        <v>1060.739</v>
      </c>
      <c r="AX242" s="159">
        <f t="shared" si="30"/>
        <v>995.23899999999992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31">C227</f>
        <v>0.64</v>
      </c>
      <c r="C263" s="162">
        <f t="shared" si="31"/>
        <v>0.64</v>
      </c>
      <c r="D263" s="162">
        <f t="shared" si="31"/>
        <v>0.64</v>
      </c>
      <c r="E263" s="162">
        <f t="shared" si="31"/>
        <v>0.64</v>
      </c>
      <c r="F263" s="162">
        <f t="shared" si="31"/>
        <v>0.64</v>
      </c>
      <c r="G263" s="162">
        <f t="shared" si="31"/>
        <v>0.64</v>
      </c>
      <c r="H263" s="162">
        <f t="shared" si="31"/>
        <v>0.64</v>
      </c>
      <c r="I263" s="162">
        <f t="shared" si="31"/>
        <v>0.64</v>
      </c>
      <c r="J263" s="162">
        <f t="shared" si="31"/>
        <v>0.64</v>
      </c>
      <c r="K263" s="162">
        <f t="shared" si="31"/>
        <v>0.64</v>
      </c>
      <c r="L263" s="162">
        <f t="shared" si="31"/>
        <v>0.64</v>
      </c>
      <c r="M263" s="162">
        <f t="shared" si="31"/>
        <v>0.64</v>
      </c>
      <c r="N263" s="162">
        <f t="shared" si="31"/>
        <v>0.64</v>
      </c>
      <c r="O263" s="162">
        <f t="shared" si="31"/>
        <v>0.64</v>
      </c>
      <c r="P263" s="162">
        <f t="shared" si="31"/>
        <v>0</v>
      </c>
      <c r="Q263" s="162">
        <f t="shared" si="31"/>
        <v>0</v>
      </c>
      <c r="R263" s="162">
        <f t="shared" si="31"/>
        <v>0</v>
      </c>
      <c r="S263" s="162">
        <f t="shared" si="31"/>
        <v>0</v>
      </c>
      <c r="T263" s="162">
        <f t="shared" si="31"/>
        <v>0</v>
      </c>
      <c r="U263" s="162">
        <f t="shared" si="31"/>
        <v>0</v>
      </c>
      <c r="V263" s="162">
        <f t="shared" si="31"/>
        <v>0</v>
      </c>
      <c r="W263" s="162">
        <f t="shared" si="31"/>
        <v>0</v>
      </c>
      <c r="X263" s="162">
        <f t="shared" si="31"/>
        <v>0</v>
      </c>
      <c r="Y263" s="162">
        <f t="shared" si="31"/>
        <v>0</v>
      </c>
      <c r="Z263" s="162">
        <f t="shared" si="31"/>
        <v>0</v>
      </c>
      <c r="AA263" s="162">
        <f t="shared" si="31"/>
        <v>0</v>
      </c>
      <c r="AB263" s="162">
        <f t="shared" si="31"/>
        <v>0</v>
      </c>
      <c r="AC263" s="162">
        <f t="shared" si="31"/>
        <v>0</v>
      </c>
      <c r="AD263" s="162">
        <f t="shared" si="31"/>
        <v>0</v>
      </c>
      <c r="AE263" s="162">
        <f t="shared" si="31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32">IF(B231&lt;100,"",B231-520)</f>
        <v/>
      </c>
      <c r="C264" s="163" t="str">
        <f t="shared" si="32"/>
        <v/>
      </c>
      <c r="D264" s="163" t="str">
        <f t="shared" si="32"/>
        <v/>
      </c>
      <c r="E264" s="163" t="str">
        <f t="shared" si="32"/>
        <v/>
      </c>
      <c r="F264" s="163" t="str">
        <f t="shared" si="32"/>
        <v/>
      </c>
      <c r="G264" s="163" t="str">
        <f t="shared" si="32"/>
        <v/>
      </c>
      <c r="H264" s="163" t="str">
        <f t="shared" si="32"/>
        <v/>
      </c>
      <c r="I264" s="163" t="str">
        <f t="shared" si="32"/>
        <v/>
      </c>
      <c r="J264" s="163" t="str">
        <f t="shared" si="32"/>
        <v/>
      </c>
      <c r="K264" s="163" t="str">
        <f t="shared" si="32"/>
        <v/>
      </c>
      <c r="L264" s="163" t="str">
        <f t="shared" si="32"/>
        <v/>
      </c>
      <c r="M264" s="163" t="str">
        <f t="shared" si="32"/>
        <v/>
      </c>
      <c r="N264" s="163" t="str">
        <f t="shared" si="32"/>
        <v/>
      </c>
      <c r="O264" s="163" t="str">
        <f t="shared" si="32"/>
        <v/>
      </c>
      <c r="P264" s="163" t="str">
        <f t="shared" si="32"/>
        <v/>
      </c>
      <c r="Q264" s="163" t="str">
        <f t="shared" si="32"/>
        <v/>
      </c>
      <c r="R264" s="163" t="str">
        <f t="shared" si="32"/>
        <v/>
      </c>
      <c r="S264" s="163" t="str">
        <f t="shared" si="32"/>
        <v/>
      </c>
      <c r="T264" s="163" t="str">
        <f t="shared" si="32"/>
        <v/>
      </c>
      <c r="U264" s="163" t="str">
        <f t="shared" si="32"/>
        <v/>
      </c>
      <c r="V264" s="163" t="str">
        <f t="shared" si="32"/>
        <v/>
      </c>
      <c r="W264" s="163" t="str">
        <f t="shared" si="32"/>
        <v/>
      </c>
      <c r="X264" s="163" t="str">
        <f t="shared" si="32"/>
        <v/>
      </c>
      <c r="Y264" s="163" t="str">
        <f t="shared" si="32"/>
        <v/>
      </c>
      <c r="Z264" s="163" t="str">
        <f t="shared" si="32"/>
        <v/>
      </c>
      <c r="AA264" s="163" t="str">
        <f t="shared" si="32"/>
        <v/>
      </c>
      <c r="AB264" s="163" t="str">
        <f t="shared" si="32"/>
        <v/>
      </c>
      <c r="AC264" s="163" t="str">
        <f t="shared" si="32"/>
        <v/>
      </c>
      <c r="AD264" s="163" t="str">
        <f t="shared" si="32"/>
        <v/>
      </c>
      <c r="AE264" s="163" t="str">
        <f t="shared" si="32"/>
        <v/>
      </c>
      <c r="AF264" s="163" t="str">
        <f t="shared" si="32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3">IF(B232&lt;100,"",B232-620)</f>
        <v/>
      </c>
      <c r="C265" s="163" t="str">
        <f t="shared" si="33"/>
        <v/>
      </c>
      <c r="D265" s="163" t="str">
        <f t="shared" si="33"/>
        <v/>
      </c>
      <c r="E265" s="163" t="str">
        <f t="shared" si="33"/>
        <v/>
      </c>
      <c r="F265" s="163" t="str">
        <f t="shared" si="33"/>
        <v/>
      </c>
      <c r="G265" s="163" t="str">
        <f t="shared" si="33"/>
        <v/>
      </c>
      <c r="H265" s="163" t="str">
        <f t="shared" si="33"/>
        <v/>
      </c>
      <c r="I265" s="163" t="str">
        <f t="shared" si="33"/>
        <v/>
      </c>
      <c r="J265" s="163" t="str">
        <f t="shared" si="33"/>
        <v/>
      </c>
      <c r="K265" s="163" t="str">
        <f t="shared" si="33"/>
        <v/>
      </c>
      <c r="L265" s="163" t="str">
        <f t="shared" si="33"/>
        <v/>
      </c>
      <c r="M265" s="163" t="str">
        <f t="shared" si="33"/>
        <v/>
      </c>
      <c r="N265" s="163" t="str">
        <f t="shared" si="33"/>
        <v/>
      </c>
      <c r="O265" s="163" t="str">
        <f t="shared" si="33"/>
        <v/>
      </c>
      <c r="P265" s="163" t="str">
        <f t="shared" si="33"/>
        <v/>
      </c>
      <c r="Q265" s="163" t="str">
        <f t="shared" si="33"/>
        <v/>
      </c>
      <c r="R265" s="163" t="str">
        <f t="shared" si="33"/>
        <v/>
      </c>
      <c r="S265" s="163" t="str">
        <f t="shared" si="33"/>
        <v/>
      </c>
      <c r="T265" s="163" t="str">
        <f t="shared" si="33"/>
        <v/>
      </c>
      <c r="U265" s="163" t="str">
        <f t="shared" si="33"/>
        <v/>
      </c>
      <c r="V265" s="163" t="str">
        <f t="shared" si="33"/>
        <v/>
      </c>
      <c r="W265" s="163" t="str">
        <f t="shared" si="33"/>
        <v/>
      </c>
      <c r="X265" s="163" t="str">
        <f t="shared" si="33"/>
        <v/>
      </c>
      <c r="Y265" s="163" t="str">
        <f t="shared" si="33"/>
        <v/>
      </c>
      <c r="Z265" s="163" t="str">
        <f t="shared" si="33"/>
        <v/>
      </c>
      <c r="AA265" s="163" t="str">
        <f t="shared" si="33"/>
        <v/>
      </c>
      <c r="AB265" s="163" t="str">
        <f t="shared" si="33"/>
        <v/>
      </c>
      <c r="AC265" s="163" t="str">
        <f t="shared" si="33"/>
        <v/>
      </c>
      <c r="AD265" s="163" t="str">
        <f t="shared" si="33"/>
        <v/>
      </c>
      <c r="AE265" s="163" t="str">
        <f t="shared" si="33"/>
        <v/>
      </c>
      <c r="AF265" s="163" t="str">
        <f t="shared" si="33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4">IF(B233&lt;100,"",B233-330)</f>
        <v/>
      </c>
      <c r="C266" s="163" t="str">
        <f t="shared" si="34"/>
        <v/>
      </c>
      <c r="D266" s="163" t="str">
        <f t="shared" si="34"/>
        <v/>
      </c>
      <c r="E266" s="163" t="str">
        <f t="shared" si="34"/>
        <v/>
      </c>
      <c r="F266" s="163" t="str">
        <f t="shared" si="34"/>
        <v/>
      </c>
      <c r="G266" s="163" t="str">
        <f t="shared" si="34"/>
        <v/>
      </c>
      <c r="H266" s="163" t="str">
        <f t="shared" si="34"/>
        <v/>
      </c>
      <c r="I266" s="163" t="str">
        <f t="shared" si="34"/>
        <v/>
      </c>
      <c r="J266" s="163" t="str">
        <f t="shared" si="34"/>
        <v/>
      </c>
      <c r="K266" s="163" t="str">
        <f t="shared" si="34"/>
        <v/>
      </c>
      <c r="L266" s="163" t="str">
        <f t="shared" si="34"/>
        <v/>
      </c>
      <c r="M266" s="163" t="str">
        <f t="shared" si="34"/>
        <v/>
      </c>
      <c r="N266" s="163" t="str">
        <f t="shared" si="34"/>
        <v/>
      </c>
      <c r="O266" s="163" t="str">
        <f t="shared" si="34"/>
        <v/>
      </c>
      <c r="P266" s="163" t="str">
        <f t="shared" si="34"/>
        <v/>
      </c>
      <c r="Q266" s="163" t="str">
        <f t="shared" si="34"/>
        <v/>
      </c>
      <c r="R266" s="163" t="str">
        <f t="shared" si="34"/>
        <v/>
      </c>
      <c r="S266" s="163" t="str">
        <f t="shared" si="34"/>
        <v/>
      </c>
      <c r="T266" s="163" t="str">
        <f t="shared" si="34"/>
        <v/>
      </c>
      <c r="U266" s="163" t="str">
        <f t="shared" si="34"/>
        <v/>
      </c>
      <c r="V266" s="163" t="str">
        <f t="shared" si="34"/>
        <v/>
      </c>
      <c r="W266" s="163" t="str">
        <f t="shared" si="34"/>
        <v/>
      </c>
      <c r="X266" s="163" t="str">
        <f t="shared" si="34"/>
        <v/>
      </c>
      <c r="Y266" s="163" t="str">
        <f t="shared" si="34"/>
        <v/>
      </c>
      <c r="Z266" s="163" t="str">
        <f t="shared" si="34"/>
        <v/>
      </c>
      <c r="AA266" s="163" t="str">
        <f t="shared" si="34"/>
        <v/>
      </c>
      <c r="AB266" s="163" t="str">
        <f t="shared" si="34"/>
        <v/>
      </c>
      <c r="AC266" s="163" t="str">
        <f t="shared" si="34"/>
        <v/>
      </c>
      <c r="AD266" s="163" t="str">
        <f t="shared" si="34"/>
        <v/>
      </c>
      <c r="AE266" s="163" t="str">
        <f t="shared" si="34"/>
        <v/>
      </c>
      <c r="AF266" s="163" t="str">
        <f t="shared" si="34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5">IF(B234&lt;100,"",B234-1500)</f>
        <v/>
      </c>
      <c r="C267" s="163" t="str">
        <f t="shared" si="35"/>
        <v/>
      </c>
      <c r="D267" s="163" t="str">
        <f t="shared" si="35"/>
        <v/>
      </c>
      <c r="E267" s="163" t="str">
        <f t="shared" si="35"/>
        <v/>
      </c>
      <c r="F267" s="163" t="str">
        <f t="shared" si="35"/>
        <v/>
      </c>
      <c r="G267" s="163" t="str">
        <f t="shared" si="35"/>
        <v/>
      </c>
      <c r="H267" s="163" t="str">
        <f t="shared" si="35"/>
        <v/>
      </c>
      <c r="I267" s="163" t="str">
        <f t="shared" si="35"/>
        <v/>
      </c>
      <c r="J267" s="163" t="str">
        <f t="shared" si="35"/>
        <v/>
      </c>
      <c r="K267" s="163" t="str">
        <f t="shared" si="35"/>
        <v/>
      </c>
      <c r="L267" s="163" t="str">
        <f t="shared" si="35"/>
        <v/>
      </c>
      <c r="M267" s="163" t="str">
        <f t="shared" si="35"/>
        <v/>
      </c>
      <c r="N267" s="163" t="str">
        <f t="shared" si="35"/>
        <v/>
      </c>
      <c r="O267" s="163" t="str">
        <f t="shared" si="35"/>
        <v/>
      </c>
      <c r="P267" s="163" t="str">
        <f t="shared" si="35"/>
        <v/>
      </c>
      <c r="Q267" s="163" t="str">
        <f t="shared" si="35"/>
        <v/>
      </c>
      <c r="R267" s="163" t="str">
        <f t="shared" si="35"/>
        <v/>
      </c>
      <c r="S267" s="163" t="str">
        <f t="shared" si="35"/>
        <v/>
      </c>
      <c r="T267" s="163" t="str">
        <f t="shared" si="35"/>
        <v/>
      </c>
      <c r="U267" s="163" t="str">
        <f t="shared" si="35"/>
        <v/>
      </c>
      <c r="V267" s="163" t="str">
        <f t="shared" si="35"/>
        <v/>
      </c>
      <c r="W267" s="163" t="str">
        <f t="shared" si="35"/>
        <v/>
      </c>
      <c r="X267" s="163" t="str">
        <f t="shared" si="35"/>
        <v/>
      </c>
      <c r="Y267" s="163" t="str">
        <f t="shared" si="35"/>
        <v/>
      </c>
      <c r="Z267" s="163" t="str">
        <f t="shared" si="35"/>
        <v/>
      </c>
      <c r="AA267" s="163" t="str">
        <f t="shared" si="35"/>
        <v/>
      </c>
      <c r="AB267" s="163" t="str">
        <f t="shared" si="35"/>
        <v/>
      </c>
      <c r="AC267" s="163" t="str">
        <f t="shared" si="35"/>
        <v/>
      </c>
      <c r="AD267" s="163" t="str">
        <f t="shared" si="35"/>
        <v/>
      </c>
      <c r="AE267" s="163" t="str">
        <f t="shared" si="35"/>
        <v/>
      </c>
      <c r="AF267" s="163" t="str">
        <f t="shared" si="3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1582" priority="117">
      <formula>$AH11=0</formula>
    </cfRule>
  </conditionalFormatting>
  <conditionalFormatting sqref="B8 M8 S8 AB8">
    <cfRule type="expression" dxfId="1581" priority="299">
      <formula>AND(C$9&gt;=8/24,C$9&lt;14/24)</formula>
    </cfRule>
    <cfRule type="expression" dxfId="1580" priority="300">
      <formula>C$9&lt;8/24</formula>
    </cfRule>
    <cfRule type="expression" dxfId="1579" priority="298">
      <formula>AND(C$9&gt;=14/24,C$9&lt;20/24)</formula>
    </cfRule>
  </conditionalFormatting>
  <conditionalFormatting sqref="B11:C41">
    <cfRule type="expression" dxfId="1578" priority="343">
      <formula>E$9&lt;8/24</formula>
    </cfRule>
    <cfRule type="expression" dxfId="1577" priority="342">
      <formula>AND(E$9&gt;=8/24,E$9&lt;14/24)</formula>
    </cfRule>
    <cfRule type="expression" dxfId="1576" priority="341">
      <formula>AND(E$9&gt;=14/24,E$9&lt;20/24)</formula>
    </cfRule>
    <cfRule type="expression" dxfId="1575" priority="340">
      <formula>E$9&gt;=20/24</formula>
    </cfRule>
  </conditionalFormatting>
  <conditionalFormatting sqref="B49:V51">
    <cfRule type="expression" dxfId="1574" priority="219">
      <formula>B$9&lt;8/24</formula>
    </cfRule>
    <cfRule type="expression" dxfId="1573" priority="216">
      <formula>B$9&gt;=20/24</formula>
    </cfRule>
    <cfRule type="expression" dxfId="1572" priority="217">
      <formula>AND(B$9&gt;=14/24,B$9&lt;20/24)</formula>
    </cfRule>
    <cfRule type="expression" dxfId="1571" priority="218">
      <formula>AND(B$9&gt;=8/24,B$9&lt;14/24)</formula>
    </cfRule>
  </conditionalFormatting>
  <conditionalFormatting sqref="B9:AF10 D11:AA41 AB15:AF40 B220:AF220 D222:AF223 B222:B228 D224:H224 J224:AF224 D225:AF228 U241:AF241">
    <cfRule type="expression" dxfId="1570" priority="292">
      <formula>AND(B$9&gt;=14/24,B$9&lt;20/24)</formula>
    </cfRule>
    <cfRule type="expression" dxfId="1569" priority="293">
      <formula>AND(B$9&gt;=8/24,B$9&lt;14/24)</formula>
    </cfRule>
    <cfRule type="expression" dxfId="1568" priority="294">
      <formula>B$9&lt;8/24</formula>
    </cfRule>
  </conditionalFormatting>
  <conditionalFormatting sqref="B11:AF43">
    <cfRule type="expression" dxfId="1567" priority="77">
      <formula>B11&gt;$AG11</formula>
    </cfRule>
  </conditionalFormatting>
  <conditionalFormatting sqref="B42:AF43">
    <cfRule type="expression" dxfId="1566" priority="220">
      <formula>B$9&gt;=20/24</formula>
    </cfRule>
    <cfRule type="expression" dxfId="1565" priority="221">
      <formula>AND(B$9&gt;=14/24,B$9&lt;20/24)</formula>
    </cfRule>
    <cfRule type="expression" dxfId="1564" priority="222">
      <formula>AND(B$9&gt;=8/24,B$9&lt;14/24)</formula>
    </cfRule>
    <cfRule type="expression" dxfId="1563" priority="223">
      <formula>B$9&lt;8/24</formula>
    </cfRule>
  </conditionalFormatting>
  <conditionalFormatting sqref="B49:AF60">
    <cfRule type="expression" dxfId="1562" priority="92">
      <formula>B49&gt;$AG49</formula>
    </cfRule>
  </conditionalFormatting>
  <conditionalFormatting sqref="B67:AF78">
    <cfRule type="expression" dxfId="1561" priority="20">
      <formula>AND(B$9&gt;=14/24,B$9&lt;20/24)</formula>
    </cfRule>
    <cfRule type="expression" dxfId="1560" priority="21">
      <formula>AND(B$9&gt;=8/24,B$9&lt;14/24)</formula>
    </cfRule>
    <cfRule type="expression" dxfId="1559" priority="22">
      <formula>B$9&lt;8/24</formula>
    </cfRule>
    <cfRule type="expression" dxfId="1558" priority="19">
      <formula>B$9&gt;=20/24</formula>
    </cfRule>
  </conditionalFormatting>
  <conditionalFormatting sqref="B87:AF103">
    <cfRule type="expression" dxfId="1553" priority="12">
      <formula>AND(B$9&gt;=14/24,B$9&lt;20/24)</formula>
    </cfRule>
    <cfRule type="expression" dxfId="1552" priority="13">
      <formula>AND(B$9&gt;=8/24,B$9&lt;14/24)</formula>
    </cfRule>
    <cfRule type="expression" dxfId="1551" priority="14">
      <formula>B$9&lt;8/24</formula>
    </cfRule>
    <cfRule type="expression" dxfId="1550" priority="11">
      <formula>B$9&gt;=20/24</formula>
    </cfRule>
  </conditionalFormatting>
  <conditionalFormatting sqref="B105:AF112">
    <cfRule type="expression" dxfId="1549" priority="126">
      <formula>B$9&gt;=20/24</formula>
    </cfRule>
    <cfRule type="expression" dxfId="1548" priority="127">
      <formula>AND(B$9&gt;=14/24,B$9&lt;20/24)</formula>
    </cfRule>
    <cfRule type="expression" dxfId="1547" priority="128">
      <formula>AND(B$9&gt;=8/24,B$9&lt;14/24)</formula>
    </cfRule>
    <cfRule type="expression" dxfId="1546" priority="129">
      <formula>B$9&lt;8/24</formula>
    </cfRule>
  </conditionalFormatting>
  <conditionalFormatting sqref="B44:AG44 B61:B66 C63:AF65 C66:AG66">
    <cfRule type="expression" dxfId="1541" priority="206">
      <formula>B44&gt;$AG44</formula>
    </cfRule>
  </conditionalFormatting>
  <conditionalFormatting sqref="C45:AF47 B45:B48 C48:AG48">
    <cfRule type="expression" dxfId="1540" priority="160">
      <formula>B45&gt;$AG45</formula>
    </cfRule>
    <cfRule type="expression" dxfId="1539" priority="161">
      <formula>B$9&gt;=20/24</formula>
    </cfRule>
    <cfRule type="expression" dxfId="1538" priority="162">
      <formula>AND(B$9&gt;=14/24,B$9&lt;20/24)</formula>
    </cfRule>
    <cfRule type="expression" dxfId="1537" priority="163">
      <formula>AND(B$9&gt;=8/24,B$9&lt;14/24)</formula>
    </cfRule>
    <cfRule type="expression" dxfId="1536" priority="164">
      <formula>B$9&lt;8/24</formula>
    </cfRule>
  </conditionalFormatting>
  <conditionalFormatting sqref="C63:AF65 B63:B66 C66:AG66 C79:AF82 B79:B83 C83:AG83 B84:AF85">
    <cfRule type="expression" dxfId="1535" priority="212">
      <formula>AND(B$9&gt;=14/24,B$9&lt;20/24)</formula>
    </cfRule>
    <cfRule type="expression" dxfId="1534" priority="211">
      <formula>B$9&gt;=20/24</formula>
    </cfRule>
    <cfRule type="expression" dxfId="1533" priority="214">
      <formula>B$9&lt;8/24</formula>
    </cfRule>
    <cfRule type="expression" dxfId="1532" priority="213">
      <formula>AND(B$9&gt;=8/24,B$9&lt;14/24)</formula>
    </cfRule>
  </conditionalFormatting>
  <conditionalFormatting sqref="C61:AG62">
    <cfRule type="expression" dxfId="1531" priority="97">
      <formula>C61&gt;$AG61</formula>
    </cfRule>
  </conditionalFormatting>
  <conditionalFormatting sqref="D11:AA41 AB15:AF40 B9:AF10 B220:AF220 D222:AF223 B222:B228 D224:H224 J224:AF224 D225:AF228 U241:AF241">
    <cfRule type="expression" dxfId="1530" priority="291">
      <formula>B$9&gt;=20/24</formula>
    </cfRule>
  </conditionalFormatting>
  <conditionalFormatting sqref="O3:P3">
    <cfRule type="iconSet" priority="295">
      <iconSet iconSet="3TrafficLights2" reverse="1">
        <cfvo type="percent" val="0"/>
        <cfvo type="num" val="1"/>
        <cfvo type="num" val="1"/>
      </iconSet>
    </cfRule>
  </conditionalFormatting>
  <conditionalFormatting sqref="O52:V53">
    <cfRule type="expression" dxfId="1529" priority="257">
      <formula>O$9&gt;=20/24</formula>
    </cfRule>
    <cfRule type="expression" dxfId="1528" priority="259">
      <formula>AND(O$9&gt;=8/24,O$9&lt;14/24)</formula>
    </cfRule>
    <cfRule type="expression" dxfId="1527" priority="260">
      <formula>O$9&lt;8/24</formula>
    </cfRule>
    <cfRule type="expression" dxfId="1526" priority="258">
      <formula>AND(O$9&gt;=14/24,O$9&lt;20/24)</formula>
    </cfRule>
  </conditionalFormatting>
  <conditionalFormatting sqref="S8 AB8 B8 M8">
    <cfRule type="expression" dxfId="1525" priority="297">
      <formula>C$9&gt;=20/24</formula>
    </cfRule>
  </conditionalFormatting>
  <conditionalFormatting sqref="S8">
    <cfRule type="expression" dxfId="1524" priority="267">
      <formula>AND(U$9&gt;=14/24,U$9&lt;20/24)</formula>
    </cfRule>
    <cfRule type="expression" dxfId="1523" priority="268">
      <formula>AND(U$9&gt;=8/24,U$9&lt;14/24)</formula>
    </cfRule>
    <cfRule type="expression" dxfId="1522" priority="269">
      <formula>U$9&lt;8/24</formula>
    </cfRule>
    <cfRule type="expression" dxfId="1521" priority="266">
      <formula>U$9&gt;=20/24</formula>
    </cfRule>
  </conditionalFormatting>
  <conditionalFormatting sqref="T241">
    <cfRule type="expression" dxfId="1520" priority="313">
      <formula>AX$9&lt;8/24</formula>
    </cfRule>
    <cfRule type="expression" dxfId="1519" priority="312">
      <formula>AND(AX$9&gt;=8/24,AX$9&lt;14/24)</formula>
    </cfRule>
    <cfRule type="expression" dxfId="1518" priority="310">
      <formula>AX$9&gt;=20/24</formula>
    </cfRule>
    <cfRule type="expression" dxfId="1517" priority="311">
      <formula>AND(AX$9&gt;=14/24,AX$9&lt;20/24)</formula>
    </cfRule>
  </conditionalFormatting>
  <conditionalFormatting sqref="V3 AB3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W49:X60 B54:V60">
    <cfRule type="expression" dxfId="1516" priority="189">
      <formula>B$9&gt;=20/24</formula>
    </cfRule>
    <cfRule type="expression" dxfId="1515" priority="192">
      <formula>B$9&lt;8/24</formula>
    </cfRule>
    <cfRule type="expression" dxfId="1514" priority="191">
      <formula>AND(B$9&gt;=8/24,B$9&lt;14/24)</formula>
    </cfRule>
    <cfRule type="expression" dxfId="1513" priority="190">
      <formula>AND(B$9&gt;=14/24,B$9&lt;20/24)</formula>
    </cfRule>
  </conditionalFormatting>
  <conditionalFormatting sqref="Y52:AA54">
    <cfRule type="expression" dxfId="1512" priority="102">
      <formula>Y$9&lt;8/24</formula>
    </cfRule>
    <cfRule type="expression" dxfId="1511" priority="101">
      <formula>AND(Y$9&gt;=8/24,Y$9&lt;14/24)</formula>
    </cfRule>
    <cfRule type="expression" dxfId="1510" priority="100">
      <formula>AND(Y$9&gt;=14/24,Y$9&lt;20/24)</formula>
    </cfRule>
    <cfRule type="expression" dxfId="1509" priority="99">
      <formula>Y$9&gt;=20/24</formula>
    </cfRule>
  </conditionalFormatting>
  <conditionalFormatting sqref="Y49:AF51">
    <cfRule type="expression" dxfId="1508" priority="106">
      <formula>AND(Y$9&gt;=8/24,Y$9&lt;14/24)</formula>
    </cfRule>
    <cfRule type="expression" dxfId="1507" priority="107">
      <formula>Y$9&lt;8/24</formula>
    </cfRule>
    <cfRule type="expression" dxfId="1506" priority="105">
      <formula>AND(Y$9&gt;=14/24,Y$9&lt;20/24)</formula>
    </cfRule>
    <cfRule type="expression" dxfId="1505" priority="104">
      <formula>Y$9&gt;=20/24</formula>
    </cfRule>
  </conditionalFormatting>
  <conditionalFormatting sqref="Y55:AF60">
    <cfRule type="expression" dxfId="1504" priority="96">
      <formula>Y$9&lt;8/24</formula>
    </cfRule>
    <cfRule type="expression" dxfId="1503" priority="93">
      <formula>Y$9&gt;=20/24</formula>
    </cfRule>
    <cfRule type="expression" dxfId="1502" priority="94">
      <formula>AND(Y$9&gt;=14/24,Y$9&lt;20/24)</formula>
    </cfRule>
    <cfRule type="expression" dxfId="1501" priority="95">
      <formula>AND(Y$9&gt;=8/24,Y$9&lt;14/24)</formula>
    </cfRule>
  </conditionalFormatting>
  <conditionalFormatting sqref="AB8">
    <cfRule type="expression" dxfId="1500" priority="262">
      <formula>AD$9&gt;=20/24</formula>
    </cfRule>
    <cfRule type="expression" dxfId="1499" priority="263">
      <formula>AND(AD$9&gt;=14/24,AD$9&lt;20/24)</formula>
    </cfRule>
    <cfRule type="expression" dxfId="1498" priority="264">
      <formula>AND(AD$9&gt;=8/24,AD$9&lt;14/24)</formula>
    </cfRule>
    <cfRule type="expression" dxfId="1497" priority="265">
      <formula>AD$9&lt;8/24</formula>
    </cfRule>
  </conditionalFormatting>
  <conditionalFormatting sqref="AB52:AE53">
    <cfRule type="expression" dxfId="1496" priority="243">
      <formula>AB$9&gt;=20/24</formula>
    </cfRule>
    <cfRule type="expression" dxfId="1495" priority="244">
      <formula>AND(AB$9&gt;=14/24,AB$9&lt;20/24)</formula>
    </cfRule>
    <cfRule type="expression" dxfId="1494" priority="245">
      <formula>AND(AB$9&gt;=8/24,AB$9&lt;14/24)</formula>
    </cfRule>
    <cfRule type="expression" dxfId="1493" priority="246">
      <formula>AB$9&lt;8/24</formula>
    </cfRule>
  </conditionalFormatting>
  <conditionalFormatting sqref="AB11:AF11">
    <cfRule type="expression" dxfId="1492" priority="78">
      <formula>AB$9&gt;=20/24</formula>
    </cfRule>
    <cfRule type="expression" dxfId="1491" priority="80">
      <formula>AND(AB$9&gt;=8/24,AB$9&lt;14/24)</formula>
    </cfRule>
    <cfRule type="expression" dxfId="1490" priority="81">
      <formula>AB$9&lt;8/24</formula>
    </cfRule>
    <cfRule type="expression" dxfId="1489" priority="79">
      <formula>AND(AB$9&gt;=14/24,AB$9&lt;20/24)</formula>
    </cfRule>
  </conditionalFormatting>
  <conditionalFormatting sqref="AB12:AF14">
    <cfRule type="expression" dxfId="1488" priority="71">
      <formula>AB$9&lt;8/24</formula>
    </cfRule>
    <cfRule type="expression" dxfId="1487" priority="70">
      <formula>AND(AB$9&gt;=8/24,AB$9&lt;14/24)</formula>
    </cfRule>
    <cfRule type="expression" dxfId="1486" priority="69">
      <formula>AND(AB$9&gt;=14/24,AB$9&lt;20/24)</formula>
    </cfRule>
    <cfRule type="expression" dxfId="1485" priority="68">
      <formula>AB$9&gt;=20/24</formula>
    </cfRule>
  </conditionalFormatting>
  <conditionalFormatting sqref="AB41:AF41">
    <cfRule type="expression" dxfId="1484" priority="60">
      <formula>AND(AB$9&gt;=14/24,AB$9&lt;20/24)</formula>
    </cfRule>
    <cfRule type="expression" dxfId="1483" priority="59">
      <formula>AB$9&gt;=20/24</formula>
    </cfRule>
    <cfRule type="expression" dxfId="1482" priority="62">
      <formula>AB$9&lt;8/24</formula>
    </cfRule>
    <cfRule type="expression" dxfId="1481" priority="61">
      <formula>AND(AB$9&gt;=8/24,AB$9&lt;14/24)</formula>
    </cfRule>
  </conditionalFormatting>
  <conditionalFormatting sqref="AB54:AF54">
    <cfRule type="expression" dxfId="1480" priority="241">
      <formula>AB$9&lt;8/24</formula>
    </cfRule>
    <cfRule type="expression" dxfId="1479" priority="240">
      <formula>AND(AB$9&gt;=8/24,AB$9&lt;14/24)</formula>
    </cfRule>
    <cfRule type="expression" dxfId="1478" priority="239">
      <formula>AND(AB$9&gt;=14/24,AB$9&lt;20/24)</formula>
    </cfRule>
    <cfRule type="expression" dxfId="1477" priority="238">
      <formula>AB$9&gt;=20/24</formula>
    </cfRule>
  </conditionalFormatting>
  <conditionalFormatting sqref="AG241">
    <cfRule type="expression" dxfId="1476" priority="302">
      <formula>B$9&gt;=20/24</formula>
    </cfRule>
    <cfRule type="expression" dxfId="1475" priority="305">
      <formula>B$9&lt;8/24</formula>
    </cfRule>
    <cfRule type="expression" dxfId="1474" priority="304">
      <formula>AND(B$9&gt;=8/24,B$9&lt;14/24)</formula>
    </cfRule>
    <cfRule type="expression" dxfId="1473" priority="303">
      <formula>AND(B$9&gt;=14/24,B$9&lt;20/24)</formula>
    </cfRule>
  </conditionalFormatting>
  <conditionalFormatting sqref="AH241:AX241">
    <cfRule type="expression" dxfId="1472" priority="306">
      <formula>AG$9&gt;=20/24</formula>
    </cfRule>
    <cfRule type="expression" dxfId="1471" priority="307">
      <formula>AND(AG$9&gt;=14/24,AG$9&lt;20/24)</formula>
    </cfRule>
    <cfRule type="expression" dxfId="1470" priority="308">
      <formula>AND(AG$9&gt;=8/24,AG$9&lt;14/24)</formula>
    </cfRule>
    <cfRule type="expression" dxfId="1469" priority="309">
      <formula>AG$9&lt;8/24</formula>
    </cfRule>
  </conditionalFormatting>
  <conditionalFormatting sqref="AL4:AL6">
    <cfRule type="iconSet" priority="290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70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314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7" id="{7EEE8D8E-5F47-4051-982B-DDBBE053A9D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0" id="{3183FEF4-DD74-4D8D-94FC-1A0027007D5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9" id="{DEE5A7FE-343D-4925-B3D5-82C232885A4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8" id="{F6807D2A-6D9B-4B20-A361-3723846FC19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9" id="{F7AD93B7-F3C9-42BD-95CE-DB7CC76D2D6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6" id="{7027E08A-09F1-4860-849A-99248A75645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7" id="{71C985C5-AFD9-42B0-9D05-46D08312B05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8" id="{C2AD30FD-B1A9-4FE3-A8A8-7D4AC22FD20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B113:AF113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J274"/>
  <sheetViews>
    <sheetView topLeftCell="A46" workbookViewId="0">
      <selection activeCell="B70" sqref="B70:AE7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2079/09/5</v>
      </c>
      <c r="C4" s="197"/>
      <c r="D4" s="197"/>
      <c r="E4" s="198" t="str">
        <f ca="1">"2079/"&amp;"09/"&amp;INT(MID(CELL("filename",G6),FIND("]",CELL("filename",G6))+1,200))</f>
        <v>2079/09/5</v>
      </c>
      <c r="F4" s="198"/>
      <c r="G4" s="198"/>
      <c r="H4" s="198" t="str">
        <f ca="1">TEXT(E4,"dddd")</f>
        <v>Tuesday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168.7</v>
      </c>
      <c r="C5" s="30">
        <f t="shared" si="0"/>
        <v>156</v>
      </c>
      <c r="D5" s="30">
        <f t="shared" si="0"/>
        <v>174</v>
      </c>
      <c r="E5" s="30">
        <f t="shared" si="0"/>
        <v>175</v>
      </c>
      <c r="F5" s="30">
        <f t="shared" si="0"/>
        <v>177</v>
      </c>
      <c r="G5" s="30">
        <f t="shared" si="0"/>
        <v>187</v>
      </c>
      <c r="H5" s="30">
        <f t="shared" si="0"/>
        <v>180</v>
      </c>
      <c r="I5" s="30">
        <f t="shared" si="0"/>
        <v>105</v>
      </c>
      <c r="J5" s="30">
        <f t="shared" si="0"/>
        <v>124.9</v>
      </c>
      <c r="K5" s="30">
        <f t="shared" si="0"/>
        <v>47</v>
      </c>
      <c r="L5" s="30">
        <f t="shared" si="0"/>
        <v>46.2</v>
      </c>
      <c r="M5" s="30">
        <f t="shared" si="0"/>
        <v>49.4</v>
      </c>
      <c r="N5" s="30">
        <f t="shared" si="0"/>
        <v>230.9</v>
      </c>
      <c r="O5" s="30">
        <f t="shared" si="0"/>
        <v>289</v>
      </c>
      <c r="P5" s="30">
        <f t="shared" si="0"/>
        <v>294</v>
      </c>
      <c r="Q5" s="30">
        <f t="shared" si="0"/>
        <v>304</v>
      </c>
      <c r="R5" s="30">
        <f t="shared" si="0"/>
        <v>306</v>
      </c>
      <c r="S5" s="30">
        <f t="shared" si="0"/>
        <v>299.3</v>
      </c>
      <c r="T5" s="30">
        <f t="shared" si="0"/>
        <v>304.10000000000002</v>
      </c>
      <c r="U5" s="30">
        <f t="shared" si="0"/>
        <v>289.10000000000002</v>
      </c>
      <c r="V5" s="30">
        <f t="shared" si="0"/>
        <v>152.9</v>
      </c>
      <c r="W5" s="30">
        <f t="shared" si="0"/>
        <v>46</v>
      </c>
      <c r="X5" s="30">
        <f t="shared" si="0"/>
        <v>44.2</v>
      </c>
      <c r="Y5" s="30">
        <f t="shared" si="0"/>
        <v>33.200000000000003</v>
      </c>
      <c r="Z5" s="30">
        <f t="shared" si="0"/>
        <v>52.1</v>
      </c>
      <c r="AA5" s="30">
        <f t="shared" si="0"/>
        <v>109</v>
      </c>
      <c r="AB5" s="30">
        <f t="shared" si="0"/>
        <v>149.6</v>
      </c>
      <c r="AC5" s="30">
        <f t="shared" si="0"/>
        <v>159</v>
      </c>
      <c r="AD5" s="30">
        <f t="shared" si="0"/>
        <v>210</v>
      </c>
      <c r="AE5" s="30">
        <f t="shared" si="0"/>
        <v>242</v>
      </c>
      <c r="AF5" s="30">
        <f>B78</f>
        <v>165.9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1591MW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Load=942</v>
      </c>
      <c r="B7" s="35">
        <f t="shared" ref="B7:AF7" si="1">B85</f>
        <v>1002.6389999999999</v>
      </c>
      <c r="C7" s="35">
        <f t="shared" si="1"/>
        <v>979.53899999999999</v>
      </c>
      <c r="D7" s="35">
        <f t="shared" si="1"/>
        <v>941.73899999999992</v>
      </c>
      <c r="E7" s="35">
        <f t="shared" si="1"/>
        <v>959.83899999999994</v>
      </c>
      <c r="F7" s="35">
        <f t="shared" si="1"/>
        <v>965.03899999999987</v>
      </c>
      <c r="G7" s="35">
        <f t="shared" si="1"/>
        <v>1036.9389999999999</v>
      </c>
      <c r="H7" s="35">
        <f t="shared" si="1"/>
        <v>1084.5389999999998</v>
      </c>
      <c r="I7" s="35">
        <f t="shared" si="1"/>
        <v>1182.039</v>
      </c>
      <c r="J7" s="35">
        <f t="shared" si="1"/>
        <v>1315.3789999999999</v>
      </c>
      <c r="K7" s="35">
        <f t="shared" si="1"/>
        <v>1475.1390000000001</v>
      </c>
      <c r="L7" s="35">
        <f t="shared" si="1"/>
        <v>1564.8389999999999</v>
      </c>
      <c r="M7" s="35">
        <f t="shared" si="1"/>
        <v>1591.039</v>
      </c>
      <c r="N7" s="35">
        <f>N85</f>
        <v>1519.1390000000001</v>
      </c>
      <c r="O7" s="35">
        <f t="shared" si="1"/>
        <v>1444.539</v>
      </c>
      <c r="P7" s="35">
        <f t="shared" si="1"/>
        <v>1398.6390000000001</v>
      </c>
      <c r="Q7" s="35">
        <f t="shared" si="1"/>
        <v>1272.4390000000001</v>
      </c>
      <c r="R7" s="35">
        <f t="shared" si="1"/>
        <v>1258.239</v>
      </c>
      <c r="S7" s="35">
        <f t="shared" si="1"/>
        <v>1248.9390000000001</v>
      </c>
      <c r="T7" s="35">
        <f t="shared" si="1"/>
        <v>1284.739</v>
      </c>
      <c r="U7" s="35">
        <f t="shared" si="1"/>
        <v>1312.239</v>
      </c>
      <c r="V7" s="35">
        <f t="shared" si="1"/>
        <v>1388.3389999999999</v>
      </c>
      <c r="W7" s="35">
        <f t="shared" si="1"/>
        <v>1519.0390000000002</v>
      </c>
      <c r="X7" s="35">
        <f t="shared" si="1"/>
        <v>1565.3389999999999</v>
      </c>
      <c r="Y7" s="35">
        <f t="shared" si="1"/>
        <v>1513.539</v>
      </c>
      <c r="Z7" s="35">
        <f t="shared" si="1"/>
        <v>1515.9390000000001</v>
      </c>
      <c r="AA7" s="35">
        <f t="shared" si="1"/>
        <v>1475.039</v>
      </c>
      <c r="AB7" s="35">
        <f t="shared" si="1"/>
        <v>1406.739</v>
      </c>
      <c r="AC7" s="35">
        <f t="shared" si="1"/>
        <v>1308.4389999999999</v>
      </c>
      <c r="AD7" s="35">
        <f t="shared" si="1"/>
        <v>1264.8389999999999</v>
      </c>
      <c r="AE7" s="35">
        <f t="shared" si="1"/>
        <v>1067.6389999999999</v>
      </c>
      <c r="AF7" s="35">
        <f t="shared" si="1"/>
        <v>1010.6389999999999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25.8</v>
      </c>
      <c r="C11" s="45">
        <v>25.8</v>
      </c>
      <c r="D11" s="45">
        <v>25.8</v>
      </c>
      <c r="E11" s="45">
        <v>25.8</v>
      </c>
      <c r="F11" s="45">
        <v>25.8</v>
      </c>
      <c r="G11" s="45">
        <v>25.8</v>
      </c>
      <c r="H11" s="45">
        <v>25.8</v>
      </c>
      <c r="I11" s="45">
        <v>25.8</v>
      </c>
      <c r="J11" s="45">
        <v>26.6</v>
      </c>
      <c r="K11" s="45">
        <v>26.6</v>
      </c>
      <c r="L11" s="45">
        <v>26.6</v>
      </c>
      <c r="M11" s="45">
        <v>26.6</v>
      </c>
      <c r="N11" s="45">
        <v>26.6</v>
      </c>
      <c r="O11" s="45">
        <v>26.6</v>
      </c>
      <c r="P11" s="45">
        <v>26.6</v>
      </c>
      <c r="Q11" s="45">
        <v>26.6</v>
      </c>
      <c r="R11" s="45">
        <v>26.6</v>
      </c>
      <c r="S11" s="45">
        <v>26.6</v>
      </c>
      <c r="T11" s="45">
        <v>26.6</v>
      </c>
      <c r="U11" s="45">
        <v>26.6</v>
      </c>
      <c r="V11" s="45">
        <v>26.6</v>
      </c>
      <c r="W11" s="45">
        <v>26.6</v>
      </c>
      <c r="X11" s="45">
        <v>26.6</v>
      </c>
      <c r="Y11" s="45">
        <v>26.6</v>
      </c>
      <c r="Z11" s="45">
        <v>26.6</v>
      </c>
      <c r="AA11" s="45">
        <v>26.6</v>
      </c>
      <c r="AB11" s="45">
        <v>26.7</v>
      </c>
      <c r="AC11" s="45">
        <v>26.7</v>
      </c>
      <c r="AD11" s="45">
        <v>26.7</v>
      </c>
      <c r="AE11" s="45">
        <v>27.5</v>
      </c>
      <c r="AF11" s="45">
        <v>27.5</v>
      </c>
      <c r="AG11" s="47">
        <v>52.4</v>
      </c>
      <c r="AH11" s="48">
        <f t="shared" ref="AH11:AH74" si="2">MAX(B11:AF11)</f>
        <v>27.5</v>
      </c>
      <c r="AI11" s="49">
        <f t="shared" ref="AI11:AI74" si="3">MIN(B11:AF11)</f>
        <v>25.8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50.3</v>
      </c>
      <c r="C12" s="45">
        <v>50.3</v>
      </c>
      <c r="D12" s="45">
        <v>50.3</v>
      </c>
      <c r="E12" s="45">
        <v>50.3</v>
      </c>
      <c r="F12" s="45">
        <v>50.3</v>
      </c>
      <c r="G12" s="45">
        <v>50.3</v>
      </c>
      <c r="H12" s="45">
        <v>50.3</v>
      </c>
      <c r="I12" s="45">
        <v>50.3</v>
      </c>
      <c r="J12" s="45">
        <v>50.3</v>
      </c>
      <c r="K12" s="45">
        <v>50.3</v>
      </c>
      <c r="L12" s="45">
        <v>50.3</v>
      </c>
      <c r="M12" s="45">
        <v>50.3</v>
      </c>
      <c r="N12" s="45">
        <v>50.3</v>
      </c>
      <c r="O12" s="45">
        <v>50.3</v>
      </c>
      <c r="P12" s="45">
        <v>50.3</v>
      </c>
      <c r="Q12" s="45">
        <v>50.3</v>
      </c>
      <c r="R12" s="45">
        <v>50.3</v>
      </c>
      <c r="S12" s="45">
        <v>50.3</v>
      </c>
      <c r="T12" s="45">
        <v>50.3</v>
      </c>
      <c r="U12" s="45">
        <v>50.3</v>
      </c>
      <c r="V12" s="45">
        <v>50.3</v>
      </c>
      <c r="W12" s="45">
        <v>50.3</v>
      </c>
      <c r="X12" s="45">
        <v>50.3</v>
      </c>
      <c r="Y12" s="45">
        <v>50.3</v>
      </c>
      <c r="Z12" s="45">
        <v>50.3</v>
      </c>
      <c r="AA12" s="45">
        <v>50.3</v>
      </c>
      <c r="AB12" s="45">
        <v>49.7</v>
      </c>
      <c r="AC12" s="45">
        <v>49.7</v>
      </c>
      <c r="AD12" s="45">
        <v>49.7</v>
      </c>
      <c r="AE12" s="45">
        <v>49.7</v>
      </c>
      <c r="AF12" s="45">
        <v>49.7</v>
      </c>
      <c r="AG12" s="51">
        <v>50</v>
      </c>
      <c r="AH12" s="48">
        <f t="shared" si="2"/>
        <v>50.3</v>
      </c>
      <c r="AI12" s="49">
        <f t="shared" si="3"/>
        <v>49.7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26</v>
      </c>
      <c r="C13" s="45">
        <v>26</v>
      </c>
      <c r="D13" s="45">
        <v>26</v>
      </c>
      <c r="E13" s="45">
        <v>26</v>
      </c>
      <c r="F13" s="45">
        <v>26</v>
      </c>
      <c r="G13" s="45">
        <v>26</v>
      </c>
      <c r="H13" s="45">
        <v>26</v>
      </c>
      <c r="I13" s="45">
        <v>26</v>
      </c>
      <c r="J13" s="45">
        <v>26</v>
      </c>
      <c r="K13" s="45">
        <v>26</v>
      </c>
      <c r="L13" s="45">
        <v>26</v>
      </c>
      <c r="M13" s="45">
        <v>26</v>
      </c>
      <c r="N13" s="45">
        <v>26</v>
      </c>
      <c r="O13" s="45">
        <v>26</v>
      </c>
      <c r="P13" s="45">
        <v>26</v>
      </c>
      <c r="Q13" s="45">
        <v>26</v>
      </c>
      <c r="R13" s="45">
        <v>23.5</v>
      </c>
      <c r="S13" s="45">
        <v>23.5</v>
      </c>
      <c r="T13" s="45">
        <v>23.5</v>
      </c>
      <c r="U13" s="45">
        <v>23.5</v>
      </c>
      <c r="V13" s="45">
        <v>23.5</v>
      </c>
      <c r="W13" s="45">
        <v>23.5</v>
      </c>
      <c r="X13" s="45">
        <v>23.5</v>
      </c>
      <c r="Y13" s="45">
        <v>23.5</v>
      </c>
      <c r="Z13" s="45">
        <v>23.5</v>
      </c>
      <c r="AA13" s="45">
        <v>23.5</v>
      </c>
      <c r="AB13" s="45">
        <v>25.2</v>
      </c>
      <c r="AC13" s="45">
        <v>25.2</v>
      </c>
      <c r="AD13" s="45">
        <v>25.2</v>
      </c>
      <c r="AE13" s="45">
        <v>25.2</v>
      </c>
      <c r="AF13" s="45">
        <v>25.2</v>
      </c>
      <c r="AG13" s="51">
        <v>45</v>
      </c>
      <c r="AH13" s="48">
        <f t="shared" si="2"/>
        <v>26</v>
      </c>
      <c r="AI13" s="49">
        <f t="shared" si="3"/>
        <v>23.5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21</v>
      </c>
      <c r="C15" s="45">
        <v>21</v>
      </c>
      <c r="D15" s="45">
        <v>21</v>
      </c>
      <c r="E15" s="45">
        <v>21</v>
      </c>
      <c r="F15" s="45">
        <v>21</v>
      </c>
      <c r="G15" s="45">
        <v>21</v>
      </c>
      <c r="H15" s="45">
        <v>21</v>
      </c>
      <c r="I15" s="45">
        <v>21</v>
      </c>
      <c r="J15" s="45">
        <v>21</v>
      </c>
      <c r="K15" s="45">
        <v>21</v>
      </c>
      <c r="L15" s="45">
        <v>21</v>
      </c>
      <c r="M15" s="45">
        <v>21</v>
      </c>
      <c r="N15" s="45">
        <v>21</v>
      </c>
      <c r="O15" s="45">
        <v>21</v>
      </c>
      <c r="P15" s="45">
        <v>21</v>
      </c>
      <c r="Q15" s="45">
        <v>21</v>
      </c>
      <c r="R15" s="45">
        <v>21</v>
      </c>
      <c r="S15" s="45">
        <v>21</v>
      </c>
      <c r="T15" s="45">
        <v>21</v>
      </c>
      <c r="U15" s="45">
        <v>21</v>
      </c>
      <c r="V15" s="45">
        <v>21</v>
      </c>
      <c r="W15" s="45">
        <v>21</v>
      </c>
      <c r="X15" s="45">
        <v>21</v>
      </c>
      <c r="Y15" s="45">
        <v>21</v>
      </c>
      <c r="Z15" s="45">
        <v>21</v>
      </c>
      <c r="AA15" s="45">
        <v>21</v>
      </c>
      <c r="AB15" s="45">
        <v>21</v>
      </c>
      <c r="AC15" s="45">
        <v>21</v>
      </c>
      <c r="AD15" s="45">
        <v>21</v>
      </c>
      <c r="AE15" s="45">
        <v>21</v>
      </c>
      <c r="AF15" s="45">
        <v>21</v>
      </c>
      <c r="AG15" s="51">
        <v>36</v>
      </c>
      <c r="AH15" s="48">
        <f t="shared" si="2"/>
        <v>21</v>
      </c>
      <c r="AI15" s="49">
        <f t="shared" si="3"/>
        <v>21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13.5</v>
      </c>
      <c r="C16" s="45">
        <v>13.5</v>
      </c>
      <c r="D16" s="45">
        <v>13.5</v>
      </c>
      <c r="E16" s="45">
        <v>0</v>
      </c>
      <c r="F16" s="45">
        <v>13</v>
      </c>
      <c r="G16" s="45">
        <v>14</v>
      </c>
      <c r="H16" s="45">
        <v>14</v>
      </c>
      <c r="I16" s="45">
        <v>14</v>
      </c>
      <c r="J16" s="45">
        <v>14</v>
      </c>
      <c r="K16" s="45">
        <v>14</v>
      </c>
      <c r="L16" s="45">
        <v>10</v>
      </c>
      <c r="M16" s="45">
        <v>14</v>
      </c>
      <c r="N16" s="45">
        <v>14</v>
      </c>
      <c r="O16" s="45">
        <v>14</v>
      </c>
      <c r="P16" s="45">
        <v>14</v>
      </c>
      <c r="Q16" s="45">
        <v>14</v>
      </c>
      <c r="R16" s="45">
        <v>12</v>
      </c>
      <c r="S16" s="45">
        <v>12</v>
      </c>
      <c r="T16" s="45">
        <v>12</v>
      </c>
      <c r="U16" s="45">
        <v>12</v>
      </c>
      <c r="V16" s="45">
        <v>12</v>
      </c>
      <c r="W16" s="45">
        <v>12</v>
      </c>
      <c r="X16" s="45">
        <v>12</v>
      </c>
      <c r="Y16" s="45">
        <v>12</v>
      </c>
      <c r="Z16" s="45">
        <v>12</v>
      </c>
      <c r="AA16" s="45">
        <v>12</v>
      </c>
      <c r="AB16" s="45">
        <v>12</v>
      </c>
      <c r="AC16" s="45">
        <v>12</v>
      </c>
      <c r="AD16" s="45">
        <v>12</v>
      </c>
      <c r="AE16" s="45">
        <v>12</v>
      </c>
      <c r="AF16" s="45">
        <v>12</v>
      </c>
      <c r="AG16" s="52">
        <v>30</v>
      </c>
      <c r="AH16" s="48">
        <f t="shared" si="2"/>
        <v>14</v>
      </c>
      <c r="AI16" s="49">
        <f t="shared" si="3"/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11.8</v>
      </c>
      <c r="C17" s="45">
        <v>11.8</v>
      </c>
      <c r="D17" s="45">
        <v>11.8</v>
      </c>
      <c r="E17" s="45">
        <v>11.8</v>
      </c>
      <c r="F17" s="45">
        <v>11.8</v>
      </c>
      <c r="G17" s="45">
        <v>11.8</v>
      </c>
      <c r="H17" s="45">
        <v>11.8</v>
      </c>
      <c r="I17" s="45">
        <v>11.8</v>
      </c>
      <c r="J17" s="45">
        <v>11.8</v>
      </c>
      <c r="K17" s="45">
        <v>11.8</v>
      </c>
      <c r="L17" s="45">
        <v>11.8</v>
      </c>
      <c r="M17" s="45">
        <v>11.8</v>
      </c>
      <c r="N17" s="45">
        <v>11.8</v>
      </c>
      <c r="O17" s="45">
        <v>11.8</v>
      </c>
      <c r="P17" s="45">
        <v>11.8</v>
      </c>
      <c r="Q17" s="45">
        <v>11.8</v>
      </c>
      <c r="R17" s="45">
        <v>11.8</v>
      </c>
      <c r="S17" s="45">
        <v>11.8</v>
      </c>
      <c r="T17" s="45">
        <v>11.8</v>
      </c>
      <c r="U17" s="45">
        <v>11.8</v>
      </c>
      <c r="V17" s="45">
        <v>11.8</v>
      </c>
      <c r="W17" s="45">
        <v>11.8</v>
      </c>
      <c r="X17" s="45">
        <v>11.8</v>
      </c>
      <c r="Y17" s="45">
        <v>11.8</v>
      </c>
      <c r="Z17" s="45">
        <v>11.8</v>
      </c>
      <c r="AA17" s="45">
        <v>11.8</v>
      </c>
      <c r="AB17" s="45">
        <v>11.8</v>
      </c>
      <c r="AC17" s="45">
        <v>11.8</v>
      </c>
      <c r="AD17" s="45">
        <v>11.8</v>
      </c>
      <c r="AE17" s="45">
        <v>11.8</v>
      </c>
      <c r="AF17" s="45">
        <v>11.8</v>
      </c>
      <c r="AG17" s="51">
        <v>24.2</v>
      </c>
      <c r="AH17" s="48">
        <f t="shared" si="2"/>
        <v>11.8</v>
      </c>
      <c r="AI17" s="49">
        <f t="shared" si="3"/>
        <v>11.8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13.2</v>
      </c>
      <c r="C18" s="45">
        <v>13.2</v>
      </c>
      <c r="D18" s="45">
        <v>13.2</v>
      </c>
      <c r="E18" s="45">
        <v>13.2</v>
      </c>
      <c r="F18" s="45">
        <v>13.2</v>
      </c>
      <c r="G18" s="45">
        <v>13.2</v>
      </c>
      <c r="H18" s="45">
        <v>13.2</v>
      </c>
      <c r="I18" s="45">
        <v>13.2</v>
      </c>
      <c r="J18" s="45">
        <v>13.2</v>
      </c>
      <c r="K18" s="45">
        <v>13.2</v>
      </c>
      <c r="L18" s="45">
        <v>13.2</v>
      </c>
      <c r="M18" s="45">
        <v>13.2</v>
      </c>
      <c r="N18" s="45">
        <v>13.2</v>
      </c>
      <c r="O18" s="45">
        <v>13.2</v>
      </c>
      <c r="P18" s="45">
        <v>13.2</v>
      </c>
      <c r="Q18" s="45">
        <v>13.2</v>
      </c>
      <c r="R18" s="45">
        <v>13.2</v>
      </c>
      <c r="S18" s="45">
        <v>13.2</v>
      </c>
      <c r="T18" s="45">
        <v>13.2</v>
      </c>
      <c r="U18" s="45">
        <v>13.2</v>
      </c>
      <c r="V18" s="45">
        <v>13.2</v>
      </c>
      <c r="W18" s="45">
        <v>13.2</v>
      </c>
      <c r="X18" s="45">
        <v>13.2</v>
      </c>
      <c r="Y18" s="45">
        <v>13.2</v>
      </c>
      <c r="Z18" s="45">
        <v>13.2</v>
      </c>
      <c r="AA18" s="45">
        <v>13.2</v>
      </c>
      <c r="AB18" s="45">
        <v>13.2</v>
      </c>
      <c r="AC18" s="45">
        <v>13.2</v>
      </c>
      <c r="AD18" s="45">
        <v>13.2</v>
      </c>
      <c r="AE18" s="45">
        <v>13.2</v>
      </c>
      <c r="AF18" s="45">
        <v>13.2</v>
      </c>
      <c r="AG18" s="51">
        <v>28</v>
      </c>
      <c r="AH18" s="48">
        <f t="shared" si="2"/>
        <v>13.2</v>
      </c>
      <c r="AI18" s="49">
        <f t="shared" si="3"/>
        <v>13.2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14</v>
      </c>
      <c r="C19" s="45">
        <v>14</v>
      </c>
      <c r="D19" s="45">
        <v>14</v>
      </c>
      <c r="E19" s="45">
        <v>0</v>
      </c>
      <c r="F19" s="45">
        <v>0</v>
      </c>
      <c r="G19" s="45">
        <v>14</v>
      </c>
      <c r="H19" s="45">
        <v>14</v>
      </c>
      <c r="I19" s="45">
        <v>14</v>
      </c>
      <c r="J19" s="45">
        <v>14</v>
      </c>
      <c r="K19" s="45">
        <v>14</v>
      </c>
      <c r="L19" s="45">
        <v>14</v>
      </c>
      <c r="M19" s="45">
        <v>14</v>
      </c>
      <c r="N19" s="45">
        <v>14</v>
      </c>
      <c r="O19" s="45">
        <v>14</v>
      </c>
      <c r="P19" s="45">
        <v>14</v>
      </c>
      <c r="Q19" s="45">
        <v>14</v>
      </c>
      <c r="R19" s="45">
        <v>14</v>
      </c>
      <c r="S19" s="45">
        <v>14</v>
      </c>
      <c r="T19" s="45">
        <v>14</v>
      </c>
      <c r="U19" s="45">
        <v>14</v>
      </c>
      <c r="V19" s="45">
        <v>14</v>
      </c>
      <c r="W19" s="45">
        <v>14</v>
      </c>
      <c r="X19" s="45">
        <v>14</v>
      </c>
      <c r="Y19" s="45">
        <v>14</v>
      </c>
      <c r="Z19" s="45">
        <v>14</v>
      </c>
      <c r="AA19" s="45">
        <v>14</v>
      </c>
      <c r="AB19" s="45">
        <v>14</v>
      </c>
      <c r="AC19" s="45">
        <v>14</v>
      </c>
      <c r="AD19" s="45">
        <v>14</v>
      </c>
      <c r="AE19" s="45">
        <v>14</v>
      </c>
      <c r="AF19" s="45">
        <v>14</v>
      </c>
      <c r="AG19" s="52">
        <v>30</v>
      </c>
      <c r="AH19" s="48">
        <f t="shared" si="2"/>
        <v>14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13.4</v>
      </c>
      <c r="C20" s="45">
        <v>13.4</v>
      </c>
      <c r="D20" s="45">
        <v>13.4</v>
      </c>
      <c r="E20" s="45">
        <v>13.4</v>
      </c>
      <c r="F20" s="45">
        <v>13.4</v>
      </c>
      <c r="G20" s="45">
        <v>13.4</v>
      </c>
      <c r="H20" s="45">
        <v>13.4</v>
      </c>
      <c r="I20" s="45">
        <v>13.4</v>
      </c>
      <c r="J20" s="45">
        <v>13.4</v>
      </c>
      <c r="K20" s="45">
        <v>13.4</v>
      </c>
      <c r="L20" s="45">
        <v>13.4</v>
      </c>
      <c r="M20" s="45">
        <v>13.4</v>
      </c>
      <c r="N20" s="45">
        <v>13.4</v>
      </c>
      <c r="O20" s="45">
        <v>13.4</v>
      </c>
      <c r="P20" s="45">
        <v>13.4</v>
      </c>
      <c r="Q20" s="45">
        <v>13.4</v>
      </c>
      <c r="R20" s="45">
        <v>13.4</v>
      </c>
      <c r="S20" s="45">
        <v>13.4</v>
      </c>
      <c r="T20" s="45">
        <v>13.4</v>
      </c>
      <c r="U20" s="45">
        <v>13.4</v>
      </c>
      <c r="V20" s="45">
        <v>13.4</v>
      </c>
      <c r="W20" s="45">
        <v>13.4</v>
      </c>
      <c r="X20" s="45">
        <v>13.4</v>
      </c>
      <c r="Y20" s="45">
        <v>13.4</v>
      </c>
      <c r="Z20" s="45">
        <v>13.4</v>
      </c>
      <c r="AA20" s="45">
        <v>13.4</v>
      </c>
      <c r="AB20" s="45">
        <v>13.4</v>
      </c>
      <c r="AC20" s="45">
        <v>13.4</v>
      </c>
      <c r="AD20" s="45">
        <v>13.4</v>
      </c>
      <c r="AE20" s="45">
        <v>13.4</v>
      </c>
      <c r="AF20" s="45">
        <v>13.4</v>
      </c>
      <c r="AG20" s="51">
        <v>25</v>
      </c>
      <c r="AH20" s="48">
        <f t="shared" si="2"/>
        <v>13.4</v>
      </c>
      <c r="AI20" s="49">
        <f t="shared" si="3"/>
        <v>13.4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51">
        <v>25</v>
      </c>
      <c r="AH21" s="48">
        <f t="shared" si="2"/>
        <v>0</v>
      </c>
      <c r="AI21" s="49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13.5</v>
      </c>
      <c r="C23" s="45">
        <v>13.5</v>
      </c>
      <c r="D23" s="45">
        <v>13.5</v>
      </c>
      <c r="E23" s="45">
        <v>5</v>
      </c>
      <c r="F23" s="45">
        <v>5</v>
      </c>
      <c r="G23" s="45">
        <v>13.5</v>
      </c>
      <c r="H23" s="45">
        <v>13.5</v>
      </c>
      <c r="I23" s="45">
        <v>13.5</v>
      </c>
      <c r="J23" s="45">
        <v>13.5</v>
      </c>
      <c r="K23" s="45">
        <v>13.5</v>
      </c>
      <c r="L23" s="45">
        <v>13.5</v>
      </c>
      <c r="M23" s="45">
        <v>13.5</v>
      </c>
      <c r="N23" s="45">
        <v>13.5</v>
      </c>
      <c r="O23" s="45">
        <v>13.5</v>
      </c>
      <c r="P23" s="45">
        <v>13.5</v>
      </c>
      <c r="Q23" s="45">
        <v>13.5</v>
      </c>
      <c r="R23" s="45">
        <v>13.5</v>
      </c>
      <c r="S23" s="45">
        <v>13.5</v>
      </c>
      <c r="T23" s="45">
        <v>13.5</v>
      </c>
      <c r="U23" s="45">
        <v>13.5</v>
      </c>
      <c r="V23" s="45">
        <v>13.5</v>
      </c>
      <c r="W23" s="45">
        <v>13.5</v>
      </c>
      <c r="X23" s="45">
        <v>13.5</v>
      </c>
      <c r="Y23" s="45">
        <v>13.5</v>
      </c>
      <c r="Z23" s="45">
        <v>13.5</v>
      </c>
      <c r="AA23" s="45">
        <v>13.5</v>
      </c>
      <c r="AB23" s="45">
        <v>13.5</v>
      </c>
      <c r="AC23" s="45">
        <v>13.5</v>
      </c>
      <c r="AD23" s="45">
        <v>13.5</v>
      </c>
      <c r="AE23" s="45">
        <v>13.5</v>
      </c>
      <c r="AF23" s="45">
        <v>13.5</v>
      </c>
      <c r="AG23" s="51">
        <v>25</v>
      </c>
      <c r="AH23" s="48">
        <f t="shared" si="2"/>
        <v>13.5</v>
      </c>
      <c r="AI23" s="49">
        <f t="shared" si="3"/>
        <v>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11.8</v>
      </c>
      <c r="C24" s="45">
        <v>11.8</v>
      </c>
      <c r="D24" s="45">
        <v>11.8</v>
      </c>
      <c r="E24" s="45">
        <v>11.8</v>
      </c>
      <c r="F24" s="45">
        <v>11.8</v>
      </c>
      <c r="G24" s="45">
        <v>11.8</v>
      </c>
      <c r="H24" s="45">
        <v>11.8</v>
      </c>
      <c r="I24" s="45">
        <v>11.8</v>
      </c>
      <c r="J24" s="45">
        <v>11.8</v>
      </c>
      <c r="K24" s="45">
        <v>11.8</v>
      </c>
      <c r="L24" s="45">
        <v>11.8</v>
      </c>
      <c r="M24" s="45">
        <v>11.8</v>
      </c>
      <c r="N24" s="45">
        <v>11.8</v>
      </c>
      <c r="O24" s="45">
        <v>11.8</v>
      </c>
      <c r="P24" s="45">
        <v>11.8</v>
      </c>
      <c r="Q24" s="45">
        <v>11.8</v>
      </c>
      <c r="R24" s="45">
        <v>11.8</v>
      </c>
      <c r="S24" s="45">
        <v>11.8</v>
      </c>
      <c r="T24" s="45">
        <v>11.8</v>
      </c>
      <c r="U24" s="45">
        <v>11.8</v>
      </c>
      <c r="V24" s="45">
        <v>11.8</v>
      </c>
      <c r="W24" s="45">
        <v>11.8</v>
      </c>
      <c r="X24" s="45">
        <v>11.8</v>
      </c>
      <c r="Y24" s="45">
        <v>11.8</v>
      </c>
      <c r="Z24" s="45">
        <v>11.8</v>
      </c>
      <c r="AA24" s="45">
        <v>11.8</v>
      </c>
      <c r="AB24" s="45">
        <v>11.8</v>
      </c>
      <c r="AC24" s="45">
        <v>11.8</v>
      </c>
      <c r="AD24" s="45">
        <v>11.8</v>
      </c>
      <c r="AE24" s="45">
        <v>11.8</v>
      </c>
      <c r="AF24" s="45">
        <v>11.8</v>
      </c>
      <c r="AG24" s="51">
        <v>23.5</v>
      </c>
      <c r="AH24" s="48">
        <f t="shared" si="2"/>
        <v>11.8</v>
      </c>
      <c r="AI24" s="49">
        <f t="shared" si="3"/>
        <v>11.8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7.0990000000000002</v>
      </c>
      <c r="C26" s="45">
        <v>7.0990000000000002</v>
      </c>
      <c r="D26" s="45">
        <v>7.0990000000000002</v>
      </c>
      <c r="E26" s="45">
        <v>7.0990000000000002</v>
      </c>
      <c r="F26" s="45">
        <v>7.0990000000000002</v>
      </c>
      <c r="G26" s="45">
        <v>7.0990000000000002</v>
      </c>
      <c r="H26" s="45">
        <v>7.0990000000000002</v>
      </c>
      <c r="I26" s="45">
        <v>7.0990000000000002</v>
      </c>
      <c r="J26" s="45">
        <v>7.0990000000000002</v>
      </c>
      <c r="K26" s="45">
        <v>7.0990000000000002</v>
      </c>
      <c r="L26" s="45">
        <v>7.0990000000000002</v>
      </c>
      <c r="M26" s="45">
        <v>7.0990000000000002</v>
      </c>
      <c r="N26" s="45">
        <v>7.0990000000000002</v>
      </c>
      <c r="O26" s="45">
        <v>7.0990000000000002</v>
      </c>
      <c r="P26" s="45">
        <v>7.0990000000000002</v>
      </c>
      <c r="Q26" s="45">
        <v>7.0990000000000002</v>
      </c>
      <c r="R26" s="45">
        <v>7.0990000000000002</v>
      </c>
      <c r="S26" s="45">
        <v>7.0990000000000002</v>
      </c>
      <c r="T26" s="45">
        <v>7.0990000000000002</v>
      </c>
      <c r="U26" s="45">
        <v>7.0990000000000002</v>
      </c>
      <c r="V26" s="45">
        <v>7.0990000000000002</v>
      </c>
      <c r="W26" s="45">
        <v>7.0990000000000002</v>
      </c>
      <c r="X26" s="45">
        <v>7.0990000000000002</v>
      </c>
      <c r="Y26" s="45">
        <v>7.0990000000000002</v>
      </c>
      <c r="Z26" s="45">
        <v>7.0990000000000002</v>
      </c>
      <c r="AA26" s="45">
        <v>7.0990000000000002</v>
      </c>
      <c r="AB26" s="45">
        <v>7.0990000000000002</v>
      </c>
      <c r="AC26" s="45">
        <v>7.0990000000000002</v>
      </c>
      <c r="AD26" s="45">
        <v>7.0990000000000002</v>
      </c>
      <c r="AE26" s="45">
        <v>7.0990000000000002</v>
      </c>
      <c r="AF26" s="45">
        <v>7.0990000000000002</v>
      </c>
      <c r="AG26" s="51">
        <v>22.1</v>
      </c>
      <c r="AH26" s="48">
        <f t="shared" si="2"/>
        <v>7.0990000000000002</v>
      </c>
      <c r="AI26" s="49">
        <f t="shared" si="3"/>
        <v>7.0990000000000002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7.5</v>
      </c>
      <c r="O30" s="45">
        <v>7.5</v>
      </c>
      <c r="P30" s="45">
        <v>7.5</v>
      </c>
      <c r="Q30" s="45">
        <v>7.5</v>
      </c>
      <c r="R30" s="45">
        <v>7.5</v>
      </c>
      <c r="S30" s="45">
        <v>7.5</v>
      </c>
      <c r="T30" s="45">
        <v>7.5</v>
      </c>
      <c r="U30" s="45">
        <v>7.5</v>
      </c>
      <c r="V30" s="45">
        <v>7.5</v>
      </c>
      <c r="W30" s="45">
        <v>7.5</v>
      </c>
      <c r="X30" s="45">
        <v>7.5</v>
      </c>
      <c r="Y30" s="45">
        <v>7.5</v>
      </c>
      <c r="Z30" s="45">
        <v>7.5</v>
      </c>
      <c r="AA30" s="45">
        <v>7.5</v>
      </c>
      <c r="AB30" s="45">
        <v>7.5</v>
      </c>
      <c r="AC30" s="45">
        <v>7.5</v>
      </c>
      <c r="AD30" s="45">
        <v>7.5</v>
      </c>
      <c r="AE30" s="45">
        <v>7.5</v>
      </c>
      <c r="AF30" s="45">
        <v>7.5</v>
      </c>
      <c r="AG30" s="51">
        <v>18</v>
      </c>
      <c r="AH30" s="48">
        <f t="shared" si="2"/>
        <v>7.7</v>
      </c>
      <c r="AI30" s="49">
        <f t="shared" si="3"/>
        <v>7.5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1</v>
      </c>
      <c r="O32" s="45">
        <v>1</v>
      </c>
      <c r="P32" s="45">
        <v>1</v>
      </c>
      <c r="Q32" s="45">
        <v>1</v>
      </c>
      <c r="R32" s="45">
        <v>1</v>
      </c>
      <c r="S32" s="45">
        <v>1</v>
      </c>
      <c r="T32" s="45">
        <v>1</v>
      </c>
      <c r="U32" s="45">
        <v>1</v>
      </c>
      <c r="V32" s="45">
        <v>1</v>
      </c>
      <c r="W32" s="45">
        <v>1</v>
      </c>
      <c r="X32" s="45">
        <v>1</v>
      </c>
      <c r="Y32" s="45">
        <v>1</v>
      </c>
      <c r="Z32" s="45">
        <v>1</v>
      </c>
      <c r="AA32" s="45">
        <v>1</v>
      </c>
      <c r="AB32" s="45">
        <v>1</v>
      </c>
      <c r="AC32" s="45">
        <v>1</v>
      </c>
      <c r="AD32" s="45">
        <v>1</v>
      </c>
      <c r="AE32" s="45">
        <v>1</v>
      </c>
      <c r="AF32" s="45">
        <v>1</v>
      </c>
      <c r="AG32" s="51">
        <v>13.6</v>
      </c>
      <c r="AH32" s="48">
        <f t="shared" si="2"/>
        <v>3.6</v>
      </c>
      <c r="AI32" s="49">
        <f t="shared" si="3"/>
        <v>1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6</v>
      </c>
      <c r="O34" s="45">
        <v>6</v>
      </c>
      <c r="P34" s="45">
        <v>6</v>
      </c>
      <c r="Q34" s="45">
        <v>6</v>
      </c>
      <c r="R34" s="45">
        <v>6</v>
      </c>
      <c r="S34" s="45">
        <v>6</v>
      </c>
      <c r="T34" s="45">
        <v>6</v>
      </c>
      <c r="U34" s="45">
        <v>6</v>
      </c>
      <c r="V34" s="45">
        <v>6</v>
      </c>
      <c r="W34" s="45">
        <v>6</v>
      </c>
      <c r="X34" s="45">
        <v>6</v>
      </c>
      <c r="Y34" s="45">
        <v>6</v>
      </c>
      <c r="Z34" s="45">
        <v>6</v>
      </c>
      <c r="AA34" s="45">
        <v>6</v>
      </c>
      <c r="AB34" s="45">
        <v>6</v>
      </c>
      <c r="AC34" s="45">
        <v>6</v>
      </c>
      <c r="AD34" s="45">
        <v>6</v>
      </c>
      <c r="AE34" s="45">
        <v>6</v>
      </c>
      <c r="AF34" s="45">
        <v>6</v>
      </c>
      <c r="AG34" s="51">
        <v>12</v>
      </c>
      <c r="AH34" s="48">
        <f t="shared" si="2"/>
        <v>7</v>
      </c>
      <c r="AI34" s="49">
        <f t="shared" si="3"/>
        <v>6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1</v>
      </c>
      <c r="T41" s="45">
        <v>1</v>
      </c>
      <c r="U41" s="45">
        <v>1</v>
      </c>
      <c r="V41" s="45">
        <v>1</v>
      </c>
      <c r="W41" s="45">
        <v>1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1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200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si="2"/>
        <v>200</v>
      </c>
      <c r="AI42" s="49">
        <f t="shared" si="3"/>
        <v>200</v>
      </c>
      <c r="AK42" s="50"/>
    </row>
    <row r="43" spans="1:88" ht="15.75" thickBot="1" x14ac:dyDescent="0.3">
      <c r="A43" s="58" t="s">
        <v>51</v>
      </c>
      <c r="B43" s="59">
        <f>35.8+15.1</f>
        <v>50.9</v>
      </c>
      <c r="C43" s="59">
        <f>36.4+15.3</f>
        <v>51.7</v>
      </c>
      <c r="D43" s="59">
        <f>38.2+15.4</f>
        <v>53.6</v>
      </c>
      <c r="E43" s="59">
        <f t="shared" ref="E43:F43" si="4">38.2+15.4</f>
        <v>53.6</v>
      </c>
      <c r="F43" s="59">
        <f t="shared" si="4"/>
        <v>53.6</v>
      </c>
      <c r="G43" s="59">
        <v>52</v>
      </c>
      <c r="H43" s="59">
        <v>52.5</v>
      </c>
      <c r="I43" s="59">
        <v>51.4</v>
      </c>
      <c r="J43" s="59">
        <v>51.4</v>
      </c>
      <c r="K43" s="59">
        <v>51.4</v>
      </c>
      <c r="L43" s="59">
        <v>41</v>
      </c>
      <c r="M43" s="59">
        <v>41</v>
      </c>
      <c r="N43" s="59">
        <v>41</v>
      </c>
      <c r="O43" s="59">
        <v>41</v>
      </c>
      <c r="P43" s="59">
        <f>34+14</f>
        <v>48</v>
      </c>
      <c r="Q43" s="59">
        <f>37.8+14.5</f>
        <v>52.3</v>
      </c>
      <c r="R43" s="59">
        <f>37.8+14.5</f>
        <v>52.3</v>
      </c>
      <c r="S43" s="59">
        <f>37.8+14.5</f>
        <v>52.3</v>
      </c>
      <c r="T43" s="57">
        <f>14.2+29.3</f>
        <v>43.5</v>
      </c>
      <c r="U43" s="57">
        <f>14.1+31.9</f>
        <v>46</v>
      </c>
      <c r="V43" s="57">
        <f>14.8+30.2</f>
        <v>45</v>
      </c>
      <c r="W43" s="57">
        <v>42</v>
      </c>
      <c r="X43" s="57">
        <v>42</v>
      </c>
      <c r="Y43" s="57">
        <f>13+36</f>
        <v>49</v>
      </c>
      <c r="Z43" s="57">
        <f>13.2+38.4</f>
        <v>51.599999999999994</v>
      </c>
      <c r="AA43" s="57">
        <f>12.7+38.4</f>
        <v>51.099999999999994</v>
      </c>
      <c r="AB43" s="57">
        <f>13.2+34.9</f>
        <v>48.099999999999994</v>
      </c>
      <c r="AC43" s="57">
        <f>13.2+34.9</f>
        <v>48.099999999999994</v>
      </c>
      <c r="AD43" s="57">
        <f>13.2+34.9</f>
        <v>48.099999999999994</v>
      </c>
      <c r="AE43" s="57">
        <f>13.2+34.9</f>
        <v>48.099999999999994</v>
      </c>
      <c r="AF43" s="57">
        <f>13.2+34.9</f>
        <v>48.099999999999994</v>
      </c>
      <c r="AG43" s="55">
        <v>240</v>
      </c>
      <c r="AH43" s="48">
        <f t="shared" si="2"/>
        <v>53.6</v>
      </c>
      <c r="AI43" s="49">
        <f t="shared" si="3"/>
        <v>41</v>
      </c>
      <c r="AK43" s="50"/>
    </row>
    <row r="44" spans="1:88" ht="15.75" thickBot="1" x14ac:dyDescent="0.3">
      <c r="A44" s="60" t="s">
        <v>52</v>
      </c>
      <c r="B44" s="61">
        <f t="shared" ref="B44:AF44" si="5">SUM(B11:B42)</f>
        <v>560.09899999999993</v>
      </c>
      <c r="C44" s="61">
        <f t="shared" si="5"/>
        <v>560.09899999999993</v>
      </c>
      <c r="D44" s="61">
        <f t="shared" si="5"/>
        <v>560.09899999999993</v>
      </c>
      <c r="E44" s="61">
        <f t="shared" si="5"/>
        <v>524.09899999999993</v>
      </c>
      <c r="F44" s="61">
        <f t="shared" si="5"/>
        <v>537.09899999999993</v>
      </c>
      <c r="G44" s="61">
        <f t="shared" si="5"/>
        <v>560.59899999999993</v>
      </c>
      <c r="H44" s="61">
        <f t="shared" si="5"/>
        <v>560.59899999999993</v>
      </c>
      <c r="I44" s="61">
        <f t="shared" si="5"/>
        <v>560.59899999999993</v>
      </c>
      <c r="J44" s="61">
        <f t="shared" si="5"/>
        <v>561.399</v>
      </c>
      <c r="K44" s="61">
        <f t="shared" si="5"/>
        <v>561.399</v>
      </c>
      <c r="L44" s="61">
        <f t="shared" si="5"/>
        <v>557.399</v>
      </c>
      <c r="M44" s="61">
        <f t="shared" si="5"/>
        <v>561.399</v>
      </c>
      <c r="N44" s="61">
        <f t="shared" si="5"/>
        <v>557.59899999999993</v>
      </c>
      <c r="O44" s="61">
        <f t="shared" si="5"/>
        <v>557.59899999999993</v>
      </c>
      <c r="P44" s="61">
        <f t="shared" si="5"/>
        <v>557.59899999999993</v>
      </c>
      <c r="Q44" s="61">
        <f t="shared" si="5"/>
        <v>557.59899999999993</v>
      </c>
      <c r="R44" s="61">
        <f t="shared" si="5"/>
        <v>553.09899999999993</v>
      </c>
      <c r="S44" s="61">
        <f t="shared" si="5"/>
        <v>554.09899999999993</v>
      </c>
      <c r="T44" s="61">
        <f t="shared" si="5"/>
        <v>554.09899999999993</v>
      </c>
      <c r="U44" s="61">
        <f t="shared" si="5"/>
        <v>554.09899999999993</v>
      </c>
      <c r="V44" s="61">
        <f t="shared" si="5"/>
        <v>554.09899999999993</v>
      </c>
      <c r="W44" s="61">
        <f t="shared" si="5"/>
        <v>554.09899999999993</v>
      </c>
      <c r="X44" s="61">
        <f t="shared" si="5"/>
        <v>553.09899999999993</v>
      </c>
      <c r="Y44" s="61">
        <f t="shared" si="5"/>
        <v>553.09899999999993</v>
      </c>
      <c r="Z44" s="61">
        <f t="shared" si="5"/>
        <v>553.09899999999993</v>
      </c>
      <c r="AA44" s="61">
        <f t="shared" si="5"/>
        <v>553.09899999999993</v>
      </c>
      <c r="AB44" s="61">
        <f t="shared" si="5"/>
        <v>554.29899999999998</v>
      </c>
      <c r="AC44" s="61">
        <f t="shared" si="5"/>
        <v>554.29899999999998</v>
      </c>
      <c r="AD44" s="61">
        <f t="shared" si="5"/>
        <v>554.29899999999998</v>
      </c>
      <c r="AE44" s="61">
        <f t="shared" si="5"/>
        <v>555.09899999999993</v>
      </c>
      <c r="AF44" s="61">
        <f t="shared" si="5"/>
        <v>555.09899999999993</v>
      </c>
      <c r="AG44" s="62">
        <f t="shared" ref="AG44" si="6">SUM(AG11:AG42)</f>
        <v>814.78000000000009</v>
      </c>
      <c r="AH44" s="48">
        <f t="shared" si="2"/>
        <v>561.399</v>
      </c>
      <c r="AI44" s="49">
        <f t="shared" si="3"/>
        <v>524.09899999999993</v>
      </c>
      <c r="AK44" s="50"/>
    </row>
    <row r="45" spans="1:88" x14ac:dyDescent="0.25">
      <c r="A45" s="63" t="s">
        <v>53</v>
      </c>
      <c r="B45" s="45">
        <v>15</v>
      </c>
      <c r="C45" s="45">
        <v>15</v>
      </c>
      <c r="D45" s="45">
        <v>15</v>
      </c>
      <c r="E45" s="45">
        <v>15</v>
      </c>
      <c r="F45" s="45">
        <v>15</v>
      </c>
      <c r="G45" s="45">
        <v>15</v>
      </c>
      <c r="H45" s="45">
        <v>15</v>
      </c>
      <c r="I45" s="45">
        <v>45</v>
      </c>
      <c r="J45" s="45">
        <v>165</v>
      </c>
      <c r="K45" s="45">
        <v>290</v>
      </c>
      <c r="L45" s="45">
        <v>380</v>
      </c>
      <c r="M45" s="164">
        <v>400</v>
      </c>
      <c r="N45" s="45">
        <v>370</v>
      </c>
      <c r="O45" s="45">
        <v>100</v>
      </c>
      <c r="P45" s="45">
        <v>50</v>
      </c>
      <c r="Q45" s="45">
        <v>15</v>
      </c>
      <c r="R45" s="45">
        <v>15</v>
      </c>
      <c r="S45" s="45">
        <v>15</v>
      </c>
      <c r="T45" s="45">
        <v>30</v>
      </c>
      <c r="U45" s="45">
        <v>35</v>
      </c>
      <c r="V45" s="45">
        <v>40</v>
      </c>
      <c r="W45" s="45">
        <v>250</v>
      </c>
      <c r="X45" s="45">
        <v>380</v>
      </c>
      <c r="Y45" s="45">
        <v>330</v>
      </c>
      <c r="Z45" s="45">
        <v>360</v>
      </c>
      <c r="AA45" s="45">
        <v>340</v>
      </c>
      <c r="AB45" s="45">
        <v>320</v>
      </c>
      <c r="AC45" s="45">
        <v>210</v>
      </c>
      <c r="AD45" s="45">
        <v>170</v>
      </c>
      <c r="AE45" s="45">
        <v>15</v>
      </c>
      <c r="AF45" s="45">
        <v>15</v>
      </c>
      <c r="AG45" s="52">
        <v>456</v>
      </c>
      <c r="AH45" s="48">
        <f t="shared" si="2"/>
        <v>400</v>
      </c>
      <c r="AI45" s="49">
        <f t="shared" si="3"/>
        <v>15</v>
      </c>
      <c r="AK45" s="50"/>
    </row>
    <row r="46" spans="1:88" x14ac:dyDescent="0.25">
      <c r="A46" s="64" t="s">
        <v>54</v>
      </c>
      <c r="B46" s="65">
        <v>46</v>
      </c>
      <c r="C46" s="65">
        <v>46</v>
      </c>
      <c r="D46" s="65">
        <v>46</v>
      </c>
      <c r="E46" s="65">
        <v>46</v>
      </c>
      <c r="F46" s="65">
        <v>46</v>
      </c>
      <c r="G46" s="65">
        <v>46</v>
      </c>
      <c r="H46" s="65">
        <v>46</v>
      </c>
      <c r="I46" s="65">
        <v>46</v>
      </c>
      <c r="J46" s="65">
        <v>46</v>
      </c>
      <c r="K46" s="65">
        <v>46</v>
      </c>
      <c r="L46" s="65">
        <v>46</v>
      </c>
      <c r="M46" s="165">
        <v>46</v>
      </c>
      <c r="N46" s="65">
        <v>46</v>
      </c>
      <c r="O46" s="65">
        <v>46</v>
      </c>
      <c r="P46" s="65">
        <v>46</v>
      </c>
      <c r="Q46" s="65">
        <v>46</v>
      </c>
      <c r="R46" s="65">
        <v>46</v>
      </c>
      <c r="S46" s="65">
        <v>46</v>
      </c>
      <c r="T46" s="65">
        <v>46</v>
      </c>
      <c r="U46" s="65">
        <v>46</v>
      </c>
      <c r="V46" s="65">
        <v>46</v>
      </c>
      <c r="W46" s="65">
        <v>46</v>
      </c>
      <c r="X46" s="65">
        <v>48</v>
      </c>
      <c r="Y46" s="65">
        <v>48</v>
      </c>
      <c r="Z46" s="65">
        <v>48</v>
      </c>
      <c r="AA46" s="65">
        <v>48</v>
      </c>
      <c r="AB46" s="65">
        <v>48</v>
      </c>
      <c r="AC46" s="65">
        <v>48</v>
      </c>
      <c r="AD46" s="65">
        <v>48</v>
      </c>
      <c r="AE46" s="65">
        <v>48</v>
      </c>
      <c r="AF46" s="65">
        <v>48</v>
      </c>
      <c r="AG46" s="55">
        <v>60</v>
      </c>
      <c r="AH46" s="48">
        <f t="shared" si="2"/>
        <v>48</v>
      </c>
      <c r="AI46" s="49">
        <f t="shared" si="3"/>
        <v>46</v>
      </c>
      <c r="AK46" s="50"/>
    </row>
    <row r="47" spans="1:88" ht="15.75" thickBot="1" x14ac:dyDescent="0.3">
      <c r="A47" s="66" t="s">
        <v>55</v>
      </c>
      <c r="B47" s="67">
        <v>18</v>
      </c>
      <c r="C47" s="67">
        <v>18</v>
      </c>
      <c r="D47" s="67">
        <v>18</v>
      </c>
      <c r="E47" s="67">
        <v>18.399999999999999</v>
      </c>
      <c r="F47" s="67">
        <v>18.399999999999999</v>
      </c>
      <c r="G47" s="67">
        <v>18.399999999999999</v>
      </c>
      <c r="H47" s="67">
        <v>18.399999999999999</v>
      </c>
      <c r="I47" s="67">
        <v>18.399999999999999</v>
      </c>
      <c r="J47" s="67">
        <v>18.399999999999999</v>
      </c>
      <c r="K47" s="67">
        <v>18.399999999999999</v>
      </c>
      <c r="L47" s="67">
        <v>18.399999999999999</v>
      </c>
      <c r="M47" s="166">
        <v>18.399999999999999</v>
      </c>
      <c r="N47" s="67">
        <v>17</v>
      </c>
      <c r="O47" s="67">
        <v>17</v>
      </c>
      <c r="P47" s="67">
        <v>17.100000000000001</v>
      </c>
      <c r="Q47" s="67">
        <v>17.100000000000001</v>
      </c>
      <c r="R47" s="67">
        <v>17</v>
      </c>
      <c r="S47" s="67">
        <v>17</v>
      </c>
      <c r="T47" s="67">
        <v>17</v>
      </c>
      <c r="U47" s="67">
        <v>17.100000000000001</v>
      </c>
      <c r="V47" s="67">
        <v>17.100000000000001</v>
      </c>
      <c r="W47" s="67">
        <v>11.2</v>
      </c>
      <c r="X47" s="67">
        <v>22.1</v>
      </c>
      <c r="Y47" s="67">
        <v>22.1</v>
      </c>
      <c r="Z47" s="67">
        <v>22.1</v>
      </c>
      <c r="AA47" s="67">
        <v>22.1</v>
      </c>
      <c r="AB47" s="67">
        <v>22.1</v>
      </c>
      <c r="AC47" s="67">
        <v>22.1</v>
      </c>
      <c r="AD47" s="67">
        <v>22.1</v>
      </c>
      <c r="AE47" s="67">
        <v>22.1</v>
      </c>
      <c r="AF47" s="67">
        <v>22.1</v>
      </c>
      <c r="AG47" s="68">
        <v>22.1</v>
      </c>
      <c r="AH47" s="48">
        <f t="shared" si="2"/>
        <v>22.1</v>
      </c>
      <c r="AI47" s="49">
        <f t="shared" si="3"/>
        <v>11.2</v>
      </c>
      <c r="AK47" s="50"/>
    </row>
    <row r="48" spans="1:88" ht="15.75" thickBot="1" x14ac:dyDescent="0.3">
      <c r="A48" s="69" t="s">
        <v>56</v>
      </c>
      <c r="B48" s="61">
        <f t="shared" ref="B48:AF48" si="7">SUM(B45:B47)</f>
        <v>79</v>
      </c>
      <c r="C48" s="61">
        <f t="shared" si="7"/>
        <v>79</v>
      </c>
      <c r="D48" s="61">
        <f t="shared" si="7"/>
        <v>79</v>
      </c>
      <c r="E48" s="61">
        <f t="shared" si="7"/>
        <v>79.400000000000006</v>
      </c>
      <c r="F48" s="61">
        <f t="shared" si="7"/>
        <v>79.400000000000006</v>
      </c>
      <c r="G48" s="61">
        <f t="shared" si="7"/>
        <v>79.400000000000006</v>
      </c>
      <c r="H48" s="61">
        <f t="shared" si="7"/>
        <v>79.400000000000006</v>
      </c>
      <c r="I48" s="61">
        <f t="shared" si="7"/>
        <v>109.4</v>
      </c>
      <c r="J48" s="61">
        <f t="shared" si="7"/>
        <v>229.4</v>
      </c>
      <c r="K48" s="61">
        <f t="shared" si="7"/>
        <v>354.4</v>
      </c>
      <c r="L48" s="61">
        <f t="shared" si="7"/>
        <v>444.4</v>
      </c>
      <c r="M48" s="61">
        <f t="shared" si="7"/>
        <v>464.4</v>
      </c>
      <c r="N48" s="61">
        <f t="shared" si="7"/>
        <v>433</v>
      </c>
      <c r="O48" s="61">
        <f t="shared" si="7"/>
        <v>163</v>
      </c>
      <c r="P48" s="61">
        <f t="shared" si="7"/>
        <v>113.1</v>
      </c>
      <c r="Q48" s="61">
        <f t="shared" si="7"/>
        <v>78.099999999999994</v>
      </c>
      <c r="R48" s="61">
        <f t="shared" si="7"/>
        <v>78</v>
      </c>
      <c r="S48" s="61">
        <f t="shared" si="7"/>
        <v>78</v>
      </c>
      <c r="T48" s="61">
        <f t="shared" si="7"/>
        <v>93</v>
      </c>
      <c r="U48" s="61">
        <f t="shared" si="7"/>
        <v>98.1</v>
      </c>
      <c r="V48" s="61">
        <f t="shared" si="7"/>
        <v>103.1</v>
      </c>
      <c r="W48" s="61">
        <f t="shared" si="7"/>
        <v>307.2</v>
      </c>
      <c r="X48" s="61">
        <f t="shared" si="7"/>
        <v>450.1</v>
      </c>
      <c r="Y48" s="61">
        <f t="shared" si="7"/>
        <v>400.1</v>
      </c>
      <c r="Z48" s="61">
        <f t="shared" si="7"/>
        <v>430.1</v>
      </c>
      <c r="AA48" s="61">
        <f t="shared" si="7"/>
        <v>410.1</v>
      </c>
      <c r="AB48" s="61">
        <f t="shared" si="7"/>
        <v>390.1</v>
      </c>
      <c r="AC48" s="61">
        <f t="shared" si="7"/>
        <v>280.10000000000002</v>
      </c>
      <c r="AD48" s="61">
        <f t="shared" si="7"/>
        <v>240.1</v>
      </c>
      <c r="AE48" s="61">
        <f t="shared" si="7"/>
        <v>85.1</v>
      </c>
      <c r="AF48" s="61">
        <f t="shared" si="7"/>
        <v>85.1</v>
      </c>
      <c r="AG48" s="62">
        <f t="shared" ref="AG48" si="8">SUM(AG45:AG47)</f>
        <v>538.1</v>
      </c>
      <c r="AH48" s="48">
        <f t="shared" si="2"/>
        <v>464.4</v>
      </c>
      <c r="AI48" s="49">
        <f t="shared" si="3"/>
        <v>78</v>
      </c>
      <c r="AK48" s="50"/>
    </row>
    <row r="49" spans="1:41" x14ac:dyDescent="0.25">
      <c r="A49" s="44" t="s">
        <v>57</v>
      </c>
      <c r="B49" s="45">
        <v>25</v>
      </c>
      <c r="C49" s="45">
        <v>25</v>
      </c>
      <c r="D49" s="45">
        <v>0</v>
      </c>
      <c r="E49" s="45">
        <v>0</v>
      </c>
      <c r="F49" s="45">
        <v>0</v>
      </c>
      <c r="G49" s="45">
        <v>23.5</v>
      </c>
      <c r="H49" s="45">
        <v>22.4</v>
      </c>
      <c r="I49" s="45">
        <v>73.5</v>
      </c>
      <c r="J49" s="45">
        <v>142.30000000000001</v>
      </c>
      <c r="K49" s="45">
        <v>142</v>
      </c>
      <c r="L49" s="45">
        <v>142</v>
      </c>
      <c r="M49" s="45">
        <v>142</v>
      </c>
      <c r="N49" s="45">
        <v>141.80000000000001</v>
      </c>
      <c r="O49" s="45">
        <v>141.80000000000001</v>
      </c>
      <c r="P49" s="45">
        <v>141.69999999999999</v>
      </c>
      <c r="Q49" s="45">
        <v>122.5</v>
      </c>
      <c r="R49" s="45">
        <v>121.5</v>
      </c>
      <c r="S49" s="45">
        <v>104</v>
      </c>
      <c r="T49" s="45">
        <v>122.5</v>
      </c>
      <c r="U49" s="45">
        <v>133.1</v>
      </c>
      <c r="V49" s="45">
        <v>141.4</v>
      </c>
      <c r="W49" s="45">
        <v>141.4</v>
      </c>
      <c r="X49" s="45">
        <v>141.4</v>
      </c>
      <c r="Y49" s="45">
        <v>141.4</v>
      </c>
      <c r="Z49" s="45">
        <v>141.4</v>
      </c>
      <c r="AA49" s="45">
        <v>141.4</v>
      </c>
      <c r="AB49" s="45">
        <v>90</v>
      </c>
      <c r="AC49" s="45">
        <v>94</v>
      </c>
      <c r="AD49" s="45">
        <v>94</v>
      </c>
      <c r="AE49" s="45">
        <v>30</v>
      </c>
      <c r="AF49" s="45">
        <v>0</v>
      </c>
      <c r="AG49" s="52">
        <v>144</v>
      </c>
      <c r="AH49" s="48">
        <f t="shared" si="2"/>
        <v>142.30000000000001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26</v>
      </c>
      <c r="C50" s="65">
        <v>0</v>
      </c>
      <c r="D50" s="65">
        <v>0</v>
      </c>
      <c r="E50" s="65">
        <v>0</v>
      </c>
      <c r="F50" s="65">
        <v>0</v>
      </c>
      <c r="G50" s="65">
        <v>25.7</v>
      </c>
      <c r="H50" s="65">
        <v>59.4</v>
      </c>
      <c r="I50" s="65">
        <v>64.7</v>
      </c>
      <c r="J50" s="65">
        <v>70</v>
      </c>
      <c r="K50" s="65">
        <v>68.8</v>
      </c>
      <c r="L50" s="65">
        <v>68.8</v>
      </c>
      <c r="M50" s="65">
        <v>71.2</v>
      </c>
      <c r="N50" s="65">
        <v>73</v>
      </c>
      <c r="O50" s="65">
        <v>73</v>
      </c>
      <c r="P50" s="65">
        <v>70.400000000000006</v>
      </c>
      <c r="Q50" s="65">
        <v>62</v>
      </c>
      <c r="R50" s="45">
        <v>54.1</v>
      </c>
      <c r="S50" s="45">
        <v>51.3</v>
      </c>
      <c r="T50" s="45">
        <v>50.1</v>
      </c>
      <c r="U50" s="45">
        <v>50.1</v>
      </c>
      <c r="V50" s="45">
        <v>51.5</v>
      </c>
      <c r="W50" s="45">
        <v>70</v>
      </c>
      <c r="X50" s="65">
        <v>70</v>
      </c>
      <c r="Y50" s="65">
        <v>70</v>
      </c>
      <c r="Z50" s="65">
        <v>70</v>
      </c>
      <c r="AA50" s="65">
        <v>48.5</v>
      </c>
      <c r="AB50" s="65">
        <v>34</v>
      </c>
      <c r="AC50" s="65">
        <v>36</v>
      </c>
      <c r="AD50" s="65">
        <v>36</v>
      </c>
      <c r="AE50" s="65">
        <v>25</v>
      </c>
      <c r="AF50" s="65">
        <v>0</v>
      </c>
      <c r="AG50" s="55">
        <v>70</v>
      </c>
      <c r="AH50" s="48">
        <f t="shared" si="2"/>
        <v>73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35</v>
      </c>
      <c r="C51" s="65">
        <v>35.1</v>
      </c>
      <c r="D51" s="65">
        <v>35</v>
      </c>
      <c r="E51" s="65">
        <v>70.7</v>
      </c>
      <c r="F51" s="65">
        <v>61.9</v>
      </c>
      <c r="G51" s="65">
        <v>45.5</v>
      </c>
      <c r="H51" s="65">
        <v>50.5</v>
      </c>
      <c r="I51" s="65">
        <v>67.400000000000006</v>
      </c>
      <c r="J51" s="65">
        <v>69.599999999999994</v>
      </c>
      <c r="K51" s="65">
        <v>69</v>
      </c>
      <c r="L51" s="65">
        <v>69</v>
      </c>
      <c r="M51" s="65">
        <v>69</v>
      </c>
      <c r="N51" s="65">
        <v>60.7</v>
      </c>
      <c r="O51" s="65">
        <v>60.7</v>
      </c>
      <c r="P51" s="65">
        <v>52</v>
      </c>
      <c r="Q51" s="65">
        <v>46</v>
      </c>
      <c r="R51" s="45">
        <v>35.299999999999997</v>
      </c>
      <c r="S51" s="45">
        <v>35.299999999999997</v>
      </c>
      <c r="T51" s="45">
        <v>45.5</v>
      </c>
      <c r="U51" s="45">
        <v>52.5</v>
      </c>
      <c r="V51" s="45">
        <v>51.7</v>
      </c>
      <c r="W51" s="45">
        <v>69</v>
      </c>
      <c r="X51" s="65">
        <v>69</v>
      </c>
      <c r="Y51" s="65">
        <v>69</v>
      </c>
      <c r="Z51" s="65">
        <v>69</v>
      </c>
      <c r="AA51" s="65">
        <v>69</v>
      </c>
      <c r="AB51" s="65">
        <v>68.7</v>
      </c>
      <c r="AC51" s="65">
        <v>69</v>
      </c>
      <c r="AD51" s="65">
        <v>69</v>
      </c>
      <c r="AE51" s="65">
        <v>50</v>
      </c>
      <c r="AF51" s="65">
        <v>16</v>
      </c>
      <c r="AG51" s="55">
        <v>69</v>
      </c>
      <c r="AH51" s="48">
        <f t="shared" si="2"/>
        <v>70.7</v>
      </c>
      <c r="AI51" s="49">
        <f t="shared" si="3"/>
        <v>16</v>
      </c>
      <c r="AK51" s="50"/>
    </row>
    <row r="52" spans="1:41" x14ac:dyDescent="0.25">
      <c r="A52" s="54" t="s">
        <v>60</v>
      </c>
      <c r="B52" s="57">
        <v>60.7</v>
      </c>
      <c r="C52" s="57">
        <v>60.7</v>
      </c>
      <c r="D52" s="57">
        <v>60.7</v>
      </c>
      <c r="E52" s="57">
        <v>60.7</v>
      </c>
      <c r="F52" s="57">
        <v>60.7</v>
      </c>
      <c r="G52" s="57">
        <v>60.7</v>
      </c>
      <c r="H52" s="57">
        <v>60.7</v>
      </c>
      <c r="I52" s="57">
        <v>60.7</v>
      </c>
      <c r="J52" s="57">
        <v>60.74</v>
      </c>
      <c r="K52" s="57">
        <v>60.7</v>
      </c>
      <c r="L52" s="57">
        <v>60.7</v>
      </c>
      <c r="M52" s="65">
        <v>60.7</v>
      </c>
      <c r="N52" s="65">
        <v>60.7</v>
      </c>
      <c r="O52" s="65">
        <v>60.7</v>
      </c>
      <c r="P52" s="65">
        <v>60.7</v>
      </c>
      <c r="Q52" s="65">
        <v>60.7</v>
      </c>
      <c r="R52" s="65">
        <v>60.5</v>
      </c>
      <c r="S52" s="65">
        <v>60.5</v>
      </c>
      <c r="T52" s="65">
        <v>60.5</v>
      </c>
      <c r="U52" s="65">
        <v>60.5</v>
      </c>
      <c r="V52" s="65">
        <v>60.7</v>
      </c>
      <c r="W52" s="65">
        <v>60.7</v>
      </c>
      <c r="X52" s="45">
        <v>60.7</v>
      </c>
      <c r="Y52" s="45">
        <v>60.7</v>
      </c>
      <c r="Z52" s="45">
        <v>60.7</v>
      </c>
      <c r="AA52" s="45">
        <v>60.7</v>
      </c>
      <c r="AB52" s="45">
        <v>60.7</v>
      </c>
      <c r="AC52" s="45">
        <v>60.7</v>
      </c>
      <c r="AD52" s="45">
        <v>60.7</v>
      </c>
      <c r="AE52" s="45">
        <v>60.7</v>
      </c>
      <c r="AF52" s="45">
        <v>60.7</v>
      </c>
      <c r="AG52" s="55">
        <v>60</v>
      </c>
      <c r="AH52" s="48">
        <f t="shared" si="2"/>
        <v>60.74</v>
      </c>
      <c r="AI52" s="49">
        <f t="shared" si="3"/>
        <v>60.5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13.6</v>
      </c>
      <c r="H53" s="57">
        <v>13.6</v>
      </c>
      <c r="I53" s="57">
        <v>14.8</v>
      </c>
      <c r="J53" s="57">
        <v>26</v>
      </c>
      <c r="K53" s="57">
        <v>30</v>
      </c>
      <c r="L53" s="57">
        <v>30</v>
      </c>
      <c r="M53" s="65">
        <v>30</v>
      </c>
      <c r="N53" s="65">
        <v>30</v>
      </c>
      <c r="O53" s="65">
        <v>30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30</v>
      </c>
      <c r="W53" s="65">
        <v>30</v>
      </c>
      <c r="X53" s="45">
        <v>30</v>
      </c>
      <c r="Y53" s="45">
        <v>30</v>
      </c>
      <c r="Z53" s="45">
        <v>30</v>
      </c>
      <c r="AA53" s="45">
        <v>26.4</v>
      </c>
      <c r="AB53" s="45">
        <v>26.4</v>
      </c>
      <c r="AC53" s="45">
        <v>13</v>
      </c>
      <c r="AD53" s="45">
        <v>0</v>
      </c>
      <c r="AE53" s="45">
        <v>0</v>
      </c>
      <c r="AF53" s="45">
        <v>0</v>
      </c>
      <c r="AG53" s="55">
        <v>30</v>
      </c>
      <c r="AH53" s="48">
        <f t="shared" si="2"/>
        <v>30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8</v>
      </c>
      <c r="T54" s="65">
        <v>8</v>
      </c>
      <c r="U54" s="65">
        <v>8</v>
      </c>
      <c r="V54" s="65">
        <v>0</v>
      </c>
      <c r="W54" s="6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25</v>
      </c>
      <c r="AH54" s="48">
        <f t="shared" si="2"/>
        <v>8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17.2</v>
      </c>
      <c r="S55" s="65">
        <v>17.2</v>
      </c>
      <c r="T55" s="65">
        <v>17.2</v>
      </c>
      <c r="U55" s="65">
        <v>17.2</v>
      </c>
      <c r="V55" s="65">
        <v>17.2</v>
      </c>
      <c r="W55" s="65">
        <v>17.2</v>
      </c>
      <c r="X55" s="65">
        <v>17.2</v>
      </c>
      <c r="Y55" s="65">
        <v>17.2</v>
      </c>
      <c r="Z55" s="65">
        <v>17.2</v>
      </c>
      <c r="AA55" s="65">
        <v>17.2</v>
      </c>
      <c r="AB55" s="65">
        <v>17.2</v>
      </c>
      <c r="AC55" s="65">
        <v>17.2</v>
      </c>
      <c r="AD55" s="65">
        <v>17.2</v>
      </c>
      <c r="AE55" s="65">
        <v>17.2</v>
      </c>
      <c r="AF55" s="65">
        <v>17.2</v>
      </c>
      <c r="AG55" s="55">
        <v>24</v>
      </c>
      <c r="AH55" s="48">
        <f t="shared" si="2"/>
        <v>17.2</v>
      </c>
      <c r="AI55" s="49">
        <f t="shared" si="3"/>
        <v>17.100000000000001</v>
      </c>
      <c r="AK55" s="50"/>
    </row>
    <row r="56" spans="1:41" x14ac:dyDescent="0.25">
      <c r="A56" s="54" t="s">
        <v>64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13.2</v>
      </c>
      <c r="C57" s="65">
        <v>13.2</v>
      </c>
      <c r="D57" s="65">
        <v>13.2</v>
      </c>
      <c r="E57" s="65">
        <v>13.2</v>
      </c>
      <c r="F57" s="65">
        <v>13.2</v>
      </c>
      <c r="G57" s="65">
        <v>13.2</v>
      </c>
      <c r="H57" s="65">
        <v>13.2</v>
      </c>
      <c r="I57" s="65">
        <v>13.2</v>
      </c>
      <c r="J57" s="65">
        <v>13.2</v>
      </c>
      <c r="K57" s="65">
        <v>13.2</v>
      </c>
      <c r="L57" s="65">
        <v>13.2</v>
      </c>
      <c r="M57" s="65">
        <v>13.2</v>
      </c>
      <c r="N57" s="65">
        <v>13.2</v>
      </c>
      <c r="O57" s="65">
        <v>13.2</v>
      </c>
      <c r="P57" s="65">
        <v>13.2</v>
      </c>
      <c r="Q57" s="65">
        <v>13.8</v>
      </c>
      <c r="R57" s="65">
        <v>13.8</v>
      </c>
      <c r="S57" s="65">
        <v>13.8</v>
      </c>
      <c r="T57" s="65">
        <v>13.8</v>
      </c>
      <c r="U57" s="65">
        <v>13.8</v>
      </c>
      <c r="V57" s="65">
        <v>13.8</v>
      </c>
      <c r="W57" s="65">
        <v>13.8</v>
      </c>
      <c r="X57" s="65">
        <v>13.8</v>
      </c>
      <c r="Y57" s="65">
        <v>13.8</v>
      </c>
      <c r="Z57" s="65">
        <v>13.8</v>
      </c>
      <c r="AA57" s="65">
        <v>13.8</v>
      </c>
      <c r="AB57" s="65">
        <v>13.8</v>
      </c>
      <c r="AC57" s="65">
        <v>13.8</v>
      </c>
      <c r="AD57" s="65">
        <v>13.8</v>
      </c>
      <c r="AE57" s="65">
        <v>13.8</v>
      </c>
      <c r="AF57" s="65">
        <v>13.8</v>
      </c>
      <c r="AG57" s="55">
        <v>14.1</v>
      </c>
      <c r="AH57" s="48">
        <f t="shared" si="2"/>
        <v>13.8</v>
      </c>
      <c r="AI57" s="49">
        <f t="shared" si="3"/>
        <v>13.2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7</v>
      </c>
      <c r="C58" s="65">
        <v>7</v>
      </c>
      <c r="D58" s="65">
        <v>7</v>
      </c>
      <c r="E58" s="65">
        <v>7</v>
      </c>
      <c r="F58" s="65">
        <v>7</v>
      </c>
      <c r="G58" s="65">
        <v>7</v>
      </c>
      <c r="H58" s="65">
        <v>7</v>
      </c>
      <c r="I58" s="65">
        <v>7</v>
      </c>
      <c r="J58" s="65">
        <v>7</v>
      </c>
      <c r="K58" s="65">
        <v>7</v>
      </c>
      <c r="L58" s="65">
        <v>7</v>
      </c>
      <c r="M58" s="65">
        <v>7</v>
      </c>
      <c r="N58" s="65">
        <v>7</v>
      </c>
      <c r="O58" s="65">
        <v>7</v>
      </c>
      <c r="P58" s="65">
        <v>7</v>
      </c>
      <c r="Q58" s="65">
        <v>7</v>
      </c>
      <c r="R58" s="65">
        <v>7.1</v>
      </c>
      <c r="S58" s="65">
        <v>7.1</v>
      </c>
      <c r="T58" s="65">
        <v>7.1</v>
      </c>
      <c r="U58" s="65">
        <v>7.1</v>
      </c>
      <c r="V58" s="65">
        <v>7.1</v>
      </c>
      <c r="W58" s="65">
        <v>7.1</v>
      </c>
      <c r="X58" s="65">
        <v>7.1</v>
      </c>
      <c r="Y58" s="65">
        <v>7.1</v>
      </c>
      <c r="Z58" s="65">
        <v>7.1</v>
      </c>
      <c r="AA58" s="65">
        <v>7.1</v>
      </c>
      <c r="AB58" s="65">
        <v>7.1</v>
      </c>
      <c r="AC58" s="65">
        <v>7.1</v>
      </c>
      <c r="AD58" s="65">
        <v>7.1</v>
      </c>
      <c r="AE58" s="65">
        <v>7.1</v>
      </c>
      <c r="AF58" s="65">
        <v>7.1</v>
      </c>
      <c r="AG58" s="55">
        <v>14</v>
      </c>
      <c r="AH58" s="48">
        <f t="shared" si="2"/>
        <v>7.1</v>
      </c>
      <c r="AI58" s="49">
        <f t="shared" si="3"/>
        <v>7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>
        <v>3.6</v>
      </c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F62" si="9">SUM(B49:B61)</f>
        <v>197.63999999999996</v>
      </c>
      <c r="C62" s="61">
        <f t="shared" si="9"/>
        <v>171.73999999999998</v>
      </c>
      <c r="D62" s="61">
        <f t="shared" si="9"/>
        <v>146.63999999999999</v>
      </c>
      <c r="E62" s="61">
        <f t="shared" si="9"/>
        <v>182.33999999999997</v>
      </c>
      <c r="F62" s="61">
        <f t="shared" si="9"/>
        <v>173.53999999999996</v>
      </c>
      <c r="G62" s="61">
        <f t="shared" si="9"/>
        <v>219.93999999999997</v>
      </c>
      <c r="H62" s="61">
        <f t="shared" si="9"/>
        <v>257.53999999999996</v>
      </c>
      <c r="I62" s="61">
        <f t="shared" si="9"/>
        <v>332.04000000000008</v>
      </c>
      <c r="J62" s="61">
        <f t="shared" si="9"/>
        <v>419.58000000000004</v>
      </c>
      <c r="K62" s="61">
        <f t="shared" si="9"/>
        <v>421.44000000000005</v>
      </c>
      <c r="L62" s="61">
        <f t="shared" si="9"/>
        <v>421.44000000000005</v>
      </c>
      <c r="M62" s="61">
        <f t="shared" si="9"/>
        <v>423.84000000000003</v>
      </c>
      <c r="N62" s="61">
        <f t="shared" si="9"/>
        <v>417.14000000000004</v>
      </c>
      <c r="O62" s="61">
        <f t="shared" si="9"/>
        <v>417.14000000000004</v>
      </c>
      <c r="P62" s="61">
        <f t="shared" si="9"/>
        <v>375.74000000000007</v>
      </c>
      <c r="Q62" s="61">
        <f t="shared" si="9"/>
        <v>342.74000000000007</v>
      </c>
      <c r="R62" s="61">
        <f t="shared" si="9"/>
        <v>323.14000000000004</v>
      </c>
      <c r="S62" s="61">
        <f t="shared" si="9"/>
        <v>310.84000000000009</v>
      </c>
      <c r="T62" s="61">
        <f t="shared" si="9"/>
        <v>338.34000000000009</v>
      </c>
      <c r="U62" s="61">
        <f t="shared" si="9"/>
        <v>355.94000000000005</v>
      </c>
      <c r="V62" s="61">
        <f t="shared" si="9"/>
        <v>387.04000000000008</v>
      </c>
      <c r="W62" s="61">
        <f t="shared" si="9"/>
        <v>422.84000000000003</v>
      </c>
      <c r="X62" s="61">
        <f t="shared" si="9"/>
        <v>422.84000000000003</v>
      </c>
      <c r="Y62" s="61">
        <f t="shared" si="9"/>
        <v>422.84000000000003</v>
      </c>
      <c r="Z62" s="61">
        <f t="shared" si="9"/>
        <v>422.84000000000003</v>
      </c>
      <c r="AA62" s="61">
        <f t="shared" si="9"/>
        <v>397.74</v>
      </c>
      <c r="AB62" s="61">
        <f t="shared" si="9"/>
        <v>331.54</v>
      </c>
      <c r="AC62" s="61">
        <f t="shared" si="9"/>
        <v>324.44000000000005</v>
      </c>
      <c r="AD62" s="61">
        <f t="shared" si="9"/>
        <v>311.44000000000005</v>
      </c>
      <c r="AE62" s="61">
        <f t="shared" si="9"/>
        <v>217.43999999999997</v>
      </c>
      <c r="AF62" s="61">
        <f t="shared" si="9"/>
        <v>128.44</v>
      </c>
      <c r="AG62" s="62">
        <f t="shared" ref="AG62" si="10">SUM(AG49:AG61)</f>
        <v>489.91</v>
      </c>
      <c r="AH62" s="48">
        <f t="shared" si="2"/>
        <v>423.84000000000003</v>
      </c>
      <c r="AI62" s="49">
        <f t="shared" si="3"/>
        <v>128.44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13</v>
      </c>
      <c r="L63" s="45">
        <v>59</v>
      </c>
      <c r="M63" s="45">
        <v>59</v>
      </c>
      <c r="N63" s="45">
        <v>40</v>
      </c>
      <c r="O63" s="45">
        <v>40</v>
      </c>
      <c r="P63" s="45">
        <v>40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34</v>
      </c>
      <c r="W63" s="45">
        <v>50</v>
      </c>
      <c r="X63" s="45">
        <v>56.1</v>
      </c>
      <c r="Y63" s="45">
        <v>56.1</v>
      </c>
      <c r="Z63" s="45">
        <v>40</v>
      </c>
      <c r="AA63" s="45">
        <v>40</v>
      </c>
      <c r="AB63" s="45">
        <v>13</v>
      </c>
      <c r="AC63" s="45">
        <v>0</v>
      </c>
      <c r="AD63" s="45">
        <v>0</v>
      </c>
      <c r="AE63" s="45">
        <v>0</v>
      </c>
      <c r="AF63" s="45">
        <v>0</v>
      </c>
      <c r="AG63" s="52">
        <v>60</v>
      </c>
      <c r="AH63" s="48">
        <f t="shared" si="2"/>
        <v>59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26.2</v>
      </c>
      <c r="M64" s="65">
        <v>26.2</v>
      </c>
      <c r="N64" s="65">
        <v>16.100000000000001</v>
      </c>
      <c r="O64" s="65">
        <v>30</v>
      </c>
      <c r="P64" s="65">
        <v>17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15</v>
      </c>
      <c r="W64" s="65">
        <v>25</v>
      </c>
      <c r="X64" s="65">
        <v>27.3</v>
      </c>
      <c r="Y64" s="65">
        <v>27.3</v>
      </c>
      <c r="Z64" s="65">
        <v>27</v>
      </c>
      <c r="AA64" s="65">
        <v>16</v>
      </c>
      <c r="AB64" s="65">
        <v>6.5</v>
      </c>
      <c r="AC64" s="65">
        <v>0</v>
      </c>
      <c r="AD64" s="65">
        <v>0</v>
      </c>
      <c r="AE64" s="65">
        <v>0</v>
      </c>
      <c r="AF64" s="65">
        <v>0</v>
      </c>
      <c r="AG64" s="55">
        <v>32</v>
      </c>
      <c r="AH64" s="48">
        <f t="shared" si="2"/>
        <v>30</v>
      </c>
      <c r="AI64" s="49">
        <f t="shared" si="3"/>
        <v>0</v>
      </c>
      <c r="AK64" s="50"/>
    </row>
    <row r="65" spans="1:37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9.4</v>
      </c>
      <c r="M65" s="67">
        <v>10</v>
      </c>
      <c r="N65" s="67">
        <v>5.9</v>
      </c>
      <c r="O65" s="67">
        <v>5.9</v>
      </c>
      <c r="P65" s="67">
        <v>6.2</v>
      </c>
      <c r="Q65" s="67">
        <v>0</v>
      </c>
      <c r="R65" s="67">
        <v>0</v>
      </c>
      <c r="S65" s="67">
        <v>0</v>
      </c>
      <c r="T65" s="67">
        <v>0</v>
      </c>
      <c r="U65" s="67">
        <v>0</v>
      </c>
      <c r="V65" s="67">
        <v>6</v>
      </c>
      <c r="W65" s="67">
        <v>7</v>
      </c>
      <c r="X65" s="67">
        <v>9.9</v>
      </c>
      <c r="Y65" s="67">
        <v>9.9</v>
      </c>
      <c r="Z65" s="67">
        <v>9.6999999999999993</v>
      </c>
      <c r="AA65" s="67">
        <v>6</v>
      </c>
      <c r="AB65" s="67">
        <v>2.2999999999999998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8">
        <f t="shared" si="2"/>
        <v>10</v>
      </c>
      <c r="AI65" s="49">
        <f t="shared" si="3"/>
        <v>0</v>
      </c>
      <c r="AK65" s="50"/>
    </row>
    <row r="66" spans="1:37" ht="15.75" thickBot="1" x14ac:dyDescent="0.3">
      <c r="A66" s="74" t="s">
        <v>74</v>
      </c>
      <c r="B66" s="61">
        <f t="shared" ref="B66:AF66" si="11">SUM(B63:B65)</f>
        <v>0</v>
      </c>
      <c r="C66" s="61">
        <f t="shared" si="11"/>
        <v>0</v>
      </c>
      <c r="D66" s="61">
        <f t="shared" si="11"/>
        <v>0</v>
      </c>
      <c r="E66" s="61">
        <f t="shared" si="11"/>
        <v>0</v>
      </c>
      <c r="F66" s="61">
        <f t="shared" si="11"/>
        <v>0</v>
      </c>
      <c r="G66" s="61">
        <f t="shared" si="11"/>
        <v>0</v>
      </c>
      <c r="H66" s="61">
        <f t="shared" si="11"/>
        <v>0</v>
      </c>
      <c r="I66" s="61">
        <f t="shared" si="11"/>
        <v>0</v>
      </c>
      <c r="J66" s="61">
        <f t="shared" si="11"/>
        <v>0</v>
      </c>
      <c r="K66" s="61">
        <f t="shared" si="11"/>
        <v>13</v>
      </c>
      <c r="L66" s="61">
        <f t="shared" si="11"/>
        <v>94.600000000000009</v>
      </c>
      <c r="M66" s="61">
        <f t="shared" si="11"/>
        <v>95.2</v>
      </c>
      <c r="N66" s="61">
        <f t="shared" si="11"/>
        <v>62</v>
      </c>
      <c r="O66" s="61">
        <f t="shared" si="11"/>
        <v>75.900000000000006</v>
      </c>
      <c r="P66" s="61">
        <f t="shared" si="11"/>
        <v>63.2</v>
      </c>
      <c r="Q66" s="61">
        <f t="shared" si="11"/>
        <v>0</v>
      </c>
      <c r="R66" s="61">
        <f t="shared" si="11"/>
        <v>0</v>
      </c>
      <c r="S66" s="61">
        <f t="shared" si="11"/>
        <v>0</v>
      </c>
      <c r="T66" s="61">
        <f t="shared" si="11"/>
        <v>0</v>
      </c>
      <c r="U66" s="61">
        <f t="shared" si="11"/>
        <v>0</v>
      </c>
      <c r="V66" s="61">
        <f t="shared" si="11"/>
        <v>55</v>
      </c>
      <c r="W66" s="61">
        <f t="shared" si="11"/>
        <v>82</v>
      </c>
      <c r="X66" s="61">
        <f t="shared" si="11"/>
        <v>93.300000000000011</v>
      </c>
      <c r="Y66" s="61">
        <f t="shared" si="11"/>
        <v>93.300000000000011</v>
      </c>
      <c r="Z66" s="61">
        <f t="shared" si="11"/>
        <v>76.7</v>
      </c>
      <c r="AA66" s="61">
        <f t="shared" si="11"/>
        <v>62</v>
      </c>
      <c r="AB66" s="61">
        <f t="shared" si="11"/>
        <v>21.8</v>
      </c>
      <c r="AC66" s="61">
        <f t="shared" si="11"/>
        <v>0</v>
      </c>
      <c r="AD66" s="61">
        <f t="shared" si="11"/>
        <v>0</v>
      </c>
      <c r="AE66" s="61">
        <f t="shared" si="11"/>
        <v>0</v>
      </c>
      <c r="AF66" s="61">
        <f t="shared" si="11"/>
        <v>0</v>
      </c>
      <c r="AG66" s="62">
        <f t="shared" ref="AG66" si="12">SUM(AG63:AG65)</f>
        <v>106</v>
      </c>
      <c r="AH66" s="48">
        <f t="shared" si="2"/>
        <v>95.2</v>
      </c>
      <c r="AI66" s="49">
        <f t="shared" si="3"/>
        <v>0</v>
      </c>
      <c r="AK66" s="50"/>
    </row>
    <row r="67" spans="1:37" x14ac:dyDescent="0.25">
      <c r="A67" s="44" t="s">
        <v>75</v>
      </c>
      <c r="B67" s="45">
        <v>53.5</v>
      </c>
      <c r="C67" s="45">
        <v>58.7</v>
      </c>
      <c r="D67" s="45">
        <v>66</v>
      </c>
      <c r="E67" s="45">
        <v>69</v>
      </c>
      <c r="F67" s="45">
        <v>65</v>
      </c>
      <c r="G67" s="45">
        <v>63</v>
      </c>
      <c r="H67" s="45">
        <v>65</v>
      </c>
      <c r="I67" s="45">
        <v>69.5</v>
      </c>
      <c r="J67" s="45">
        <v>61</v>
      </c>
      <c r="K67" s="45">
        <v>70.900000000000006</v>
      </c>
      <c r="L67" s="45">
        <v>47</v>
      </c>
      <c r="M67" s="45">
        <v>44</v>
      </c>
      <c r="N67" s="45">
        <v>49.4</v>
      </c>
      <c r="O67" s="45">
        <v>50.9</v>
      </c>
      <c r="P67" s="45">
        <v>74</v>
      </c>
      <c r="Q67" s="45">
        <v>69</v>
      </c>
      <c r="R67" s="45">
        <v>68</v>
      </c>
      <c r="S67" s="45">
        <v>68</v>
      </c>
      <c r="T67" s="45">
        <v>63.7</v>
      </c>
      <c r="U67" s="45">
        <v>64.099999999999994</v>
      </c>
      <c r="V67" s="45">
        <v>64.099999999999994</v>
      </c>
      <c r="W67" s="45">
        <v>60.6</v>
      </c>
      <c r="X67" s="45">
        <v>46</v>
      </c>
      <c r="Y67" s="45">
        <v>44.2</v>
      </c>
      <c r="Z67" s="45">
        <v>33.200000000000003</v>
      </c>
      <c r="AA67" s="45">
        <v>52.1</v>
      </c>
      <c r="AB67" s="45">
        <v>37</v>
      </c>
      <c r="AC67" s="45">
        <v>53</v>
      </c>
      <c r="AD67" s="45">
        <v>54</v>
      </c>
      <c r="AE67" s="45">
        <v>60</v>
      </c>
      <c r="AF67" s="45">
        <v>52</v>
      </c>
      <c r="AG67" s="52"/>
      <c r="AH67" s="48">
        <f t="shared" si="2"/>
        <v>74</v>
      </c>
      <c r="AI67" s="49">
        <f t="shared" si="3"/>
        <v>33.200000000000003</v>
      </c>
      <c r="AK67" s="50"/>
    </row>
    <row r="68" spans="1:37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65">
        <v>112.4</v>
      </c>
      <c r="C69" s="65">
        <v>110</v>
      </c>
      <c r="D69" s="65">
        <v>90</v>
      </c>
      <c r="E69" s="65">
        <v>105</v>
      </c>
      <c r="F69" s="65">
        <v>110</v>
      </c>
      <c r="G69" s="65">
        <v>114</v>
      </c>
      <c r="H69" s="65">
        <v>122</v>
      </c>
      <c r="I69" s="65">
        <v>110.5</v>
      </c>
      <c r="J69" s="65">
        <v>44</v>
      </c>
      <c r="K69" s="65">
        <v>54</v>
      </c>
      <c r="L69" s="65">
        <v>0</v>
      </c>
      <c r="M69" s="65">
        <v>2.2000000000000002</v>
      </c>
      <c r="N69" s="65">
        <v>0</v>
      </c>
      <c r="O69" s="65">
        <v>180</v>
      </c>
      <c r="P69" s="65">
        <v>215</v>
      </c>
      <c r="Q69" s="65">
        <v>225</v>
      </c>
      <c r="R69" s="65">
        <v>236</v>
      </c>
      <c r="S69" s="65">
        <v>238</v>
      </c>
      <c r="T69" s="65">
        <v>235.6</v>
      </c>
      <c r="U69" s="65">
        <v>240</v>
      </c>
      <c r="V69" s="65">
        <v>225</v>
      </c>
      <c r="W69" s="65">
        <v>92.3</v>
      </c>
      <c r="X69" s="65">
        <v>-2</v>
      </c>
      <c r="Y69" s="65">
        <v>0</v>
      </c>
      <c r="Z69" s="65">
        <v>0</v>
      </c>
      <c r="AA69" s="65">
        <v>0</v>
      </c>
      <c r="AB69" s="65">
        <v>72</v>
      </c>
      <c r="AC69" s="65">
        <v>96.6</v>
      </c>
      <c r="AD69" s="65">
        <v>105</v>
      </c>
      <c r="AE69" s="65">
        <v>150</v>
      </c>
      <c r="AF69" s="65">
        <v>190</v>
      </c>
      <c r="AG69" s="75"/>
      <c r="AH69" s="48">
        <f t="shared" si="2"/>
        <v>240</v>
      </c>
      <c r="AI69" s="49">
        <f t="shared" si="3"/>
        <v>-2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65">
        <v>0</v>
      </c>
      <c r="O70" s="65">
        <v>0</v>
      </c>
      <c r="P70" s="65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65">
        <v>0</v>
      </c>
      <c r="O71" s="65">
        <v>0</v>
      </c>
      <c r="P71" s="65">
        <v>0</v>
      </c>
      <c r="Q71" s="76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65">
        <v>0</v>
      </c>
      <c r="O72" s="65">
        <v>0</v>
      </c>
      <c r="P72" s="65">
        <v>0</v>
      </c>
      <c r="Q72" s="76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65">
        <v>0</v>
      </c>
      <c r="O73" s="65">
        <v>0</v>
      </c>
      <c r="P73" s="65">
        <v>0</v>
      </c>
      <c r="Q73" s="76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65">
        <v>0</v>
      </c>
      <c r="O74" s="65">
        <v>0</v>
      </c>
      <c r="P74" s="65">
        <v>0</v>
      </c>
      <c r="Q74" s="76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65">
        <v>0</v>
      </c>
      <c r="O75" s="65">
        <v>0</v>
      </c>
      <c r="P75" s="65">
        <v>0</v>
      </c>
      <c r="Q75" s="76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13">MAX(B75:AF75)</f>
        <v>0</v>
      </c>
      <c r="AI75" s="49">
        <f t="shared" ref="AI75:AI113" si="14">MIN(B75:AF75)</f>
        <v>0</v>
      </c>
      <c r="AK75" s="50"/>
    </row>
    <row r="76" spans="1:37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65">
        <v>0</v>
      </c>
      <c r="O76" s="65">
        <v>0</v>
      </c>
      <c r="P76" s="65">
        <v>0</v>
      </c>
      <c r="Q76" s="76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13"/>
        <v>0</v>
      </c>
      <c r="AI76" s="49">
        <f t="shared" si="14"/>
        <v>0</v>
      </c>
      <c r="AK76" s="50"/>
    </row>
    <row r="77" spans="1:37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65">
        <v>0</v>
      </c>
      <c r="O77" s="65">
        <v>0</v>
      </c>
      <c r="P77" s="65">
        <v>0</v>
      </c>
      <c r="Q77" s="76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13"/>
        <v>0</v>
      </c>
      <c r="AI77" s="49">
        <f t="shared" si="14"/>
        <v>0</v>
      </c>
      <c r="AK77" s="50"/>
    </row>
    <row r="78" spans="1:37" ht="15.75" thickBot="1" x14ac:dyDescent="0.3">
      <c r="A78" s="74" t="s">
        <v>86</v>
      </c>
      <c r="B78" s="61">
        <f t="shared" ref="B78:P78" si="15">SUMIF(B67:B77,"&gt;0")</f>
        <v>165.9</v>
      </c>
      <c r="C78" s="61">
        <f t="shared" si="15"/>
        <v>168.7</v>
      </c>
      <c r="D78" s="61">
        <f t="shared" si="15"/>
        <v>156</v>
      </c>
      <c r="E78" s="61">
        <f t="shared" si="15"/>
        <v>174</v>
      </c>
      <c r="F78" s="61">
        <f t="shared" si="15"/>
        <v>175</v>
      </c>
      <c r="G78" s="61">
        <f t="shared" si="15"/>
        <v>177</v>
      </c>
      <c r="H78" s="61">
        <f t="shared" si="15"/>
        <v>187</v>
      </c>
      <c r="I78" s="61">
        <f t="shared" si="15"/>
        <v>180</v>
      </c>
      <c r="J78" s="61">
        <f t="shared" si="15"/>
        <v>105</v>
      </c>
      <c r="K78" s="61">
        <f t="shared" si="15"/>
        <v>124.9</v>
      </c>
      <c r="L78" s="61">
        <f t="shared" si="15"/>
        <v>47</v>
      </c>
      <c r="M78" s="61">
        <f t="shared" si="15"/>
        <v>46.2</v>
      </c>
      <c r="N78" s="61">
        <f t="shared" si="15"/>
        <v>49.4</v>
      </c>
      <c r="O78" s="61">
        <f t="shared" si="15"/>
        <v>230.9</v>
      </c>
      <c r="P78" s="61">
        <f t="shared" si="15"/>
        <v>289</v>
      </c>
      <c r="Q78" s="61">
        <f>SUMIF(Q67:Q77,"&gt;0")</f>
        <v>294</v>
      </c>
      <c r="R78" s="61">
        <f>SUMIF(R67:R77,"&gt;0")</f>
        <v>304</v>
      </c>
      <c r="S78" s="61">
        <f t="shared" ref="S78:U78" si="16">SUMIF(S67:S77,"&gt;0")</f>
        <v>306</v>
      </c>
      <c r="T78" s="61">
        <f t="shared" si="16"/>
        <v>299.3</v>
      </c>
      <c r="U78" s="61">
        <f t="shared" si="16"/>
        <v>304.10000000000002</v>
      </c>
      <c r="V78" s="61">
        <f t="shared" ref="V78" si="17">SUMIF(V67:V77,"&gt;0")</f>
        <v>289.10000000000002</v>
      </c>
      <c r="W78" s="61">
        <f t="shared" ref="W78" si="18">SUMIF(W67:W77,"&gt;0")</f>
        <v>152.9</v>
      </c>
      <c r="X78" s="61">
        <f t="shared" ref="X78" si="19">SUMIF(X67:X77,"&gt;0")</f>
        <v>46</v>
      </c>
      <c r="Y78" s="61">
        <f t="shared" ref="Y78" si="20">SUMIF(Y67:Y77,"&gt;0")</f>
        <v>44.2</v>
      </c>
      <c r="Z78" s="61">
        <f t="shared" ref="Z78" si="21">SUMIF(Z67:Z77,"&gt;0")</f>
        <v>33.200000000000003</v>
      </c>
      <c r="AA78" s="61">
        <f t="shared" ref="AA78" si="22">SUMIF(AA67:AA77,"&gt;0")</f>
        <v>52.1</v>
      </c>
      <c r="AB78" s="61">
        <f t="shared" ref="AB78" si="23">SUMIF(AB67:AB77,"&gt;0")</f>
        <v>109</v>
      </c>
      <c r="AC78" s="61">
        <f t="shared" ref="AC78" si="24">SUMIF(AC67:AC77,"&gt;0")</f>
        <v>149.6</v>
      </c>
      <c r="AD78" s="61">
        <f t="shared" ref="AD78" si="25">SUMIF(AD67:AD77,"&gt;0")</f>
        <v>159</v>
      </c>
      <c r="AE78" s="61">
        <f t="shared" ref="AE78" si="26">SUMIF(AE67:AE77,"&gt;0")</f>
        <v>210</v>
      </c>
      <c r="AF78" s="61">
        <f t="shared" ref="AF78" si="27">SUMIF(AF67:AF77,"&gt;0")</f>
        <v>242</v>
      </c>
      <c r="AG78" s="81">
        <f>SUM(AG67:AG77)</f>
        <v>0</v>
      </c>
      <c r="AH78" s="48">
        <f t="shared" si="13"/>
        <v>306</v>
      </c>
      <c r="AI78" s="49">
        <f t="shared" si="14"/>
        <v>33.200000000000003</v>
      </c>
      <c r="AK78" s="50"/>
    </row>
    <row r="79" spans="1:37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82">
        <v>39</v>
      </c>
      <c r="AH79" s="48">
        <f t="shared" si="13"/>
        <v>0</v>
      </c>
      <c r="AI79" s="49">
        <f t="shared" si="14"/>
        <v>0</v>
      </c>
      <c r="AK79" s="50"/>
    </row>
    <row r="80" spans="1:37" x14ac:dyDescent="0.25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5">
        <v>14.4</v>
      </c>
      <c r="AH80" s="48">
        <f t="shared" si="13"/>
        <v>0</v>
      </c>
      <c r="AI80" s="49">
        <f t="shared" si="14"/>
        <v>0</v>
      </c>
      <c r="AK80" s="50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80">
        <v>2</v>
      </c>
      <c r="AH81" s="48">
        <f t="shared" si="13"/>
        <v>0</v>
      </c>
      <c r="AI81" s="49">
        <f t="shared" si="14"/>
        <v>0</v>
      </c>
    </row>
    <row r="82" spans="1:37" ht="15.75" thickBot="1" x14ac:dyDescent="0.3">
      <c r="A82" s="74" t="s">
        <v>90</v>
      </c>
      <c r="B82" s="61">
        <v>0</v>
      </c>
      <c r="C82" s="61">
        <v>0</v>
      </c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13"/>
        <v>0</v>
      </c>
      <c r="AI82" s="49">
        <f t="shared" si="14"/>
        <v>0</v>
      </c>
    </row>
    <row r="83" spans="1:37" ht="15.75" thickBot="1" x14ac:dyDescent="0.3">
      <c r="A83" s="74" t="s">
        <v>91</v>
      </c>
      <c r="B83" s="83">
        <f t="shared" ref="B83:AF83" si="28">B44+B48+B66+B62+B78+B82</f>
        <v>1002.6389999999999</v>
      </c>
      <c r="C83" s="83">
        <f t="shared" si="28"/>
        <v>979.53899999999999</v>
      </c>
      <c r="D83" s="83">
        <f t="shared" si="28"/>
        <v>941.73899999999992</v>
      </c>
      <c r="E83" s="83">
        <f t="shared" si="28"/>
        <v>959.83899999999994</v>
      </c>
      <c r="F83" s="83">
        <f t="shared" si="28"/>
        <v>965.03899999999987</v>
      </c>
      <c r="G83" s="83">
        <f t="shared" si="28"/>
        <v>1036.9389999999999</v>
      </c>
      <c r="H83" s="83">
        <f t="shared" si="28"/>
        <v>1084.5389999999998</v>
      </c>
      <c r="I83" s="83">
        <f t="shared" si="28"/>
        <v>1182.039</v>
      </c>
      <c r="J83" s="83">
        <f t="shared" si="28"/>
        <v>1315.3789999999999</v>
      </c>
      <c r="K83" s="83">
        <f t="shared" si="28"/>
        <v>1475.1390000000001</v>
      </c>
      <c r="L83" s="83">
        <f t="shared" si="28"/>
        <v>1564.8389999999999</v>
      </c>
      <c r="M83" s="83">
        <f t="shared" si="28"/>
        <v>1591.039</v>
      </c>
      <c r="N83" s="83">
        <f t="shared" si="28"/>
        <v>1519.1390000000001</v>
      </c>
      <c r="O83" s="83">
        <f t="shared" si="28"/>
        <v>1444.539</v>
      </c>
      <c r="P83" s="83">
        <f t="shared" si="28"/>
        <v>1398.6390000000001</v>
      </c>
      <c r="Q83" s="83">
        <f t="shared" si="28"/>
        <v>1272.4390000000001</v>
      </c>
      <c r="R83" s="83">
        <f t="shared" si="28"/>
        <v>1258.239</v>
      </c>
      <c r="S83" s="83">
        <f t="shared" si="28"/>
        <v>1248.9390000000001</v>
      </c>
      <c r="T83" s="83">
        <f t="shared" si="28"/>
        <v>1284.739</v>
      </c>
      <c r="U83" s="83">
        <f t="shared" si="28"/>
        <v>1312.239</v>
      </c>
      <c r="V83" s="83">
        <f t="shared" si="28"/>
        <v>1388.3389999999999</v>
      </c>
      <c r="W83" s="83">
        <f t="shared" si="28"/>
        <v>1519.0390000000002</v>
      </c>
      <c r="X83" s="83">
        <f t="shared" si="28"/>
        <v>1565.3389999999999</v>
      </c>
      <c r="Y83" s="83">
        <f t="shared" si="28"/>
        <v>1513.539</v>
      </c>
      <c r="Z83" s="83">
        <f t="shared" si="28"/>
        <v>1515.9390000000001</v>
      </c>
      <c r="AA83" s="83">
        <f t="shared" si="28"/>
        <v>1475.039</v>
      </c>
      <c r="AB83" s="83">
        <f t="shared" si="28"/>
        <v>1406.739</v>
      </c>
      <c r="AC83" s="83">
        <f t="shared" si="28"/>
        <v>1308.4389999999999</v>
      </c>
      <c r="AD83" s="83">
        <f t="shared" si="28"/>
        <v>1264.8389999999999</v>
      </c>
      <c r="AE83" s="83">
        <f t="shared" si="28"/>
        <v>1067.6389999999999</v>
      </c>
      <c r="AF83" s="83">
        <f t="shared" si="28"/>
        <v>1010.6389999999999</v>
      </c>
      <c r="AG83" s="62">
        <f t="shared" ref="AG83" si="29">AG44+AG48+AG66+AG62+AG78+AG82</f>
        <v>2004.1900000000003</v>
      </c>
      <c r="AH83" s="48">
        <f t="shared" si="13"/>
        <v>1591.039</v>
      </c>
      <c r="AI83" s="49">
        <f t="shared" si="14"/>
        <v>941.73899999999992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13"/>
        <v>0</v>
      </c>
      <c r="AI84" s="49">
        <f t="shared" si="14"/>
        <v>0</v>
      </c>
    </row>
    <row r="85" spans="1:37" ht="15.75" thickBot="1" x14ac:dyDescent="0.3">
      <c r="A85" s="74" t="s">
        <v>93</v>
      </c>
      <c r="B85" s="83">
        <f t="shared" ref="B85:O85" si="30">B83+B84</f>
        <v>1002.6389999999999</v>
      </c>
      <c r="C85" s="83">
        <f t="shared" si="30"/>
        <v>979.53899999999999</v>
      </c>
      <c r="D85" s="83">
        <f t="shared" si="30"/>
        <v>941.73899999999992</v>
      </c>
      <c r="E85" s="83">
        <f t="shared" si="30"/>
        <v>959.83899999999994</v>
      </c>
      <c r="F85" s="83">
        <f t="shared" si="30"/>
        <v>965.03899999999987</v>
      </c>
      <c r="G85" s="83">
        <f t="shared" si="30"/>
        <v>1036.9389999999999</v>
      </c>
      <c r="H85" s="83">
        <f t="shared" si="30"/>
        <v>1084.5389999999998</v>
      </c>
      <c r="I85" s="83">
        <f t="shared" si="30"/>
        <v>1182.039</v>
      </c>
      <c r="J85" s="83">
        <f t="shared" si="30"/>
        <v>1315.3789999999999</v>
      </c>
      <c r="K85" s="83">
        <f t="shared" si="30"/>
        <v>1475.1390000000001</v>
      </c>
      <c r="L85" s="83">
        <f t="shared" si="30"/>
        <v>1564.8389999999999</v>
      </c>
      <c r="M85" s="83">
        <f t="shared" si="30"/>
        <v>1591.039</v>
      </c>
      <c r="N85" s="83">
        <f t="shared" si="30"/>
        <v>1519.1390000000001</v>
      </c>
      <c r="O85" s="83">
        <f t="shared" si="30"/>
        <v>1444.539</v>
      </c>
      <c r="P85" s="83">
        <f>P83+P84</f>
        <v>1398.6390000000001</v>
      </c>
      <c r="Q85" s="83">
        <f>Q83+Q84</f>
        <v>1272.4390000000001</v>
      </c>
      <c r="R85" s="83">
        <f>R83+R84</f>
        <v>1258.239</v>
      </c>
      <c r="S85" s="83">
        <f t="shared" ref="S85:T85" si="31">S83+S84</f>
        <v>1248.9390000000001</v>
      </c>
      <c r="T85" s="83">
        <f t="shared" si="31"/>
        <v>1284.739</v>
      </c>
      <c r="U85" s="83">
        <f t="shared" ref="U85" si="32">U83+U84</f>
        <v>1312.239</v>
      </c>
      <c r="V85" s="83">
        <f t="shared" ref="V85" si="33">V83+V84</f>
        <v>1388.3389999999999</v>
      </c>
      <c r="W85" s="83">
        <f t="shared" ref="W85" si="34">W83+W84</f>
        <v>1519.0390000000002</v>
      </c>
      <c r="X85" s="83">
        <f t="shared" ref="X85" si="35">X83+X84</f>
        <v>1565.3389999999999</v>
      </c>
      <c r="Y85" s="83">
        <f t="shared" ref="Y85" si="36">Y83+Y84</f>
        <v>1513.539</v>
      </c>
      <c r="Z85" s="83">
        <f t="shared" ref="Z85" si="37">Z83+Z84</f>
        <v>1515.9390000000001</v>
      </c>
      <c r="AA85" s="83">
        <f t="shared" ref="AA85" si="38">AA83+AA84</f>
        <v>1475.039</v>
      </c>
      <c r="AB85" s="83">
        <f t="shared" ref="AB85" si="39">AB83+AB84</f>
        <v>1406.739</v>
      </c>
      <c r="AC85" s="83">
        <f t="shared" ref="AC85" si="40">AC83+AC84</f>
        <v>1308.4389999999999</v>
      </c>
      <c r="AD85" s="83">
        <f t="shared" ref="AD85" si="41">AD83+AD84</f>
        <v>1264.8389999999999</v>
      </c>
      <c r="AE85" s="83">
        <f t="shared" ref="AE85" si="42">AE83+AE84</f>
        <v>1067.6389999999999</v>
      </c>
      <c r="AF85" s="83">
        <f t="shared" ref="AF85" si="43">AF83+AF84</f>
        <v>1010.6389999999999</v>
      </c>
      <c r="AG85" s="81">
        <f>AG82+AG78+AG66+AG62+AG44+AG84</f>
        <v>1466.0900000000001</v>
      </c>
      <c r="AH85" s="48">
        <f t="shared" si="13"/>
        <v>1591.039</v>
      </c>
      <c r="AI85" s="49">
        <f t="shared" si="14"/>
        <v>941.73899999999992</v>
      </c>
    </row>
    <row r="86" spans="1:37" ht="15.75" thickBot="1" x14ac:dyDescent="0.3">
      <c r="A86" s="74" t="s">
        <v>94</v>
      </c>
      <c r="B86" s="83">
        <f t="shared" ref="B86:T86" si="44">B85-B93</f>
        <v>1002.6389999999999</v>
      </c>
      <c r="C86" s="83">
        <f t="shared" si="44"/>
        <v>979.53899999999999</v>
      </c>
      <c r="D86" s="83">
        <f t="shared" si="44"/>
        <v>941.73899999999992</v>
      </c>
      <c r="E86" s="83">
        <f t="shared" si="44"/>
        <v>959.83899999999994</v>
      </c>
      <c r="F86" s="83">
        <f t="shared" si="44"/>
        <v>965.03899999999987</v>
      </c>
      <c r="G86" s="83">
        <f t="shared" si="44"/>
        <v>1036.9389999999999</v>
      </c>
      <c r="H86" s="83">
        <f t="shared" si="44"/>
        <v>1084.5389999999998</v>
      </c>
      <c r="I86" s="83">
        <f t="shared" si="44"/>
        <v>1182.039</v>
      </c>
      <c r="J86" s="83">
        <f t="shared" si="44"/>
        <v>1315.3789999999999</v>
      </c>
      <c r="K86" s="83">
        <f t="shared" si="44"/>
        <v>1475.1390000000001</v>
      </c>
      <c r="L86" s="83">
        <f t="shared" si="44"/>
        <v>1564.8389999999999</v>
      </c>
      <c r="M86" s="83">
        <f t="shared" si="44"/>
        <v>1591.039</v>
      </c>
      <c r="N86" s="83">
        <f t="shared" si="44"/>
        <v>1519.1390000000001</v>
      </c>
      <c r="O86" s="83">
        <f t="shared" si="44"/>
        <v>1444.539</v>
      </c>
      <c r="P86" s="83">
        <f t="shared" si="44"/>
        <v>1398.6390000000001</v>
      </c>
      <c r="Q86" s="83">
        <f t="shared" si="44"/>
        <v>1272.4390000000001</v>
      </c>
      <c r="R86" s="83">
        <f t="shared" si="44"/>
        <v>1258.239</v>
      </c>
      <c r="S86" s="83">
        <f t="shared" si="44"/>
        <v>1248.9390000000001</v>
      </c>
      <c r="T86" s="83">
        <f t="shared" si="44"/>
        <v>1284.739</v>
      </c>
      <c r="U86" s="83">
        <f t="shared" ref="U86:AA86" si="45">U85-U93</f>
        <v>1312.239</v>
      </c>
      <c r="V86" s="83">
        <f t="shared" si="45"/>
        <v>1388.3389999999999</v>
      </c>
      <c r="W86" s="83">
        <f t="shared" si="45"/>
        <v>1519.0390000000002</v>
      </c>
      <c r="X86" s="83">
        <f t="shared" si="45"/>
        <v>1565.3389999999999</v>
      </c>
      <c r="Y86" s="83">
        <f t="shared" si="45"/>
        <v>1513.539</v>
      </c>
      <c r="Z86" s="83">
        <f t="shared" si="45"/>
        <v>1515.9390000000001</v>
      </c>
      <c r="AA86" s="83">
        <f t="shared" si="45"/>
        <v>1475.039</v>
      </c>
      <c r="AB86" s="83">
        <f t="shared" ref="AB86:AF86" si="46">AB85-AB93</f>
        <v>1406.739</v>
      </c>
      <c r="AC86" s="83">
        <f t="shared" si="46"/>
        <v>1308.4389999999999</v>
      </c>
      <c r="AD86" s="83">
        <f t="shared" si="46"/>
        <v>1264.8389999999999</v>
      </c>
      <c r="AE86" s="83">
        <f t="shared" si="46"/>
        <v>1067.6389999999999</v>
      </c>
      <c r="AF86" s="83">
        <f t="shared" si="46"/>
        <v>1010.6389999999999</v>
      </c>
      <c r="AG86" s="81"/>
      <c r="AH86" s="48">
        <f t="shared" si="13"/>
        <v>1591.039</v>
      </c>
      <c r="AI86" s="49">
        <f t="shared" si="14"/>
        <v>941.73899999999992</v>
      </c>
    </row>
    <row r="87" spans="1:37" x14ac:dyDescent="0.25">
      <c r="A87" s="44" t="s">
        <v>78</v>
      </c>
      <c r="B87" s="76">
        <f t="shared" ref="B87:I87" si="47">IF(B70&lt;0,B70*-1,0)</f>
        <v>0</v>
      </c>
      <c r="C87" s="76">
        <f t="shared" si="47"/>
        <v>0</v>
      </c>
      <c r="D87" s="76">
        <f t="shared" si="47"/>
        <v>0</v>
      </c>
      <c r="E87" s="76">
        <f t="shared" si="47"/>
        <v>0</v>
      </c>
      <c r="F87" s="76">
        <f t="shared" si="47"/>
        <v>0</v>
      </c>
      <c r="G87" s="76">
        <f t="shared" si="47"/>
        <v>0</v>
      </c>
      <c r="H87" s="76">
        <f t="shared" si="47"/>
        <v>0</v>
      </c>
      <c r="I87" s="76">
        <f t="shared" si="47"/>
        <v>0</v>
      </c>
      <c r="J87" s="76">
        <f t="shared" ref="J87:K87" si="48">IF(J70&lt;0,J70*-1,0)</f>
        <v>0</v>
      </c>
      <c r="K87" s="76">
        <f t="shared" si="48"/>
        <v>0</v>
      </c>
      <c r="L87" s="76">
        <f t="shared" ref="L87:Q87" si="49">IF(L70&lt;0,L70*-1,0)</f>
        <v>0</v>
      </c>
      <c r="M87" s="76">
        <f t="shared" si="49"/>
        <v>0</v>
      </c>
      <c r="N87" s="76">
        <f t="shared" si="49"/>
        <v>0</v>
      </c>
      <c r="O87" s="76">
        <f t="shared" si="49"/>
        <v>0</v>
      </c>
      <c r="P87" s="76">
        <f t="shared" si="49"/>
        <v>0</v>
      </c>
      <c r="Q87" s="76">
        <f t="shared" si="49"/>
        <v>0</v>
      </c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52"/>
      <c r="AH87" s="48">
        <f t="shared" si="13"/>
        <v>0</v>
      </c>
      <c r="AI87" s="49">
        <f t="shared" si="14"/>
        <v>0</v>
      </c>
    </row>
    <row r="88" spans="1:37" x14ac:dyDescent="0.25">
      <c r="A88" s="54" t="s">
        <v>76</v>
      </c>
      <c r="B88" s="76">
        <f t="shared" ref="B88:I88" si="50">IF(B68&lt;0,B68*-1,0)</f>
        <v>0</v>
      </c>
      <c r="C88" s="76">
        <f t="shared" si="50"/>
        <v>0</v>
      </c>
      <c r="D88" s="76">
        <f t="shared" si="50"/>
        <v>0</v>
      </c>
      <c r="E88" s="76">
        <f t="shared" si="50"/>
        <v>0</v>
      </c>
      <c r="F88" s="76">
        <f t="shared" si="50"/>
        <v>0</v>
      </c>
      <c r="G88" s="76">
        <f t="shared" si="50"/>
        <v>0</v>
      </c>
      <c r="H88" s="76">
        <f t="shared" si="50"/>
        <v>0</v>
      </c>
      <c r="I88" s="76">
        <f t="shared" si="50"/>
        <v>0</v>
      </c>
      <c r="J88" s="76">
        <f t="shared" ref="J88:K88" si="51">IF(J68&lt;0,J68*-1,0)</f>
        <v>0</v>
      </c>
      <c r="K88" s="76">
        <f t="shared" si="51"/>
        <v>0</v>
      </c>
      <c r="L88" s="76">
        <f t="shared" ref="L88:Q88" si="52">IF(L68&lt;0,L68*-1,0)</f>
        <v>0</v>
      </c>
      <c r="M88" s="76">
        <f t="shared" si="52"/>
        <v>0</v>
      </c>
      <c r="N88" s="76">
        <f t="shared" si="52"/>
        <v>0</v>
      </c>
      <c r="O88" s="76">
        <f t="shared" si="52"/>
        <v>0</v>
      </c>
      <c r="P88" s="76">
        <f t="shared" si="52"/>
        <v>0</v>
      </c>
      <c r="Q88" s="76">
        <f t="shared" si="52"/>
        <v>0</v>
      </c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55"/>
      <c r="AH88" s="48">
        <f t="shared" si="13"/>
        <v>0</v>
      </c>
      <c r="AI88" s="49">
        <f t="shared" si="14"/>
        <v>0</v>
      </c>
    </row>
    <row r="89" spans="1:37" x14ac:dyDescent="0.25">
      <c r="A89" s="78" t="s">
        <v>95</v>
      </c>
      <c r="B89" s="76">
        <f t="shared" ref="B89:I89" si="53">IF(B71&lt;0,B71*-1,0)</f>
        <v>0</v>
      </c>
      <c r="C89" s="76">
        <f t="shared" si="53"/>
        <v>0</v>
      </c>
      <c r="D89" s="76">
        <f t="shared" si="53"/>
        <v>0</v>
      </c>
      <c r="E89" s="76">
        <f t="shared" si="53"/>
        <v>0</v>
      </c>
      <c r="F89" s="76">
        <f t="shared" si="53"/>
        <v>0</v>
      </c>
      <c r="G89" s="76">
        <f t="shared" si="53"/>
        <v>0</v>
      </c>
      <c r="H89" s="76">
        <f t="shared" si="53"/>
        <v>0</v>
      </c>
      <c r="I89" s="76">
        <f t="shared" si="53"/>
        <v>0</v>
      </c>
      <c r="J89" s="76">
        <f t="shared" ref="J89:K89" si="54">IF(J71&lt;0,J71*-1,0)</f>
        <v>0</v>
      </c>
      <c r="K89" s="76">
        <f t="shared" si="54"/>
        <v>0</v>
      </c>
      <c r="L89" s="76">
        <f t="shared" ref="L89:Q89" si="55">IF(L71&lt;0,L71*-1,0)</f>
        <v>0</v>
      </c>
      <c r="M89" s="76">
        <f t="shared" si="55"/>
        <v>0</v>
      </c>
      <c r="N89" s="76">
        <f t="shared" si="55"/>
        <v>0</v>
      </c>
      <c r="O89" s="76">
        <f t="shared" si="55"/>
        <v>0</v>
      </c>
      <c r="P89" s="76">
        <f t="shared" si="55"/>
        <v>0</v>
      </c>
      <c r="Q89" s="76">
        <f t="shared" si="55"/>
        <v>0</v>
      </c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86"/>
      <c r="AH89" s="48">
        <f t="shared" si="13"/>
        <v>0</v>
      </c>
      <c r="AI89" s="49">
        <f t="shared" si="14"/>
        <v>0</v>
      </c>
    </row>
    <row r="90" spans="1:37" x14ac:dyDescent="0.25">
      <c r="A90" s="78" t="s">
        <v>96</v>
      </c>
      <c r="B90" s="76">
        <f t="shared" ref="B90:I90" si="56">IF(B69&lt;0,B69*-1,0)</f>
        <v>0</v>
      </c>
      <c r="C90" s="76">
        <f t="shared" si="56"/>
        <v>0</v>
      </c>
      <c r="D90" s="76">
        <f t="shared" si="56"/>
        <v>0</v>
      </c>
      <c r="E90" s="76">
        <f t="shared" si="56"/>
        <v>0</v>
      </c>
      <c r="F90" s="76">
        <f t="shared" si="56"/>
        <v>0</v>
      </c>
      <c r="G90" s="76">
        <f t="shared" si="56"/>
        <v>0</v>
      </c>
      <c r="H90" s="76">
        <f t="shared" si="56"/>
        <v>0</v>
      </c>
      <c r="I90" s="76">
        <f t="shared" si="56"/>
        <v>0</v>
      </c>
      <c r="J90" s="76">
        <f t="shared" ref="J90:K90" si="57">IF(J69&lt;0,J69*-1,0)</f>
        <v>0</v>
      </c>
      <c r="K90" s="76">
        <f t="shared" si="57"/>
        <v>0</v>
      </c>
      <c r="L90" s="76">
        <f t="shared" ref="L90:Q90" si="58">IF(L69&lt;0,L69*-1,0)</f>
        <v>0</v>
      </c>
      <c r="M90" s="76">
        <f t="shared" si="58"/>
        <v>0</v>
      </c>
      <c r="N90" s="76">
        <f t="shared" si="58"/>
        <v>0</v>
      </c>
      <c r="O90" s="76">
        <f t="shared" si="58"/>
        <v>0</v>
      </c>
      <c r="P90" s="76">
        <f t="shared" si="58"/>
        <v>0</v>
      </c>
      <c r="Q90" s="76">
        <f t="shared" si="58"/>
        <v>0</v>
      </c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86"/>
      <c r="AH90" s="48">
        <f t="shared" si="13"/>
        <v>0</v>
      </c>
      <c r="AI90" s="49">
        <f t="shared" si="14"/>
        <v>0</v>
      </c>
    </row>
    <row r="91" spans="1:37" x14ac:dyDescent="0.25">
      <c r="A91" s="78" t="s">
        <v>75</v>
      </c>
      <c r="B91" s="76">
        <f t="shared" ref="B91:I91" si="59">IF(B67&lt;0,B67*-1,0)</f>
        <v>0</v>
      </c>
      <c r="C91" s="76">
        <f t="shared" si="59"/>
        <v>0</v>
      </c>
      <c r="D91" s="76">
        <f t="shared" si="59"/>
        <v>0</v>
      </c>
      <c r="E91" s="76">
        <f t="shared" si="59"/>
        <v>0</v>
      </c>
      <c r="F91" s="76">
        <f t="shared" si="59"/>
        <v>0</v>
      </c>
      <c r="G91" s="76">
        <f t="shared" si="59"/>
        <v>0</v>
      </c>
      <c r="H91" s="76">
        <f t="shared" si="59"/>
        <v>0</v>
      </c>
      <c r="I91" s="76">
        <f t="shared" si="59"/>
        <v>0</v>
      </c>
      <c r="J91" s="76">
        <f t="shared" ref="J91:K91" si="60">IF(J67&lt;0,J67*-1,0)</f>
        <v>0</v>
      </c>
      <c r="K91" s="76">
        <f t="shared" si="60"/>
        <v>0</v>
      </c>
      <c r="L91" s="76">
        <f t="shared" ref="L91:Q91" si="61">IF(L67&lt;0,L67*-1,0)</f>
        <v>0</v>
      </c>
      <c r="M91" s="76">
        <f t="shared" si="61"/>
        <v>0</v>
      </c>
      <c r="N91" s="76">
        <f t="shared" si="61"/>
        <v>0</v>
      </c>
      <c r="O91" s="76">
        <f t="shared" si="61"/>
        <v>0</v>
      </c>
      <c r="P91" s="76">
        <f t="shared" si="61"/>
        <v>0</v>
      </c>
      <c r="Q91" s="76">
        <f t="shared" si="61"/>
        <v>0</v>
      </c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86"/>
      <c r="AH91" s="48">
        <f t="shared" si="13"/>
        <v>0</v>
      </c>
      <c r="AI91" s="49">
        <f t="shared" si="14"/>
        <v>0</v>
      </c>
    </row>
    <row r="92" spans="1:37" ht="15.75" thickBot="1" x14ac:dyDescent="0.3">
      <c r="A92" s="78" t="s">
        <v>97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80"/>
      <c r="AH92" s="48">
        <f t="shared" si="13"/>
        <v>0</v>
      </c>
      <c r="AI92" s="49">
        <f t="shared" si="14"/>
        <v>0</v>
      </c>
    </row>
    <row r="93" spans="1:37" ht="15.75" thickBot="1" x14ac:dyDescent="0.3">
      <c r="A93" s="87" t="s">
        <v>98</v>
      </c>
      <c r="B93" s="61">
        <f t="shared" ref="B93" si="62">SUM(B87:B92)</f>
        <v>0</v>
      </c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81"/>
      <c r="AH93" s="48">
        <f t="shared" si="13"/>
        <v>0</v>
      </c>
      <c r="AI93" s="49">
        <f t="shared" si="14"/>
        <v>0</v>
      </c>
      <c r="AK93" s="50"/>
    </row>
    <row r="94" spans="1:37" ht="15.75" thickBot="1" x14ac:dyDescent="0.3">
      <c r="A94" s="74" t="s">
        <v>99</v>
      </c>
      <c r="B94" s="61">
        <f t="shared" ref="B94:S94" si="63">B78-B93</f>
        <v>165.9</v>
      </c>
      <c r="C94" s="61">
        <f t="shared" si="63"/>
        <v>168.7</v>
      </c>
      <c r="D94" s="61">
        <f t="shared" si="63"/>
        <v>156</v>
      </c>
      <c r="E94" s="61">
        <f t="shared" si="63"/>
        <v>174</v>
      </c>
      <c r="F94" s="61">
        <f t="shared" si="63"/>
        <v>175</v>
      </c>
      <c r="G94" s="61">
        <f t="shared" si="63"/>
        <v>177</v>
      </c>
      <c r="H94" s="61">
        <f t="shared" si="63"/>
        <v>187</v>
      </c>
      <c r="I94" s="61">
        <f t="shared" si="63"/>
        <v>180</v>
      </c>
      <c r="J94" s="61">
        <f t="shared" si="63"/>
        <v>105</v>
      </c>
      <c r="K94" s="61">
        <f t="shared" si="63"/>
        <v>124.9</v>
      </c>
      <c r="L94" s="61">
        <f t="shared" si="63"/>
        <v>47</v>
      </c>
      <c r="M94" s="61">
        <f t="shared" si="63"/>
        <v>46.2</v>
      </c>
      <c r="N94" s="61">
        <f t="shared" si="63"/>
        <v>49.4</v>
      </c>
      <c r="O94" s="61">
        <f t="shared" si="63"/>
        <v>230.9</v>
      </c>
      <c r="P94" s="61">
        <f t="shared" si="63"/>
        <v>289</v>
      </c>
      <c r="Q94" s="61">
        <f t="shared" si="63"/>
        <v>294</v>
      </c>
      <c r="R94" s="61">
        <f t="shared" si="63"/>
        <v>304</v>
      </c>
      <c r="S94" s="61">
        <f t="shared" si="63"/>
        <v>306</v>
      </c>
      <c r="T94" s="61">
        <f>T78-T93</f>
        <v>299.3</v>
      </c>
      <c r="U94" s="61">
        <f t="shared" ref="U94:AA94" si="64">U78-U93</f>
        <v>304.10000000000002</v>
      </c>
      <c r="V94" s="61">
        <f t="shared" si="64"/>
        <v>289.10000000000002</v>
      </c>
      <c r="W94" s="61">
        <f t="shared" si="64"/>
        <v>152.9</v>
      </c>
      <c r="X94" s="61">
        <f t="shared" si="64"/>
        <v>46</v>
      </c>
      <c r="Y94" s="61">
        <f t="shared" si="64"/>
        <v>44.2</v>
      </c>
      <c r="Z94" s="61">
        <f t="shared" si="64"/>
        <v>33.200000000000003</v>
      </c>
      <c r="AA94" s="61">
        <f t="shared" si="64"/>
        <v>52.1</v>
      </c>
      <c r="AB94" s="61">
        <f t="shared" ref="AB94" si="65">AB78-AB93</f>
        <v>109</v>
      </c>
      <c r="AC94" s="61">
        <f t="shared" ref="AC94" si="66">AC78-AC93</f>
        <v>149.6</v>
      </c>
      <c r="AD94" s="61">
        <f t="shared" ref="AD94" si="67">AD78-AD93</f>
        <v>159</v>
      </c>
      <c r="AE94" s="61">
        <f t="shared" ref="AE94" si="68">AE78-AE93</f>
        <v>210</v>
      </c>
      <c r="AF94" s="61">
        <f t="shared" ref="AF94" si="69">AF78-AF93</f>
        <v>242</v>
      </c>
      <c r="AG94" s="81"/>
      <c r="AH94" s="48">
        <f t="shared" si="13"/>
        <v>306</v>
      </c>
      <c r="AI94" s="49">
        <f t="shared" si="14"/>
        <v>33.200000000000003</v>
      </c>
    </row>
    <row r="95" spans="1:37" x14ac:dyDescent="0.25">
      <c r="A95" s="88" t="s">
        <v>100</v>
      </c>
      <c r="B95" s="89">
        <v>50.05</v>
      </c>
      <c r="C95" s="89">
        <v>49.941000000000003</v>
      </c>
      <c r="D95" s="89">
        <v>50</v>
      </c>
      <c r="E95" s="89">
        <v>50</v>
      </c>
      <c r="F95" s="89">
        <v>50</v>
      </c>
      <c r="G95" s="89">
        <v>50.057400000000001</v>
      </c>
      <c r="H95" s="89">
        <v>49.978000000000002</v>
      </c>
      <c r="I95" s="89">
        <v>50.069000000000003</v>
      </c>
      <c r="J95" s="89">
        <v>50.076000000000001</v>
      </c>
      <c r="K95" s="89">
        <v>49.976999999999997</v>
      </c>
      <c r="L95" s="89">
        <v>50.045000000000002</v>
      </c>
      <c r="M95" s="89">
        <v>50.045000000000002</v>
      </c>
      <c r="N95" s="89">
        <v>49.722000000000001</v>
      </c>
      <c r="O95" s="89">
        <v>49.704999999999998</v>
      </c>
      <c r="P95" s="89">
        <v>49.872999999999998</v>
      </c>
      <c r="Q95" s="89">
        <v>50.127000000000002</v>
      </c>
      <c r="R95" s="89">
        <v>50.312600000000003</v>
      </c>
      <c r="S95" s="89">
        <v>50.210999999999999</v>
      </c>
      <c r="T95" s="89">
        <v>50.030999999999999</v>
      </c>
      <c r="U95" s="89">
        <v>49.712000000000003</v>
      </c>
      <c r="V95" s="89">
        <v>49.738999999999997</v>
      </c>
      <c r="W95" s="89">
        <v>49.912999999999997</v>
      </c>
      <c r="X95" s="89">
        <v>50.079000000000001</v>
      </c>
      <c r="Y95" s="89">
        <v>49.872999999999998</v>
      </c>
      <c r="Z95" s="89">
        <v>50.039000000000001</v>
      </c>
      <c r="AA95" s="89">
        <v>50.078000000000003</v>
      </c>
      <c r="AB95" s="89">
        <v>50.078000000000003</v>
      </c>
      <c r="AC95" s="89">
        <v>49.95</v>
      </c>
      <c r="AD95" s="89">
        <v>49.95</v>
      </c>
      <c r="AE95" s="89">
        <v>50.1</v>
      </c>
      <c r="AF95" s="89">
        <v>50.04</v>
      </c>
      <c r="AG95" s="90"/>
      <c r="AH95" s="48">
        <f t="shared" si="13"/>
        <v>50.312600000000003</v>
      </c>
      <c r="AI95" s="49">
        <f t="shared" si="14"/>
        <v>49.704999999999998</v>
      </c>
    </row>
    <row r="96" spans="1:37" x14ac:dyDescent="0.25">
      <c r="A96" s="91" t="s">
        <v>101</v>
      </c>
      <c r="B96" s="65">
        <v>128.4</v>
      </c>
      <c r="C96" s="65">
        <v>129</v>
      </c>
      <c r="D96" s="65">
        <v>129</v>
      </c>
      <c r="E96" s="65">
        <v>129</v>
      </c>
      <c r="F96" s="65">
        <v>128</v>
      </c>
      <c r="G96" s="65">
        <v>127</v>
      </c>
      <c r="H96" s="65">
        <v>127</v>
      </c>
      <c r="I96" s="65">
        <v>125.6</v>
      </c>
      <c r="J96" s="65">
        <v>124.9</v>
      </c>
      <c r="K96" s="65">
        <v>123</v>
      </c>
      <c r="L96" s="65">
        <v>124.7</v>
      </c>
      <c r="M96" s="65">
        <v>124.7</v>
      </c>
      <c r="N96" s="65">
        <v>123</v>
      </c>
      <c r="O96" s="65">
        <v>122.9</v>
      </c>
      <c r="P96" s="65">
        <v>124.9</v>
      </c>
      <c r="Q96" s="65">
        <v>121.9</v>
      </c>
      <c r="R96" s="65">
        <v>124.9</v>
      </c>
      <c r="S96" s="65">
        <v>124</v>
      </c>
      <c r="T96" s="65">
        <v>123.3</v>
      </c>
      <c r="U96" s="65">
        <v>121.1</v>
      </c>
      <c r="V96" s="65">
        <v>126.5</v>
      </c>
      <c r="W96" s="65">
        <v>127</v>
      </c>
      <c r="X96" s="65">
        <v>127.1</v>
      </c>
      <c r="Y96" s="65">
        <v>126.3</v>
      </c>
      <c r="Z96" s="65">
        <v>126.5</v>
      </c>
      <c r="AA96" s="65">
        <v>128</v>
      </c>
      <c r="AB96" s="65">
        <v>128</v>
      </c>
      <c r="AC96" s="65">
        <v>128</v>
      </c>
      <c r="AD96" s="65">
        <v>128</v>
      </c>
      <c r="AE96" s="65">
        <v>128</v>
      </c>
      <c r="AF96" s="65">
        <v>128</v>
      </c>
      <c r="AG96" s="92"/>
      <c r="AH96" s="48">
        <f t="shared" si="13"/>
        <v>129</v>
      </c>
      <c r="AI96" s="49">
        <f t="shared" si="14"/>
        <v>121.1</v>
      </c>
    </row>
    <row r="97" spans="1:35" x14ac:dyDescent="0.25">
      <c r="A97" s="91" t="s">
        <v>102</v>
      </c>
      <c r="B97" s="65">
        <v>132.5</v>
      </c>
      <c r="C97" s="65">
        <v>132.6</v>
      </c>
      <c r="D97" s="65">
        <v>132.6</v>
      </c>
      <c r="E97" s="65">
        <v>132.6</v>
      </c>
      <c r="F97" s="65">
        <v>132</v>
      </c>
      <c r="G97" s="65">
        <v>131.5</v>
      </c>
      <c r="H97" s="65">
        <v>131</v>
      </c>
      <c r="I97" s="65">
        <v>129.5</v>
      </c>
      <c r="J97" s="65">
        <v>128.5</v>
      </c>
      <c r="K97" s="65">
        <v>126.9</v>
      </c>
      <c r="L97" s="65">
        <v>127.8</v>
      </c>
      <c r="M97" s="65">
        <v>127.8</v>
      </c>
      <c r="N97" s="65">
        <v>126.6</v>
      </c>
      <c r="O97" s="65">
        <v>126</v>
      </c>
      <c r="P97" s="65">
        <v>1227.0999999999999</v>
      </c>
      <c r="Q97" s="65">
        <v>125.1</v>
      </c>
      <c r="R97" s="65">
        <v>127.8</v>
      </c>
      <c r="S97" s="65">
        <v>127.1</v>
      </c>
      <c r="T97" s="65">
        <v>126.3</v>
      </c>
      <c r="U97" s="65">
        <v>124.6</v>
      </c>
      <c r="V97" s="65">
        <v>128.69999999999999</v>
      </c>
      <c r="W97" s="65">
        <v>128</v>
      </c>
      <c r="X97" s="65">
        <v>128.30000000000001</v>
      </c>
      <c r="Y97" s="65">
        <v>127.9</v>
      </c>
      <c r="Z97" s="65">
        <v>128</v>
      </c>
      <c r="AA97" s="65">
        <v>130</v>
      </c>
      <c r="AB97" s="65">
        <v>130</v>
      </c>
      <c r="AC97" s="65">
        <v>130.80000000000001</v>
      </c>
      <c r="AD97" s="65">
        <v>130.80000000000001</v>
      </c>
      <c r="AE97" s="65">
        <v>130.80000000000001</v>
      </c>
      <c r="AF97" s="65">
        <v>130.80000000000001</v>
      </c>
      <c r="AG97" s="92"/>
      <c r="AH97" s="48">
        <f t="shared" si="13"/>
        <v>1227.0999999999999</v>
      </c>
      <c r="AI97" s="49">
        <f t="shared" si="14"/>
        <v>124.6</v>
      </c>
    </row>
    <row r="98" spans="1:35" x14ac:dyDescent="0.25">
      <c r="A98" s="91" t="s">
        <v>103</v>
      </c>
      <c r="B98" s="65">
        <v>131.6</v>
      </c>
      <c r="C98" s="65">
        <v>131.69999999999999</v>
      </c>
      <c r="D98" s="65">
        <v>131.69999999999999</v>
      </c>
      <c r="E98" s="65">
        <v>131.69999999999999</v>
      </c>
      <c r="F98" s="65">
        <v>131</v>
      </c>
      <c r="G98" s="65">
        <v>130</v>
      </c>
      <c r="H98" s="65">
        <v>129</v>
      </c>
      <c r="I98" s="65">
        <v>133</v>
      </c>
      <c r="J98" s="65">
        <v>129</v>
      </c>
      <c r="K98" s="65">
        <v>127</v>
      </c>
      <c r="L98" s="65">
        <v>127.9</v>
      </c>
      <c r="M98" s="65">
        <v>127.9</v>
      </c>
      <c r="N98" s="65">
        <v>130.19999999999999</v>
      </c>
      <c r="O98" s="65">
        <v>128.30000000000001</v>
      </c>
      <c r="P98" s="65">
        <v>130.9</v>
      </c>
      <c r="Q98" s="65">
        <v>130.9</v>
      </c>
      <c r="R98" s="65">
        <v>131.6</v>
      </c>
      <c r="S98" s="65">
        <v>131.1</v>
      </c>
      <c r="T98" s="65">
        <v>128.6</v>
      </c>
      <c r="U98" s="65">
        <v>125.4</v>
      </c>
      <c r="V98" s="65">
        <v>128.30000000000001</v>
      </c>
      <c r="W98" s="65">
        <v>131</v>
      </c>
      <c r="X98" s="65">
        <v>131.5</v>
      </c>
      <c r="Y98" s="65">
        <v>131.5</v>
      </c>
      <c r="Z98" s="65">
        <v>132.69999999999999</v>
      </c>
      <c r="AA98" s="65">
        <v>132</v>
      </c>
      <c r="AB98" s="65">
        <v>132</v>
      </c>
      <c r="AC98" s="65">
        <v>132</v>
      </c>
      <c r="AD98" s="65">
        <v>132</v>
      </c>
      <c r="AE98" s="65">
        <v>132</v>
      </c>
      <c r="AF98" s="65">
        <v>132</v>
      </c>
      <c r="AG98" s="92"/>
      <c r="AH98" s="48">
        <f t="shared" si="13"/>
        <v>133</v>
      </c>
      <c r="AI98" s="49">
        <f t="shared" si="14"/>
        <v>125.4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3"/>
        <v>0</v>
      </c>
      <c r="AI99" s="49">
        <f t="shared" si="14"/>
        <v>0</v>
      </c>
    </row>
    <row r="100" spans="1:35" x14ac:dyDescent="0.25">
      <c r="A100" s="93" t="s">
        <v>105</v>
      </c>
      <c r="B100" s="94">
        <v>134.5</v>
      </c>
      <c r="C100" s="94">
        <v>133.5</v>
      </c>
      <c r="D100" s="94">
        <v>133.5</v>
      </c>
      <c r="E100" s="94">
        <v>133.5</v>
      </c>
      <c r="F100" s="94">
        <v>131.69999999999999</v>
      </c>
      <c r="G100" s="94">
        <v>134</v>
      </c>
      <c r="H100" s="94">
        <v>133</v>
      </c>
      <c r="I100" s="94">
        <v>133</v>
      </c>
      <c r="J100" s="94">
        <v>132</v>
      </c>
      <c r="K100" s="94">
        <v>132</v>
      </c>
      <c r="L100" s="94">
        <v>132.9</v>
      </c>
      <c r="M100" s="94">
        <v>132.9</v>
      </c>
      <c r="N100" s="94">
        <v>141.19999999999999</v>
      </c>
      <c r="O100" s="94">
        <v>135.30000000000001</v>
      </c>
      <c r="P100" s="94">
        <v>132.6</v>
      </c>
      <c r="Q100" s="94">
        <v>132.6</v>
      </c>
      <c r="R100" s="94">
        <v>136</v>
      </c>
      <c r="S100" s="94">
        <v>133</v>
      </c>
      <c r="T100" s="94">
        <v>133.30000000000001</v>
      </c>
      <c r="U100" s="94">
        <v>132.5</v>
      </c>
      <c r="V100" s="94">
        <v>133.9</v>
      </c>
      <c r="W100" s="94">
        <v>132.19999999999999</v>
      </c>
      <c r="X100" s="94">
        <v>133.80000000000001</v>
      </c>
      <c r="Y100" s="94">
        <v>133.80000000000001</v>
      </c>
      <c r="Z100" s="94">
        <v>135</v>
      </c>
      <c r="AA100" s="94">
        <v>134.69999999999999</v>
      </c>
      <c r="AB100" s="94">
        <v>134.69999999999999</v>
      </c>
      <c r="AC100" s="94">
        <v>134</v>
      </c>
      <c r="AD100" s="94">
        <v>134</v>
      </c>
      <c r="AE100" s="94">
        <v>134</v>
      </c>
      <c r="AF100" s="94">
        <v>134</v>
      </c>
      <c r="AG100" s="95"/>
      <c r="AH100" s="48">
        <f t="shared" si="13"/>
        <v>141.19999999999999</v>
      </c>
      <c r="AI100" s="49">
        <f t="shared" si="14"/>
        <v>131.69999999999999</v>
      </c>
    </row>
    <row r="101" spans="1:35" x14ac:dyDescent="0.25">
      <c r="A101" s="91" t="s">
        <v>106</v>
      </c>
      <c r="B101" s="65">
        <v>130.19999999999999</v>
      </c>
      <c r="C101" s="65">
        <v>128.5</v>
      </c>
      <c r="D101" s="65">
        <v>128.5</v>
      </c>
      <c r="E101" s="65">
        <v>128.5</v>
      </c>
      <c r="F101" s="65">
        <v>130</v>
      </c>
      <c r="G101" s="65">
        <v>130</v>
      </c>
      <c r="H101" s="65">
        <v>128</v>
      </c>
      <c r="I101" s="65">
        <v>129</v>
      </c>
      <c r="J101" s="65">
        <v>129</v>
      </c>
      <c r="K101" s="65">
        <v>128</v>
      </c>
      <c r="L101" s="65">
        <v>131.80000000000001</v>
      </c>
      <c r="M101" s="65">
        <v>131.80000000000001</v>
      </c>
      <c r="N101" s="65">
        <v>130.5</v>
      </c>
      <c r="O101" s="65">
        <v>131.80000000000001</v>
      </c>
      <c r="P101" s="65">
        <v>127.5</v>
      </c>
      <c r="Q101" s="65">
        <v>127.5</v>
      </c>
      <c r="R101" s="65">
        <v>130.69999999999999</v>
      </c>
      <c r="S101" s="65">
        <v>127</v>
      </c>
      <c r="T101" s="65">
        <v>127</v>
      </c>
      <c r="U101" s="65">
        <v>128.19999999999999</v>
      </c>
      <c r="V101" s="65">
        <v>126.8</v>
      </c>
      <c r="W101" s="65">
        <v>130</v>
      </c>
      <c r="X101" s="65">
        <v>130.6</v>
      </c>
      <c r="Y101" s="65">
        <v>130.6</v>
      </c>
      <c r="Z101" s="65">
        <v>134</v>
      </c>
      <c r="AA101" s="65">
        <v>134</v>
      </c>
      <c r="AB101" s="65">
        <v>134</v>
      </c>
      <c r="AC101" s="65">
        <v>131</v>
      </c>
      <c r="AD101" s="65">
        <v>131</v>
      </c>
      <c r="AE101" s="65">
        <v>131</v>
      </c>
      <c r="AF101" s="65">
        <v>131</v>
      </c>
      <c r="AG101" s="92"/>
      <c r="AH101" s="48">
        <f t="shared" si="13"/>
        <v>134</v>
      </c>
      <c r="AI101" s="49">
        <f t="shared" si="14"/>
        <v>126.8</v>
      </c>
    </row>
    <row r="102" spans="1:35" ht="15.75" thickBot="1" x14ac:dyDescent="0.3">
      <c r="A102" s="91" t="s">
        <v>107</v>
      </c>
      <c r="B102" s="96">
        <v>66.2</v>
      </c>
      <c r="C102" s="96">
        <v>66.5</v>
      </c>
      <c r="D102" s="96">
        <v>66.5</v>
      </c>
      <c r="E102" s="96">
        <v>66.5</v>
      </c>
      <c r="F102" s="96">
        <v>66</v>
      </c>
      <c r="G102" s="96">
        <v>66</v>
      </c>
      <c r="H102" s="96">
        <v>65.5</v>
      </c>
      <c r="I102" s="96">
        <v>65.3</v>
      </c>
      <c r="J102" s="96">
        <v>64.400000000000006</v>
      </c>
      <c r="K102" s="96">
        <v>63.4</v>
      </c>
      <c r="L102" s="96">
        <v>64</v>
      </c>
      <c r="M102" s="96">
        <v>64</v>
      </c>
      <c r="N102" s="96">
        <v>63</v>
      </c>
      <c r="O102" s="96">
        <v>62.7</v>
      </c>
      <c r="P102" s="96">
        <v>63.3</v>
      </c>
      <c r="Q102" s="96">
        <v>63.3</v>
      </c>
      <c r="R102" s="96">
        <v>63.8</v>
      </c>
      <c r="S102" s="96">
        <v>63.5</v>
      </c>
      <c r="T102" s="96">
        <v>61.9</v>
      </c>
      <c r="U102" s="96">
        <v>62</v>
      </c>
      <c r="V102" s="96">
        <v>64.7</v>
      </c>
      <c r="W102" s="96">
        <v>64</v>
      </c>
      <c r="X102" s="96">
        <v>64.099999999999994</v>
      </c>
      <c r="Y102" s="96">
        <v>64</v>
      </c>
      <c r="Z102" s="96">
        <v>64.2</v>
      </c>
      <c r="AA102" s="96">
        <v>65.2</v>
      </c>
      <c r="AB102" s="96">
        <v>65.2</v>
      </c>
      <c r="AC102" s="96">
        <v>65.7</v>
      </c>
      <c r="AD102" s="96">
        <v>65.7</v>
      </c>
      <c r="AE102" s="96">
        <v>65.7</v>
      </c>
      <c r="AF102" s="96">
        <v>65.7</v>
      </c>
      <c r="AG102" s="97"/>
      <c r="AH102" s="48">
        <f t="shared" si="13"/>
        <v>66.5</v>
      </c>
      <c r="AI102" s="49">
        <f t="shared" si="14"/>
        <v>61.9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3"/>
        <v>0</v>
      </c>
      <c r="AI103" s="49">
        <f t="shared" si="14"/>
        <v>0</v>
      </c>
    </row>
    <row r="104" spans="1:35" ht="15.75" thickBot="1" x14ac:dyDescent="0.3">
      <c r="A104" s="99" t="s">
        <v>108</v>
      </c>
      <c r="B104" s="100">
        <f t="shared" ref="B104:AF104" si="70">SUM(B16,B22,B25:B26,B52,B54:B55,B57,B59,B105:B109,B131,B137,B143,B152,B154,B166,B173,B176:B177,B184,B186,B188,B192:B194,B196:B198,B203,B209:B210,B212:B214,B222,B227)</f>
        <v>101.69899999999998</v>
      </c>
      <c r="C104" s="100">
        <f t="shared" si="70"/>
        <v>94.938999999999965</v>
      </c>
      <c r="D104" s="100">
        <f t="shared" si="70"/>
        <v>87.538999999999987</v>
      </c>
      <c r="E104" s="100">
        <f t="shared" si="70"/>
        <v>76.63900000000001</v>
      </c>
      <c r="F104" s="100">
        <f t="shared" si="70"/>
        <v>92.138999999999982</v>
      </c>
      <c r="G104" s="100">
        <f t="shared" si="70"/>
        <v>119.239</v>
      </c>
      <c r="H104" s="100">
        <f t="shared" si="70"/>
        <v>150.53899999999999</v>
      </c>
      <c r="I104" s="100">
        <f t="shared" si="70"/>
        <v>184.93899999999999</v>
      </c>
      <c r="J104" s="100">
        <f t="shared" si="70"/>
        <v>238.779</v>
      </c>
      <c r="K104" s="100">
        <f t="shared" si="70"/>
        <v>281.23899999999998</v>
      </c>
      <c r="L104" s="100">
        <f t="shared" si="70"/>
        <v>327.03899999999999</v>
      </c>
      <c r="M104" s="100">
        <f t="shared" si="70"/>
        <v>331.03899999999999</v>
      </c>
      <c r="N104" s="100">
        <f t="shared" si="70"/>
        <v>316.03899999999999</v>
      </c>
      <c r="O104" s="100">
        <f t="shared" si="70"/>
        <v>297.23899999999998</v>
      </c>
      <c r="P104" s="100">
        <f t="shared" si="70"/>
        <v>294.43899999999996</v>
      </c>
      <c r="Q104" s="100">
        <f t="shared" si="70"/>
        <v>286.59899999999999</v>
      </c>
      <c r="R104" s="100">
        <f t="shared" si="70"/>
        <v>274.09900000000005</v>
      </c>
      <c r="S104" s="100">
        <f t="shared" si="70"/>
        <v>247.899</v>
      </c>
      <c r="T104" s="100">
        <f t="shared" si="70"/>
        <v>260.19900000000001</v>
      </c>
      <c r="U104" s="100">
        <f t="shared" si="70"/>
        <v>271.899</v>
      </c>
      <c r="V104" s="100">
        <f t="shared" si="70"/>
        <v>294.59900000000005</v>
      </c>
      <c r="W104" s="100">
        <f t="shared" si="70"/>
        <v>356.19900000000001</v>
      </c>
      <c r="X104" s="100">
        <f t="shared" si="70"/>
        <v>356.19900000000001</v>
      </c>
      <c r="Y104" s="100">
        <f t="shared" si="70"/>
        <v>352.79899999999998</v>
      </c>
      <c r="Z104" s="100">
        <f t="shared" si="70"/>
        <v>384.29900000000004</v>
      </c>
      <c r="AA104" s="100">
        <f t="shared" si="70"/>
        <v>369.899</v>
      </c>
      <c r="AB104" s="100">
        <f t="shared" si="70"/>
        <v>316.399</v>
      </c>
      <c r="AC104" s="100">
        <f t="shared" si="70"/>
        <v>317.79899999999998</v>
      </c>
      <c r="AD104" s="100">
        <f t="shared" si="70"/>
        <v>301.79899999999998</v>
      </c>
      <c r="AE104" s="100">
        <f t="shared" si="70"/>
        <v>157.79900000000001</v>
      </c>
      <c r="AF104" s="100">
        <f t="shared" si="70"/>
        <v>156.79900000000001</v>
      </c>
      <c r="AG104" s="101"/>
      <c r="AH104" s="48">
        <f t="shared" si="13"/>
        <v>384.29900000000004</v>
      </c>
      <c r="AI104" s="49">
        <f t="shared" si="14"/>
        <v>76.63900000000001</v>
      </c>
    </row>
    <row r="105" spans="1:35" x14ac:dyDescent="0.25">
      <c r="A105" s="88" t="s">
        <v>109</v>
      </c>
      <c r="B105" s="102">
        <v>4.5999999999999996</v>
      </c>
      <c r="C105" s="102">
        <v>6.6</v>
      </c>
      <c r="D105" s="102">
        <v>2</v>
      </c>
      <c r="E105" s="102">
        <v>0.8</v>
      </c>
      <c r="F105" s="102">
        <v>-1.9</v>
      </c>
      <c r="G105" s="102">
        <v>12.9</v>
      </c>
      <c r="H105" s="102">
        <v>17.600000000000001</v>
      </c>
      <c r="I105" s="102">
        <v>33.6</v>
      </c>
      <c r="J105" s="102">
        <v>45.1</v>
      </c>
      <c r="K105" s="102">
        <v>40.200000000000003</v>
      </c>
      <c r="L105" s="102">
        <v>28.3</v>
      </c>
      <c r="M105" s="102">
        <v>28.3</v>
      </c>
      <c r="N105" s="102">
        <v>40.700000000000003</v>
      </c>
      <c r="O105" s="102">
        <v>47.5</v>
      </c>
      <c r="P105" s="102">
        <v>48.5</v>
      </c>
      <c r="Q105" s="102">
        <v>49.6</v>
      </c>
      <c r="R105" s="102">
        <v>45.2</v>
      </c>
      <c r="S105" s="102">
        <v>40.6</v>
      </c>
      <c r="T105" s="102">
        <v>46.3</v>
      </c>
      <c r="U105" s="102">
        <v>55.2</v>
      </c>
      <c r="V105" s="102">
        <v>46.7</v>
      </c>
      <c r="W105" s="102">
        <v>38</v>
      </c>
      <c r="X105" s="102">
        <v>38</v>
      </c>
      <c r="Y105" s="102">
        <v>39.5</v>
      </c>
      <c r="Z105" s="102">
        <v>37</v>
      </c>
      <c r="AA105" s="102">
        <v>37.1</v>
      </c>
      <c r="AB105" s="102">
        <v>29.5</v>
      </c>
      <c r="AC105" s="102">
        <v>34</v>
      </c>
      <c r="AD105" s="102">
        <v>33</v>
      </c>
      <c r="AE105" s="102">
        <v>-1</v>
      </c>
      <c r="AF105" s="102">
        <v>-2</v>
      </c>
      <c r="AG105" s="103">
        <v>75</v>
      </c>
      <c r="AH105" s="48">
        <f t="shared" si="13"/>
        <v>55.2</v>
      </c>
      <c r="AI105" s="49">
        <f t="shared" si="14"/>
        <v>-2</v>
      </c>
    </row>
    <row r="106" spans="1:35" x14ac:dyDescent="0.25">
      <c r="A106" s="91" t="s">
        <v>110</v>
      </c>
      <c r="B106" s="104">
        <v>14</v>
      </c>
      <c r="C106" s="104">
        <v>16.100000000000001</v>
      </c>
      <c r="D106" s="104">
        <v>10</v>
      </c>
      <c r="E106" s="104">
        <v>5.4</v>
      </c>
      <c r="F106" s="104">
        <v>0</v>
      </c>
      <c r="G106" s="104">
        <v>25.4</v>
      </c>
      <c r="H106" s="104">
        <v>34.9</v>
      </c>
      <c r="I106" s="104">
        <v>54.2</v>
      </c>
      <c r="J106" s="104">
        <v>71.400000000000006</v>
      </c>
      <c r="K106" s="104">
        <v>61.6</v>
      </c>
      <c r="L106" s="104">
        <v>44.2</v>
      </c>
      <c r="M106" s="104">
        <v>44.2</v>
      </c>
      <c r="N106" s="104">
        <v>57.7</v>
      </c>
      <c r="O106" s="104">
        <v>62.5</v>
      </c>
      <c r="P106" s="104">
        <v>60</v>
      </c>
      <c r="Q106" s="104">
        <v>74.5</v>
      </c>
      <c r="R106" s="104">
        <v>67.400000000000006</v>
      </c>
      <c r="S106" s="104">
        <v>62.1</v>
      </c>
      <c r="T106" s="104">
        <v>63.3</v>
      </c>
      <c r="U106" s="104">
        <v>74.099999999999994</v>
      </c>
      <c r="V106" s="104">
        <v>62.6</v>
      </c>
      <c r="W106" s="104">
        <v>49.4</v>
      </c>
      <c r="X106" s="104">
        <v>49.4</v>
      </c>
      <c r="Y106" s="104">
        <v>52.5</v>
      </c>
      <c r="Z106" s="104">
        <v>50.7</v>
      </c>
      <c r="AA106" s="104">
        <v>50.4</v>
      </c>
      <c r="AB106" s="104">
        <v>39</v>
      </c>
      <c r="AC106" s="104">
        <v>45</v>
      </c>
      <c r="AD106" s="104">
        <v>45</v>
      </c>
      <c r="AE106" s="104">
        <v>0</v>
      </c>
      <c r="AF106" s="104">
        <v>0</v>
      </c>
      <c r="AG106" s="103">
        <v>240</v>
      </c>
      <c r="AH106" s="48">
        <f t="shared" si="13"/>
        <v>74.5</v>
      </c>
      <c r="AI106" s="49">
        <f t="shared" si="14"/>
        <v>0</v>
      </c>
    </row>
    <row r="107" spans="1:35" x14ac:dyDescent="0.25">
      <c r="A107" s="91" t="s">
        <v>111</v>
      </c>
      <c r="B107" s="104">
        <f>-41-45</f>
        <v>-86</v>
      </c>
      <c r="C107" s="104">
        <f>-42.9-46.1</f>
        <v>-89</v>
      </c>
      <c r="D107" s="104">
        <v>-88</v>
      </c>
      <c r="E107" s="104">
        <v>-87</v>
      </c>
      <c r="F107" s="104">
        <v>-82.7</v>
      </c>
      <c r="G107" s="104">
        <v>-91</v>
      </c>
      <c r="H107" s="104">
        <v>-78</v>
      </c>
      <c r="I107" s="104">
        <v>-78.8</v>
      </c>
      <c r="J107" s="104">
        <v>-74.8</v>
      </c>
      <c r="K107" s="104">
        <v>-57</v>
      </c>
      <c r="L107" s="104">
        <v>-19.2</v>
      </c>
      <c r="M107" s="104">
        <v>-19.2</v>
      </c>
      <c r="N107" s="104">
        <v>-29</v>
      </c>
      <c r="O107" s="104">
        <v>9.3000000000000007</v>
      </c>
      <c r="P107" s="104">
        <v>8</v>
      </c>
      <c r="Q107" s="104">
        <v>14</v>
      </c>
      <c r="R107" s="104">
        <v>14.3</v>
      </c>
      <c r="S107" s="104">
        <f>-5-5.5</f>
        <v>-10.5</v>
      </c>
      <c r="T107" s="104">
        <f>-2.1-2.7</f>
        <v>-4.8000000000000007</v>
      </c>
      <c r="U107" s="104">
        <f>-6-7</f>
        <v>-13</v>
      </c>
      <c r="V107" s="104">
        <f>6.4+2.6</f>
        <v>9</v>
      </c>
      <c r="W107" s="104">
        <f>35+30</f>
        <v>65</v>
      </c>
      <c r="X107" s="104">
        <f>35+30</f>
        <v>65</v>
      </c>
      <c r="Y107" s="104">
        <f>31+25</f>
        <v>56</v>
      </c>
      <c r="Z107" s="104">
        <v>6.4</v>
      </c>
      <c r="AA107" s="104">
        <f>2.9-1.8</f>
        <v>1.0999999999999999</v>
      </c>
      <c r="AB107" s="104">
        <f>-4.9-4.1</f>
        <v>-9</v>
      </c>
      <c r="AC107" s="104">
        <v>-5</v>
      </c>
      <c r="AD107" s="104">
        <v>-10</v>
      </c>
      <c r="AE107" s="104">
        <v>-50</v>
      </c>
      <c r="AF107" s="104">
        <v>-50</v>
      </c>
      <c r="AG107" s="103">
        <v>240</v>
      </c>
      <c r="AH107" s="48">
        <f t="shared" si="13"/>
        <v>65</v>
      </c>
      <c r="AI107" s="49">
        <f t="shared" si="14"/>
        <v>-91</v>
      </c>
    </row>
    <row r="108" spans="1:35" x14ac:dyDescent="0.25">
      <c r="A108" s="91" t="s">
        <v>112</v>
      </c>
      <c r="B108" s="104">
        <v>-2.1</v>
      </c>
      <c r="C108" s="104">
        <v>-1.2</v>
      </c>
      <c r="D108" s="104">
        <v>-2</v>
      </c>
      <c r="E108" s="104">
        <v>-5.6</v>
      </c>
      <c r="F108" s="104">
        <v>-2.6</v>
      </c>
      <c r="G108" s="104">
        <v>-2.8</v>
      </c>
      <c r="H108" s="104">
        <v>-2.7</v>
      </c>
      <c r="I108" s="104">
        <v>-2.5</v>
      </c>
      <c r="J108" s="104">
        <v>2.6</v>
      </c>
      <c r="K108" s="104">
        <v>8.6999999999999993</v>
      </c>
      <c r="L108" s="104">
        <v>47.9</v>
      </c>
      <c r="M108" s="104">
        <v>47.9</v>
      </c>
      <c r="N108" s="104">
        <v>27.9</v>
      </c>
      <c r="O108" s="104">
        <v>39.9</v>
      </c>
      <c r="P108" s="104">
        <v>39.9</v>
      </c>
      <c r="Q108" s="104">
        <v>10.8</v>
      </c>
      <c r="R108" s="104">
        <v>11.6</v>
      </c>
      <c r="S108" s="104">
        <v>12.1</v>
      </c>
      <c r="T108" s="104">
        <v>11.8</v>
      </c>
      <c r="U108" s="104">
        <v>12</v>
      </c>
      <c r="V108" s="104">
        <v>40.5</v>
      </c>
      <c r="W108" s="104">
        <v>68</v>
      </c>
      <c r="X108" s="104">
        <v>68</v>
      </c>
      <c r="Y108" s="104">
        <v>69</v>
      </c>
      <c r="Z108" s="104">
        <v>48.4</v>
      </c>
      <c r="AA108" s="104">
        <v>48.1</v>
      </c>
      <c r="AB108" s="104">
        <v>25.4</v>
      </c>
      <c r="AC108" s="104">
        <v>23</v>
      </c>
      <c r="AD108" s="104">
        <v>22</v>
      </c>
      <c r="AE108" s="104">
        <v>7</v>
      </c>
      <c r="AF108" s="104">
        <v>4</v>
      </c>
      <c r="AG108" s="103">
        <v>60</v>
      </c>
      <c r="AH108" s="48">
        <f t="shared" si="13"/>
        <v>69</v>
      </c>
      <c r="AI108" s="49">
        <f t="shared" si="14"/>
        <v>-5.6</v>
      </c>
    </row>
    <row r="109" spans="1:35" x14ac:dyDescent="0.25">
      <c r="A109" s="105" t="s">
        <v>113</v>
      </c>
      <c r="B109" s="106">
        <v>34.6</v>
      </c>
      <c r="C109" s="106">
        <v>24.9</v>
      </c>
      <c r="D109" s="106">
        <v>28</v>
      </c>
      <c r="E109" s="106">
        <v>39</v>
      </c>
      <c r="F109" s="106">
        <v>42.3</v>
      </c>
      <c r="G109" s="106">
        <v>36.700000000000003</v>
      </c>
      <c r="H109" s="106">
        <v>40.700000000000003</v>
      </c>
      <c r="I109" s="106">
        <v>40.4</v>
      </c>
      <c r="J109" s="106">
        <v>56.4</v>
      </c>
      <c r="K109" s="106">
        <v>89.7</v>
      </c>
      <c r="L109" s="106">
        <v>91.8</v>
      </c>
      <c r="M109" s="106">
        <v>91.8</v>
      </c>
      <c r="N109" s="106">
        <v>80.7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0</v>
      </c>
      <c r="W109" s="106">
        <v>0</v>
      </c>
      <c r="X109" s="106">
        <v>0</v>
      </c>
      <c r="Y109" s="106">
        <v>0</v>
      </c>
      <c r="Z109" s="106">
        <v>106</v>
      </c>
      <c r="AA109" s="106">
        <v>97.4</v>
      </c>
      <c r="AB109" s="106">
        <v>95.7</v>
      </c>
      <c r="AC109" s="106">
        <v>85</v>
      </c>
      <c r="AD109" s="106">
        <v>76</v>
      </c>
      <c r="AE109" s="106">
        <v>66</v>
      </c>
      <c r="AF109" s="106">
        <v>69</v>
      </c>
      <c r="AG109" s="107">
        <v>120</v>
      </c>
      <c r="AH109" s="48">
        <f t="shared" si="13"/>
        <v>106</v>
      </c>
      <c r="AI109" s="49">
        <f t="shared" si="14"/>
        <v>0</v>
      </c>
    </row>
    <row r="110" spans="1:35" x14ac:dyDescent="0.25">
      <c r="A110" s="105" t="s">
        <v>115</v>
      </c>
      <c r="B110" s="106">
        <v>47.5</v>
      </c>
      <c r="C110" s="106">
        <v>34.9</v>
      </c>
      <c r="D110" s="106">
        <v>52</v>
      </c>
      <c r="E110" s="106">
        <v>54.6</v>
      </c>
      <c r="F110" s="106">
        <v>56.54</v>
      </c>
      <c r="G110" s="106">
        <v>51.7</v>
      </c>
      <c r="H110" s="106">
        <v>47.9</v>
      </c>
      <c r="I110" s="106">
        <v>47.9</v>
      </c>
      <c r="J110" s="106">
        <v>52.2</v>
      </c>
      <c r="K110" s="106">
        <v>76</v>
      </c>
      <c r="L110" s="106">
        <v>87.4</v>
      </c>
      <c r="M110" s="106">
        <v>87.4</v>
      </c>
      <c r="N110" s="106">
        <v>95</v>
      </c>
      <c r="O110" s="106">
        <v>96.6</v>
      </c>
      <c r="P110" s="106">
        <v>95</v>
      </c>
      <c r="Q110" s="106">
        <v>107</v>
      </c>
      <c r="R110" s="106">
        <v>102</v>
      </c>
      <c r="S110" s="106">
        <v>109</v>
      </c>
      <c r="T110" s="106">
        <v>99</v>
      </c>
      <c r="U110" s="106">
        <v>96.3</v>
      </c>
      <c r="V110" s="106">
        <v>76</v>
      </c>
      <c r="W110" s="106">
        <v>99</v>
      </c>
      <c r="X110" s="106">
        <v>99</v>
      </c>
      <c r="Y110" s="106">
        <v>87</v>
      </c>
      <c r="Z110" s="106">
        <v>67</v>
      </c>
      <c r="AA110" s="106">
        <v>59.5</v>
      </c>
      <c r="AB110" s="106">
        <v>89.7</v>
      </c>
      <c r="AC110" s="106">
        <v>80.3</v>
      </c>
      <c r="AD110" s="106">
        <v>71</v>
      </c>
      <c r="AE110" s="106">
        <v>70</v>
      </c>
      <c r="AF110" s="106">
        <v>71</v>
      </c>
      <c r="AG110" s="107"/>
      <c r="AH110" s="48">
        <f t="shared" si="13"/>
        <v>109</v>
      </c>
      <c r="AI110" s="49">
        <f t="shared" si="14"/>
        <v>34.9</v>
      </c>
    </row>
    <row r="111" spans="1:35" x14ac:dyDescent="0.25">
      <c r="A111" s="105" t="s">
        <v>116</v>
      </c>
      <c r="B111" s="106">
        <v>41.8</v>
      </c>
      <c r="C111" s="106">
        <v>37.5</v>
      </c>
      <c r="D111" s="106">
        <v>42</v>
      </c>
      <c r="E111" s="106">
        <v>46.6</v>
      </c>
      <c r="F111" s="106">
        <v>50</v>
      </c>
      <c r="G111" s="106">
        <v>44.7</v>
      </c>
      <c r="H111" s="106">
        <v>46.8</v>
      </c>
      <c r="I111" s="106">
        <v>27.5</v>
      </c>
      <c r="J111" s="106">
        <v>8.6</v>
      </c>
      <c r="K111" s="106">
        <v>19.399999999999999</v>
      </c>
      <c r="L111" s="106">
        <v>44.9</v>
      </c>
      <c r="M111" s="106">
        <v>44.9</v>
      </c>
      <c r="N111" s="106">
        <v>36.299999999999997</v>
      </c>
      <c r="O111" s="106">
        <v>0</v>
      </c>
      <c r="P111" s="106">
        <v>0</v>
      </c>
      <c r="Q111" s="106">
        <v>8</v>
      </c>
      <c r="R111" s="106">
        <v>2.2000000000000002</v>
      </c>
      <c r="S111" s="106">
        <v>14.1</v>
      </c>
      <c r="T111" s="106">
        <v>5.4</v>
      </c>
      <c r="U111" s="106">
        <v>-6.8</v>
      </c>
      <c r="V111" s="106">
        <v>-2</v>
      </c>
      <c r="W111" s="106">
        <v>41</v>
      </c>
      <c r="X111" s="106">
        <v>41</v>
      </c>
      <c r="Y111" s="106">
        <v>37</v>
      </c>
      <c r="Z111" s="106">
        <v>40.299999999999997</v>
      </c>
      <c r="AA111" s="106">
        <v>30</v>
      </c>
      <c r="AB111" s="106">
        <v>41.5</v>
      </c>
      <c r="AC111" s="106">
        <v>35</v>
      </c>
      <c r="AD111" s="106">
        <v>35</v>
      </c>
      <c r="AE111" s="106">
        <v>50</v>
      </c>
      <c r="AF111" s="106">
        <v>51</v>
      </c>
      <c r="AG111" s="108"/>
      <c r="AH111" s="48">
        <f t="shared" si="13"/>
        <v>51</v>
      </c>
      <c r="AI111" s="49">
        <f t="shared" si="14"/>
        <v>-6.8</v>
      </c>
    </row>
    <row r="112" spans="1:35" x14ac:dyDescent="0.25">
      <c r="A112" s="109" t="s">
        <v>117</v>
      </c>
      <c r="B112" s="94">
        <v>22</v>
      </c>
      <c r="C112" s="94">
        <v>22.1</v>
      </c>
      <c r="D112" s="94">
        <v>23</v>
      </c>
      <c r="E112" s="94">
        <v>24</v>
      </c>
      <c r="F112" s="94">
        <v>24.9</v>
      </c>
      <c r="G112" s="94">
        <v>23.1</v>
      </c>
      <c r="H112" s="94">
        <v>18.399999999999999</v>
      </c>
      <c r="I112" s="94">
        <v>11.8</v>
      </c>
      <c r="J112" s="94">
        <v>5.9</v>
      </c>
      <c r="K112" s="94">
        <v>2.1</v>
      </c>
      <c r="L112" s="94">
        <v>-2.7</v>
      </c>
      <c r="M112" s="94">
        <v>-2.7</v>
      </c>
      <c r="N112" s="94">
        <v>-5.9</v>
      </c>
      <c r="O112" s="94">
        <v>5</v>
      </c>
      <c r="P112" s="94">
        <v>5</v>
      </c>
      <c r="Q112" s="94">
        <v>5</v>
      </c>
      <c r="R112" s="94">
        <v>7.3</v>
      </c>
      <c r="S112" s="94">
        <v>14.5</v>
      </c>
      <c r="T112" s="94">
        <v>-3.3</v>
      </c>
      <c r="U112" s="94">
        <v>-2.2999999999999998</v>
      </c>
      <c r="V112" s="94">
        <v>-12.5</v>
      </c>
      <c r="W112" s="94">
        <v>-13</v>
      </c>
      <c r="X112" s="94">
        <v>-13</v>
      </c>
      <c r="Y112" s="94">
        <v>-8.4</v>
      </c>
      <c r="Z112" s="94">
        <v>-2.2999999999999998</v>
      </c>
      <c r="AA112" s="94">
        <v>0.9</v>
      </c>
      <c r="AB112" s="94">
        <v>4.5999999999999996</v>
      </c>
      <c r="AC112" s="94">
        <v>8</v>
      </c>
      <c r="AD112" s="94">
        <v>8</v>
      </c>
      <c r="AE112" s="94">
        <v>22</v>
      </c>
      <c r="AF112" s="94">
        <v>21</v>
      </c>
      <c r="AG112" s="108"/>
      <c r="AH112" s="48">
        <f t="shared" si="13"/>
        <v>24.9</v>
      </c>
      <c r="AI112" s="49">
        <f t="shared" si="14"/>
        <v>-13</v>
      </c>
    </row>
    <row r="113" spans="1:37" ht="15.75" thickBot="1" x14ac:dyDescent="0.3">
      <c r="A113" s="109" t="s">
        <v>118</v>
      </c>
      <c r="B113" s="94">
        <v>51.1</v>
      </c>
      <c r="C113" s="94">
        <v>54.7</v>
      </c>
      <c r="D113" s="94">
        <v>49</v>
      </c>
      <c r="E113" s="94">
        <v>47.6</v>
      </c>
      <c r="F113" s="94">
        <v>44.8</v>
      </c>
      <c r="G113" s="94">
        <v>56.6</v>
      </c>
      <c r="H113" s="94">
        <v>48.6</v>
      </c>
      <c r="I113" s="94">
        <v>57.7</v>
      </c>
      <c r="J113" s="94">
        <v>55.5</v>
      </c>
      <c r="K113" s="94">
        <v>44</v>
      </c>
      <c r="L113" s="94">
        <v>35.9</v>
      </c>
      <c r="M113" s="94">
        <v>35.9</v>
      </c>
      <c r="N113" s="94">
        <v>36</v>
      </c>
      <c r="O113" s="94">
        <v>26.7</v>
      </c>
      <c r="P113" s="94">
        <v>28</v>
      </c>
      <c r="Q113" s="94">
        <v>15</v>
      </c>
      <c r="R113" s="94">
        <v>11.8</v>
      </c>
      <c r="S113" s="94">
        <v>15.3</v>
      </c>
      <c r="T113" s="94">
        <v>12.8</v>
      </c>
      <c r="U113" s="94">
        <v>21.3</v>
      </c>
      <c r="V113" s="94">
        <v>19</v>
      </c>
      <c r="W113" s="94">
        <v>-19</v>
      </c>
      <c r="X113" s="94">
        <v>-19</v>
      </c>
      <c r="Y113" s="94">
        <v>-9.1999999999999993</v>
      </c>
      <c r="Z113" s="94">
        <v>16.2</v>
      </c>
      <c r="AA113" s="94">
        <v>14.2</v>
      </c>
      <c r="AB113" s="94">
        <v>-1.5</v>
      </c>
      <c r="AC113" s="94">
        <v>2</v>
      </c>
      <c r="AD113" s="94">
        <v>2</v>
      </c>
      <c r="AE113" s="94">
        <v>20</v>
      </c>
      <c r="AF113" s="94">
        <v>20</v>
      </c>
      <c r="AG113" s="108"/>
      <c r="AH113" s="48">
        <f t="shared" si="13"/>
        <v>57.7</v>
      </c>
      <c r="AI113" s="49">
        <f t="shared" si="14"/>
        <v>-19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71">SUM(B115:B219)</f>
        <v>0</v>
      </c>
      <c r="C220" s="125">
        <f t="shared" si="71"/>
        <v>0</v>
      </c>
      <c r="D220" s="125">
        <f t="shared" si="71"/>
        <v>0</v>
      </c>
      <c r="E220" s="125">
        <f t="shared" si="71"/>
        <v>0</v>
      </c>
      <c r="F220" s="125">
        <f t="shared" si="71"/>
        <v>0</v>
      </c>
      <c r="G220" s="125">
        <f t="shared" si="71"/>
        <v>0</v>
      </c>
      <c r="H220" s="125">
        <f t="shared" si="71"/>
        <v>0</v>
      </c>
      <c r="I220" s="125">
        <f t="shared" si="71"/>
        <v>0</v>
      </c>
      <c r="J220" s="125">
        <f t="shared" si="71"/>
        <v>0</v>
      </c>
      <c r="K220" s="125">
        <f t="shared" si="71"/>
        <v>0</v>
      </c>
      <c r="L220" s="125">
        <f t="shared" si="71"/>
        <v>0</v>
      </c>
      <c r="M220" s="125">
        <f t="shared" si="71"/>
        <v>0</v>
      </c>
      <c r="N220" s="125">
        <f t="shared" si="71"/>
        <v>0</v>
      </c>
      <c r="O220" s="125">
        <f t="shared" si="71"/>
        <v>0</v>
      </c>
      <c r="P220" s="125">
        <f t="shared" si="71"/>
        <v>0</v>
      </c>
      <c r="Q220" s="125">
        <f t="shared" si="71"/>
        <v>0</v>
      </c>
      <c r="R220" s="125">
        <f t="shared" si="71"/>
        <v>0</v>
      </c>
      <c r="S220" s="125">
        <f t="shared" si="71"/>
        <v>0</v>
      </c>
      <c r="T220" s="125">
        <f t="shared" si="71"/>
        <v>0</v>
      </c>
      <c r="U220" s="125">
        <f t="shared" si="71"/>
        <v>0</v>
      </c>
      <c r="V220" s="125">
        <f t="shared" si="71"/>
        <v>0</v>
      </c>
      <c r="W220" s="125">
        <f t="shared" si="71"/>
        <v>0</v>
      </c>
      <c r="X220" s="125">
        <f t="shared" si="71"/>
        <v>0</v>
      </c>
      <c r="Y220" s="125">
        <f t="shared" si="71"/>
        <v>0</v>
      </c>
      <c r="Z220" s="125">
        <f t="shared" si="71"/>
        <v>0</v>
      </c>
      <c r="AA220" s="125">
        <f t="shared" si="71"/>
        <v>0</v>
      </c>
      <c r="AB220" s="125">
        <f t="shared" si="71"/>
        <v>0</v>
      </c>
      <c r="AC220" s="125">
        <f t="shared" si="71"/>
        <v>0</v>
      </c>
      <c r="AD220" s="125">
        <f t="shared" si="71"/>
        <v>0</v>
      </c>
      <c r="AE220" s="125">
        <f t="shared" si="71"/>
        <v>0</v>
      </c>
      <c r="AF220" s="126">
        <f t="shared" si="71"/>
        <v>0</v>
      </c>
      <c r="AG220" s="127">
        <f t="shared" si="71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72">AF222</f>
        <v>0</v>
      </c>
      <c r="C222" s="129">
        <v>0.3</v>
      </c>
      <c r="D222" s="129">
        <f t="shared" ref="D222:P227" si="73">C222</f>
        <v>0.3</v>
      </c>
      <c r="E222" s="129">
        <f t="shared" si="73"/>
        <v>0.3</v>
      </c>
      <c r="F222" s="129">
        <f t="shared" si="73"/>
        <v>0.3</v>
      </c>
      <c r="G222" s="129">
        <f t="shared" si="73"/>
        <v>0.3</v>
      </c>
      <c r="H222" s="129">
        <f t="shared" si="73"/>
        <v>0.3</v>
      </c>
      <c r="I222" s="129">
        <f t="shared" si="73"/>
        <v>0.3</v>
      </c>
      <c r="J222" s="129">
        <f t="shared" si="73"/>
        <v>0.3</v>
      </c>
      <c r="K222" s="129">
        <f t="shared" si="73"/>
        <v>0.3</v>
      </c>
      <c r="L222" s="129">
        <f t="shared" si="73"/>
        <v>0.3</v>
      </c>
      <c r="M222" s="129">
        <f t="shared" si="73"/>
        <v>0.3</v>
      </c>
      <c r="N222" s="129">
        <f t="shared" si="73"/>
        <v>0.3</v>
      </c>
      <c r="O222" s="129">
        <f t="shared" si="73"/>
        <v>0.3</v>
      </c>
      <c r="P222" s="129">
        <f t="shared" si="73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72"/>
        <v>0</v>
      </c>
      <c r="C223" s="117">
        <v>0.4</v>
      </c>
      <c r="D223" s="117">
        <f t="shared" si="73"/>
        <v>0.4</v>
      </c>
      <c r="E223" s="117">
        <f t="shared" si="73"/>
        <v>0.4</v>
      </c>
      <c r="F223" s="117">
        <f t="shared" si="73"/>
        <v>0.4</v>
      </c>
      <c r="G223" s="117">
        <f t="shared" si="73"/>
        <v>0.4</v>
      </c>
      <c r="H223" s="117">
        <f t="shared" si="73"/>
        <v>0.4</v>
      </c>
      <c r="I223" s="117">
        <f t="shared" si="73"/>
        <v>0.4</v>
      </c>
      <c r="J223" s="117">
        <f t="shared" si="73"/>
        <v>0.4</v>
      </c>
      <c r="K223" s="117">
        <f t="shared" si="73"/>
        <v>0.4</v>
      </c>
      <c r="L223" s="117">
        <f t="shared" si="73"/>
        <v>0.4</v>
      </c>
      <c r="M223" s="117">
        <f t="shared" si="73"/>
        <v>0.4</v>
      </c>
      <c r="N223" s="117">
        <f t="shared" si="73"/>
        <v>0.4</v>
      </c>
      <c r="O223" s="117">
        <f t="shared" si="73"/>
        <v>0.4</v>
      </c>
      <c r="P223" s="117">
        <f t="shared" si="73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72"/>
        <v>0</v>
      </c>
      <c r="C224" s="117">
        <v>1.5</v>
      </c>
      <c r="D224" s="117">
        <f t="shared" si="73"/>
        <v>1.5</v>
      </c>
      <c r="E224" s="117">
        <f t="shared" si="73"/>
        <v>1.5</v>
      </c>
      <c r="F224" s="117">
        <f t="shared" si="73"/>
        <v>1.5</v>
      </c>
      <c r="G224" s="117">
        <f t="shared" si="73"/>
        <v>1.5</v>
      </c>
      <c r="H224" s="117">
        <f t="shared" si="73"/>
        <v>1.5</v>
      </c>
      <c r="I224" s="100">
        <f t="shared" ref="I224" ca="1" si="74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73"/>
        <v>1.5</v>
      </c>
      <c r="K224" s="117">
        <f t="shared" ca="1" si="73"/>
        <v>1.5</v>
      </c>
      <c r="L224" s="117">
        <f t="shared" ca="1" si="73"/>
        <v>1.5</v>
      </c>
      <c r="M224" s="117">
        <f t="shared" ca="1" si="73"/>
        <v>1.5</v>
      </c>
      <c r="N224" s="117">
        <f t="shared" ca="1" si="73"/>
        <v>1.5</v>
      </c>
      <c r="O224" s="117">
        <f t="shared" ca="1" si="73"/>
        <v>1.5</v>
      </c>
      <c r="P224" s="117">
        <f t="shared" ca="1" si="73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72"/>
        <v>0</v>
      </c>
      <c r="C225" s="117">
        <v>0.3</v>
      </c>
      <c r="D225" s="117">
        <f t="shared" si="73"/>
        <v>0.3</v>
      </c>
      <c r="E225" s="117">
        <f t="shared" si="73"/>
        <v>0.3</v>
      </c>
      <c r="F225" s="117">
        <f t="shared" si="73"/>
        <v>0.3</v>
      </c>
      <c r="G225" s="117">
        <f t="shared" si="73"/>
        <v>0.3</v>
      </c>
      <c r="H225" s="117">
        <f t="shared" si="73"/>
        <v>0.3</v>
      </c>
      <c r="I225" s="117">
        <f t="shared" si="73"/>
        <v>0.3</v>
      </c>
      <c r="J225" s="117">
        <f t="shared" si="73"/>
        <v>0.3</v>
      </c>
      <c r="K225" s="117">
        <f t="shared" si="73"/>
        <v>0.3</v>
      </c>
      <c r="L225" s="117">
        <f t="shared" si="73"/>
        <v>0.3</v>
      </c>
      <c r="M225" s="117">
        <f t="shared" si="73"/>
        <v>0.3</v>
      </c>
      <c r="N225" s="117">
        <f t="shared" si="73"/>
        <v>0.3</v>
      </c>
      <c r="O225" s="117">
        <f t="shared" si="73"/>
        <v>0.3</v>
      </c>
      <c r="P225" s="117">
        <f t="shared" si="73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72"/>
        <v>0</v>
      </c>
      <c r="C226" s="117">
        <v>0.4</v>
      </c>
      <c r="D226" s="117">
        <f t="shared" si="73"/>
        <v>0.4</v>
      </c>
      <c r="E226" s="117">
        <f t="shared" si="73"/>
        <v>0.4</v>
      </c>
      <c r="F226" s="117">
        <f t="shared" si="73"/>
        <v>0.4</v>
      </c>
      <c r="G226" s="117">
        <f t="shared" si="73"/>
        <v>0.4</v>
      </c>
      <c r="H226" s="117">
        <f t="shared" si="73"/>
        <v>0.4</v>
      </c>
      <c r="I226" s="117">
        <f t="shared" si="73"/>
        <v>0.4</v>
      </c>
      <c r="J226" s="117">
        <f t="shared" si="73"/>
        <v>0.4</v>
      </c>
      <c r="K226" s="117">
        <f t="shared" si="73"/>
        <v>0.4</v>
      </c>
      <c r="L226" s="117">
        <f t="shared" si="73"/>
        <v>0.4</v>
      </c>
      <c r="M226" s="117">
        <f t="shared" si="73"/>
        <v>0.4</v>
      </c>
      <c r="N226" s="117">
        <f t="shared" si="73"/>
        <v>0.4</v>
      </c>
      <c r="O226" s="117">
        <f t="shared" si="73"/>
        <v>0.4</v>
      </c>
      <c r="P226" s="117">
        <f t="shared" si="73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72"/>
        <v>0</v>
      </c>
      <c r="C227" s="121">
        <v>0.64</v>
      </c>
      <c r="D227" s="121">
        <f t="shared" si="73"/>
        <v>0.64</v>
      </c>
      <c r="E227" s="121">
        <f t="shared" si="73"/>
        <v>0.64</v>
      </c>
      <c r="F227" s="121">
        <f t="shared" si="73"/>
        <v>0.64</v>
      </c>
      <c r="G227" s="121">
        <f t="shared" si="73"/>
        <v>0.64</v>
      </c>
      <c r="H227" s="121">
        <f t="shared" si="73"/>
        <v>0.64</v>
      </c>
      <c r="I227" s="121">
        <f t="shared" si="73"/>
        <v>0.64</v>
      </c>
      <c r="J227" s="121">
        <f t="shared" si="73"/>
        <v>0.64</v>
      </c>
      <c r="K227" s="121">
        <f t="shared" si="73"/>
        <v>0.64</v>
      </c>
      <c r="L227" s="121">
        <f t="shared" si="73"/>
        <v>0.64</v>
      </c>
      <c r="M227" s="121">
        <f t="shared" si="73"/>
        <v>0.64</v>
      </c>
      <c r="N227" s="121">
        <f t="shared" si="73"/>
        <v>0.64</v>
      </c>
      <c r="O227" s="121">
        <f t="shared" si="73"/>
        <v>0.64</v>
      </c>
      <c r="P227" s="121">
        <f t="shared" si="73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75">SUM(B222:B227)</f>
        <v>0</v>
      </c>
      <c r="C228" s="125">
        <f t="shared" si="75"/>
        <v>3.54</v>
      </c>
      <c r="D228" s="125">
        <f t="shared" si="75"/>
        <v>3.54</v>
      </c>
      <c r="E228" s="125">
        <f t="shared" si="75"/>
        <v>3.54</v>
      </c>
      <c r="F228" s="125">
        <f t="shared" si="75"/>
        <v>3.54</v>
      </c>
      <c r="G228" s="125">
        <f t="shared" si="75"/>
        <v>3.54</v>
      </c>
      <c r="H228" s="125">
        <f t="shared" si="75"/>
        <v>3.54</v>
      </c>
      <c r="I228" s="125">
        <f t="shared" ca="1" si="75"/>
        <v>3.54</v>
      </c>
      <c r="J228" s="125">
        <f t="shared" ca="1" si="75"/>
        <v>3.54</v>
      </c>
      <c r="K228" s="125">
        <f t="shared" ca="1" si="75"/>
        <v>3.54</v>
      </c>
      <c r="L228" s="125">
        <f t="shared" ca="1" si="75"/>
        <v>3.54</v>
      </c>
      <c r="M228" s="125">
        <f t="shared" ca="1" si="75"/>
        <v>3.54</v>
      </c>
      <c r="N228" s="125">
        <f t="shared" ca="1" si="75"/>
        <v>3.54</v>
      </c>
      <c r="O228" s="125">
        <f t="shared" ca="1" si="75"/>
        <v>3.54</v>
      </c>
      <c r="P228" s="125">
        <f t="shared" ca="1" si="75"/>
        <v>3.54</v>
      </c>
      <c r="Q228" s="125">
        <f t="shared" si="75"/>
        <v>0</v>
      </c>
      <c r="R228" s="125">
        <f t="shared" si="75"/>
        <v>0</v>
      </c>
      <c r="S228" s="125">
        <f t="shared" si="75"/>
        <v>0</v>
      </c>
      <c r="T228" s="125">
        <f t="shared" si="75"/>
        <v>0</v>
      </c>
      <c r="U228" s="125">
        <f t="shared" si="75"/>
        <v>0</v>
      </c>
      <c r="V228" s="125">
        <f t="shared" si="75"/>
        <v>0</v>
      </c>
      <c r="W228" s="125">
        <f t="shared" si="75"/>
        <v>0</v>
      </c>
      <c r="X228" s="125">
        <f t="shared" si="75"/>
        <v>0</v>
      </c>
      <c r="Y228" s="125">
        <f t="shared" si="75"/>
        <v>0</v>
      </c>
      <c r="Z228" s="125">
        <f t="shared" si="75"/>
        <v>0</v>
      </c>
      <c r="AA228" s="125">
        <f t="shared" si="75"/>
        <v>0</v>
      </c>
      <c r="AB228" s="125">
        <f t="shared" si="75"/>
        <v>0</v>
      </c>
      <c r="AC228" s="125">
        <f t="shared" si="75"/>
        <v>0</v>
      </c>
      <c r="AD228" s="125">
        <f t="shared" si="75"/>
        <v>0</v>
      </c>
      <c r="AE228" s="125">
        <f t="shared" si="75"/>
        <v>0</v>
      </c>
      <c r="AF228" s="125">
        <f t="shared" si="75"/>
        <v>0</v>
      </c>
      <c r="AG228" s="134">
        <f t="shared" si="75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1591.039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5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2079/09/5)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2079/09/5)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76">B85</f>
        <v>1002.6389999999999</v>
      </c>
      <c r="U242" s="159">
        <f t="shared" si="76"/>
        <v>979.53899999999999</v>
      </c>
      <c r="V242" s="159">
        <f t="shared" si="76"/>
        <v>941.73899999999992</v>
      </c>
      <c r="W242" s="159">
        <f t="shared" si="76"/>
        <v>959.83899999999994</v>
      </c>
      <c r="X242" s="159">
        <f t="shared" si="76"/>
        <v>965.03899999999987</v>
      </c>
      <c r="Y242" s="159">
        <f t="shared" si="76"/>
        <v>1036.9389999999999</v>
      </c>
      <c r="Z242" s="159">
        <f t="shared" si="76"/>
        <v>1084.5389999999998</v>
      </c>
      <c r="AA242" s="159">
        <f t="shared" si="76"/>
        <v>1182.039</v>
      </c>
      <c r="AB242" s="159">
        <f t="shared" si="76"/>
        <v>1315.3789999999999</v>
      </c>
      <c r="AC242" s="159">
        <f t="shared" si="76"/>
        <v>1475.1390000000001</v>
      </c>
      <c r="AD242" s="159">
        <f t="shared" si="76"/>
        <v>1564.8389999999999</v>
      </c>
      <c r="AE242" s="159">
        <f t="shared" si="76"/>
        <v>1591.039</v>
      </c>
      <c r="AF242" s="159">
        <f t="shared" si="76"/>
        <v>1519.1390000000001</v>
      </c>
      <c r="AG242" s="159">
        <f t="shared" si="76"/>
        <v>1444.539</v>
      </c>
      <c r="AH242" s="159">
        <f t="shared" si="76"/>
        <v>1398.6390000000001</v>
      </c>
      <c r="AI242" s="159">
        <f t="shared" si="76"/>
        <v>1272.4390000000001</v>
      </c>
      <c r="AJ242" s="159">
        <f t="shared" si="76"/>
        <v>1258.239</v>
      </c>
      <c r="AK242" s="159">
        <f t="shared" si="76"/>
        <v>1248.9390000000001</v>
      </c>
      <c r="AL242" s="159">
        <f t="shared" si="76"/>
        <v>1284.739</v>
      </c>
      <c r="AM242" s="159">
        <f t="shared" si="76"/>
        <v>1312.239</v>
      </c>
      <c r="AN242" s="159">
        <f t="shared" si="76"/>
        <v>1388.3389999999999</v>
      </c>
      <c r="AO242" s="159">
        <f t="shared" si="76"/>
        <v>1519.0390000000002</v>
      </c>
      <c r="AP242" s="159">
        <f t="shared" si="76"/>
        <v>1565.3389999999999</v>
      </c>
      <c r="AQ242" s="159">
        <f t="shared" si="76"/>
        <v>1513.539</v>
      </c>
      <c r="AR242" s="159">
        <f t="shared" si="76"/>
        <v>1515.9390000000001</v>
      </c>
      <c r="AS242" s="159">
        <f t="shared" si="76"/>
        <v>1475.039</v>
      </c>
      <c r="AT242" s="159">
        <f t="shared" si="76"/>
        <v>1406.739</v>
      </c>
      <c r="AU242" s="159">
        <f t="shared" si="76"/>
        <v>1308.4389999999999</v>
      </c>
      <c r="AV242" s="159">
        <f t="shared" si="76"/>
        <v>1264.8389999999999</v>
      </c>
      <c r="AW242" s="159">
        <f t="shared" si="76"/>
        <v>1067.6389999999999</v>
      </c>
      <c r="AX242" s="159">
        <f t="shared" si="76"/>
        <v>1010.6389999999999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77">C227</f>
        <v>0.64</v>
      </c>
      <c r="C263" s="162">
        <f t="shared" si="77"/>
        <v>0.64</v>
      </c>
      <c r="D263" s="162">
        <f t="shared" si="77"/>
        <v>0.64</v>
      </c>
      <c r="E263" s="162">
        <f t="shared" si="77"/>
        <v>0.64</v>
      </c>
      <c r="F263" s="162">
        <f t="shared" si="77"/>
        <v>0.64</v>
      </c>
      <c r="G263" s="162">
        <f t="shared" si="77"/>
        <v>0.64</v>
      </c>
      <c r="H263" s="162">
        <f t="shared" si="77"/>
        <v>0.64</v>
      </c>
      <c r="I263" s="162">
        <f t="shared" si="77"/>
        <v>0.64</v>
      </c>
      <c r="J263" s="162">
        <f t="shared" si="77"/>
        <v>0.64</v>
      </c>
      <c r="K263" s="162">
        <f t="shared" si="77"/>
        <v>0.64</v>
      </c>
      <c r="L263" s="162">
        <f t="shared" si="77"/>
        <v>0.64</v>
      </c>
      <c r="M263" s="162">
        <f t="shared" si="77"/>
        <v>0.64</v>
      </c>
      <c r="N263" s="162">
        <f t="shared" si="77"/>
        <v>0.64</v>
      </c>
      <c r="O263" s="162">
        <f t="shared" si="77"/>
        <v>0.64</v>
      </c>
      <c r="P263" s="162">
        <f t="shared" si="77"/>
        <v>0</v>
      </c>
      <c r="Q263" s="162">
        <f t="shared" si="77"/>
        <v>0</v>
      </c>
      <c r="R263" s="162">
        <f t="shared" si="77"/>
        <v>0</v>
      </c>
      <c r="S263" s="162">
        <f t="shared" si="77"/>
        <v>0</v>
      </c>
      <c r="T263" s="162">
        <f t="shared" si="77"/>
        <v>0</v>
      </c>
      <c r="U263" s="162">
        <f t="shared" si="77"/>
        <v>0</v>
      </c>
      <c r="V263" s="162">
        <f t="shared" si="77"/>
        <v>0</v>
      </c>
      <c r="W263" s="162">
        <f t="shared" si="77"/>
        <v>0</v>
      </c>
      <c r="X263" s="162">
        <f t="shared" si="77"/>
        <v>0</v>
      </c>
      <c r="Y263" s="162">
        <f t="shared" si="77"/>
        <v>0</v>
      </c>
      <c r="Z263" s="162">
        <f t="shared" si="77"/>
        <v>0</v>
      </c>
      <c r="AA263" s="162">
        <f t="shared" si="77"/>
        <v>0</v>
      </c>
      <c r="AB263" s="162">
        <f t="shared" si="77"/>
        <v>0</v>
      </c>
      <c r="AC263" s="162">
        <f t="shared" si="77"/>
        <v>0</v>
      </c>
      <c r="AD263" s="162">
        <f t="shared" si="77"/>
        <v>0</v>
      </c>
      <c r="AE263" s="162">
        <f t="shared" si="77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78">IF(B231&lt;100,"",B231-520)</f>
        <v/>
      </c>
      <c r="C264" s="163" t="str">
        <f t="shared" si="78"/>
        <v/>
      </c>
      <c r="D264" s="163" t="str">
        <f t="shared" si="78"/>
        <v/>
      </c>
      <c r="E264" s="163" t="str">
        <f t="shared" si="78"/>
        <v/>
      </c>
      <c r="F264" s="163" t="str">
        <f t="shared" si="78"/>
        <v/>
      </c>
      <c r="G264" s="163" t="str">
        <f t="shared" si="78"/>
        <v/>
      </c>
      <c r="H264" s="163" t="str">
        <f t="shared" si="78"/>
        <v/>
      </c>
      <c r="I264" s="163" t="str">
        <f t="shared" si="78"/>
        <v/>
      </c>
      <c r="J264" s="163" t="str">
        <f t="shared" si="78"/>
        <v/>
      </c>
      <c r="K264" s="163" t="str">
        <f t="shared" si="78"/>
        <v/>
      </c>
      <c r="L264" s="163" t="str">
        <f t="shared" si="78"/>
        <v/>
      </c>
      <c r="M264" s="163" t="str">
        <f t="shared" si="78"/>
        <v/>
      </c>
      <c r="N264" s="163" t="str">
        <f t="shared" si="78"/>
        <v/>
      </c>
      <c r="O264" s="163" t="str">
        <f t="shared" si="78"/>
        <v/>
      </c>
      <c r="P264" s="163" t="str">
        <f t="shared" si="78"/>
        <v/>
      </c>
      <c r="Q264" s="163" t="str">
        <f t="shared" si="78"/>
        <v/>
      </c>
      <c r="R264" s="163" t="str">
        <f t="shared" si="78"/>
        <v/>
      </c>
      <c r="S264" s="163" t="str">
        <f t="shared" si="78"/>
        <v/>
      </c>
      <c r="T264" s="163" t="str">
        <f t="shared" si="78"/>
        <v/>
      </c>
      <c r="U264" s="163" t="str">
        <f t="shared" si="78"/>
        <v/>
      </c>
      <c r="V264" s="163" t="str">
        <f t="shared" si="78"/>
        <v/>
      </c>
      <c r="W264" s="163" t="str">
        <f t="shared" si="78"/>
        <v/>
      </c>
      <c r="X264" s="163" t="str">
        <f t="shared" si="78"/>
        <v/>
      </c>
      <c r="Y264" s="163" t="str">
        <f t="shared" si="78"/>
        <v/>
      </c>
      <c r="Z264" s="163" t="str">
        <f t="shared" si="78"/>
        <v/>
      </c>
      <c r="AA264" s="163" t="str">
        <f t="shared" si="78"/>
        <v/>
      </c>
      <c r="AB264" s="163" t="str">
        <f t="shared" si="78"/>
        <v/>
      </c>
      <c r="AC264" s="163" t="str">
        <f t="shared" si="78"/>
        <v/>
      </c>
      <c r="AD264" s="163" t="str">
        <f t="shared" si="78"/>
        <v/>
      </c>
      <c r="AE264" s="163" t="str">
        <f t="shared" si="78"/>
        <v/>
      </c>
      <c r="AF264" s="163" t="str">
        <f t="shared" si="78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79">IF(B232&lt;100,"",B232-620)</f>
        <v/>
      </c>
      <c r="C265" s="163" t="str">
        <f t="shared" si="79"/>
        <v/>
      </c>
      <c r="D265" s="163" t="str">
        <f t="shared" si="79"/>
        <v/>
      </c>
      <c r="E265" s="163" t="str">
        <f t="shared" si="79"/>
        <v/>
      </c>
      <c r="F265" s="163" t="str">
        <f t="shared" si="79"/>
        <v/>
      </c>
      <c r="G265" s="163" t="str">
        <f t="shared" si="79"/>
        <v/>
      </c>
      <c r="H265" s="163" t="str">
        <f t="shared" si="79"/>
        <v/>
      </c>
      <c r="I265" s="163" t="str">
        <f t="shared" si="79"/>
        <v/>
      </c>
      <c r="J265" s="163" t="str">
        <f t="shared" si="79"/>
        <v/>
      </c>
      <c r="K265" s="163" t="str">
        <f t="shared" si="79"/>
        <v/>
      </c>
      <c r="L265" s="163" t="str">
        <f t="shared" si="79"/>
        <v/>
      </c>
      <c r="M265" s="163" t="str">
        <f t="shared" si="79"/>
        <v/>
      </c>
      <c r="N265" s="163" t="str">
        <f t="shared" si="79"/>
        <v/>
      </c>
      <c r="O265" s="163" t="str">
        <f t="shared" si="79"/>
        <v/>
      </c>
      <c r="P265" s="163" t="str">
        <f t="shared" si="79"/>
        <v/>
      </c>
      <c r="Q265" s="163" t="str">
        <f t="shared" si="79"/>
        <v/>
      </c>
      <c r="R265" s="163" t="str">
        <f t="shared" si="79"/>
        <v/>
      </c>
      <c r="S265" s="163" t="str">
        <f t="shared" si="79"/>
        <v/>
      </c>
      <c r="T265" s="163" t="str">
        <f t="shared" si="79"/>
        <v/>
      </c>
      <c r="U265" s="163" t="str">
        <f t="shared" si="79"/>
        <v/>
      </c>
      <c r="V265" s="163" t="str">
        <f t="shared" si="79"/>
        <v/>
      </c>
      <c r="W265" s="163" t="str">
        <f t="shared" si="79"/>
        <v/>
      </c>
      <c r="X265" s="163" t="str">
        <f t="shared" si="79"/>
        <v/>
      </c>
      <c r="Y265" s="163" t="str">
        <f t="shared" si="79"/>
        <v/>
      </c>
      <c r="Z265" s="163" t="str">
        <f t="shared" si="79"/>
        <v/>
      </c>
      <c r="AA265" s="163" t="str">
        <f t="shared" si="79"/>
        <v/>
      </c>
      <c r="AB265" s="163" t="str">
        <f t="shared" si="79"/>
        <v/>
      </c>
      <c r="AC265" s="163" t="str">
        <f t="shared" si="79"/>
        <v/>
      </c>
      <c r="AD265" s="163" t="str">
        <f t="shared" si="79"/>
        <v/>
      </c>
      <c r="AE265" s="163" t="str">
        <f t="shared" si="79"/>
        <v/>
      </c>
      <c r="AF265" s="163" t="str">
        <f t="shared" si="79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80">IF(B233&lt;100,"",B233-330)</f>
        <v/>
      </c>
      <c r="C266" s="163" t="str">
        <f t="shared" si="80"/>
        <v/>
      </c>
      <c r="D266" s="163" t="str">
        <f t="shared" si="80"/>
        <v/>
      </c>
      <c r="E266" s="163" t="str">
        <f t="shared" si="80"/>
        <v/>
      </c>
      <c r="F266" s="163" t="str">
        <f t="shared" si="80"/>
        <v/>
      </c>
      <c r="G266" s="163" t="str">
        <f t="shared" si="80"/>
        <v/>
      </c>
      <c r="H266" s="163" t="str">
        <f t="shared" si="80"/>
        <v/>
      </c>
      <c r="I266" s="163" t="str">
        <f t="shared" si="80"/>
        <v/>
      </c>
      <c r="J266" s="163" t="str">
        <f t="shared" si="80"/>
        <v/>
      </c>
      <c r="K266" s="163" t="str">
        <f t="shared" si="80"/>
        <v/>
      </c>
      <c r="L266" s="163" t="str">
        <f t="shared" si="80"/>
        <v/>
      </c>
      <c r="M266" s="163" t="str">
        <f t="shared" si="80"/>
        <v/>
      </c>
      <c r="N266" s="163" t="str">
        <f t="shared" si="80"/>
        <v/>
      </c>
      <c r="O266" s="163" t="str">
        <f t="shared" si="80"/>
        <v/>
      </c>
      <c r="P266" s="163" t="str">
        <f t="shared" si="80"/>
        <v/>
      </c>
      <c r="Q266" s="163" t="str">
        <f t="shared" si="80"/>
        <v/>
      </c>
      <c r="R266" s="163" t="str">
        <f t="shared" si="80"/>
        <v/>
      </c>
      <c r="S266" s="163" t="str">
        <f t="shared" si="80"/>
        <v/>
      </c>
      <c r="T266" s="163" t="str">
        <f t="shared" si="80"/>
        <v/>
      </c>
      <c r="U266" s="163" t="str">
        <f t="shared" si="80"/>
        <v/>
      </c>
      <c r="V266" s="163" t="str">
        <f t="shared" si="80"/>
        <v/>
      </c>
      <c r="W266" s="163" t="str">
        <f t="shared" si="80"/>
        <v/>
      </c>
      <c r="X266" s="163" t="str">
        <f t="shared" si="80"/>
        <v/>
      </c>
      <c r="Y266" s="163" t="str">
        <f t="shared" si="80"/>
        <v/>
      </c>
      <c r="Z266" s="163" t="str">
        <f t="shared" si="80"/>
        <v/>
      </c>
      <c r="AA266" s="163" t="str">
        <f t="shared" si="80"/>
        <v/>
      </c>
      <c r="AB266" s="163" t="str">
        <f t="shared" si="80"/>
        <v/>
      </c>
      <c r="AC266" s="163" t="str">
        <f t="shared" si="80"/>
        <v/>
      </c>
      <c r="AD266" s="163" t="str">
        <f t="shared" si="80"/>
        <v/>
      </c>
      <c r="AE266" s="163" t="str">
        <f t="shared" si="80"/>
        <v/>
      </c>
      <c r="AF266" s="163" t="str">
        <f t="shared" si="80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81">IF(B234&lt;100,"",B234-1500)</f>
        <v/>
      </c>
      <c r="C267" s="163" t="str">
        <f t="shared" si="81"/>
        <v/>
      </c>
      <c r="D267" s="163" t="str">
        <f t="shared" si="81"/>
        <v/>
      </c>
      <c r="E267" s="163" t="str">
        <f t="shared" si="81"/>
        <v/>
      </c>
      <c r="F267" s="163" t="str">
        <f t="shared" si="81"/>
        <v/>
      </c>
      <c r="G267" s="163" t="str">
        <f t="shared" si="81"/>
        <v/>
      </c>
      <c r="H267" s="163" t="str">
        <f t="shared" si="81"/>
        <v/>
      </c>
      <c r="I267" s="163" t="str">
        <f t="shared" si="81"/>
        <v/>
      </c>
      <c r="J267" s="163" t="str">
        <f t="shared" si="81"/>
        <v/>
      </c>
      <c r="K267" s="163" t="str">
        <f t="shared" si="81"/>
        <v/>
      </c>
      <c r="L267" s="163" t="str">
        <f t="shared" si="81"/>
        <v/>
      </c>
      <c r="M267" s="163" t="str">
        <f t="shared" si="81"/>
        <v/>
      </c>
      <c r="N267" s="163" t="str">
        <f t="shared" si="81"/>
        <v/>
      </c>
      <c r="O267" s="163" t="str">
        <f t="shared" si="81"/>
        <v/>
      </c>
      <c r="P267" s="163" t="str">
        <f t="shared" si="81"/>
        <v/>
      </c>
      <c r="Q267" s="163" t="str">
        <f t="shared" si="81"/>
        <v/>
      </c>
      <c r="R267" s="163" t="str">
        <f t="shared" si="81"/>
        <v/>
      </c>
      <c r="S267" s="163" t="str">
        <f t="shared" si="81"/>
        <v/>
      </c>
      <c r="T267" s="163" t="str">
        <f t="shared" si="81"/>
        <v/>
      </c>
      <c r="U267" s="163" t="str">
        <f t="shared" si="81"/>
        <v/>
      </c>
      <c r="V267" s="163" t="str">
        <f t="shared" si="81"/>
        <v/>
      </c>
      <c r="W267" s="163" t="str">
        <f t="shared" si="81"/>
        <v/>
      </c>
      <c r="X267" s="163" t="str">
        <f t="shared" si="81"/>
        <v/>
      </c>
      <c r="Y267" s="163" t="str">
        <f t="shared" si="81"/>
        <v/>
      </c>
      <c r="Z267" s="163" t="str">
        <f t="shared" si="81"/>
        <v/>
      </c>
      <c r="AA267" s="163" t="str">
        <f t="shared" si="81"/>
        <v/>
      </c>
      <c r="AB267" s="163" t="str">
        <f t="shared" si="81"/>
        <v/>
      </c>
      <c r="AC267" s="163" t="str">
        <f t="shared" si="81"/>
        <v/>
      </c>
      <c r="AD267" s="163" t="str">
        <f t="shared" si="81"/>
        <v/>
      </c>
      <c r="AE267" s="163" t="str">
        <f t="shared" si="81"/>
        <v/>
      </c>
      <c r="AF267" s="163" t="str">
        <f t="shared" si="81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1468" priority="158">
      <formula>$AH11=0</formula>
    </cfRule>
  </conditionalFormatting>
  <conditionalFormatting sqref="B8 M8 S8 AB8">
    <cfRule type="expression" dxfId="1467" priority="308">
      <formula>AND(C$9&gt;=14/24,C$9&lt;20/24)</formula>
    </cfRule>
    <cfRule type="expression" dxfId="1466" priority="310">
      <formula>C$9&lt;8/24</formula>
    </cfRule>
    <cfRule type="expression" dxfId="1465" priority="309">
      <formula>AND(C$9&gt;=8/24,C$9&lt;14/24)</formula>
    </cfRule>
  </conditionalFormatting>
  <conditionalFormatting sqref="B67:B72 C70:M72">
    <cfRule type="expression" dxfId="1464" priority="81">
      <formula>B$9&lt;8/24</formula>
    </cfRule>
  </conditionalFormatting>
  <conditionalFormatting sqref="B68:B72 C70:M72">
    <cfRule type="expression" dxfId="1463" priority="80">
      <formula>AND(B$9&gt;=8/24,B$9&lt;14/24)</formula>
    </cfRule>
    <cfRule type="expression" dxfId="1462" priority="79">
      <formula>AND(B$9&gt;=14/24,B$9&lt;20/24)</formula>
    </cfRule>
    <cfRule type="expression" dxfId="1461" priority="78">
      <formula>B$9&gt;=20/24</formula>
    </cfRule>
  </conditionalFormatting>
  <conditionalFormatting sqref="B49:I51">
    <cfRule type="expression" dxfId="1456" priority="84">
      <formula>AND(B$9&gt;=14/24,B$9&lt;20/24)</formula>
    </cfRule>
    <cfRule type="expression" dxfId="1455" priority="86">
      <formula>B$9&lt;8/24</formula>
    </cfRule>
    <cfRule type="expression" dxfId="1454" priority="85">
      <formula>AND(B$9&gt;=8/24,B$9&lt;14/24)</formula>
    </cfRule>
    <cfRule type="expression" dxfId="1453" priority="83">
      <formula>B$9&gt;=20/24</formula>
    </cfRule>
  </conditionalFormatting>
  <conditionalFormatting sqref="B73:M77">
    <cfRule type="expression" dxfId="1452" priority="1">
      <formula>B$9&gt;=20/24</formula>
    </cfRule>
    <cfRule type="expression" dxfId="1451" priority="2">
      <formula>AND(B$9&gt;=14/24,B$9&lt;20/24)</formula>
    </cfRule>
    <cfRule type="expression" dxfId="1450" priority="3">
      <formula>AND(B$9&gt;=8/24,B$9&lt;14/24)</formula>
    </cfRule>
    <cfRule type="expression" dxfId="1449" priority="4">
      <formula>B$9&lt;8/24</formula>
    </cfRule>
  </conditionalFormatting>
  <conditionalFormatting sqref="B11:W11">
    <cfRule type="expression" dxfId="1448" priority="14">
      <formula>B$9&gt;=20/24</formula>
    </cfRule>
    <cfRule type="expression" dxfId="1447" priority="15">
      <formula>AND(B$9&gt;=14/24,B$9&lt;20/24)</formula>
    </cfRule>
    <cfRule type="expression" dxfId="1446" priority="16">
      <formula>AND(B$9&gt;=8/24,B$9&lt;14/24)</formula>
    </cfRule>
    <cfRule type="expression" dxfId="1445" priority="17">
      <formula>B$9&lt;8/24</formula>
    </cfRule>
  </conditionalFormatting>
  <conditionalFormatting sqref="B12:W14">
    <cfRule type="expression" dxfId="1444" priority="9">
      <formula>B$9&gt;=20/24</formula>
    </cfRule>
    <cfRule type="expression" dxfId="1443" priority="11">
      <formula>AND(B$9&gt;=8/24,B$9&lt;14/24)</formula>
    </cfRule>
    <cfRule type="expression" dxfId="1442" priority="12">
      <formula>B$9&lt;8/24</formula>
    </cfRule>
    <cfRule type="expression" dxfId="1441" priority="10">
      <formula>AND(B$9&gt;=14/24,B$9&lt;20/24)</formula>
    </cfRule>
  </conditionalFormatting>
  <conditionalFormatting sqref="B15:W40">
    <cfRule type="expression" dxfId="1440" priority="103">
      <formula>B$9&lt;8/24</formula>
    </cfRule>
    <cfRule type="expression" dxfId="1439" priority="101">
      <formula>AND(B$9&gt;=14/24,B$9&lt;20/24)</formula>
    </cfRule>
    <cfRule type="expression" dxfId="1438" priority="100">
      <formula>B$9&gt;=20/24</formula>
    </cfRule>
    <cfRule type="expression" dxfId="1437" priority="102">
      <formula>AND(B$9&gt;=8/24,B$9&lt;14/24)</formula>
    </cfRule>
  </conditionalFormatting>
  <conditionalFormatting sqref="B41:W41">
    <cfRule type="expression" dxfId="1436" priority="5">
      <formula>B$9&gt;=20/24</formula>
    </cfRule>
    <cfRule type="expression" dxfId="1435" priority="6">
      <formula>AND(B$9&gt;=14/24,B$9&lt;20/24)</formula>
    </cfRule>
    <cfRule type="expression" dxfId="1434" priority="7">
      <formula>AND(B$9&gt;=8/24,B$9&lt;14/24)</formula>
    </cfRule>
    <cfRule type="expression" dxfId="1433" priority="8">
      <formula>B$9&lt;8/24</formula>
    </cfRule>
  </conditionalFormatting>
  <conditionalFormatting sqref="B42:W42">
    <cfRule type="expression" dxfId="1432" priority="67">
      <formula>B$9&lt;8/24</formula>
    </cfRule>
    <cfRule type="expression" dxfId="1431" priority="64">
      <formula>B$9&gt;=20/24</formula>
    </cfRule>
    <cfRule type="expression" dxfId="1430" priority="65">
      <formula>AND(B$9&gt;=14/24,B$9&lt;20/24)</formula>
    </cfRule>
    <cfRule type="expression" dxfId="1429" priority="66">
      <formula>AND(B$9&gt;=8/24,B$9&lt;14/24)</formula>
    </cfRule>
  </conditionalFormatting>
  <conditionalFormatting sqref="B54:W60">
    <cfRule type="expression" dxfId="1428" priority="20">
      <formula>B$9&gt;=20/24</formula>
    </cfRule>
    <cfRule type="expression" dxfId="1427" priority="21">
      <formula>AND(B$9&gt;=14/24,B$9&lt;20/24)</formula>
    </cfRule>
    <cfRule type="expression" dxfId="1426" priority="22">
      <formula>AND(B$9&gt;=8/24,B$9&lt;14/24)</formula>
    </cfRule>
    <cfRule type="expression" dxfId="1425" priority="23">
      <formula>B$9&lt;8/24</formula>
    </cfRule>
  </conditionalFormatting>
  <conditionalFormatting sqref="B9:AF10 B220:AF220 D222:AF223 B222:B228 D224:H224 J224:AF224 D225:AF228 U241:AF241">
    <cfRule type="expression" dxfId="1424" priority="302">
      <formula>AND(B$9&gt;=14/24,B$9&lt;20/24)</formula>
    </cfRule>
    <cfRule type="expression" dxfId="1423" priority="301">
      <formula>B$9&gt;=20/24</formula>
    </cfRule>
    <cfRule type="expression" dxfId="1422" priority="303">
      <formula>AND(B$9&gt;=8/24,B$9&lt;14/24)</formula>
    </cfRule>
    <cfRule type="expression" dxfId="1421" priority="304">
      <formula>B$9&lt;8/24</formula>
    </cfRule>
  </conditionalFormatting>
  <conditionalFormatting sqref="B11:AF66">
    <cfRule type="expression" dxfId="1420" priority="13">
      <formula>B11&gt;$AG11</formula>
    </cfRule>
  </conditionalFormatting>
  <conditionalFormatting sqref="B43:AF43">
    <cfRule type="expression" dxfId="1419" priority="96">
      <formula>B$9&gt;=20/24</formula>
    </cfRule>
    <cfRule type="expression" dxfId="1418" priority="97">
      <formula>AND(B$9&gt;=14/24,B$9&lt;20/24)</formula>
    </cfRule>
    <cfRule type="expression" dxfId="1417" priority="98">
      <formula>AND(B$9&gt;=8/24,B$9&lt;14/24)</formula>
    </cfRule>
    <cfRule type="expression" dxfId="1416" priority="99">
      <formula>B$9&lt;8/24</formula>
    </cfRule>
  </conditionalFormatting>
  <conditionalFormatting sqref="B45:AF48">
    <cfRule type="expression" dxfId="1415" priority="43">
      <formula>AND(B$9&gt;=8/24,B$9&lt;14/24)</formula>
    </cfRule>
    <cfRule type="expression" dxfId="1414" priority="44">
      <formula>B$9&lt;8/24</formula>
    </cfRule>
    <cfRule type="expression" dxfId="1413" priority="42">
      <formula>AND(B$9&gt;=14/24,B$9&lt;20/24)</formula>
    </cfRule>
    <cfRule type="expression" dxfId="1412" priority="41">
      <formula>B$9&gt;=20/24</formula>
    </cfRule>
  </conditionalFormatting>
  <conditionalFormatting sqref="B63:AF66">
    <cfRule type="expression" dxfId="1411" priority="62">
      <formula>B$9&lt;8/24</formula>
    </cfRule>
  </conditionalFormatting>
  <conditionalFormatting sqref="B63:AF67">
    <cfRule type="expression" dxfId="1410" priority="59">
      <formula>B$9&gt;=20/24</formula>
    </cfRule>
    <cfRule type="expression" dxfId="1409" priority="61">
      <formula>AND(B$9&gt;=8/24,B$9&lt;14/24)</formula>
    </cfRule>
    <cfRule type="expression" dxfId="1408" priority="60">
      <formula>AND(B$9&gt;=14/24,B$9&lt;20/24)</formula>
    </cfRule>
  </conditionalFormatting>
  <conditionalFormatting sqref="B78:AF85">
    <cfRule type="expression" dxfId="1407" priority="54">
      <formula>B$9&gt;=20/24</formula>
    </cfRule>
    <cfRule type="expression" dxfId="1406" priority="55">
      <formula>AND(B$9&gt;=14/24,B$9&lt;20/24)</formula>
    </cfRule>
    <cfRule type="expression" dxfId="1405" priority="56">
      <formula>AND(B$9&gt;=8/24,B$9&lt;14/24)</formula>
    </cfRule>
    <cfRule type="expression" dxfId="1404" priority="57">
      <formula>B$9&lt;8/24</formula>
    </cfRule>
  </conditionalFormatting>
  <conditionalFormatting sqref="B87:AF103">
    <cfRule type="expression" dxfId="1399" priority="37">
      <formula>AND(B$9&gt;=14/24,B$9&lt;20/24)</formula>
    </cfRule>
    <cfRule type="expression" dxfId="1398" priority="36">
      <formula>B$9&gt;=20/24</formula>
    </cfRule>
    <cfRule type="expression" dxfId="1397" priority="39">
      <formula>B$9&lt;8/24</formula>
    </cfRule>
    <cfRule type="expression" dxfId="1396" priority="38">
      <formula>AND(B$9&gt;=8/24,B$9&lt;14/24)</formula>
    </cfRule>
  </conditionalFormatting>
  <conditionalFormatting sqref="B105:AF112">
    <cfRule type="expression" dxfId="1395" priority="24">
      <formula>B$9&gt;=20/24</formula>
    </cfRule>
    <cfRule type="expression" dxfId="1394" priority="25">
      <formula>AND(B$9&gt;=14/24,B$9&lt;20/24)</formula>
    </cfRule>
    <cfRule type="expression" dxfId="1393" priority="27">
      <formula>B$9&lt;8/24</formula>
    </cfRule>
    <cfRule type="expression" dxfId="1392" priority="26">
      <formula>AND(B$9&gt;=8/24,B$9&lt;14/24)</formula>
    </cfRule>
  </conditionalFormatting>
  <conditionalFormatting sqref="J50:N51 P50:Q51 O50:O53 M52:N53 P52:W53 E67:AF67">
    <cfRule type="expression" dxfId="1387" priority="270">
      <formula>E$9&lt;8/24</formula>
    </cfRule>
  </conditionalFormatting>
  <conditionalFormatting sqref="J50:N51 P50:Q51 O50:O53 M52:N53 P52:W53">
    <cfRule type="expression" dxfId="1386" priority="269">
      <formula>AND(J$9&gt;=8/24,J$9&lt;14/24)</formula>
    </cfRule>
    <cfRule type="expression" dxfId="1385" priority="268">
      <formula>AND(J$9&gt;=14/24,J$9&lt;20/24)</formula>
    </cfRule>
    <cfRule type="expression" dxfId="1384" priority="267">
      <formula>J$9&gt;=20/24</formula>
    </cfRule>
  </conditionalFormatting>
  <conditionalFormatting sqref="J49:Q49">
    <cfRule type="expression" dxfId="1383" priority="263">
      <formula>J$9&gt;=20/24</formula>
    </cfRule>
    <cfRule type="expression" dxfId="1382" priority="266">
      <formula>J$9&lt;8/24</formula>
    </cfRule>
    <cfRule type="expression" dxfId="1381" priority="265">
      <formula>AND(J$9&gt;=8/24,J$9&lt;14/24)</formula>
    </cfRule>
    <cfRule type="expression" dxfId="1380" priority="264">
      <formula>AND(J$9&gt;=14/24,J$9&lt;20/24)</formula>
    </cfRule>
  </conditionalFormatting>
  <conditionalFormatting sqref="N70:N77 E68:N69">
    <cfRule type="expression" dxfId="1379" priority="261">
      <formula>E$9&lt;8/24</formula>
    </cfRule>
  </conditionalFormatting>
  <conditionalFormatting sqref="N70:N77">
    <cfRule type="expression" dxfId="1378" priority="260">
      <formula>AND(N$9&gt;=8/24,N$9&lt;14/24)</formula>
    </cfRule>
    <cfRule type="expression" dxfId="1377" priority="259">
      <formula>AND(N$9&gt;=14/24,N$9&lt;20/24)</formula>
    </cfRule>
    <cfRule type="expression" dxfId="1376" priority="258">
      <formula>N$9&gt;=20/24</formula>
    </cfRule>
  </conditionalFormatting>
  <conditionalFormatting sqref="O3:P3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R49:W51">
    <cfRule type="expression" dxfId="1375" priority="248">
      <formula>R$9&gt;=20/24</formula>
    </cfRule>
    <cfRule type="expression" dxfId="1374" priority="249">
      <formula>AND(R$9&gt;=14/24,R$9&lt;20/24)</formula>
    </cfRule>
    <cfRule type="expression" dxfId="1373" priority="251">
      <formula>R$9&lt;8/24</formula>
    </cfRule>
    <cfRule type="expression" dxfId="1372" priority="250">
      <formula>AND(R$9&gt;=8/24,R$9&lt;14/24)</formula>
    </cfRule>
  </conditionalFormatting>
  <conditionalFormatting sqref="S8 AB8 B8 M8">
    <cfRule type="expression" dxfId="1371" priority="307">
      <formula>C$9&gt;=20/24</formula>
    </cfRule>
  </conditionalFormatting>
  <conditionalFormatting sqref="S8">
    <cfRule type="expression" dxfId="1370" priority="276">
      <formula>U$9&gt;=20/24</formula>
    </cfRule>
    <cfRule type="expression" dxfId="1369" priority="277">
      <formula>AND(U$9&gt;=14/24,U$9&lt;20/24)</formula>
    </cfRule>
    <cfRule type="expression" dxfId="1368" priority="278">
      <formula>AND(U$9&gt;=8/24,U$9&lt;14/24)</formula>
    </cfRule>
    <cfRule type="expression" dxfId="1367" priority="279">
      <formula>U$9&lt;8/24</formula>
    </cfRule>
  </conditionalFormatting>
  <conditionalFormatting sqref="T241">
    <cfRule type="expression" dxfId="1366" priority="320">
      <formula>AX$9&gt;=20/24</formula>
    </cfRule>
    <cfRule type="expression" dxfId="1365" priority="321">
      <formula>AND(AX$9&gt;=14/24,AX$9&lt;20/24)</formula>
    </cfRule>
    <cfRule type="expression" dxfId="1364" priority="322">
      <formula>AND(AX$9&gt;=8/24,AX$9&lt;14/24)</formula>
    </cfRule>
    <cfRule type="expression" dxfId="1363" priority="323">
      <formula>AX$9&lt;8/24</formula>
    </cfRule>
  </conditionalFormatting>
  <conditionalFormatting sqref="V3 AB3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X11:AF42">
    <cfRule type="expression" dxfId="1362" priority="233">
      <formula>X$9&lt;8/24</formula>
    </cfRule>
    <cfRule type="expression" dxfId="1361" priority="232">
      <formula>AND(X$9&gt;=8/24,X$9&lt;14/24)</formula>
    </cfRule>
    <cfRule type="expression" dxfId="1360" priority="231">
      <formula>AND(X$9&gt;=14/24,X$9&lt;20/24)</formula>
    </cfRule>
    <cfRule type="expression" dxfId="1359" priority="230">
      <formula>X$9&gt;=20/24</formula>
    </cfRule>
  </conditionalFormatting>
  <conditionalFormatting sqref="X49:AF60">
    <cfRule type="expression" dxfId="1358" priority="216">
      <formula>X$9&gt;=20/24</formula>
    </cfRule>
    <cfRule type="expression" dxfId="1357" priority="217">
      <formula>AND(X$9&gt;=14/24,X$9&lt;20/24)</formula>
    </cfRule>
    <cfRule type="expression" dxfId="1356" priority="218">
      <formula>AND(X$9&gt;=8/24,X$9&lt;14/24)</formula>
    </cfRule>
    <cfRule type="expression" dxfId="1355" priority="219">
      <formula>X$9&lt;8/24</formula>
    </cfRule>
  </conditionalFormatting>
  <conditionalFormatting sqref="AB8">
    <cfRule type="expression" dxfId="1354" priority="275">
      <formula>AD$9&lt;8/24</formula>
    </cfRule>
    <cfRule type="expression" dxfId="1353" priority="274">
      <formula>AND(AD$9&gt;=8/24,AD$9&lt;14/24)</formula>
    </cfRule>
    <cfRule type="expression" dxfId="1352" priority="272">
      <formula>AD$9&gt;=20/24</formula>
    </cfRule>
    <cfRule type="expression" dxfId="1351" priority="273">
      <formula>AND(AD$9&gt;=14/24,AD$9&lt;20/24)</formula>
    </cfRule>
  </conditionalFormatting>
  <conditionalFormatting sqref="AG44 AG61:AG62 AG66">
    <cfRule type="expression" dxfId="1350" priority="220">
      <formula>AG44&gt;$AG44</formula>
    </cfRule>
  </conditionalFormatting>
  <conditionalFormatting sqref="AG48">
    <cfRule type="expression" dxfId="1349" priority="199">
      <formula>AND(AG$9&gt;=8/24,AG$9&lt;14/24)</formula>
    </cfRule>
    <cfRule type="expression" dxfId="1348" priority="196">
      <formula>AG48&gt;$AG48</formula>
    </cfRule>
    <cfRule type="expression" dxfId="1347" priority="200">
      <formula>AG$9&lt;8/24</formula>
    </cfRule>
    <cfRule type="expression" dxfId="1346" priority="197">
      <formula>AG$9&gt;=20/24</formula>
    </cfRule>
    <cfRule type="expression" dxfId="1345" priority="198">
      <formula>AND(AG$9&gt;=14/24,AG$9&lt;20/24)</formula>
    </cfRule>
  </conditionalFormatting>
  <conditionalFormatting sqref="AG66 C67:D69 O68:AF77 AG83">
    <cfRule type="expression" dxfId="1344" priority="224">
      <formula>C$9&lt;8/24</formula>
    </cfRule>
  </conditionalFormatting>
  <conditionalFormatting sqref="AG66 C68:N69 O68:AF77 AG83">
    <cfRule type="expression" dxfId="1343" priority="222">
      <formula>AND(C$9&gt;=14/24,C$9&lt;20/24)</formula>
    </cfRule>
    <cfRule type="expression" dxfId="1342" priority="221">
      <formula>C$9&gt;=20/24</formula>
    </cfRule>
    <cfRule type="expression" dxfId="1341" priority="223">
      <formula>AND(C$9&gt;=8/24,C$9&lt;14/24)</formula>
    </cfRule>
  </conditionalFormatting>
  <conditionalFormatting sqref="AG241">
    <cfRule type="expression" dxfId="1340" priority="312">
      <formula>B$9&gt;=20/24</formula>
    </cfRule>
    <cfRule type="expression" dxfId="1339" priority="313">
      <formula>AND(B$9&gt;=14/24,B$9&lt;20/24)</formula>
    </cfRule>
    <cfRule type="expression" dxfId="1338" priority="314">
      <formula>AND(B$9&gt;=8/24,B$9&lt;14/24)</formula>
    </cfRule>
    <cfRule type="expression" dxfId="1337" priority="315">
      <formula>B$9&lt;8/24</formula>
    </cfRule>
  </conditionalFormatting>
  <conditionalFormatting sqref="AH241:AX241">
    <cfRule type="expression" dxfId="1336" priority="316">
      <formula>AG$9&gt;=20/24</formula>
    </cfRule>
    <cfRule type="expression" dxfId="1335" priority="317">
      <formula>AND(AG$9&gt;=14/24,AG$9&lt;20/24)</formula>
    </cfRule>
    <cfRule type="expression" dxfId="1334" priority="318">
      <formula>AND(AG$9&gt;=8/24,AG$9&lt;14/24)</formula>
    </cfRule>
    <cfRule type="expression" dxfId="1333" priority="319">
      <formula>AG$9&lt;8/24</formula>
    </cfRule>
  </conditionalFormatting>
  <conditionalFormatting sqref="AL4:AL6">
    <cfRule type="iconSet" priority="300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87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2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324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8" id="{1615CB30-2B38-44B6-A5E8-BD1F3D3AB0F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9" id="{1F7B8018-CBF8-4896-95D3-BF10617B044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0" id="{6DE9D075-3CEA-4847-946E-69A4BBEBBFA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1" id="{16BFF352-76E2-4652-9D97-85FDE151EC0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35" id="{BB241B9B-6733-4EC0-B78D-23AF29F0E86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4" id="{28F931F3-863E-4B6F-9494-89F07EBF79D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3" id="{5F8F3A09-2299-4E48-983A-4ABCE7899BE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2" id="{9B01A0DE-D820-499D-9A4E-1E6BEC60594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77" id="{143D9A67-33D7-43C8-960B-53FCC1E5FCD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8" id="{D8773986-8CA4-4DB1-AB7B-BED6894241D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9" id="{44F869F5-C057-4247-A504-065D5EE99F9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6" id="{3033808D-E76C-400C-AE7B-8D7C1203506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J274"/>
  <sheetViews>
    <sheetView topLeftCell="A58" workbookViewId="0">
      <selection activeCell="K65" sqref="K6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2079/09/6</v>
      </c>
      <c r="C4" s="197"/>
      <c r="D4" s="197"/>
      <c r="E4" s="198" t="str">
        <f ca="1">"2079/"&amp;"09/"&amp;INT(MID(CELL("filename",G6),FIND("]",CELL("filename",G6))+1,200))</f>
        <v>2079/09/6</v>
      </c>
      <c r="F4" s="198"/>
      <c r="G4" s="198"/>
      <c r="H4" s="198" t="str">
        <f ca="1">TEXT(E4,"dddd")</f>
        <v>Wednesday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164</v>
      </c>
      <c r="C5" s="30">
        <f t="shared" si="0"/>
        <v>175</v>
      </c>
      <c r="D5" s="30">
        <f t="shared" si="0"/>
        <v>170</v>
      </c>
      <c r="E5" s="30">
        <f t="shared" si="0"/>
        <v>188</v>
      </c>
      <c r="F5" s="30">
        <f t="shared" si="0"/>
        <v>180</v>
      </c>
      <c r="G5" s="30">
        <f t="shared" si="0"/>
        <v>175</v>
      </c>
      <c r="H5" s="30">
        <f t="shared" si="0"/>
        <v>166</v>
      </c>
      <c r="I5" s="30">
        <f t="shared" si="0"/>
        <v>107</v>
      </c>
      <c r="J5" s="30">
        <f t="shared" si="0"/>
        <v>47.8</v>
      </c>
      <c r="K5" s="30">
        <f t="shared" si="0"/>
        <v>28</v>
      </c>
      <c r="L5" s="30">
        <f t="shared" si="0"/>
        <v>65.5</v>
      </c>
      <c r="M5" s="30">
        <f t="shared" si="0"/>
        <v>46</v>
      </c>
      <c r="N5" s="30">
        <f t="shared" si="0"/>
        <v>57.8</v>
      </c>
      <c r="O5" s="30">
        <f t="shared" si="0"/>
        <v>150</v>
      </c>
      <c r="P5" s="30">
        <f t="shared" si="0"/>
        <v>287</v>
      </c>
      <c r="Q5" s="30">
        <f t="shared" si="0"/>
        <v>290.39999999999998</v>
      </c>
      <c r="R5" s="30">
        <f t="shared" si="0"/>
        <v>294.89999999999998</v>
      </c>
      <c r="S5" s="30">
        <f t="shared" si="0"/>
        <v>285</v>
      </c>
      <c r="T5" s="30">
        <f t="shared" si="0"/>
        <v>295</v>
      </c>
      <c r="U5" s="30">
        <f t="shared" si="0"/>
        <v>126</v>
      </c>
      <c r="V5" s="30">
        <f t="shared" si="0"/>
        <v>54.1</v>
      </c>
      <c r="W5" s="30">
        <f t="shared" si="0"/>
        <v>43.7</v>
      </c>
      <c r="X5" s="30">
        <f t="shared" si="0"/>
        <v>44.3</v>
      </c>
      <c r="Y5" s="30">
        <f t="shared" si="0"/>
        <v>37.700000000000003</v>
      </c>
      <c r="Z5" s="30">
        <f t="shared" si="0"/>
        <v>40.5</v>
      </c>
      <c r="AA5" s="30">
        <f t="shared" si="0"/>
        <v>137.5</v>
      </c>
      <c r="AB5" s="30">
        <f t="shared" si="0"/>
        <v>137.5</v>
      </c>
      <c r="AC5" s="30">
        <f t="shared" si="0"/>
        <v>127.5</v>
      </c>
      <c r="AD5" s="30">
        <f t="shared" si="0"/>
        <v>199</v>
      </c>
      <c r="AE5" s="30">
        <f t="shared" si="0"/>
        <v>210</v>
      </c>
      <c r="AF5" s="30">
        <f>B78</f>
        <v>230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1587MW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Load=930</v>
      </c>
      <c r="B7" s="35">
        <f t="shared" ref="B7:AF7" si="1">B85</f>
        <v>989.83900000000006</v>
      </c>
      <c r="C7" s="35">
        <f t="shared" si="1"/>
        <v>941.24900000000002</v>
      </c>
      <c r="D7" s="35">
        <f t="shared" si="1"/>
        <v>930.33900000000006</v>
      </c>
      <c r="E7" s="35">
        <f t="shared" si="1"/>
        <v>956.73900000000003</v>
      </c>
      <c r="F7" s="35">
        <f t="shared" si="1"/>
        <v>962.93900000000008</v>
      </c>
      <c r="G7" s="35">
        <f t="shared" si="1"/>
        <v>997.73900000000003</v>
      </c>
      <c r="H7" s="35">
        <f t="shared" si="1"/>
        <v>1095.6389999999999</v>
      </c>
      <c r="I7" s="35">
        <f t="shared" si="1"/>
        <v>1205.239</v>
      </c>
      <c r="J7" s="35">
        <f t="shared" si="1"/>
        <v>1288.5790000000002</v>
      </c>
      <c r="K7" s="35">
        <f t="shared" si="1"/>
        <v>1474.3389999999999</v>
      </c>
      <c r="L7" s="35">
        <f t="shared" si="1"/>
        <v>1531.4389999999999</v>
      </c>
      <c r="M7" s="35">
        <f t="shared" si="1"/>
        <v>1586.8389999999999</v>
      </c>
      <c r="N7" s="35">
        <f>N85</f>
        <v>1470.6390000000001</v>
      </c>
      <c r="O7" s="35">
        <f t="shared" si="1"/>
        <v>1434.4390000000001</v>
      </c>
      <c r="P7" s="35">
        <f t="shared" si="1"/>
        <v>1429.239</v>
      </c>
      <c r="Q7" s="35">
        <f t="shared" si="1"/>
        <v>1318.5390000000002</v>
      </c>
      <c r="R7" s="35">
        <f t="shared" si="1"/>
        <v>1260.239</v>
      </c>
      <c r="S7" s="35">
        <f t="shared" si="1"/>
        <v>1239.739</v>
      </c>
      <c r="T7" s="35">
        <f t="shared" si="1"/>
        <v>1253.6390000000001</v>
      </c>
      <c r="U7" s="35">
        <f t="shared" si="1"/>
        <v>1273.6390000000001</v>
      </c>
      <c r="V7" s="35">
        <f t="shared" si="1"/>
        <v>1368.6390000000001</v>
      </c>
      <c r="W7" s="35">
        <f t="shared" si="1"/>
        <v>1539.239</v>
      </c>
      <c r="X7" s="35">
        <f t="shared" si="1"/>
        <v>1645.6390000000004</v>
      </c>
      <c r="Y7" s="35">
        <f t="shared" si="1"/>
        <v>1596.5390000000002</v>
      </c>
      <c r="Z7" s="35">
        <f t="shared" si="1"/>
        <v>1545.239</v>
      </c>
      <c r="AA7" s="35">
        <f t="shared" si="1"/>
        <v>1444.6390000000001</v>
      </c>
      <c r="AB7" s="35">
        <f t="shared" si="1"/>
        <v>1341.8389999999999</v>
      </c>
      <c r="AC7" s="35">
        <f t="shared" si="1"/>
        <v>1341.8389999999999</v>
      </c>
      <c r="AD7" s="35">
        <f t="shared" si="1"/>
        <v>1199.739</v>
      </c>
      <c r="AE7" s="35">
        <f t="shared" si="1"/>
        <v>1062.039</v>
      </c>
      <c r="AF7" s="35">
        <f t="shared" si="1"/>
        <v>1012.8389999999999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27.4</v>
      </c>
      <c r="C11" s="45">
        <v>26.41</v>
      </c>
      <c r="D11" s="45">
        <v>26.4</v>
      </c>
      <c r="E11" s="45">
        <v>26.4</v>
      </c>
      <c r="F11" s="45">
        <v>26.4</v>
      </c>
      <c r="G11" s="45">
        <v>26.4</v>
      </c>
      <c r="H11" s="45">
        <v>26.8</v>
      </c>
      <c r="I11" s="45">
        <v>26.4</v>
      </c>
      <c r="J11" s="45">
        <v>26.7</v>
      </c>
      <c r="K11" s="45">
        <v>26.8</v>
      </c>
      <c r="L11" s="45">
        <v>26.8</v>
      </c>
      <c r="M11" s="45">
        <v>26.5</v>
      </c>
      <c r="N11" s="45">
        <v>26.5</v>
      </c>
      <c r="O11" s="45">
        <v>26.5</v>
      </c>
      <c r="P11" s="45">
        <v>26.5</v>
      </c>
      <c r="Q11" s="45">
        <v>25.1</v>
      </c>
      <c r="R11" s="45">
        <v>25.1</v>
      </c>
      <c r="S11" s="45">
        <v>25.1</v>
      </c>
      <c r="T11" s="45">
        <v>25.1</v>
      </c>
      <c r="U11" s="45">
        <v>25.1</v>
      </c>
      <c r="V11" s="45">
        <v>25.1</v>
      </c>
      <c r="W11" s="45">
        <v>25.1</v>
      </c>
      <c r="X11" s="45">
        <v>25.1</v>
      </c>
      <c r="Y11" s="45">
        <v>25.1</v>
      </c>
      <c r="Z11" s="45">
        <v>25.1</v>
      </c>
      <c r="AA11" s="45">
        <v>25.1</v>
      </c>
      <c r="AB11" s="45">
        <v>25.6</v>
      </c>
      <c r="AC11" s="45">
        <v>25.6</v>
      </c>
      <c r="AD11" s="45">
        <v>25.6</v>
      </c>
      <c r="AE11" s="45">
        <v>25.6</v>
      </c>
      <c r="AF11" s="45">
        <v>25.6</v>
      </c>
      <c r="AG11" s="47">
        <v>52.4</v>
      </c>
      <c r="AH11" s="48">
        <f t="shared" ref="AH11:AH74" si="2">MAX(B11:AF11)</f>
        <v>27.4</v>
      </c>
      <c r="AI11" s="49">
        <f t="shared" ref="AI11:AI74" si="3">MIN(B11:AF11)</f>
        <v>25.1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50.3</v>
      </c>
      <c r="C12" s="45">
        <v>50.3</v>
      </c>
      <c r="D12" s="45">
        <v>50.3</v>
      </c>
      <c r="E12" s="45">
        <v>50.3</v>
      </c>
      <c r="F12" s="45">
        <v>50.3</v>
      </c>
      <c r="G12" s="45">
        <v>50.3</v>
      </c>
      <c r="H12" s="45">
        <v>50.3</v>
      </c>
      <c r="I12" s="45">
        <v>50.3</v>
      </c>
      <c r="J12" s="45">
        <v>50.3</v>
      </c>
      <c r="K12" s="45">
        <v>50.3</v>
      </c>
      <c r="L12" s="45">
        <v>50.3</v>
      </c>
      <c r="M12" s="45">
        <v>49.5</v>
      </c>
      <c r="N12" s="45">
        <v>49.5</v>
      </c>
      <c r="O12" s="45">
        <v>49.5</v>
      </c>
      <c r="P12" s="45">
        <v>49.5</v>
      </c>
      <c r="Q12" s="45">
        <v>49.3</v>
      </c>
      <c r="R12" s="45">
        <v>49.4</v>
      </c>
      <c r="S12" s="45">
        <v>49.4</v>
      </c>
      <c r="T12" s="45">
        <v>49.4</v>
      </c>
      <c r="U12" s="45">
        <v>49.4</v>
      </c>
      <c r="V12" s="45">
        <v>49.4</v>
      </c>
      <c r="W12" s="45">
        <v>49.4</v>
      </c>
      <c r="X12" s="45">
        <v>49.4</v>
      </c>
      <c r="Y12" s="45">
        <v>49.4</v>
      </c>
      <c r="Z12" s="45">
        <v>49.4</v>
      </c>
      <c r="AA12" s="45">
        <v>49.4</v>
      </c>
      <c r="AB12" s="45">
        <v>49.4</v>
      </c>
      <c r="AC12" s="45">
        <v>49.4</v>
      </c>
      <c r="AD12" s="45">
        <v>49.4</v>
      </c>
      <c r="AE12" s="45">
        <v>49.4</v>
      </c>
      <c r="AF12" s="45">
        <v>49.4</v>
      </c>
      <c r="AG12" s="51">
        <v>50</v>
      </c>
      <c r="AH12" s="48">
        <f t="shared" si="2"/>
        <v>50.3</v>
      </c>
      <c r="AI12" s="49">
        <f t="shared" si="3"/>
        <v>49.3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26</v>
      </c>
      <c r="C13" s="45">
        <v>26</v>
      </c>
      <c r="D13" s="45">
        <v>26</v>
      </c>
      <c r="E13" s="45">
        <v>26</v>
      </c>
      <c r="F13" s="45">
        <v>26</v>
      </c>
      <c r="G13" s="45">
        <v>26</v>
      </c>
      <c r="H13" s="45">
        <v>26</v>
      </c>
      <c r="I13" s="45">
        <v>26</v>
      </c>
      <c r="J13" s="45">
        <v>26</v>
      </c>
      <c r="K13" s="45">
        <v>26</v>
      </c>
      <c r="L13" s="45">
        <v>26</v>
      </c>
      <c r="M13" s="45">
        <v>26</v>
      </c>
      <c r="N13" s="45">
        <v>26</v>
      </c>
      <c r="O13" s="45">
        <v>26</v>
      </c>
      <c r="P13" s="45">
        <v>26</v>
      </c>
      <c r="Q13" s="45">
        <v>26</v>
      </c>
      <c r="R13" s="45">
        <v>23.5</v>
      </c>
      <c r="S13" s="45">
        <v>23.5</v>
      </c>
      <c r="T13" s="45">
        <v>23.5</v>
      </c>
      <c r="U13" s="45">
        <v>23.5</v>
      </c>
      <c r="V13" s="45">
        <v>23.5</v>
      </c>
      <c r="W13" s="45">
        <v>23.5</v>
      </c>
      <c r="X13" s="45">
        <v>30</v>
      </c>
      <c r="Y13" s="45">
        <v>30</v>
      </c>
      <c r="Z13" s="45">
        <v>30</v>
      </c>
      <c r="AA13" s="45">
        <v>30</v>
      </c>
      <c r="AB13" s="45">
        <v>24.2</v>
      </c>
      <c r="AC13" s="45">
        <v>24.2</v>
      </c>
      <c r="AD13" s="45">
        <v>24.2</v>
      </c>
      <c r="AE13" s="45">
        <v>24.2</v>
      </c>
      <c r="AF13" s="45">
        <v>24.2</v>
      </c>
      <c r="AG13" s="51">
        <v>45</v>
      </c>
      <c r="AH13" s="48">
        <f t="shared" si="2"/>
        <v>30</v>
      </c>
      <c r="AI13" s="49">
        <f t="shared" si="3"/>
        <v>23.5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21</v>
      </c>
      <c r="C15" s="45">
        <v>21</v>
      </c>
      <c r="D15" s="45">
        <v>21</v>
      </c>
      <c r="E15" s="45">
        <v>21</v>
      </c>
      <c r="F15" s="45">
        <v>21</v>
      </c>
      <c r="G15" s="45">
        <v>21</v>
      </c>
      <c r="H15" s="45">
        <v>21</v>
      </c>
      <c r="I15" s="45">
        <v>21</v>
      </c>
      <c r="J15" s="45">
        <v>21</v>
      </c>
      <c r="K15" s="45">
        <v>21</v>
      </c>
      <c r="L15" s="45">
        <v>21</v>
      </c>
      <c r="M15" s="45">
        <v>21</v>
      </c>
      <c r="N15" s="45">
        <v>21</v>
      </c>
      <c r="O15" s="45">
        <v>21</v>
      </c>
      <c r="P15" s="45">
        <v>21</v>
      </c>
      <c r="Q15" s="45">
        <v>21</v>
      </c>
      <c r="R15" s="45">
        <v>21</v>
      </c>
      <c r="S15" s="45">
        <v>21</v>
      </c>
      <c r="T15" s="45">
        <v>21</v>
      </c>
      <c r="U15" s="45">
        <v>21</v>
      </c>
      <c r="V15" s="45">
        <v>21</v>
      </c>
      <c r="W15" s="45">
        <v>21</v>
      </c>
      <c r="X15" s="45">
        <v>21</v>
      </c>
      <c r="Y15" s="45">
        <v>21</v>
      </c>
      <c r="Z15" s="45">
        <v>21</v>
      </c>
      <c r="AA15" s="45">
        <v>21</v>
      </c>
      <c r="AB15" s="45">
        <v>21</v>
      </c>
      <c r="AC15" s="45">
        <v>21</v>
      </c>
      <c r="AD15" s="45">
        <v>21</v>
      </c>
      <c r="AE15" s="45">
        <v>21</v>
      </c>
      <c r="AF15" s="45">
        <v>21</v>
      </c>
      <c r="AG15" s="51">
        <v>36</v>
      </c>
      <c r="AH15" s="48">
        <f t="shared" si="2"/>
        <v>21</v>
      </c>
      <c r="AI15" s="49">
        <f t="shared" si="3"/>
        <v>21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5</v>
      </c>
      <c r="C16" s="45">
        <v>5</v>
      </c>
      <c r="D16" s="45">
        <v>5</v>
      </c>
      <c r="E16" s="45">
        <v>5</v>
      </c>
      <c r="F16" s="45">
        <v>5</v>
      </c>
      <c r="G16" s="45">
        <v>5</v>
      </c>
      <c r="H16" s="45">
        <v>14</v>
      </c>
      <c r="I16" s="45">
        <v>14</v>
      </c>
      <c r="J16" s="45">
        <v>14</v>
      </c>
      <c r="K16" s="45">
        <v>14</v>
      </c>
      <c r="L16" s="45">
        <v>14</v>
      </c>
      <c r="M16" s="45">
        <v>14</v>
      </c>
      <c r="N16" s="45">
        <v>14</v>
      </c>
      <c r="O16" s="45">
        <v>14</v>
      </c>
      <c r="P16" s="45">
        <v>14</v>
      </c>
      <c r="Q16" s="45">
        <v>14</v>
      </c>
      <c r="R16" s="45">
        <v>14</v>
      </c>
      <c r="S16" s="45">
        <v>14</v>
      </c>
      <c r="T16" s="45">
        <v>14</v>
      </c>
      <c r="U16" s="45">
        <v>14</v>
      </c>
      <c r="V16" s="45">
        <v>14</v>
      </c>
      <c r="W16" s="45">
        <v>14</v>
      </c>
      <c r="X16" s="45">
        <v>14</v>
      </c>
      <c r="Y16" s="45">
        <v>14</v>
      </c>
      <c r="Z16" s="45">
        <v>14</v>
      </c>
      <c r="AA16" s="45">
        <v>14</v>
      </c>
      <c r="AB16" s="45">
        <v>14</v>
      </c>
      <c r="AC16" s="45">
        <v>14</v>
      </c>
      <c r="AD16" s="45">
        <v>14</v>
      </c>
      <c r="AE16" s="45">
        <v>14</v>
      </c>
      <c r="AF16" s="45">
        <v>14</v>
      </c>
      <c r="AG16" s="52">
        <v>30</v>
      </c>
      <c r="AH16" s="48">
        <f t="shared" si="2"/>
        <v>14</v>
      </c>
      <c r="AI16" s="49">
        <f t="shared" si="3"/>
        <v>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11.8</v>
      </c>
      <c r="C17" s="45">
        <v>11.8</v>
      </c>
      <c r="D17" s="45">
        <v>11.8</v>
      </c>
      <c r="E17" s="45">
        <v>11.8</v>
      </c>
      <c r="F17" s="45">
        <v>11.8</v>
      </c>
      <c r="G17" s="45">
        <v>11.8</v>
      </c>
      <c r="H17" s="45">
        <v>11.8</v>
      </c>
      <c r="I17" s="45">
        <v>11.8</v>
      </c>
      <c r="J17" s="45">
        <v>11.8</v>
      </c>
      <c r="K17" s="45">
        <v>11.8</v>
      </c>
      <c r="L17" s="45">
        <v>11.8</v>
      </c>
      <c r="M17" s="45">
        <v>11.8</v>
      </c>
      <c r="N17" s="45">
        <v>11.8</v>
      </c>
      <c r="O17" s="45">
        <v>11.8</v>
      </c>
      <c r="P17" s="45">
        <v>11.8</v>
      </c>
      <c r="Q17" s="45">
        <v>11.8</v>
      </c>
      <c r="R17" s="45">
        <v>11.8</v>
      </c>
      <c r="S17" s="45">
        <v>11.8</v>
      </c>
      <c r="T17" s="45">
        <v>11.8</v>
      </c>
      <c r="U17" s="45">
        <v>11.8</v>
      </c>
      <c r="V17" s="45">
        <v>11.8</v>
      </c>
      <c r="W17" s="45">
        <v>11.8</v>
      </c>
      <c r="X17" s="45">
        <v>11.8</v>
      </c>
      <c r="Y17" s="45">
        <v>11.8</v>
      </c>
      <c r="Z17" s="45">
        <v>11.8</v>
      </c>
      <c r="AA17" s="45">
        <v>11.8</v>
      </c>
      <c r="AB17" s="45">
        <v>11.8</v>
      </c>
      <c r="AC17" s="45">
        <v>11.8</v>
      </c>
      <c r="AD17" s="45">
        <v>11.8</v>
      </c>
      <c r="AE17" s="45">
        <v>11.8</v>
      </c>
      <c r="AF17" s="45">
        <v>11.8</v>
      </c>
      <c r="AG17" s="51">
        <v>24.2</v>
      </c>
      <c r="AH17" s="48">
        <f t="shared" si="2"/>
        <v>11.8</v>
      </c>
      <c r="AI17" s="49">
        <f t="shared" si="3"/>
        <v>11.8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13.2</v>
      </c>
      <c r="C18" s="45">
        <v>13.2</v>
      </c>
      <c r="D18" s="45">
        <v>13.2</v>
      </c>
      <c r="E18" s="45">
        <v>13.2</v>
      </c>
      <c r="F18" s="45">
        <v>13.2</v>
      </c>
      <c r="G18" s="45">
        <v>13.2</v>
      </c>
      <c r="H18" s="45">
        <v>13.2</v>
      </c>
      <c r="I18" s="45">
        <v>13.2</v>
      </c>
      <c r="J18" s="45">
        <v>13.2</v>
      </c>
      <c r="K18" s="45">
        <v>13.2</v>
      </c>
      <c r="L18" s="45">
        <v>13.2</v>
      </c>
      <c r="M18" s="45">
        <v>13.2</v>
      </c>
      <c r="N18" s="45">
        <v>13.2</v>
      </c>
      <c r="O18" s="45">
        <v>13.2</v>
      </c>
      <c r="P18" s="45">
        <v>13.2</v>
      </c>
      <c r="Q18" s="45">
        <v>13.2</v>
      </c>
      <c r="R18" s="45">
        <v>13.2</v>
      </c>
      <c r="S18" s="45">
        <v>13.2</v>
      </c>
      <c r="T18" s="45">
        <v>13.2</v>
      </c>
      <c r="U18" s="45">
        <v>13.2</v>
      </c>
      <c r="V18" s="45">
        <v>13.2</v>
      </c>
      <c r="W18" s="45">
        <v>13.2</v>
      </c>
      <c r="X18" s="45">
        <v>13.2</v>
      </c>
      <c r="Y18" s="45">
        <v>13.2</v>
      </c>
      <c r="Z18" s="45">
        <v>13.2</v>
      </c>
      <c r="AA18" s="45">
        <v>13.2</v>
      </c>
      <c r="AB18" s="45">
        <v>13.2</v>
      </c>
      <c r="AC18" s="45">
        <v>13.2</v>
      </c>
      <c r="AD18" s="45">
        <v>13.2</v>
      </c>
      <c r="AE18" s="45">
        <v>13.2</v>
      </c>
      <c r="AF18" s="45">
        <v>13.2</v>
      </c>
      <c r="AG18" s="51">
        <v>28</v>
      </c>
      <c r="AH18" s="48">
        <f t="shared" si="2"/>
        <v>13.2</v>
      </c>
      <c r="AI18" s="49">
        <f t="shared" si="3"/>
        <v>13.2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14</v>
      </c>
      <c r="C19" s="45">
        <v>14</v>
      </c>
      <c r="D19" s="45">
        <v>8</v>
      </c>
      <c r="E19" s="45">
        <v>8</v>
      </c>
      <c r="F19" s="45">
        <v>8</v>
      </c>
      <c r="G19" s="45">
        <v>8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14</v>
      </c>
      <c r="AI19" s="49">
        <f t="shared" si="3"/>
        <v>8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13.4</v>
      </c>
      <c r="C20" s="45">
        <v>13.4</v>
      </c>
      <c r="D20" s="45">
        <v>13.4</v>
      </c>
      <c r="E20" s="45">
        <v>13.4</v>
      </c>
      <c r="F20" s="45">
        <v>13.4</v>
      </c>
      <c r="G20" s="45">
        <v>13.4</v>
      </c>
      <c r="H20" s="45">
        <v>13.4</v>
      </c>
      <c r="I20" s="45">
        <v>13.4</v>
      </c>
      <c r="J20" s="45">
        <v>13.4</v>
      </c>
      <c r="K20" s="45">
        <v>13.4</v>
      </c>
      <c r="L20" s="45">
        <v>13.4</v>
      </c>
      <c r="M20" s="45">
        <v>13.4</v>
      </c>
      <c r="N20" s="45">
        <v>13.4</v>
      </c>
      <c r="O20" s="45">
        <v>13.4</v>
      </c>
      <c r="P20" s="45">
        <v>13.4</v>
      </c>
      <c r="Q20" s="45">
        <v>13.4</v>
      </c>
      <c r="R20" s="45">
        <v>13.4</v>
      </c>
      <c r="S20" s="45">
        <v>13.4</v>
      </c>
      <c r="T20" s="45">
        <v>13.4</v>
      </c>
      <c r="U20" s="45">
        <v>13.4</v>
      </c>
      <c r="V20" s="45">
        <v>13.4</v>
      </c>
      <c r="W20" s="45">
        <v>13.4</v>
      </c>
      <c r="X20" s="45">
        <v>13.4</v>
      </c>
      <c r="Y20" s="45">
        <v>13.4</v>
      </c>
      <c r="Z20" s="45">
        <v>13.4</v>
      </c>
      <c r="AA20" s="45">
        <v>13.4</v>
      </c>
      <c r="AB20" s="45">
        <v>13.4</v>
      </c>
      <c r="AC20" s="45">
        <v>13.4</v>
      </c>
      <c r="AD20" s="45">
        <v>13.4</v>
      </c>
      <c r="AE20" s="45">
        <v>13.4</v>
      </c>
      <c r="AF20" s="45">
        <v>13.4</v>
      </c>
      <c r="AG20" s="51">
        <v>25</v>
      </c>
      <c r="AH20" s="48">
        <f t="shared" si="2"/>
        <v>13.4</v>
      </c>
      <c r="AI20" s="49">
        <f t="shared" si="3"/>
        <v>13.4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51">
        <v>25</v>
      </c>
      <c r="AH21" s="48">
        <f t="shared" si="2"/>
        <v>0</v>
      </c>
      <c r="AI21" s="49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13.5</v>
      </c>
      <c r="C23" s="45">
        <v>13.5</v>
      </c>
      <c r="D23" s="45">
        <v>8</v>
      </c>
      <c r="E23" s="45">
        <v>8</v>
      </c>
      <c r="F23" s="45">
        <v>8</v>
      </c>
      <c r="G23" s="45">
        <v>8</v>
      </c>
      <c r="H23" s="45">
        <v>13.5</v>
      </c>
      <c r="I23" s="45">
        <v>13.5</v>
      </c>
      <c r="J23" s="45">
        <v>13.5</v>
      </c>
      <c r="K23" s="45">
        <v>13.5</v>
      </c>
      <c r="L23" s="45">
        <v>13.5</v>
      </c>
      <c r="M23" s="45">
        <v>13.5</v>
      </c>
      <c r="N23" s="45">
        <v>13.5</v>
      </c>
      <c r="O23" s="45">
        <v>13.5</v>
      </c>
      <c r="P23" s="45">
        <v>13.5</v>
      </c>
      <c r="Q23" s="45">
        <v>13.5</v>
      </c>
      <c r="R23" s="45">
        <v>13.5</v>
      </c>
      <c r="S23" s="45">
        <v>13.5</v>
      </c>
      <c r="T23" s="45">
        <v>13.5</v>
      </c>
      <c r="U23" s="45">
        <v>13.5</v>
      </c>
      <c r="V23" s="45">
        <v>13.5</v>
      </c>
      <c r="W23" s="45">
        <v>13.5</v>
      </c>
      <c r="X23" s="45">
        <v>13.5</v>
      </c>
      <c r="Y23" s="45">
        <v>13.5</v>
      </c>
      <c r="Z23" s="45">
        <v>13.5</v>
      </c>
      <c r="AA23" s="45">
        <v>13.5</v>
      </c>
      <c r="AB23" s="45">
        <v>13.5</v>
      </c>
      <c r="AC23" s="45">
        <v>13.5</v>
      </c>
      <c r="AD23" s="45">
        <v>13.5</v>
      </c>
      <c r="AE23" s="45">
        <v>13.5</v>
      </c>
      <c r="AF23" s="45">
        <v>13.5</v>
      </c>
      <c r="AG23" s="51">
        <v>25</v>
      </c>
      <c r="AH23" s="48">
        <f t="shared" si="2"/>
        <v>13.5</v>
      </c>
      <c r="AI23" s="49">
        <f t="shared" si="3"/>
        <v>8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11.8</v>
      </c>
      <c r="C24" s="45">
        <v>11.8</v>
      </c>
      <c r="D24" s="45">
        <v>11.8</v>
      </c>
      <c r="E24" s="45">
        <v>11.8</v>
      </c>
      <c r="F24" s="45">
        <v>11.8</v>
      </c>
      <c r="G24" s="45">
        <v>11.8</v>
      </c>
      <c r="H24" s="45">
        <v>11.8</v>
      </c>
      <c r="I24" s="45">
        <v>11.8</v>
      </c>
      <c r="J24" s="45">
        <v>11.8</v>
      </c>
      <c r="K24" s="45">
        <v>11.8</v>
      </c>
      <c r="L24" s="45">
        <v>11.8</v>
      </c>
      <c r="M24" s="45">
        <v>11.8</v>
      </c>
      <c r="N24" s="45">
        <v>11.8</v>
      </c>
      <c r="O24" s="45">
        <v>11.8</v>
      </c>
      <c r="P24" s="45">
        <v>11.8</v>
      </c>
      <c r="Q24" s="45">
        <v>11.8</v>
      </c>
      <c r="R24" s="45">
        <v>11.8</v>
      </c>
      <c r="S24" s="45">
        <v>11.8</v>
      </c>
      <c r="T24" s="45">
        <v>11.8</v>
      </c>
      <c r="U24" s="45">
        <v>11.8</v>
      </c>
      <c r="V24" s="45">
        <v>11.8</v>
      </c>
      <c r="W24" s="45">
        <v>11.8</v>
      </c>
      <c r="X24" s="45">
        <v>11.8</v>
      </c>
      <c r="Y24" s="45">
        <v>11.8</v>
      </c>
      <c r="Z24" s="45">
        <v>11.8</v>
      </c>
      <c r="AA24" s="45">
        <v>11.8</v>
      </c>
      <c r="AB24" s="45">
        <v>11.8</v>
      </c>
      <c r="AC24" s="45">
        <v>11.8</v>
      </c>
      <c r="AD24" s="45">
        <v>11.8</v>
      </c>
      <c r="AE24" s="45">
        <v>11.8</v>
      </c>
      <c r="AF24" s="45">
        <v>11.8</v>
      </c>
      <c r="AG24" s="51">
        <v>23.5</v>
      </c>
      <c r="AH24" s="48">
        <f t="shared" si="2"/>
        <v>11.8</v>
      </c>
      <c r="AI24" s="49">
        <f t="shared" si="3"/>
        <v>11.8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7.0990000000000002</v>
      </c>
      <c r="C26" s="45">
        <v>7.0990000000000002</v>
      </c>
      <c r="D26" s="45">
        <v>7.0990000000000002</v>
      </c>
      <c r="E26" s="45">
        <v>7.0990000000000002</v>
      </c>
      <c r="F26" s="45">
        <v>7.0990000000000002</v>
      </c>
      <c r="G26" s="45">
        <v>7.0990000000000002</v>
      </c>
      <c r="H26" s="45">
        <v>7.0990000000000002</v>
      </c>
      <c r="I26" s="45">
        <v>7.0990000000000002</v>
      </c>
      <c r="J26" s="45">
        <v>7.0990000000000002</v>
      </c>
      <c r="K26" s="45">
        <v>7.0990000000000002</v>
      </c>
      <c r="L26" s="45">
        <v>7.0990000000000002</v>
      </c>
      <c r="M26" s="45">
        <v>7.0990000000000002</v>
      </c>
      <c r="N26" s="45">
        <v>7.0990000000000002</v>
      </c>
      <c r="O26" s="45">
        <v>7.0990000000000002</v>
      </c>
      <c r="P26" s="45">
        <v>7.0990000000000002</v>
      </c>
      <c r="Q26" s="45">
        <v>7.0990000000000002</v>
      </c>
      <c r="R26" s="45">
        <v>7.0990000000000002</v>
      </c>
      <c r="S26" s="45">
        <v>7.0990000000000002</v>
      </c>
      <c r="T26" s="45">
        <v>7.0990000000000002</v>
      </c>
      <c r="U26" s="45">
        <v>7.0990000000000002</v>
      </c>
      <c r="V26" s="45">
        <v>7.0990000000000002</v>
      </c>
      <c r="W26" s="45">
        <v>7.0990000000000002</v>
      </c>
      <c r="X26" s="45">
        <v>7.0990000000000002</v>
      </c>
      <c r="Y26" s="45">
        <v>7.0990000000000002</v>
      </c>
      <c r="Z26" s="45">
        <v>7.0990000000000002</v>
      </c>
      <c r="AA26" s="45">
        <v>7.0990000000000002</v>
      </c>
      <c r="AB26" s="45">
        <v>7.0990000000000002</v>
      </c>
      <c r="AC26" s="45">
        <v>7.0990000000000002</v>
      </c>
      <c r="AD26" s="45">
        <v>7.0990000000000002</v>
      </c>
      <c r="AE26" s="45">
        <v>7.0990000000000002</v>
      </c>
      <c r="AF26" s="45">
        <v>7.0990000000000002</v>
      </c>
      <c r="AG26" s="51">
        <v>22.1</v>
      </c>
      <c r="AH26" s="48">
        <f t="shared" si="2"/>
        <v>7.0990000000000002</v>
      </c>
      <c r="AI26" s="49">
        <f t="shared" si="3"/>
        <v>7.0990000000000002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5</v>
      </c>
      <c r="E29" s="45">
        <v>5</v>
      </c>
      <c r="F29" s="45">
        <v>5</v>
      </c>
      <c r="G29" s="45">
        <v>5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4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4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1</v>
      </c>
      <c r="N41" s="45">
        <v>1</v>
      </c>
      <c r="O41" s="45">
        <v>1</v>
      </c>
      <c r="P41" s="45">
        <v>1</v>
      </c>
      <c r="Q41" s="45">
        <v>1</v>
      </c>
      <c r="R41" s="45">
        <v>1</v>
      </c>
      <c r="S41" s="45">
        <v>1</v>
      </c>
      <c r="T41" s="45">
        <v>1</v>
      </c>
      <c r="U41" s="45">
        <v>1</v>
      </c>
      <c r="V41" s="45">
        <v>1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1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220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si="2"/>
        <v>220</v>
      </c>
      <c r="AI42" s="49">
        <f t="shared" si="3"/>
        <v>200</v>
      </c>
      <c r="AK42" s="50"/>
    </row>
    <row r="43" spans="1:88" ht="15.75" thickBot="1" x14ac:dyDescent="0.3">
      <c r="A43" s="58" t="s">
        <v>51</v>
      </c>
      <c r="B43" s="59">
        <f>35.8+15.1</f>
        <v>50.9</v>
      </c>
      <c r="C43" s="59">
        <f>36.4+15.3</f>
        <v>51.7</v>
      </c>
      <c r="D43" s="59">
        <f>38.2+15.4</f>
        <v>53.6</v>
      </c>
      <c r="E43" s="59">
        <f t="shared" ref="E43:F43" si="4">38.2+15.4</f>
        <v>53.6</v>
      </c>
      <c r="F43" s="59">
        <f t="shared" si="4"/>
        <v>53.6</v>
      </c>
      <c r="G43" s="59">
        <v>52</v>
      </c>
      <c r="H43" s="59">
        <v>52.5</v>
      </c>
      <c r="I43" s="59">
        <v>51.4</v>
      </c>
      <c r="J43" s="59">
        <v>51.4</v>
      </c>
      <c r="K43" s="59">
        <v>51.4</v>
      </c>
      <c r="L43" s="59">
        <v>41</v>
      </c>
      <c r="M43" s="59">
        <f>14.1+38.7</f>
        <v>52.800000000000004</v>
      </c>
      <c r="N43" s="59">
        <f>14.2+34.4</f>
        <v>48.599999999999994</v>
      </c>
      <c r="O43" s="59">
        <v>41</v>
      </c>
      <c r="P43" s="59">
        <f>34+14</f>
        <v>48</v>
      </c>
      <c r="Q43" s="59">
        <f>37.8+14.5</f>
        <v>52.3</v>
      </c>
      <c r="R43" s="59">
        <f>14.5+37.9</f>
        <v>52.4</v>
      </c>
      <c r="S43" s="59">
        <f>36.2+14.5</f>
        <v>50.7</v>
      </c>
      <c r="T43" s="57">
        <f>14.2+37.5</f>
        <v>51.7</v>
      </c>
      <c r="U43" s="57">
        <f>14.1+31.9</f>
        <v>46</v>
      </c>
      <c r="V43" s="57">
        <f>14.8+34.7</f>
        <v>49.5</v>
      </c>
      <c r="W43" s="57">
        <v>42</v>
      </c>
      <c r="X43" s="57">
        <v>44.6</v>
      </c>
      <c r="Y43" s="57">
        <f>13+36</f>
        <v>49</v>
      </c>
      <c r="Z43" s="57">
        <f>12.7+35.5</f>
        <v>48.2</v>
      </c>
      <c r="AA43" s="57">
        <f>12.7+38.4</f>
        <v>51.099999999999994</v>
      </c>
      <c r="AB43" s="57">
        <f>13.2+34.9</f>
        <v>48.099999999999994</v>
      </c>
      <c r="AC43" s="57">
        <f>13.2+34.9</f>
        <v>48.099999999999994</v>
      </c>
      <c r="AD43" s="57">
        <f>13.2+34.9</f>
        <v>48.099999999999994</v>
      </c>
      <c r="AE43" s="57">
        <f>13.2+34.9</f>
        <v>48.099999999999994</v>
      </c>
      <c r="AF43" s="57">
        <f>13.2+34.9</f>
        <v>48.099999999999994</v>
      </c>
      <c r="AG43" s="55">
        <v>240</v>
      </c>
      <c r="AH43" s="48">
        <f t="shared" si="2"/>
        <v>53.6</v>
      </c>
      <c r="AI43" s="49">
        <f t="shared" si="3"/>
        <v>41</v>
      </c>
      <c r="AK43" s="50"/>
    </row>
    <row r="44" spans="1:88" ht="15.75" thickBot="1" x14ac:dyDescent="0.3">
      <c r="A44" s="60" t="s">
        <v>52</v>
      </c>
      <c r="B44" s="61">
        <f t="shared" ref="B44:AG44" si="5">SUM(B11:B42)</f>
        <v>553.19900000000007</v>
      </c>
      <c r="C44" s="61">
        <f t="shared" si="5"/>
        <v>552.20900000000006</v>
      </c>
      <c r="D44" s="61">
        <f t="shared" si="5"/>
        <v>532.69900000000007</v>
      </c>
      <c r="E44" s="61">
        <f t="shared" si="5"/>
        <v>535.69900000000007</v>
      </c>
      <c r="F44" s="61">
        <f t="shared" si="5"/>
        <v>535.69900000000007</v>
      </c>
      <c r="G44" s="61">
        <f t="shared" si="5"/>
        <v>535.69900000000007</v>
      </c>
      <c r="H44" s="61">
        <f t="shared" si="5"/>
        <v>560.59899999999993</v>
      </c>
      <c r="I44" s="61">
        <f t="shared" si="5"/>
        <v>560.19900000000007</v>
      </c>
      <c r="J44" s="61">
        <f t="shared" si="5"/>
        <v>560.49900000000002</v>
      </c>
      <c r="K44" s="61">
        <f t="shared" si="5"/>
        <v>560.59899999999993</v>
      </c>
      <c r="L44" s="61">
        <f t="shared" si="5"/>
        <v>560.59899999999993</v>
      </c>
      <c r="M44" s="61">
        <f t="shared" si="5"/>
        <v>560.49900000000002</v>
      </c>
      <c r="N44" s="61">
        <f t="shared" si="5"/>
        <v>560.49900000000002</v>
      </c>
      <c r="O44" s="61">
        <f t="shared" si="5"/>
        <v>560.49900000000002</v>
      </c>
      <c r="P44" s="61">
        <f t="shared" si="5"/>
        <v>560.49900000000002</v>
      </c>
      <c r="Q44" s="61">
        <f t="shared" si="5"/>
        <v>558.899</v>
      </c>
      <c r="R44" s="61">
        <f>SUM(R11:R42)</f>
        <v>556.49900000000002</v>
      </c>
      <c r="S44" s="61">
        <f t="shared" si="5"/>
        <v>556.49900000000002</v>
      </c>
      <c r="T44" s="61">
        <f t="shared" si="5"/>
        <v>556.49900000000002</v>
      </c>
      <c r="U44" s="61">
        <f t="shared" si="5"/>
        <v>556.49900000000002</v>
      </c>
      <c r="V44" s="61">
        <f t="shared" si="5"/>
        <v>556.49900000000002</v>
      </c>
      <c r="W44" s="61">
        <f t="shared" si="5"/>
        <v>555.49900000000002</v>
      </c>
      <c r="X44" s="61">
        <f t="shared" si="5"/>
        <v>581.99900000000002</v>
      </c>
      <c r="Y44" s="61">
        <f t="shared" si="5"/>
        <v>561.99900000000002</v>
      </c>
      <c r="Z44" s="61">
        <f t="shared" si="5"/>
        <v>561.99900000000002</v>
      </c>
      <c r="AA44" s="61">
        <f t="shared" si="5"/>
        <v>561.99900000000002</v>
      </c>
      <c r="AB44" s="61">
        <f t="shared" si="5"/>
        <v>556.69900000000007</v>
      </c>
      <c r="AC44" s="61">
        <f t="shared" si="5"/>
        <v>556.69900000000007</v>
      </c>
      <c r="AD44" s="61">
        <f t="shared" si="5"/>
        <v>556.69900000000007</v>
      </c>
      <c r="AE44" s="61">
        <f t="shared" si="5"/>
        <v>556.69900000000007</v>
      </c>
      <c r="AF44" s="61">
        <f t="shared" si="5"/>
        <v>556.69900000000007</v>
      </c>
      <c r="AG44" s="62">
        <f t="shared" si="5"/>
        <v>814.78000000000009</v>
      </c>
      <c r="AH44" s="48">
        <f t="shared" si="2"/>
        <v>581.99900000000002</v>
      </c>
      <c r="AI44" s="49">
        <f t="shared" si="3"/>
        <v>532.69900000000007</v>
      </c>
      <c r="AK44" s="50"/>
    </row>
    <row r="45" spans="1:88" x14ac:dyDescent="0.25">
      <c r="A45" s="63" t="s">
        <v>53</v>
      </c>
      <c r="B45" s="45">
        <v>15</v>
      </c>
      <c r="C45" s="45">
        <v>15</v>
      </c>
      <c r="D45" s="45">
        <v>15</v>
      </c>
      <c r="E45" s="45">
        <v>15</v>
      </c>
      <c r="F45" s="45">
        <v>15</v>
      </c>
      <c r="G45" s="45">
        <v>15</v>
      </c>
      <c r="H45" s="45">
        <v>15</v>
      </c>
      <c r="I45" s="45">
        <v>40</v>
      </c>
      <c r="J45" s="45">
        <v>140</v>
      </c>
      <c r="K45" s="45">
        <v>340</v>
      </c>
      <c r="L45" s="45">
        <v>365</v>
      </c>
      <c r="M45" s="164">
        <v>365</v>
      </c>
      <c r="N45" s="45">
        <v>320</v>
      </c>
      <c r="O45" s="45">
        <v>280</v>
      </c>
      <c r="P45" s="45">
        <v>200</v>
      </c>
      <c r="Q45" s="45">
        <v>15</v>
      </c>
      <c r="R45" s="45">
        <v>15</v>
      </c>
      <c r="S45" s="45">
        <v>15</v>
      </c>
      <c r="T45" s="45">
        <v>15</v>
      </c>
      <c r="U45" s="45">
        <v>25</v>
      </c>
      <c r="V45" s="45">
        <v>228</v>
      </c>
      <c r="W45" s="45">
        <v>400</v>
      </c>
      <c r="X45" s="45">
        <v>456</v>
      </c>
      <c r="Y45" s="45">
        <v>410</v>
      </c>
      <c r="Z45" s="45">
        <v>380</v>
      </c>
      <c r="AA45" s="45">
        <v>350</v>
      </c>
      <c r="AB45" s="45">
        <v>235</v>
      </c>
      <c r="AC45" s="45">
        <v>235</v>
      </c>
      <c r="AD45" s="45">
        <v>140</v>
      </c>
      <c r="AE45" s="45">
        <v>10</v>
      </c>
      <c r="AF45" s="45">
        <v>10</v>
      </c>
      <c r="AG45" s="52">
        <v>456</v>
      </c>
      <c r="AH45" s="48">
        <f t="shared" si="2"/>
        <v>456</v>
      </c>
      <c r="AI45" s="49">
        <f t="shared" si="3"/>
        <v>10</v>
      </c>
      <c r="AK45" s="50"/>
    </row>
    <row r="46" spans="1:88" x14ac:dyDescent="0.25">
      <c r="A46" s="64" t="s">
        <v>54</v>
      </c>
      <c r="B46" s="65">
        <v>46</v>
      </c>
      <c r="C46" s="65">
        <v>46</v>
      </c>
      <c r="D46" s="65">
        <v>46</v>
      </c>
      <c r="E46" s="65">
        <v>46</v>
      </c>
      <c r="F46" s="65">
        <v>46</v>
      </c>
      <c r="G46" s="65">
        <v>46</v>
      </c>
      <c r="H46" s="65">
        <v>46</v>
      </c>
      <c r="I46" s="65">
        <v>46</v>
      </c>
      <c r="J46" s="65">
        <v>46</v>
      </c>
      <c r="K46" s="65">
        <v>46</v>
      </c>
      <c r="L46" s="65">
        <v>46</v>
      </c>
      <c r="M46" s="165">
        <v>46</v>
      </c>
      <c r="N46" s="65">
        <v>46</v>
      </c>
      <c r="O46" s="65">
        <v>46</v>
      </c>
      <c r="P46" s="65">
        <v>46</v>
      </c>
      <c r="Q46" s="65">
        <v>46</v>
      </c>
      <c r="R46" s="65">
        <v>46</v>
      </c>
      <c r="S46" s="65">
        <v>46</v>
      </c>
      <c r="T46" s="65">
        <v>46</v>
      </c>
      <c r="U46" s="65">
        <v>46</v>
      </c>
      <c r="V46" s="65">
        <v>46</v>
      </c>
      <c r="W46" s="65">
        <v>46</v>
      </c>
      <c r="X46" s="65">
        <v>48</v>
      </c>
      <c r="Y46" s="65">
        <v>48</v>
      </c>
      <c r="Z46" s="65">
        <v>48</v>
      </c>
      <c r="AA46" s="65">
        <v>48</v>
      </c>
      <c r="AB46" s="65">
        <v>46</v>
      </c>
      <c r="AC46" s="65">
        <v>46</v>
      </c>
      <c r="AD46" s="65">
        <v>46</v>
      </c>
      <c r="AE46" s="65">
        <v>46</v>
      </c>
      <c r="AF46" s="65">
        <v>46</v>
      </c>
      <c r="AG46" s="55">
        <v>60</v>
      </c>
      <c r="AH46" s="48">
        <f t="shared" si="2"/>
        <v>48</v>
      </c>
      <c r="AI46" s="49">
        <f t="shared" si="3"/>
        <v>46</v>
      </c>
      <c r="AK46" s="50"/>
    </row>
    <row r="47" spans="1:88" ht="15.75" thickBot="1" x14ac:dyDescent="0.3">
      <c r="A47" s="66" t="s">
        <v>55</v>
      </c>
      <c r="B47" s="67">
        <v>18</v>
      </c>
      <c r="C47" s="67">
        <v>18</v>
      </c>
      <c r="D47" s="67">
        <v>18</v>
      </c>
      <c r="E47" s="67">
        <v>18.399999999999999</v>
      </c>
      <c r="F47" s="67">
        <v>18.399999999999999</v>
      </c>
      <c r="G47" s="67">
        <v>18.399999999999999</v>
      </c>
      <c r="H47" s="67">
        <v>18.399999999999999</v>
      </c>
      <c r="I47" s="67">
        <v>18.399999999999999</v>
      </c>
      <c r="J47" s="67">
        <v>18.399999999999999</v>
      </c>
      <c r="K47" s="67">
        <v>18.399999999999999</v>
      </c>
      <c r="L47" s="67">
        <v>18.399999999999999</v>
      </c>
      <c r="M47" s="166">
        <v>18.399999999999999</v>
      </c>
      <c r="N47" s="67">
        <v>18.399999999999999</v>
      </c>
      <c r="O47" s="67">
        <v>18.399999999999999</v>
      </c>
      <c r="P47" s="67">
        <v>18.3</v>
      </c>
      <c r="Q47" s="67">
        <v>21</v>
      </c>
      <c r="R47" s="67">
        <v>18.100000000000001</v>
      </c>
      <c r="S47" s="67">
        <v>18.100000000000001</v>
      </c>
      <c r="T47" s="67">
        <v>18.100000000000001</v>
      </c>
      <c r="U47" s="67">
        <v>18.100000000000001</v>
      </c>
      <c r="V47" s="67">
        <v>18.100000000000001</v>
      </c>
      <c r="W47" s="67">
        <v>18.100000000000001</v>
      </c>
      <c r="X47" s="67">
        <v>21.1</v>
      </c>
      <c r="Y47" s="67">
        <v>21.1</v>
      </c>
      <c r="Z47" s="67">
        <v>21</v>
      </c>
      <c r="AA47" s="67">
        <v>21</v>
      </c>
      <c r="AB47" s="67">
        <v>18.3</v>
      </c>
      <c r="AC47" s="67">
        <v>18.3</v>
      </c>
      <c r="AD47" s="67">
        <v>18.3</v>
      </c>
      <c r="AE47" s="67">
        <v>18.3</v>
      </c>
      <c r="AF47" s="67">
        <v>18.3</v>
      </c>
      <c r="AG47" s="68">
        <v>22.1</v>
      </c>
      <c r="AH47" s="48">
        <f t="shared" si="2"/>
        <v>21.1</v>
      </c>
      <c r="AI47" s="49">
        <f t="shared" si="3"/>
        <v>18</v>
      </c>
      <c r="AK47" s="50"/>
    </row>
    <row r="48" spans="1:88" ht="15.75" thickBot="1" x14ac:dyDescent="0.3">
      <c r="A48" s="69" t="s">
        <v>56</v>
      </c>
      <c r="B48" s="61">
        <f t="shared" ref="B48:AG48" si="6">SUM(B45:B47)</f>
        <v>79</v>
      </c>
      <c r="C48" s="61">
        <f t="shared" si="6"/>
        <v>79</v>
      </c>
      <c r="D48" s="61">
        <f t="shared" si="6"/>
        <v>79</v>
      </c>
      <c r="E48" s="61">
        <f t="shared" si="6"/>
        <v>79.400000000000006</v>
      </c>
      <c r="F48" s="61">
        <f t="shared" si="6"/>
        <v>79.400000000000006</v>
      </c>
      <c r="G48" s="61">
        <f t="shared" si="6"/>
        <v>79.400000000000006</v>
      </c>
      <c r="H48" s="61">
        <f t="shared" si="6"/>
        <v>79.400000000000006</v>
      </c>
      <c r="I48" s="61">
        <f t="shared" si="6"/>
        <v>104.4</v>
      </c>
      <c r="J48" s="61">
        <f t="shared" si="6"/>
        <v>204.4</v>
      </c>
      <c r="K48" s="61">
        <f t="shared" si="6"/>
        <v>404.4</v>
      </c>
      <c r="L48" s="61">
        <f t="shared" si="6"/>
        <v>429.4</v>
      </c>
      <c r="M48" s="61">
        <f t="shared" si="6"/>
        <v>429.4</v>
      </c>
      <c r="N48" s="61">
        <f t="shared" si="6"/>
        <v>384.4</v>
      </c>
      <c r="O48" s="61">
        <f t="shared" si="6"/>
        <v>344.4</v>
      </c>
      <c r="P48" s="61">
        <f t="shared" si="6"/>
        <v>264.3</v>
      </c>
      <c r="Q48" s="61">
        <f t="shared" si="6"/>
        <v>82</v>
      </c>
      <c r="R48" s="61">
        <f t="shared" si="6"/>
        <v>79.099999999999994</v>
      </c>
      <c r="S48" s="61">
        <f t="shared" si="6"/>
        <v>79.099999999999994</v>
      </c>
      <c r="T48" s="61">
        <f>SUM(T45:T47)</f>
        <v>79.099999999999994</v>
      </c>
      <c r="U48" s="61">
        <f>SUM(U45:U47)</f>
        <v>89.1</v>
      </c>
      <c r="V48" s="61">
        <f t="shared" si="6"/>
        <v>292.10000000000002</v>
      </c>
      <c r="W48" s="61">
        <f t="shared" si="6"/>
        <v>464.1</v>
      </c>
      <c r="X48" s="61">
        <f t="shared" si="6"/>
        <v>525.1</v>
      </c>
      <c r="Y48" s="61">
        <f t="shared" si="6"/>
        <v>479.1</v>
      </c>
      <c r="Z48" s="61">
        <f t="shared" si="6"/>
        <v>449</v>
      </c>
      <c r="AA48" s="61">
        <f t="shared" si="6"/>
        <v>419</v>
      </c>
      <c r="AB48" s="61">
        <f t="shared" si="6"/>
        <v>299.3</v>
      </c>
      <c r="AC48" s="61">
        <f t="shared" si="6"/>
        <v>299.3</v>
      </c>
      <c r="AD48" s="61">
        <f t="shared" si="6"/>
        <v>204.3</v>
      </c>
      <c r="AE48" s="61">
        <f t="shared" si="6"/>
        <v>74.3</v>
      </c>
      <c r="AF48" s="61">
        <f t="shared" si="6"/>
        <v>74.3</v>
      </c>
      <c r="AG48" s="62">
        <f t="shared" si="6"/>
        <v>538.1</v>
      </c>
      <c r="AH48" s="48">
        <f t="shared" si="2"/>
        <v>525.1</v>
      </c>
      <c r="AI48" s="49">
        <f t="shared" si="3"/>
        <v>74.3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24</v>
      </c>
      <c r="H49" s="45">
        <v>48</v>
      </c>
      <c r="I49" s="45">
        <v>110</v>
      </c>
      <c r="J49" s="45">
        <v>140</v>
      </c>
      <c r="K49" s="45">
        <v>140</v>
      </c>
      <c r="L49" s="45">
        <v>142</v>
      </c>
      <c r="M49" s="45">
        <v>141.6</v>
      </c>
      <c r="N49" s="45">
        <v>141.6</v>
      </c>
      <c r="O49" s="45">
        <v>141.69999999999999</v>
      </c>
      <c r="P49" s="45">
        <v>141.80000000000001</v>
      </c>
      <c r="Q49" s="45">
        <v>141.5</v>
      </c>
      <c r="R49" s="45">
        <v>141.5</v>
      </c>
      <c r="S49" s="45">
        <v>131.6</v>
      </c>
      <c r="T49" s="45">
        <v>121.3</v>
      </c>
      <c r="U49" s="45">
        <v>121.3</v>
      </c>
      <c r="V49" s="45">
        <v>103.4</v>
      </c>
      <c r="W49" s="45">
        <v>141</v>
      </c>
      <c r="X49" s="45">
        <v>141</v>
      </c>
      <c r="Y49" s="45">
        <v>141</v>
      </c>
      <c r="Z49" s="45">
        <v>140.30000000000001</v>
      </c>
      <c r="AA49" s="45">
        <v>111</v>
      </c>
      <c r="AB49" s="45">
        <v>92.9</v>
      </c>
      <c r="AC49" s="45">
        <v>92.9</v>
      </c>
      <c r="AD49" s="45">
        <v>93.3</v>
      </c>
      <c r="AE49" s="45">
        <v>63.2</v>
      </c>
      <c r="AF49" s="45">
        <v>30</v>
      </c>
      <c r="AG49" s="52">
        <v>144</v>
      </c>
      <c r="AH49" s="48">
        <f t="shared" si="2"/>
        <v>142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24</v>
      </c>
      <c r="F50" s="65">
        <v>24</v>
      </c>
      <c r="G50" s="65">
        <v>35</v>
      </c>
      <c r="H50" s="65">
        <v>60</v>
      </c>
      <c r="I50" s="65">
        <v>70</v>
      </c>
      <c r="J50" s="65">
        <v>70</v>
      </c>
      <c r="K50" s="65">
        <v>70</v>
      </c>
      <c r="L50" s="65">
        <v>70</v>
      </c>
      <c r="M50" s="65">
        <v>70.3</v>
      </c>
      <c r="N50" s="65">
        <v>69.8</v>
      </c>
      <c r="O50" s="65">
        <v>70.5</v>
      </c>
      <c r="P50" s="65">
        <v>72.3</v>
      </c>
      <c r="Q50" s="65">
        <v>70</v>
      </c>
      <c r="R50" s="45">
        <v>30.5</v>
      </c>
      <c r="S50" s="45">
        <v>23.9</v>
      </c>
      <c r="T50" s="45">
        <v>51</v>
      </c>
      <c r="U50" s="45">
        <v>51</v>
      </c>
      <c r="V50" s="45">
        <v>71.7</v>
      </c>
      <c r="W50" s="45">
        <v>68.5</v>
      </c>
      <c r="X50" s="65">
        <v>68.5</v>
      </c>
      <c r="Y50" s="65">
        <v>68.5</v>
      </c>
      <c r="Z50" s="65">
        <v>68.7</v>
      </c>
      <c r="AA50" s="65">
        <v>58.2</v>
      </c>
      <c r="AB50" s="65">
        <v>59.3</v>
      </c>
      <c r="AC50" s="65">
        <v>59.3</v>
      </c>
      <c r="AD50" s="65">
        <v>35.4</v>
      </c>
      <c r="AE50" s="65">
        <v>25</v>
      </c>
      <c r="AF50" s="65">
        <v>0</v>
      </c>
      <c r="AG50" s="55">
        <v>70</v>
      </c>
      <c r="AH50" s="48">
        <f t="shared" si="2"/>
        <v>72.3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16</v>
      </c>
      <c r="C51" s="65">
        <v>34.4</v>
      </c>
      <c r="D51" s="65">
        <v>32</v>
      </c>
      <c r="E51" s="65">
        <v>36</v>
      </c>
      <c r="F51" s="65">
        <v>24.2</v>
      </c>
      <c r="G51" s="65">
        <v>32</v>
      </c>
      <c r="H51" s="65">
        <v>46</v>
      </c>
      <c r="I51" s="65">
        <v>68</v>
      </c>
      <c r="J51" s="65">
        <v>69</v>
      </c>
      <c r="K51" s="65">
        <v>69</v>
      </c>
      <c r="L51" s="65">
        <v>68.5</v>
      </c>
      <c r="M51" s="65">
        <v>67.900000000000006</v>
      </c>
      <c r="N51" s="65">
        <v>62.7</v>
      </c>
      <c r="O51" s="65">
        <v>67</v>
      </c>
      <c r="P51" s="65">
        <v>67.5</v>
      </c>
      <c r="Q51" s="65">
        <v>40.9</v>
      </c>
      <c r="R51" s="45">
        <v>46.8</v>
      </c>
      <c r="S51" s="45">
        <v>39.1</v>
      </c>
      <c r="T51" s="45">
        <v>46.1</v>
      </c>
      <c r="U51" s="45">
        <v>46.1</v>
      </c>
      <c r="V51" s="45">
        <v>68.599999999999994</v>
      </c>
      <c r="W51" s="45">
        <v>65.3</v>
      </c>
      <c r="X51" s="65">
        <v>65.3</v>
      </c>
      <c r="Y51" s="65">
        <v>65.3</v>
      </c>
      <c r="Z51" s="65">
        <v>67.7</v>
      </c>
      <c r="AA51" s="65">
        <v>67.2</v>
      </c>
      <c r="AB51" s="65">
        <v>67.3</v>
      </c>
      <c r="AC51" s="65">
        <v>67.3</v>
      </c>
      <c r="AD51" s="65">
        <v>53.7</v>
      </c>
      <c r="AE51" s="65">
        <v>33</v>
      </c>
      <c r="AF51" s="65">
        <v>31</v>
      </c>
      <c r="AG51" s="55">
        <v>69</v>
      </c>
      <c r="AH51" s="48">
        <f t="shared" si="2"/>
        <v>69</v>
      </c>
      <c r="AI51" s="49">
        <f t="shared" si="3"/>
        <v>16</v>
      </c>
      <c r="AK51" s="50"/>
    </row>
    <row r="52" spans="1:41" x14ac:dyDescent="0.25">
      <c r="A52" s="54" t="s">
        <v>60</v>
      </c>
      <c r="B52" s="57">
        <v>60.7</v>
      </c>
      <c r="C52" s="57">
        <v>60.7</v>
      </c>
      <c r="D52" s="57">
        <v>60.7</v>
      </c>
      <c r="E52" s="57">
        <v>60.7</v>
      </c>
      <c r="F52" s="57">
        <v>60.7</v>
      </c>
      <c r="G52" s="57">
        <v>60.7</v>
      </c>
      <c r="H52" s="57">
        <v>60.7</v>
      </c>
      <c r="I52" s="57">
        <v>60.7</v>
      </c>
      <c r="J52" s="57">
        <v>60.74</v>
      </c>
      <c r="K52" s="57">
        <v>60.7</v>
      </c>
      <c r="L52" s="57">
        <v>60.7</v>
      </c>
      <c r="M52" s="65">
        <v>60.7</v>
      </c>
      <c r="N52" s="65">
        <v>60.7</v>
      </c>
      <c r="O52" s="65">
        <v>60.7</v>
      </c>
      <c r="P52" s="65">
        <v>60.7</v>
      </c>
      <c r="Q52" s="65">
        <v>60.7</v>
      </c>
      <c r="R52" s="65">
        <v>60.5</v>
      </c>
      <c r="S52" s="65">
        <v>60.5</v>
      </c>
      <c r="T52" s="65">
        <v>60.5</v>
      </c>
      <c r="U52" s="65">
        <v>60.5</v>
      </c>
      <c r="V52" s="65">
        <v>60.7</v>
      </c>
      <c r="W52" s="65">
        <v>60.7</v>
      </c>
      <c r="X52" s="45">
        <v>60.7</v>
      </c>
      <c r="Y52" s="45">
        <v>60.7</v>
      </c>
      <c r="Z52" s="45">
        <v>60.7</v>
      </c>
      <c r="AA52" s="45">
        <v>60.7</v>
      </c>
      <c r="AB52" s="45">
        <v>60.7</v>
      </c>
      <c r="AC52" s="45">
        <v>60.7</v>
      </c>
      <c r="AD52" s="45">
        <v>60.7</v>
      </c>
      <c r="AE52" s="45">
        <v>60.7</v>
      </c>
      <c r="AF52" s="45">
        <v>60.7</v>
      </c>
      <c r="AG52" s="55">
        <v>60</v>
      </c>
      <c r="AH52" s="48">
        <f t="shared" si="2"/>
        <v>60.74</v>
      </c>
      <c r="AI52" s="49">
        <f t="shared" si="3"/>
        <v>60.5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15</v>
      </c>
      <c r="I53" s="57">
        <v>15</v>
      </c>
      <c r="J53" s="57">
        <v>26</v>
      </c>
      <c r="K53" s="57">
        <v>26.7</v>
      </c>
      <c r="L53" s="57">
        <v>26.7</v>
      </c>
      <c r="M53" s="65">
        <v>39.1</v>
      </c>
      <c r="N53" s="65">
        <v>26.3</v>
      </c>
      <c r="O53" s="65">
        <v>13</v>
      </c>
      <c r="P53" s="65">
        <v>13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13.4</v>
      </c>
      <c r="W53" s="65">
        <v>26.3</v>
      </c>
      <c r="X53" s="45">
        <v>26.3</v>
      </c>
      <c r="Y53" s="45">
        <v>26.3</v>
      </c>
      <c r="Z53" s="45">
        <v>29</v>
      </c>
      <c r="AA53" s="45">
        <v>26</v>
      </c>
      <c r="AB53" s="45">
        <v>13.2</v>
      </c>
      <c r="AC53" s="45">
        <v>13.2</v>
      </c>
      <c r="AD53" s="45">
        <v>13.2</v>
      </c>
      <c r="AE53" s="45">
        <v>0</v>
      </c>
      <c r="AF53" s="45">
        <v>0</v>
      </c>
      <c r="AG53" s="55">
        <v>30</v>
      </c>
      <c r="AH53" s="48">
        <f t="shared" si="2"/>
        <v>39.1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2</v>
      </c>
      <c r="N54" s="65">
        <v>4</v>
      </c>
      <c r="O54" s="65">
        <v>4</v>
      </c>
      <c r="P54" s="65">
        <v>4</v>
      </c>
      <c r="Q54" s="65">
        <v>4</v>
      </c>
      <c r="R54" s="65">
        <v>4</v>
      </c>
      <c r="S54" s="65">
        <v>4</v>
      </c>
      <c r="T54" s="65">
        <v>4</v>
      </c>
      <c r="U54" s="65">
        <v>4</v>
      </c>
      <c r="V54" s="65">
        <v>4</v>
      </c>
      <c r="W54" s="6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25</v>
      </c>
      <c r="AH54" s="48">
        <f t="shared" si="2"/>
        <v>4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17.100000000000001</v>
      </c>
      <c r="S55" s="65">
        <v>17.100000000000001</v>
      </c>
      <c r="T55" s="65">
        <v>17.100000000000001</v>
      </c>
      <c r="U55" s="65">
        <v>17.100000000000001</v>
      </c>
      <c r="V55" s="65">
        <v>17.100000000000001</v>
      </c>
      <c r="W55" s="65">
        <v>17.100000000000001</v>
      </c>
      <c r="X55" s="65">
        <v>17.100000000000001</v>
      </c>
      <c r="Y55" s="65">
        <v>17.100000000000001</v>
      </c>
      <c r="Z55" s="65">
        <v>17.100000000000001</v>
      </c>
      <c r="AA55" s="65">
        <v>17.100000000000001</v>
      </c>
      <c r="AB55" s="65">
        <v>17.100000000000001</v>
      </c>
      <c r="AC55" s="65">
        <v>17.100000000000001</v>
      </c>
      <c r="AD55" s="65">
        <v>17.100000000000001</v>
      </c>
      <c r="AE55" s="65">
        <v>17.100000000000001</v>
      </c>
      <c r="AF55" s="65">
        <v>17.100000000000001</v>
      </c>
      <c r="AG55" s="55">
        <v>24</v>
      </c>
      <c r="AH55" s="48">
        <f t="shared" si="2"/>
        <v>17.100000000000001</v>
      </c>
      <c r="AI55" s="49">
        <f t="shared" si="3"/>
        <v>17.100000000000001</v>
      </c>
      <c r="AK55" s="50"/>
    </row>
    <row r="56" spans="1:41" x14ac:dyDescent="0.25">
      <c r="A56" s="54" t="s">
        <v>64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13.2</v>
      </c>
      <c r="C57" s="65">
        <v>13.2</v>
      </c>
      <c r="D57" s="65">
        <v>13.2</v>
      </c>
      <c r="E57" s="65">
        <v>13.2</v>
      </c>
      <c r="F57" s="65">
        <v>13.2</v>
      </c>
      <c r="G57" s="65">
        <v>13.2</v>
      </c>
      <c r="H57" s="65">
        <v>13.2</v>
      </c>
      <c r="I57" s="65">
        <v>13.2</v>
      </c>
      <c r="J57" s="65">
        <v>13.2</v>
      </c>
      <c r="K57" s="65">
        <v>13.2</v>
      </c>
      <c r="L57" s="65">
        <v>13.2</v>
      </c>
      <c r="M57" s="65">
        <v>13.2</v>
      </c>
      <c r="N57" s="65">
        <v>13.2</v>
      </c>
      <c r="O57" s="65">
        <v>13.2</v>
      </c>
      <c r="P57" s="65">
        <v>13.2</v>
      </c>
      <c r="Q57" s="65">
        <v>13.2</v>
      </c>
      <c r="R57" s="65">
        <v>13.2</v>
      </c>
      <c r="S57" s="65">
        <v>13.2</v>
      </c>
      <c r="T57" s="65">
        <v>13.2</v>
      </c>
      <c r="U57" s="65">
        <v>13.2</v>
      </c>
      <c r="V57" s="65">
        <v>13.2</v>
      </c>
      <c r="W57" s="65">
        <v>13.2</v>
      </c>
      <c r="X57" s="65">
        <v>13.2</v>
      </c>
      <c r="Y57" s="65">
        <v>13.2</v>
      </c>
      <c r="Z57" s="65">
        <v>13.2</v>
      </c>
      <c r="AA57" s="65">
        <v>13.2</v>
      </c>
      <c r="AB57" s="65">
        <v>13.2</v>
      </c>
      <c r="AC57" s="65">
        <v>13.2</v>
      </c>
      <c r="AD57" s="65">
        <v>13.2</v>
      </c>
      <c r="AE57" s="65">
        <v>13.2</v>
      </c>
      <c r="AF57" s="65">
        <v>13.2</v>
      </c>
      <c r="AG57" s="55">
        <v>14.1</v>
      </c>
      <c r="AH57" s="48">
        <f t="shared" si="2"/>
        <v>13.2</v>
      </c>
      <c r="AI57" s="49">
        <f t="shared" si="3"/>
        <v>13.2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7</v>
      </c>
      <c r="C58" s="65">
        <v>7</v>
      </c>
      <c r="D58" s="65">
        <v>7</v>
      </c>
      <c r="E58" s="65">
        <v>7</v>
      </c>
      <c r="F58" s="65">
        <v>7</v>
      </c>
      <c r="G58" s="65">
        <v>7</v>
      </c>
      <c r="H58" s="65">
        <v>7</v>
      </c>
      <c r="I58" s="65">
        <v>7</v>
      </c>
      <c r="J58" s="65">
        <v>7</v>
      </c>
      <c r="K58" s="65">
        <v>7</v>
      </c>
      <c r="L58" s="65">
        <v>7</v>
      </c>
      <c r="M58" s="65">
        <v>7</v>
      </c>
      <c r="N58" s="65">
        <v>7</v>
      </c>
      <c r="O58" s="65">
        <v>7</v>
      </c>
      <c r="P58" s="65">
        <v>7</v>
      </c>
      <c r="Q58" s="65">
        <v>7</v>
      </c>
      <c r="R58" s="65">
        <v>7</v>
      </c>
      <c r="S58" s="65">
        <v>6.2</v>
      </c>
      <c r="T58" s="65">
        <v>6.2</v>
      </c>
      <c r="U58" s="65">
        <v>6.2</v>
      </c>
      <c r="V58" s="65">
        <v>6.2</v>
      </c>
      <c r="W58" s="65">
        <v>6.2</v>
      </c>
      <c r="X58" s="65">
        <v>6.2</v>
      </c>
      <c r="Y58" s="65">
        <v>6.2</v>
      </c>
      <c r="Z58" s="65">
        <v>6.2</v>
      </c>
      <c r="AA58" s="65">
        <v>6.2</v>
      </c>
      <c r="AB58" s="65">
        <v>6.2</v>
      </c>
      <c r="AC58" s="65">
        <v>6.2</v>
      </c>
      <c r="AD58" s="65">
        <v>6.2</v>
      </c>
      <c r="AE58" s="65">
        <v>6.2</v>
      </c>
      <c r="AF58" s="65">
        <v>6.2</v>
      </c>
      <c r="AG58" s="55">
        <v>14</v>
      </c>
      <c r="AH58" s="48">
        <f t="shared" si="2"/>
        <v>7</v>
      </c>
      <c r="AI58" s="49">
        <f t="shared" si="3"/>
        <v>6.2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>
        <v>3.6</v>
      </c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7">SUM(B49:B61)</f>
        <v>127.64000000000001</v>
      </c>
      <c r="C62" s="61">
        <f t="shared" si="7"/>
        <v>146.03999999999996</v>
      </c>
      <c r="D62" s="61">
        <f t="shared" si="7"/>
        <v>143.63999999999999</v>
      </c>
      <c r="E62" s="61">
        <f t="shared" si="7"/>
        <v>171.64</v>
      </c>
      <c r="F62" s="61">
        <f t="shared" si="7"/>
        <v>159.83999999999997</v>
      </c>
      <c r="G62" s="61">
        <f t="shared" si="7"/>
        <v>202.63999999999996</v>
      </c>
      <c r="H62" s="61">
        <f t="shared" si="7"/>
        <v>280.64000000000004</v>
      </c>
      <c r="I62" s="61">
        <f t="shared" si="7"/>
        <v>374.64000000000004</v>
      </c>
      <c r="J62" s="61">
        <f t="shared" si="7"/>
        <v>416.68000000000006</v>
      </c>
      <c r="K62" s="61">
        <f t="shared" si="7"/>
        <v>417.34000000000003</v>
      </c>
      <c r="L62" s="61">
        <f t="shared" si="7"/>
        <v>418.84000000000003</v>
      </c>
      <c r="M62" s="61">
        <f t="shared" si="7"/>
        <v>432.54</v>
      </c>
      <c r="N62" s="61">
        <f t="shared" si="7"/>
        <v>416.04</v>
      </c>
      <c r="O62" s="61">
        <f t="shared" si="7"/>
        <v>407.84000000000003</v>
      </c>
      <c r="P62" s="61">
        <f t="shared" si="7"/>
        <v>410.24000000000007</v>
      </c>
      <c r="Q62" s="61">
        <f t="shared" si="7"/>
        <v>368.04000000000008</v>
      </c>
      <c r="R62" s="61">
        <f t="shared" si="7"/>
        <v>334.24000000000007</v>
      </c>
      <c r="S62" s="61">
        <f t="shared" si="7"/>
        <v>309.24000000000007</v>
      </c>
      <c r="T62" s="61">
        <f t="shared" si="7"/>
        <v>333.04</v>
      </c>
      <c r="U62" s="61">
        <f t="shared" si="7"/>
        <v>333.04</v>
      </c>
      <c r="V62" s="61">
        <f t="shared" si="7"/>
        <v>371.94000000000005</v>
      </c>
      <c r="W62" s="61">
        <f t="shared" si="7"/>
        <v>411.94000000000005</v>
      </c>
      <c r="X62" s="61">
        <f t="shared" si="7"/>
        <v>411.94000000000005</v>
      </c>
      <c r="Y62" s="61">
        <f t="shared" si="7"/>
        <v>411.94000000000005</v>
      </c>
      <c r="Z62" s="61">
        <f t="shared" si="7"/>
        <v>416.54</v>
      </c>
      <c r="AA62" s="61">
        <f t="shared" si="7"/>
        <v>373.24</v>
      </c>
      <c r="AB62" s="61">
        <f t="shared" si="7"/>
        <v>343.54</v>
      </c>
      <c r="AC62" s="61">
        <f t="shared" si="7"/>
        <v>343.54</v>
      </c>
      <c r="AD62" s="61">
        <f t="shared" si="7"/>
        <v>306.44</v>
      </c>
      <c r="AE62" s="61">
        <f t="shared" si="7"/>
        <v>232.03999999999996</v>
      </c>
      <c r="AF62" s="61">
        <f t="shared" si="7"/>
        <v>171.83999999999997</v>
      </c>
      <c r="AG62" s="62">
        <f t="shared" si="7"/>
        <v>489.91</v>
      </c>
      <c r="AH62" s="48">
        <f t="shared" si="2"/>
        <v>432.54</v>
      </c>
      <c r="AI62" s="49">
        <f t="shared" si="3"/>
        <v>127.64000000000001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30</v>
      </c>
      <c r="L63" s="45">
        <v>59</v>
      </c>
      <c r="M63" s="45">
        <v>59.8</v>
      </c>
      <c r="N63" s="45">
        <v>38.799999999999997</v>
      </c>
      <c r="O63" s="45">
        <v>39</v>
      </c>
      <c r="P63" s="45">
        <v>25</v>
      </c>
      <c r="Q63" s="45">
        <v>14</v>
      </c>
      <c r="R63" s="45">
        <v>0</v>
      </c>
      <c r="S63" s="45">
        <v>0</v>
      </c>
      <c r="T63" s="45">
        <v>0</v>
      </c>
      <c r="U63" s="45">
        <v>0</v>
      </c>
      <c r="V63" s="45">
        <v>14</v>
      </c>
      <c r="W63" s="45">
        <v>34</v>
      </c>
      <c r="X63" s="45">
        <v>50</v>
      </c>
      <c r="Y63" s="45">
        <v>60</v>
      </c>
      <c r="Z63" s="45">
        <v>40</v>
      </c>
      <c r="AA63" s="45">
        <v>30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10.4</v>
      </c>
      <c r="L64" s="65">
        <v>26.2</v>
      </c>
      <c r="M64" s="65">
        <v>28.6</v>
      </c>
      <c r="N64" s="65">
        <v>18.2</v>
      </c>
      <c r="O64" s="65">
        <v>18.2</v>
      </c>
      <c r="P64" s="65">
        <v>14</v>
      </c>
      <c r="Q64" s="65">
        <v>6.3</v>
      </c>
      <c r="R64" s="65">
        <v>0</v>
      </c>
      <c r="S64" s="65">
        <v>0</v>
      </c>
      <c r="T64" s="65">
        <v>0</v>
      </c>
      <c r="U64" s="65">
        <v>0</v>
      </c>
      <c r="V64" s="65">
        <v>5.9</v>
      </c>
      <c r="W64" s="65">
        <v>14.4</v>
      </c>
      <c r="X64" s="65">
        <v>24.1</v>
      </c>
      <c r="Y64" s="65">
        <v>28.7</v>
      </c>
      <c r="Z64" s="65">
        <v>29.3</v>
      </c>
      <c r="AA64" s="65">
        <v>14.6</v>
      </c>
      <c r="AB64" s="65">
        <v>3.5</v>
      </c>
      <c r="AC64" s="65">
        <v>3.5</v>
      </c>
      <c r="AD64" s="65">
        <v>3.5</v>
      </c>
      <c r="AE64" s="65">
        <v>0</v>
      </c>
      <c r="AF64" s="65">
        <v>0</v>
      </c>
      <c r="AG64" s="55">
        <v>32</v>
      </c>
      <c r="AH64" s="48">
        <f t="shared" si="2"/>
        <v>29.3</v>
      </c>
      <c r="AI64" s="49">
        <f t="shared" si="3"/>
        <v>0</v>
      </c>
      <c r="AK64" s="50"/>
    </row>
    <row r="65" spans="1:37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3.8</v>
      </c>
      <c r="L65" s="67">
        <v>9.4</v>
      </c>
      <c r="M65" s="67">
        <v>10.5</v>
      </c>
      <c r="N65" s="67">
        <v>6.7</v>
      </c>
      <c r="O65" s="67">
        <v>6.7</v>
      </c>
      <c r="P65" s="67">
        <v>5.2</v>
      </c>
      <c r="Q65" s="67">
        <v>2.2999999999999998</v>
      </c>
      <c r="R65" s="67">
        <v>0</v>
      </c>
      <c r="S65" s="67">
        <v>0</v>
      </c>
      <c r="T65" s="67">
        <v>0</v>
      </c>
      <c r="U65" s="67">
        <v>0</v>
      </c>
      <c r="V65" s="67">
        <v>2.2000000000000002</v>
      </c>
      <c r="W65" s="67">
        <v>5.2</v>
      </c>
      <c r="X65" s="67">
        <v>8.8000000000000007</v>
      </c>
      <c r="Y65" s="67">
        <v>10.5</v>
      </c>
      <c r="Z65" s="67">
        <v>10.7</v>
      </c>
      <c r="AA65" s="67">
        <v>5.3</v>
      </c>
      <c r="AB65" s="67">
        <v>1.3</v>
      </c>
      <c r="AC65" s="67">
        <v>1.3</v>
      </c>
      <c r="AD65" s="67">
        <v>1.3</v>
      </c>
      <c r="AE65" s="67">
        <v>0</v>
      </c>
      <c r="AF65" s="67">
        <v>0</v>
      </c>
      <c r="AG65" s="68">
        <v>14</v>
      </c>
      <c r="AH65" s="48">
        <f t="shared" si="2"/>
        <v>10.7</v>
      </c>
      <c r="AI65" s="49">
        <f t="shared" si="3"/>
        <v>0</v>
      </c>
      <c r="AK65" s="50"/>
    </row>
    <row r="66" spans="1:37" ht="15.75" thickBot="1" x14ac:dyDescent="0.3">
      <c r="A66" s="74" t="s">
        <v>74</v>
      </c>
      <c r="B66" s="61">
        <f t="shared" ref="B66:AG66" si="8">SUM(B63:B65)</f>
        <v>0</v>
      </c>
      <c r="C66" s="61">
        <f t="shared" si="8"/>
        <v>0</v>
      </c>
      <c r="D66" s="61">
        <f t="shared" si="8"/>
        <v>0</v>
      </c>
      <c r="E66" s="61">
        <f t="shared" si="8"/>
        <v>0</v>
      </c>
      <c r="F66" s="61">
        <f t="shared" si="8"/>
        <v>0</v>
      </c>
      <c r="G66" s="61">
        <f t="shared" si="8"/>
        <v>0</v>
      </c>
      <c r="H66" s="61">
        <f t="shared" si="8"/>
        <v>0</v>
      </c>
      <c r="I66" s="61">
        <f t="shared" si="8"/>
        <v>0</v>
      </c>
      <c r="J66" s="61">
        <f t="shared" si="8"/>
        <v>0</v>
      </c>
      <c r="K66" s="61">
        <f t="shared" si="8"/>
        <v>44.199999999999996</v>
      </c>
      <c r="L66" s="61">
        <f t="shared" si="8"/>
        <v>94.600000000000009</v>
      </c>
      <c r="M66" s="61">
        <f t="shared" si="8"/>
        <v>98.9</v>
      </c>
      <c r="N66" s="61">
        <f t="shared" si="8"/>
        <v>63.7</v>
      </c>
      <c r="O66" s="61">
        <f t="shared" si="8"/>
        <v>63.900000000000006</v>
      </c>
      <c r="P66" s="61">
        <f t="shared" si="8"/>
        <v>44.2</v>
      </c>
      <c r="Q66" s="61">
        <f t="shared" si="8"/>
        <v>22.6</v>
      </c>
      <c r="R66" s="61">
        <f t="shared" si="8"/>
        <v>0</v>
      </c>
      <c r="S66" s="61">
        <f t="shared" si="8"/>
        <v>0</v>
      </c>
      <c r="T66" s="61">
        <f t="shared" si="8"/>
        <v>0</v>
      </c>
      <c r="U66" s="61">
        <f t="shared" si="8"/>
        <v>0</v>
      </c>
      <c r="V66" s="61">
        <f t="shared" si="8"/>
        <v>22.099999999999998</v>
      </c>
      <c r="W66" s="61">
        <f t="shared" si="8"/>
        <v>53.6</v>
      </c>
      <c r="X66" s="61">
        <f t="shared" si="8"/>
        <v>82.899999999999991</v>
      </c>
      <c r="Y66" s="61">
        <f t="shared" si="8"/>
        <v>99.2</v>
      </c>
      <c r="Z66" s="61">
        <f t="shared" si="8"/>
        <v>80</v>
      </c>
      <c r="AA66" s="61">
        <f t="shared" si="8"/>
        <v>49.9</v>
      </c>
      <c r="AB66" s="61">
        <f t="shared" si="8"/>
        <v>4.8</v>
      </c>
      <c r="AC66" s="61">
        <f t="shared" si="8"/>
        <v>4.8</v>
      </c>
      <c r="AD66" s="61">
        <f t="shared" si="8"/>
        <v>4.8</v>
      </c>
      <c r="AE66" s="61">
        <f t="shared" si="8"/>
        <v>0</v>
      </c>
      <c r="AF66" s="61">
        <f t="shared" si="8"/>
        <v>0</v>
      </c>
      <c r="AG66" s="62">
        <f t="shared" si="8"/>
        <v>106</v>
      </c>
      <c r="AH66" s="48">
        <f t="shared" si="2"/>
        <v>99.2</v>
      </c>
      <c r="AI66" s="49">
        <f t="shared" si="3"/>
        <v>0</v>
      </c>
      <c r="AK66" s="50"/>
    </row>
    <row r="67" spans="1:37" x14ac:dyDescent="0.25">
      <c r="A67" s="44" t="s">
        <v>75</v>
      </c>
      <c r="B67" s="45">
        <v>49</v>
      </c>
      <c r="C67" s="45">
        <v>59</v>
      </c>
      <c r="D67" s="45">
        <v>60</v>
      </c>
      <c r="E67" s="45">
        <v>62</v>
      </c>
      <c r="F67" s="45">
        <v>68</v>
      </c>
      <c r="G67" s="45">
        <v>70</v>
      </c>
      <c r="H67" s="45">
        <v>60</v>
      </c>
      <c r="I67" s="45">
        <v>70</v>
      </c>
      <c r="J67" s="45">
        <v>60</v>
      </c>
      <c r="K67" s="45">
        <v>47.8</v>
      </c>
      <c r="L67" s="45">
        <v>28</v>
      </c>
      <c r="M67" s="45">
        <v>47.5</v>
      </c>
      <c r="N67" s="45">
        <v>41.8</v>
      </c>
      <c r="O67" s="45">
        <v>57.8</v>
      </c>
      <c r="P67" s="45">
        <v>58</v>
      </c>
      <c r="Q67" s="45">
        <v>72</v>
      </c>
      <c r="R67" s="45">
        <v>69.2</v>
      </c>
      <c r="S67" s="45">
        <v>63.9</v>
      </c>
      <c r="T67" s="45">
        <v>65</v>
      </c>
      <c r="U67" s="45">
        <v>70</v>
      </c>
      <c r="V67" s="45">
        <v>54</v>
      </c>
      <c r="W67" s="45">
        <v>43.1</v>
      </c>
      <c r="X67" s="45">
        <v>43.7</v>
      </c>
      <c r="Y67" s="45">
        <v>44.3</v>
      </c>
      <c r="Z67" s="45">
        <v>37.700000000000003</v>
      </c>
      <c r="AA67" s="45">
        <v>40.5</v>
      </c>
      <c r="AB67" s="45">
        <v>42.5</v>
      </c>
      <c r="AC67" s="45">
        <v>42.5</v>
      </c>
      <c r="AD67" s="45">
        <v>42.5</v>
      </c>
      <c r="AE67" s="45">
        <v>149</v>
      </c>
      <c r="AF67" s="45">
        <v>57</v>
      </c>
      <c r="AG67" s="52"/>
      <c r="AH67" s="48">
        <f t="shared" si="2"/>
        <v>149</v>
      </c>
      <c r="AI67" s="49">
        <f t="shared" si="3"/>
        <v>28</v>
      </c>
      <c r="AK67" s="50"/>
    </row>
    <row r="68" spans="1:37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65">
        <v>181</v>
      </c>
      <c r="C69" s="65">
        <v>105</v>
      </c>
      <c r="D69" s="65">
        <v>115</v>
      </c>
      <c r="E69" s="65">
        <v>108</v>
      </c>
      <c r="F69" s="65">
        <v>120</v>
      </c>
      <c r="G69" s="65">
        <v>110</v>
      </c>
      <c r="H69" s="65">
        <v>115</v>
      </c>
      <c r="I69" s="65">
        <v>96</v>
      </c>
      <c r="J69" s="65">
        <v>47</v>
      </c>
      <c r="K69" s="65">
        <v>-5.0999999999999996</v>
      </c>
      <c r="L69" s="65">
        <v>0</v>
      </c>
      <c r="M69" s="65">
        <v>18</v>
      </c>
      <c r="N69" s="65">
        <v>4.2</v>
      </c>
      <c r="O69" s="65">
        <v>-3.2</v>
      </c>
      <c r="P69" s="65">
        <v>92</v>
      </c>
      <c r="Q69" s="65">
        <v>215</v>
      </c>
      <c r="R69" s="65">
        <v>221.2</v>
      </c>
      <c r="S69" s="65">
        <v>231</v>
      </c>
      <c r="T69" s="65">
        <v>220</v>
      </c>
      <c r="U69" s="65">
        <v>225</v>
      </c>
      <c r="V69" s="65">
        <v>72</v>
      </c>
      <c r="W69" s="65">
        <v>11</v>
      </c>
      <c r="X69" s="65">
        <v>-4.8</v>
      </c>
      <c r="Y69" s="65">
        <v>-10</v>
      </c>
      <c r="Z69" s="65">
        <v>-9</v>
      </c>
      <c r="AA69" s="65">
        <v>0</v>
      </c>
      <c r="AB69" s="65">
        <v>95</v>
      </c>
      <c r="AC69" s="65">
        <v>95</v>
      </c>
      <c r="AD69" s="65">
        <v>85</v>
      </c>
      <c r="AE69" s="65">
        <v>50</v>
      </c>
      <c r="AF69" s="65">
        <v>153</v>
      </c>
      <c r="AG69" s="75"/>
      <c r="AH69" s="48">
        <f t="shared" si="2"/>
        <v>231</v>
      </c>
      <c r="AI69" s="49">
        <f t="shared" si="3"/>
        <v>-10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0</v>
      </c>
      <c r="AC75" s="65">
        <v>0</v>
      </c>
      <c r="AD75" s="65">
        <v>0</v>
      </c>
      <c r="AE75" s="65">
        <v>0</v>
      </c>
      <c r="AF75" s="65">
        <v>0</v>
      </c>
      <c r="AG75" s="75"/>
      <c r="AH75" s="48">
        <f t="shared" ref="AH75:AH113" si="9">MAX(B75:AF75)</f>
        <v>0</v>
      </c>
      <c r="AI75" s="49">
        <f t="shared" ref="AI75:AI113" si="10">MIN(B75:AF75)</f>
        <v>0</v>
      </c>
      <c r="AK75" s="50"/>
    </row>
    <row r="76" spans="1:37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  <c r="AG76" s="80"/>
      <c r="AH76" s="48">
        <f t="shared" si="9"/>
        <v>0</v>
      </c>
      <c r="AI76" s="49">
        <f t="shared" si="10"/>
        <v>0</v>
      </c>
      <c r="AK76" s="50"/>
    </row>
    <row r="77" spans="1:37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  <c r="AG77" s="80"/>
      <c r="AH77" s="48">
        <f t="shared" si="9"/>
        <v>0</v>
      </c>
      <c r="AI77" s="49">
        <f t="shared" si="10"/>
        <v>0</v>
      </c>
      <c r="AK77" s="50"/>
    </row>
    <row r="78" spans="1:37" ht="15.75" thickBot="1" x14ac:dyDescent="0.3">
      <c r="A78" s="74" t="s">
        <v>86</v>
      </c>
      <c r="B78" s="61">
        <f t="shared" ref="B78:P78" si="11">SUMIF(B67:B77,"&gt;0")</f>
        <v>230</v>
      </c>
      <c r="C78" s="61">
        <f t="shared" si="11"/>
        <v>164</v>
      </c>
      <c r="D78" s="61">
        <f t="shared" si="11"/>
        <v>175</v>
      </c>
      <c r="E78" s="61">
        <f t="shared" si="11"/>
        <v>170</v>
      </c>
      <c r="F78" s="61">
        <f t="shared" si="11"/>
        <v>188</v>
      </c>
      <c r="G78" s="61">
        <f t="shared" si="11"/>
        <v>180</v>
      </c>
      <c r="H78" s="61">
        <f t="shared" si="11"/>
        <v>175</v>
      </c>
      <c r="I78" s="61">
        <f t="shared" si="11"/>
        <v>166</v>
      </c>
      <c r="J78" s="61">
        <f t="shared" si="11"/>
        <v>107</v>
      </c>
      <c r="K78" s="61">
        <f t="shared" si="11"/>
        <v>47.8</v>
      </c>
      <c r="L78" s="61">
        <f t="shared" si="11"/>
        <v>28</v>
      </c>
      <c r="M78" s="61">
        <f t="shared" si="11"/>
        <v>65.5</v>
      </c>
      <c r="N78" s="61">
        <f t="shared" si="11"/>
        <v>46</v>
      </c>
      <c r="O78" s="61">
        <f t="shared" si="11"/>
        <v>57.8</v>
      </c>
      <c r="P78" s="61">
        <f t="shared" si="11"/>
        <v>150</v>
      </c>
      <c r="Q78" s="61">
        <f>SUMIF(Q67:Q77,"&gt;0")</f>
        <v>287</v>
      </c>
      <c r="R78" s="61">
        <f>SUMIF(R67:R77,"&gt;0")</f>
        <v>290.39999999999998</v>
      </c>
      <c r="S78" s="61">
        <f t="shared" ref="S78:AF78" si="12">SUMIF(S67:S77,"&gt;0")</f>
        <v>294.89999999999998</v>
      </c>
      <c r="T78" s="61">
        <f t="shared" si="12"/>
        <v>285</v>
      </c>
      <c r="U78" s="61">
        <f t="shared" si="12"/>
        <v>295</v>
      </c>
      <c r="V78" s="61">
        <f t="shared" si="12"/>
        <v>126</v>
      </c>
      <c r="W78" s="61">
        <f t="shared" si="12"/>
        <v>54.1</v>
      </c>
      <c r="X78" s="61">
        <f t="shared" si="12"/>
        <v>43.7</v>
      </c>
      <c r="Y78" s="61">
        <f t="shared" si="12"/>
        <v>44.3</v>
      </c>
      <c r="Z78" s="61">
        <f t="shared" si="12"/>
        <v>37.700000000000003</v>
      </c>
      <c r="AA78" s="61">
        <f t="shared" si="12"/>
        <v>40.5</v>
      </c>
      <c r="AB78" s="61">
        <f t="shared" si="12"/>
        <v>137.5</v>
      </c>
      <c r="AC78" s="61">
        <f t="shared" si="12"/>
        <v>137.5</v>
      </c>
      <c r="AD78" s="61">
        <f t="shared" si="12"/>
        <v>127.5</v>
      </c>
      <c r="AE78" s="61">
        <f t="shared" si="12"/>
        <v>199</v>
      </c>
      <c r="AF78" s="61">
        <f t="shared" si="12"/>
        <v>210</v>
      </c>
      <c r="AG78" s="81">
        <f>SUM(AG67:AG77)</f>
        <v>0</v>
      </c>
      <c r="AH78" s="48">
        <f t="shared" si="9"/>
        <v>295</v>
      </c>
      <c r="AI78" s="49">
        <f t="shared" si="10"/>
        <v>28</v>
      </c>
      <c r="AK78" s="50"/>
    </row>
    <row r="79" spans="1:37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9"/>
        <v>0</v>
      </c>
      <c r="AI79" s="49">
        <f t="shared" si="10"/>
        <v>0</v>
      </c>
      <c r="AK79" s="50"/>
    </row>
    <row r="80" spans="1:37" x14ac:dyDescent="0.25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9"/>
        <v>0</v>
      </c>
      <c r="AI80" s="49">
        <f t="shared" si="10"/>
        <v>0</v>
      </c>
      <c r="AK80" s="50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9"/>
        <v>0</v>
      </c>
      <c r="AI81" s="49">
        <f t="shared" si="10"/>
        <v>0</v>
      </c>
    </row>
    <row r="82" spans="1:37" ht="15.75" thickBot="1" x14ac:dyDescent="0.3">
      <c r="A82" s="74" t="s">
        <v>90</v>
      </c>
      <c r="B82" s="61">
        <v>0</v>
      </c>
      <c r="C82" s="61">
        <v>0</v>
      </c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9"/>
        <v>0</v>
      </c>
      <c r="AI82" s="49">
        <f t="shared" si="10"/>
        <v>0</v>
      </c>
    </row>
    <row r="83" spans="1:37" ht="15.75" thickBot="1" x14ac:dyDescent="0.3">
      <c r="A83" s="74" t="s">
        <v>91</v>
      </c>
      <c r="B83" s="83">
        <f t="shared" ref="B83:AG83" si="13">B44+B48+B66+B62+B78+B82</f>
        <v>989.83900000000006</v>
      </c>
      <c r="C83" s="83">
        <f t="shared" si="13"/>
        <v>941.24900000000002</v>
      </c>
      <c r="D83" s="83">
        <f t="shared" si="13"/>
        <v>930.33900000000006</v>
      </c>
      <c r="E83" s="83">
        <f t="shared" si="13"/>
        <v>956.73900000000003</v>
      </c>
      <c r="F83" s="83">
        <f t="shared" si="13"/>
        <v>962.93900000000008</v>
      </c>
      <c r="G83" s="83">
        <f t="shared" si="13"/>
        <v>997.73900000000003</v>
      </c>
      <c r="H83" s="83">
        <f t="shared" si="13"/>
        <v>1095.6389999999999</v>
      </c>
      <c r="I83" s="83">
        <f t="shared" si="13"/>
        <v>1205.239</v>
      </c>
      <c r="J83" s="83">
        <f t="shared" si="13"/>
        <v>1288.5790000000002</v>
      </c>
      <c r="K83" s="83">
        <f t="shared" si="13"/>
        <v>1474.3389999999999</v>
      </c>
      <c r="L83" s="83">
        <f t="shared" si="13"/>
        <v>1531.4389999999999</v>
      </c>
      <c r="M83" s="83">
        <f t="shared" si="13"/>
        <v>1586.8389999999999</v>
      </c>
      <c r="N83" s="83">
        <f t="shared" si="13"/>
        <v>1470.6390000000001</v>
      </c>
      <c r="O83" s="83">
        <f t="shared" si="13"/>
        <v>1434.4390000000001</v>
      </c>
      <c r="P83" s="83">
        <f t="shared" si="13"/>
        <v>1429.239</v>
      </c>
      <c r="Q83" s="83">
        <f t="shared" si="13"/>
        <v>1318.5390000000002</v>
      </c>
      <c r="R83" s="83">
        <f t="shared" si="13"/>
        <v>1260.239</v>
      </c>
      <c r="S83" s="83">
        <f t="shared" si="13"/>
        <v>1239.739</v>
      </c>
      <c r="T83" s="83">
        <f t="shared" si="13"/>
        <v>1253.6390000000001</v>
      </c>
      <c r="U83" s="83">
        <f t="shared" si="13"/>
        <v>1273.6390000000001</v>
      </c>
      <c r="V83" s="83">
        <f t="shared" si="13"/>
        <v>1368.6390000000001</v>
      </c>
      <c r="W83" s="83">
        <f t="shared" si="13"/>
        <v>1539.239</v>
      </c>
      <c r="X83" s="83">
        <f t="shared" si="13"/>
        <v>1645.6390000000004</v>
      </c>
      <c r="Y83" s="83">
        <f t="shared" si="13"/>
        <v>1596.5390000000002</v>
      </c>
      <c r="Z83" s="83">
        <f t="shared" si="13"/>
        <v>1545.239</v>
      </c>
      <c r="AA83" s="83">
        <f t="shared" si="13"/>
        <v>1444.6390000000001</v>
      </c>
      <c r="AB83" s="83">
        <f t="shared" si="13"/>
        <v>1341.8389999999999</v>
      </c>
      <c r="AC83" s="83">
        <f t="shared" si="13"/>
        <v>1341.8389999999999</v>
      </c>
      <c r="AD83" s="83">
        <f t="shared" si="13"/>
        <v>1199.739</v>
      </c>
      <c r="AE83" s="83">
        <f t="shared" si="13"/>
        <v>1062.039</v>
      </c>
      <c r="AF83" s="83">
        <f t="shared" si="13"/>
        <v>1012.8389999999999</v>
      </c>
      <c r="AG83" s="62">
        <f t="shared" si="13"/>
        <v>2004.1900000000003</v>
      </c>
      <c r="AH83" s="48">
        <f t="shared" si="9"/>
        <v>1645.6390000000004</v>
      </c>
      <c r="AI83" s="49">
        <f t="shared" si="10"/>
        <v>930.33900000000006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9"/>
        <v>0</v>
      </c>
      <c r="AI84" s="49">
        <f t="shared" si="10"/>
        <v>0</v>
      </c>
    </row>
    <row r="85" spans="1:37" ht="15.75" thickBot="1" x14ac:dyDescent="0.3">
      <c r="A85" s="74" t="s">
        <v>93</v>
      </c>
      <c r="B85" s="83">
        <f t="shared" ref="B85:O85" si="14">B83+B84</f>
        <v>989.83900000000006</v>
      </c>
      <c r="C85" s="83">
        <f t="shared" si="14"/>
        <v>941.24900000000002</v>
      </c>
      <c r="D85" s="83">
        <f t="shared" si="14"/>
        <v>930.33900000000006</v>
      </c>
      <c r="E85" s="83">
        <f t="shared" si="14"/>
        <v>956.73900000000003</v>
      </c>
      <c r="F85" s="83">
        <f t="shared" si="14"/>
        <v>962.93900000000008</v>
      </c>
      <c r="G85" s="83">
        <f t="shared" si="14"/>
        <v>997.73900000000003</v>
      </c>
      <c r="H85" s="83">
        <f t="shared" si="14"/>
        <v>1095.6389999999999</v>
      </c>
      <c r="I85" s="83">
        <f t="shared" si="14"/>
        <v>1205.239</v>
      </c>
      <c r="J85" s="83">
        <f t="shared" si="14"/>
        <v>1288.5790000000002</v>
      </c>
      <c r="K85" s="83">
        <f t="shared" si="14"/>
        <v>1474.3389999999999</v>
      </c>
      <c r="L85" s="83">
        <f t="shared" si="14"/>
        <v>1531.4389999999999</v>
      </c>
      <c r="M85" s="83">
        <f t="shared" si="14"/>
        <v>1586.8389999999999</v>
      </c>
      <c r="N85" s="83">
        <f t="shared" si="14"/>
        <v>1470.6390000000001</v>
      </c>
      <c r="O85" s="83">
        <f t="shared" si="14"/>
        <v>1434.4390000000001</v>
      </c>
      <c r="P85" s="83">
        <f>P83+P84</f>
        <v>1429.239</v>
      </c>
      <c r="Q85" s="83">
        <f>Q83+Q84</f>
        <v>1318.5390000000002</v>
      </c>
      <c r="R85" s="83">
        <f>R83+R84</f>
        <v>1260.239</v>
      </c>
      <c r="S85" s="83">
        <f t="shared" ref="S85:AF85" si="15">S83+S84</f>
        <v>1239.739</v>
      </c>
      <c r="T85" s="83">
        <f t="shared" si="15"/>
        <v>1253.6390000000001</v>
      </c>
      <c r="U85" s="83">
        <f t="shared" si="15"/>
        <v>1273.6390000000001</v>
      </c>
      <c r="V85" s="83">
        <f t="shared" si="15"/>
        <v>1368.6390000000001</v>
      </c>
      <c r="W85" s="83">
        <f t="shared" si="15"/>
        <v>1539.239</v>
      </c>
      <c r="X85" s="83">
        <f t="shared" si="15"/>
        <v>1645.6390000000004</v>
      </c>
      <c r="Y85" s="83">
        <f t="shared" si="15"/>
        <v>1596.5390000000002</v>
      </c>
      <c r="Z85" s="83">
        <f t="shared" si="15"/>
        <v>1545.239</v>
      </c>
      <c r="AA85" s="83">
        <f t="shared" si="15"/>
        <v>1444.6390000000001</v>
      </c>
      <c r="AB85" s="83">
        <f t="shared" si="15"/>
        <v>1341.8389999999999</v>
      </c>
      <c r="AC85" s="83">
        <f t="shared" si="15"/>
        <v>1341.8389999999999</v>
      </c>
      <c r="AD85" s="83">
        <f t="shared" si="15"/>
        <v>1199.739</v>
      </c>
      <c r="AE85" s="83">
        <f t="shared" si="15"/>
        <v>1062.039</v>
      </c>
      <c r="AF85" s="83">
        <f t="shared" si="15"/>
        <v>1012.8389999999999</v>
      </c>
      <c r="AG85" s="81">
        <f>AG82+AG78+AG66+AG62+AG44+AG84</f>
        <v>1466.0900000000001</v>
      </c>
      <c r="AH85" s="48">
        <f t="shared" si="9"/>
        <v>1645.6390000000004</v>
      </c>
      <c r="AI85" s="49">
        <f t="shared" si="10"/>
        <v>930.33900000000006</v>
      </c>
    </row>
    <row r="86" spans="1:37" ht="15.75" thickBot="1" x14ac:dyDescent="0.3">
      <c r="A86" s="74" t="s">
        <v>94</v>
      </c>
      <c r="B86" s="83">
        <f t="shared" ref="B86:AF86" si="16">B85-B93</f>
        <v>989.83900000000006</v>
      </c>
      <c r="C86" s="83">
        <f t="shared" si="16"/>
        <v>941.24900000000002</v>
      </c>
      <c r="D86" s="83">
        <f t="shared" si="16"/>
        <v>930.33900000000006</v>
      </c>
      <c r="E86" s="83">
        <f t="shared" si="16"/>
        <v>956.73900000000003</v>
      </c>
      <c r="F86" s="83">
        <f t="shared" si="16"/>
        <v>962.93900000000008</v>
      </c>
      <c r="G86" s="83">
        <f t="shared" si="16"/>
        <v>997.73900000000003</v>
      </c>
      <c r="H86" s="83">
        <f t="shared" si="16"/>
        <v>1095.6389999999999</v>
      </c>
      <c r="I86" s="83">
        <f t="shared" si="16"/>
        <v>1205.239</v>
      </c>
      <c r="J86" s="83">
        <f t="shared" si="16"/>
        <v>1288.5790000000002</v>
      </c>
      <c r="K86" s="83">
        <f t="shared" si="16"/>
        <v>1474.3389999999999</v>
      </c>
      <c r="L86" s="83">
        <f t="shared" si="16"/>
        <v>1531.4389999999999</v>
      </c>
      <c r="M86" s="83">
        <f t="shared" si="16"/>
        <v>1586.8389999999999</v>
      </c>
      <c r="N86" s="83">
        <f t="shared" si="16"/>
        <v>1470.6390000000001</v>
      </c>
      <c r="O86" s="83">
        <f t="shared" si="16"/>
        <v>1434.4390000000001</v>
      </c>
      <c r="P86" s="83">
        <f t="shared" si="16"/>
        <v>1429.239</v>
      </c>
      <c r="Q86" s="83">
        <f t="shared" si="16"/>
        <v>1318.5390000000002</v>
      </c>
      <c r="R86" s="83">
        <f t="shared" si="16"/>
        <v>1260.239</v>
      </c>
      <c r="S86" s="83">
        <f t="shared" si="16"/>
        <v>1239.739</v>
      </c>
      <c r="T86" s="83">
        <f t="shared" si="16"/>
        <v>1253.6390000000001</v>
      </c>
      <c r="U86" s="83">
        <f t="shared" si="16"/>
        <v>1273.6390000000001</v>
      </c>
      <c r="V86" s="83">
        <f t="shared" si="16"/>
        <v>1368.6390000000001</v>
      </c>
      <c r="W86" s="83">
        <f t="shared" si="16"/>
        <v>1539.239</v>
      </c>
      <c r="X86" s="83">
        <f t="shared" si="16"/>
        <v>1645.6390000000004</v>
      </c>
      <c r="Y86" s="83">
        <f t="shared" si="16"/>
        <v>1596.5390000000002</v>
      </c>
      <c r="Z86" s="83">
        <f t="shared" si="16"/>
        <v>1545.239</v>
      </c>
      <c r="AA86" s="83">
        <f t="shared" si="16"/>
        <v>1444.6390000000001</v>
      </c>
      <c r="AB86" s="83">
        <f t="shared" si="16"/>
        <v>1341.8389999999999</v>
      </c>
      <c r="AC86" s="83">
        <f t="shared" si="16"/>
        <v>1341.8389999999999</v>
      </c>
      <c r="AD86" s="83">
        <f t="shared" si="16"/>
        <v>1199.739</v>
      </c>
      <c r="AE86" s="83">
        <f t="shared" si="16"/>
        <v>1062.039</v>
      </c>
      <c r="AF86" s="83">
        <f t="shared" si="16"/>
        <v>1012.8389999999999</v>
      </c>
      <c r="AG86" s="81"/>
      <c r="AH86" s="48">
        <f t="shared" si="9"/>
        <v>1645.6390000000004</v>
      </c>
      <c r="AI86" s="49">
        <f t="shared" si="10"/>
        <v>930.33900000000006</v>
      </c>
    </row>
    <row r="87" spans="1:37" x14ac:dyDescent="0.25">
      <c r="A87" s="44" t="s">
        <v>78</v>
      </c>
      <c r="B87" s="76">
        <f t="shared" ref="B87:K87" si="17">IF(B70&lt;0,B70*-1,0)</f>
        <v>0</v>
      </c>
      <c r="C87" s="76">
        <f t="shared" si="17"/>
        <v>0</v>
      </c>
      <c r="D87" s="76">
        <f t="shared" si="17"/>
        <v>0</v>
      </c>
      <c r="E87" s="76">
        <f t="shared" si="17"/>
        <v>0</v>
      </c>
      <c r="F87" s="76">
        <f t="shared" si="17"/>
        <v>0</v>
      </c>
      <c r="G87" s="76">
        <f t="shared" si="17"/>
        <v>0</v>
      </c>
      <c r="H87" s="76">
        <f t="shared" si="17"/>
        <v>0</v>
      </c>
      <c r="I87" s="76">
        <f t="shared" si="17"/>
        <v>0</v>
      </c>
      <c r="J87" s="76">
        <f t="shared" si="17"/>
        <v>0</v>
      </c>
      <c r="K87" s="76">
        <f t="shared" si="17"/>
        <v>0</v>
      </c>
      <c r="L87" s="76">
        <f t="shared" ref="L87:Q87" si="18">IF(L70&lt;0,L70*-1,0)</f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9"/>
        <v>0</v>
      </c>
      <c r="AI87" s="49">
        <f t="shared" si="10"/>
        <v>0</v>
      </c>
    </row>
    <row r="88" spans="1:37" x14ac:dyDescent="0.25">
      <c r="A88" s="54" t="s">
        <v>76</v>
      </c>
      <c r="B88" s="76">
        <f t="shared" ref="B88:K88" si="19">IF(B68&lt;0,B68*-1,0)</f>
        <v>0</v>
      </c>
      <c r="C88" s="76">
        <f t="shared" si="19"/>
        <v>0</v>
      </c>
      <c r="D88" s="76">
        <f t="shared" si="19"/>
        <v>0</v>
      </c>
      <c r="E88" s="76">
        <f t="shared" si="19"/>
        <v>0</v>
      </c>
      <c r="F88" s="76">
        <f t="shared" si="19"/>
        <v>0</v>
      </c>
      <c r="G88" s="76">
        <f t="shared" si="19"/>
        <v>0</v>
      </c>
      <c r="H88" s="76">
        <f t="shared" si="19"/>
        <v>0</v>
      </c>
      <c r="I88" s="76">
        <f t="shared" si="19"/>
        <v>0</v>
      </c>
      <c r="J88" s="76">
        <f t="shared" si="19"/>
        <v>0</v>
      </c>
      <c r="K88" s="76">
        <f t="shared" si="19"/>
        <v>0</v>
      </c>
      <c r="L88" s="76">
        <f t="shared" ref="L88:Q88" si="20">IF(L68&lt;0,L68*-1,0)</f>
        <v>0</v>
      </c>
      <c r="M88" s="76">
        <f t="shared" si="20"/>
        <v>0</v>
      </c>
      <c r="N88" s="76">
        <f t="shared" si="20"/>
        <v>0</v>
      </c>
      <c r="O88" s="76">
        <f t="shared" si="20"/>
        <v>0</v>
      </c>
      <c r="P88" s="76">
        <f t="shared" si="20"/>
        <v>0</v>
      </c>
      <c r="Q88" s="76">
        <f t="shared" si="20"/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9"/>
        <v>0</v>
      </c>
      <c r="AI88" s="49">
        <f t="shared" si="10"/>
        <v>0</v>
      </c>
    </row>
    <row r="89" spans="1:37" x14ac:dyDescent="0.25">
      <c r="A89" s="78" t="s">
        <v>95</v>
      </c>
      <c r="B89" s="76">
        <f t="shared" ref="B89:K89" si="21">IF(B71&lt;0,B71*-1,0)</f>
        <v>0</v>
      </c>
      <c r="C89" s="76">
        <f t="shared" si="21"/>
        <v>0</v>
      </c>
      <c r="D89" s="76">
        <f t="shared" si="21"/>
        <v>0</v>
      </c>
      <c r="E89" s="76">
        <f t="shared" si="21"/>
        <v>0</v>
      </c>
      <c r="F89" s="76">
        <f t="shared" si="21"/>
        <v>0</v>
      </c>
      <c r="G89" s="76">
        <f t="shared" si="21"/>
        <v>0</v>
      </c>
      <c r="H89" s="76">
        <f t="shared" si="21"/>
        <v>0</v>
      </c>
      <c r="I89" s="76">
        <f t="shared" si="21"/>
        <v>0</v>
      </c>
      <c r="J89" s="76">
        <f t="shared" si="21"/>
        <v>0</v>
      </c>
      <c r="K89" s="76">
        <f t="shared" si="21"/>
        <v>0</v>
      </c>
      <c r="L89" s="76">
        <f t="shared" ref="L89:Q89" si="22">IF(L71&lt;0,L71*-1,0)</f>
        <v>0</v>
      </c>
      <c r="M89" s="76">
        <f t="shared" si="22"/>
        <v>0</v>
      </c>
      <c r="N89" s="76">
        <f t="shared" si="22"/>
        <v>0</v>
      </c>
      <c r="O89" s="76">
        <f t="shared" si="22"/>
        <v>0</v>
      </c>
      <c r="P89" s="76">
        <f t="shared" si="22"/>
        <v>0</v>
      </c>
      <c r="Q89" s="76">
        <f t="shared" si="22"/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9"/>
        <v>0</v>
      </c>
      <c r="AI89" s="49">
        <f t="shared" si="10"/>
        <v>0</v>
      </c>
    </row>
    <row r="90" spans="1:37" x14ac:dyDescent="0.25">
      <c r="A90" s="78" t="s">
        <v>96</v>
      </c>
      <c r="B90" s="76">
        <f t="shared" ref="B90:K90" si="23">IF(B69&lt;0,B69*-1,0)</f>
        <v>0</v>
      </c>
      <c r="C90" s="76">
        <f t="shared" si="23"/>
        <v>0</v>
      </c>
      <c r="D90" s="76">
        <f t="shared" si="23"/>
        <v>0</v>
      </c>
      <c r="E90" s="76">
        <f t="shared" si="23"/>
        <v>0</v>
      </c>
      <c r="F90" s="76">
        <f t="shared" si="23"/>
        <v>0</v>
      </c>
      <c r="G90" s="76">
        <f t="shared" si="23"/>
        <v>0</v>
      </c>
      <c r="H90" s="76">
        <f t="shared" si="23"/>
        <v>0</v>
      </c>
      <c r="I90" s="76">
        <f t="shared" si="23"/>
        <v>0</v>
      </c>
      <c r="J90" s="76">
        <f t="shared" si="23"/>
        <v>0</v>
      </c>
      <c r="K90" s="76">
        <f t="shared" si="23"/>
        <v>5.0999999999999996</v>
      </c>
      <c r="L90" s="76">
        <f t="shared" ref="L90:Q90" si="24">IF(L69&lt;0,L69*-1,0)</f>
        <v>0</v>
      </c>
      <c r="M90" s="76">
        <f t="shared" si="24"/>
        <v>0</v>
      </c>
      <c r="N90" s="76">
        <f t="shared" si="24"/>
        <v>0</v>
      </c>
      <c r="O90" s="76">
        <f t="shared" si="24"/>
        <v>3.2</v>
      </c>
      <c r="P90" s="76">
        <f t="shared" si="24"/>
        <v>0</v>
      </c>
      <c r="Q90" s="76">
        <f t="shared" si="24"/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9"/>
        <v>5.0999999999999996</v>
      </c>
      <c r="AI90" s="49">
        <f t="shared" si="10"/>
        <v>0</v>
      </c>
    </row>
    <row r="91" spans="1:37" x14ac:dyDescent="0.25">
      <c r="A91" s="78" t="s">
        <v>75</v>
      </c>
      <c r="B91" s="76">
        <f t="shared" ref="B91:K91" si="25">IF(B67&lt;0,B67*-1,0)</f>
        <v>0</v>
      </c>
      <c r="C91" s="76">
        <f t="shared" si="25"/>
        <v>0</v>
      </c>
      <c r="D91" s="76">
        <f t="shared" si="25"/>
        <v>0</v>
      </c>
      <c r="E91" s="76">
        <f t="shared" si="25"/>
        <v>0</v>
      </c>
      <c r="F91" s="76">
        <f t="shared" si="25"/>
        <v>0</v>
      </c>
      <c r="G91" s="76">
        <f t="shared" si="25"/>
        <v>0</v>
      </c>
      <c r="H91" s="76">
        <f t="shared" si="25"/>
        <v>0</v>
      </c>
      <c r="I91" s="76">
        <f t="shared" si="25"/>
        <v>0</v>
      </c>
      <c r="J91" s="76">
        <f t="shared" si="25"/>
        <v>0</v>
      </c>
      <c r="K91" s="76">
        <f t="shared" si="25"/>
        <v>0</v>
      </c>
      <c r="L91" s="76">
        <f t="shared" ref="L91:Q91" si="26">IF(L67&lt;0,L67*-1,0)</f>
        <v>0</v>
      </c>
      <c r="M91" s="76">
        <f t="shared" si="26"/>
        <v>0</v>
      </c>
      <c r="N91" s="76">
        <f t="shared" si="26"/>
        <v>0</v>
      </c>
      <c r="O91" s="76">
        <f t="shared" si="26"/>
        <v>0</v>
      </c>
      <c r="P91" s="76">
        <f t="shared" si="26"/>
        <v>0</v>
      </c>
      <c r="Q91" s="76">
        <f t="shared" si="26"/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9"/>
        <v>0</v>
      </c>
      <c r="AI91" s="49">
        <f t="shared" si="10"/>
        <v>0</v>
      </c>
    </row>
    <row r="92" spans="1:37" ht="15.75" thickBot="1" x14ac:dyDescent="0.3">
      <c r="A92" s="78" t="s">
        <v>97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9"/>
        <v>0</v>
      </c>
      <c r="AI92" s="49">
        <f t="shared" si="10"/>
        <v>0</v>
      </c>
    </row>
    <row r="93" spans="1:37" ht="15.75" thickBot="1" x14ac:dyDescent="0.3">
      <c r="A93" s="87" t="s">
        <v>98</v>
      </c>
      <c r="B93" s="61">
        <f t="shared" ref="B93" si="27">SUM(B87:B92)</f>
        <v>0</v>
      </c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81"/>
      <c r="AH93" s="48">
        <f t="shared" si="9"/>
        <v>0</v>
      </c>
      <c r="AI93" s="49">
        <f t="shared" si="10"/>
        <v>0</v>
      </c>
      <c r="AK93" s="50"/>
    </row>
    <row r="94" spans="1:37" ht="15.75" thickBot="1" x14ac:dyDescent="0.3">
      <c r="A94" s="74" t="s">
        <v>99</v>
      </c>
      <c r="B94" s="61">
        <f t="shared" ref="B94:S94" si="28">B78-B93</f>
        <v>230</v>
      </c>
      <c r="C94" s="61">
        <f t="shared" si="28"/>
        <v>164</v>
      </c>
      <c r="D94" s="61">
        <f t="shared" si="28"/>
        <v>175</v>
      </c>
      <c r="E94" s="61">
        <f t="shared" si="28"/>
        <v>170</v>
      </c>
      <c r="F94" s="61">
        <f t="shared" si="28"/>
        <v>188</v>
      </c>
      <c r="G94" s="61">
        <f t="shared" si="28"/>
        <v>180</v>
      </c>
      <c r="H94" s="61">
        <f t="shared" si="28"/>
        <v>175</v>
      </c>
      <c r="I94" s="61">
        <f t="shared" si="28"/>
        <v>166</v>
      </c>
      <c r="J94" s="61">
        <f t="shared" si="28"/>
        <v>107</v>
      </c>
      <c r="K94" s="61">
        <f t="shared" si="28"/>
        <v>47.8</v>
      </c>
      <c r="L94" s="61">
        <f t="shared" si="28"/>
        <v>28</v>
      </c>
      <c r="M94" s="61">
        <f t="shared" si="28"/>
        <v>65.5</v>
      </c>
      <c r="N94" s="61">
        <f t="shared" si="28"/>
        <v>46</v>
      </c>
      <c r="O94" s="61">
        <f t="shared" si="28"/>
        <v>57.8</v>
      </c>
      <c r="P94" s="61">
        <f t="shared" si="28"/>
        <v>150</v>
      </c>
      <c r="Q94" s="61">
        <f t="shared" si="28"/>
        <v>287</v>
      </c>
      <c r="R94" s="61">
        <f t="shared" si="28"/>
        <v>290.39999999999998</v>
      </c>
      <c r="S94" s="61">
        <f t="shared" si="28"/>
        <v>294.89999999999998</v>
      </c>
      <c r="T94" s="61">
        <f>T78-T93</f>
        <v>285</v>
      </c>
      <c r="U94" s="61">
        <f t="shared" ref="U94:AF94" si="29">U78-U93</f>
        <v>295</v>
      </c>
      <c r="V94" s="61">
        <f t="shared" si="29"/>
        <v>126</v>
      </c>
      <c r="W94" s="61">
        <f t="shared" si="29"/>
        <v>54.1</v>
      </c>
      <c r="X94" s="61">
        <f t="shared" si="29"/>
        <v>43.7</v>
      </c>
      <c r="Y94" s="61">
        <f t="shared" si="29"/>
        <v>44.3</v>
      </c>
      <c r="Z94" s="61">
        <f t="shared" si="29"/>
        <v>37.700000000000003</v>
      </c>
      <c r="AA94" s="61">
        <f t="shared" si="29"/>
        <v>40.5</v>
      </c>
      <c r="AB94" s="61">
        <f t="shared" si="29"/>
        <v>137.5</v>
      </c>
      <c r="AC94" s="61">
        <f t="shared" si="29"/>
        <v>137.5</v>
      </c>
      <c r="AD94" s="61">
        <f t="shared" si="29"/>
        <v>127.5</v>
      </c>
      <c r="AE94" s="61">
        <f t="shared" si="29"/>
        <v>199</v>
      </c>
      <c r="AF94" s="61">
        <f t="shared" si="29"/>
        <v>210</v>
      </c>
      <c r="AG94" s="81"/>
      <c r="AH94" s="48">
        <f t="shared" si="9"/>
        <v>295</v>
      </c>
      <c r="AI94" s="49">
        <f t="shared" si="10"/>
        <v>28</v>
      </c>
    </row>
    <row r="95" spans="1:37" x14ac:dyDescent="0.25">
      <c r="A95" s="88" t="s">
        <v>100</v>
      </c>
      <c r="B95" s="89">
        <v>50</v>
      </c>
      <c r="C95" s="89">
        <v>50</v>
      </c>
      <c r="D95" s="89">
        <v>50.02</v>
      </c>
      <c r="E95" s="89">
        <v>50.07</v>
      </c>
      <c r="F95" s="89">
        <v>50.1</v>
      </c>
      <c r="G95" s="89">
        <v>50.1</v>
      </c>
      <c r="H95" s="89">
        <v>50.2</v>
      </c>
      <c r="I95" s="89">
        <v>50.1</v>
      </c>
      <c r="J95" s="89">
        <v>50.2</v>
      </c>
      <c r="K95" s="89">
        <v>50</v>
      </c>
      <c r="L95" s="89">
        <v>50.2</v>
      </c>
      <c r="M95" s="89">
        <v>50.152000000000001</v>
      </c>
      <c r="N95" s="89">
        <v>50.186</v>
      </c>
      <c r="O95" s="89">
        <v>50.029000000000003</v>
      </c>
      <c r="P95" s="89">
        <v>49.915999999999997</v>
      </c>
      <c r="Q95" s="89">
        <v>50.03</v>
      </c>
      <c r="R95" s="89">
        <v>50.125999999999998</v>
      </c>
      <c r="S95" s="89">
        <v>49.98</v>
      </c>
      <c r="T95" s="89">
        <v>50.027000000000001</v>
      </c>
      <c r="U95" s="89">
        <v>50.027000000000001</v>
      </c>
      <c r="V95" s="89">
        <v>50.072000000000003</v>
      </c>
      <c r="W95" s="89">
        <v>49.99</v>
      </c>
      <c r="X95" s="89">
        <v>49.959000000000003</v>
      </c>
      <c r="Y95" s="89">
        <v>50.003999999999998</v>
      </c>
      <c r="Z95" s="89">
        <v>50.203000000000003</v>
      </c>
      <c r="AA95" s="89">
        <v>50.131999999999998</v>
      </c>
      <c r="AB95" s="89">
        <v>50.052999999999997</v>
      </c>
      <c r="AC95" s="89">
        <v>50.052999999999997</v>
      </c>
      <c r="AD95" s="89">
        <v>49.988</v>
      </c>
      <c r="AE95" s="89">
        <v>50.055999999999997</v>
      </c>
      <c r="AF95" s="89">
        <v>50.054000000000002</v>
      </c>
      <c r="AG95" s="90"/>
      <c r="AH95" s="48">
        <f t="shared" si="9"/>
        <v>50.203000000000003</v>
      </c>
      <c r="AI95" s="49">
        <f t="shared" si="10"/>
        <v>49.915999999999997</v>
      </c>
    </row>
    <row r="96" spans="1:37" x14ac:dyDescent="0.25">
      <c r="A96" s="91" t="s">
        <v>101</v>
      </c>
      <c r="B96" s="65">
        <v>128</v>
      </c>
      <c r="C96" s="65">
        <v>128</v>
      </c>
      <c r="D96" s="65">
        <v>128</v>
      </c>
      <c r="E96" s="65">
        <v>129</v>
      </c>
      <c r="F96" s="65">
        <v>128.9</v>
      </c>
      <c r="G96" s="65">
        <v>128</v>
      </c>
      <c r="H96" s="65">
        <v>126.9</v>
      </c>
      <c r="I96" s="65">
        <v>126.9</v>
      </c>
      <c r="J96" s="65">
        <v>126.9</v>
      </c>
      <c r="K96" s="65">
        <v>124.4</v>
      </c>
      <c r="L96" s="65">
        <v>126.9</v>
      </c>
      <c r="M96" s="65">
        <v>126.8</v>
      </c>
      <c r="N96" s="65">
        <v>126.8</v>
      </c>
      <c r="O96" s="65">
        <v>123.6</v>
      </c>
      <c r="P96" s="65">
        <v>125.63</v>
      </c>
      <c r="Q96" s="65">
        <v>124.54</v>
      </c>
      <c r="R96" s="65">
        <v>121.1</v>
      </c>
      <c r="S96" s="65">
        <v>122.2</v>
      </c>
      <c r="T96" s="65">
        <v>123.2</v>
      </c>
      <c r="U96" s="65">
        <v>123.2</v>
      </c>
      <c r="V96" s="65">
        <v>126.2</v>
      </c>
      <c r="W96" s="65">
        <v>125.7</v>
      </c>
      <c r="X96" s="65">
        <v>125.6</v>
      </c>
      <c r="Y96" s="65">
        <v>125.9</v>
      </c>
      <c r="Z96" s="65">
        <v>126.6</v>
      </c>
      <c r="AA96" s="65">
        <v>126.8</v>
      </c>
      <c r="AB96" s="65">
        <v>127.1</v>
      </c>
      <c r="AC96" s="65">
        <v>127.1</v>
      </c>
      <c r="AD96" s="65">
        <v>127.6</v>
      </c>
      <c r="AE96" s="65">
        <v>129.1</v>
      </c>
      <c r="AF96" s="65">
        <v>128.80000000000001</v>
      </c>
      <c r="AG96" s="92"/>
      <c r="AH96" s="48">
        <f t="shared" si="9"/>
        <v>129.1</v>
      </c>
      <c r="AI96" s="49">
        <f t="shared" si="10"/>
        <v>121.1</v>
      </c>
    </row>
    <row r="97" spans="1:35" x14ac:dyDescent="0.25">
      <c r="A97" s="91" t="s">
        <v>102</v>
      </c>
      <c r="B97" s="65">
        <v>132</v>
      </c>
      <c r="C97" s="65">
        <v>132</v>
      </c>
      <c r="D97" s="65">
        <v>132</v>
      </c>
      <c r="E97" s="65">
        <v>133</v>
      </c>
      <c r="F97" s="65">
        <v>133</v>
      </c>
      <c r="G97" s="65">
        <v>133</v>
      </c>
      <c r="H97" s="65">
        <v>130.80000000000001</v>
      </c>
      <c r="I97" s="65">
        <v>130.80000000000001</v>
      </c>
      <c r="J97" s="65">
        <v>130.80000000000001</v>
      </c>
      <c r="K97" s="65">
        <v>128.30000000000001</v>
      </c>
      <c r="L97" s="65">
        <v>130.80000000000001</v>
      </c>
      <c r="M97" s="65">
        <v>130</v>
      </c>
      <c r="N97" s="65">
        <v>130.19999999999999</v>
      </c>
      <c r="O97" s="65">
        <v>126.2</v>
      </c>
      <c r="P97" s="65">
        <v>127</v>
      </c>
      <c r="Q97" s="65">
        <v>126</v>
      </c>
      <c r="R97" s="65">
        <v>124.7</v>
      </c>
      <c r="S97" s="65">
        <v>125.2</v>
      </c>
      <c r="T97" s="65">
        <v>126.1</v>
      </c>
      <c r="U97" s="65">
        <v>126.1</v>
      </c>
      <c r="V97" s="65">
        <v>128.69999999999999</v>
      </c>
      <c r="W97" s="65">
        <v>128.6</v>
      </c>
      <c r="X97" s="65">
        <v>128.30000000000001</v>
      </c>
      <c r="Y97" s="65">
        <v>127.5</v>
      </c>
      <c r="Z97" s="65">
        <v>128.4</v>
      </c>
      <c r="AA97" s="65">
        <v>129.1</v>
      </c>
      <c r="AB97" s="65">
        <v>129.5</v>
      </c>
      <c r="AC97" s="65">
        <v>129.5</v>
      </c>
      <c r="AD97" s="65">
        <v>130.4</v>
      </c>
      <c r="AE97" s="65">
        <v>132.1</v>
      </c>
      <c r="AF97" s="65">
        <v>132.19999999999999</v>
      </c>
      <c r="AG97" s="92"/>
      <c r="AH97" s="48">
        <f t="shared" si="9"/>
        <v>133</v>
      </c>
      <c r="AI97" s="49">
        <f t="shared" si="10"/>
        <v>124.7</v>
      </c>
    </row>
    <row r="98" spans="1:35" x14ac:dyDescent="0.25">
      <c r="A98" s="91" t="s">
        <v>103</v>
      </c>
      <c r="B98" s="65">
        <v>132</v>
      </c>
      <c r="C98" s="65">
        <v>132</v>
      </c>
      <c r="D98" s="65">
        <v>132</v>
      </c>
      <c r="E98" s="65">
        <v>133.30000000000001</v>
      </c>
      <c r="F98" s="65">
        <v>133.1</v>
      </c>
      <c r="G98" s="65">
        <v>133.1</v>
      </c>
      <c r="H98" s="65">
        <v>133</v>
      </c>
      <c r="I98" s="65">
        <v>133</v>
      </c>
      <c r="J98" s="65">
        <v>133</v>
      </c>
      <c r="K98" s="65">
        <v>128.9</v>
      </c>
      <c r="L98" s="65">
        <v>133</v>
      </c>
      <c r="M98" s="65">
        <v>129.4</v>
      </c>
      <c r="N98" s="65">
        <v>130</v>
      </c>
      <c r="O98" s="65">
        <v>130.1</v>
      </c>
      <c r="P98" s="65">
        <v>131</v>
      </c>
      <c r="Q98" s="65">
        <v>131</v>
      </c>
      <c r="R98" s="65">
        <v>130.30000000000001</v>
      </c>
      <c r="S98" s="65">
        <v>128.9</v>
      </c>
      <c r="T98" s="65">
        <v>128.4</v>
      </c>
      <c r="U98" s="65">
        <v>128.4</v>
      </c>
      <c r="V98" s="65">
        <v>128.1</v>
      </c>
      <c r="W98" s="65">
        <v>126</v>
      </c>
      <c r="X98" s="65">
        <v>127.9</v>
      </c>
      <c r="Y98" s="65">
        <v>130.6</v>
      </c>
      <c r="Z98" s="65">
        <v>130.80000000000001</v>
      </c>
      <c r="AA98" s="65">
        <v>131.69999999999999</v>
      </c>
      <c r="AB98" s="65">
        <v>132.9</v>
      </c>
      <c r="AC98" s="65">
        <v>132.9</v>
      </c>
      <c r="AD98" s="65">
        <v>130.1</v>
      </c>
      <c r="AE98" s="65">
        <v>132.1</v>
      </c>
      <c r="AF98" s="65">
        <v>130.69999999999999</v>
      </c>
      <c r="AG98" s="92"/>
      <c r="AH98" s="48">
        <f t="shared" si="9"/>
        <v>133.30000000000001</v>
      </c>
      <c r="AI98" s="49">
        <f t="shared" si="10"/>
        <v>126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9"/>
        <v>0</v>
      </c>
      <c r="AI99" s="49">
        <f t="shared" si="10"/>
        <v>0</v>
      </c>
    </row>
    <row r="100" spans="1:35" x14ac:dyDescent="0.25">
      <c r="A100" s="93" t="s">
        <v>105</v>
      </c>
      <c r="B100" s="94">
        <v>132</v>
      </c>
      <c r="C100" s="94">
        <v>132</v>
      </c>
      <c r="D100" s="94">
        <v>132</v>
      </c>
      <c r="E100" s="94">
        <v>133.9</v>
      </c>
      <c r="F100" s="94">
        <v>134</v>
      </c>
      <c r="G100" s="94">
        <v>134</v>
      </c>
      <c r="H100" s="94">
        <v>132.1</v>
      </c>
      <c r="I100" s="94">
        <v>132.1</v>
      </c>
      <c r="J100" s="94">
        <v>132.1</v>
      </c>
      <c r="K100" s="94">
        <v>134.80000000000001</v>
      </c>
      <c r="L100" s="94">
        <v>132.1</v>
      </c>
      <c r="M100" s="94">
        <v>134.30000000000001</v>
      </c>
      <c r="N100" s="94">
        <v>133.30000000000001</v>
      </c>
      <c r="O100" s="94">
        <v>131.6</v>
      </c>
      <c r="P100" s="94">
        <v>133</v>
      </c>
      <c r="Q100" s="94">
        <v>133</v>
      </c>
      <c r="R100" s="94">
        <v>131.9</v>
      </c>
      <c r="S100" s="94">
        <v>132.9</v>
      </c>
      <c r="T100" s="94">
        <v>135</v>
      </c>
      <c r="U100" s="94">
        <v>135</v>
      </c>
      <c r="V100" s="94">
        <v>132.19999999999999</v>
      </c>
      <c r="W100" s="94">
        <v>131.80000000000001</v>
      </c>
      <c r="X100" s="94">
        <v>133.5</v>
      </c>
      <c r="Y100" s="94">
        <v>134.69999999999999</v>
      </c>
      <c r="Z100" s="94">
        <v>135.30000000000001</v>
      </c>
      <c r="AA100" s="94">
        <v>134.69999999999999</v>
      </c>
      <c r="AB100" s="94">
        <v>135</v>
      </c>
      <c r="AC100" s="94">
        <v>135</v>
      </c>
      <c r="AD100" s="94">
        <v>133.80000000000001</v>
      </c>
      <c r="AE100" s="94">
        <v>134.6</v>
      </c>
      <c r="AF100" s="94">
        <v>135.30000000000001</v>
      </c>
      <c r="AG100" s="95"/>
      <c r="AH100" s="48">
        <f t="shared" si="9"/>
        <v>135.30000000000001</v>
      </c>
      <c r="AI100" s="49">
        <f t="shared" si="10"/>
        <v>131.6</v>
      </c>
    </row>
    <row r="101" spans="1:35" x14ac:dyDescent="0.25">
      <c r="A101" s="91" t="s">
        <v>106</v>
      </c>
      <c r="B101" s="65">
        <v>133</v>
      </c>
      <c r="C101" s="65">
        <v>133</v>
      </c>
      <c r="D101" s="65">
        <v>133</v>
      </c>
      <c r="E101" s="65">
        <v>127</v>
      </c>
      <c r="F101" s="65">
        <v>126.3</v>
      </c>
      <c r="G101" s="65">
        <v>126.3</v>
      </c>
      <c r="H101" s="65">
        <v>128.69999999999999</v>
      </c>
      <c r="I101" s="65">
        <v>128.69999999999999</v>
      </c>
      <c r="J101" s="65">
        <v>128.69999999999999</v>
      </c>
      <c r="K101" s="65">
        <v>128.4</v>
      </c>
      <c r="L101" s="65">
        <v>128.69999999999999</v>
      </c>
      <c r="M101" s="65">
        <v>131</v>
      </c>
      <c r="N101" s="65">
        <v>131.1</v>
      </c>
      <c r="O101" s="65">
        <v>128</v>
      </c>
      <c r="P101" s="65">
        <v>129</v>
      </c>
      <c r="Q101" s="65">
        <v>131</v>
      </c>
      <c r="R101" s="65">
        <v>124.6</v>
      </c>
      <c r="S101" s="65">
        <v>126.2</v>
      </c>
      <c r="T101" s="65">
        <v>132.9</v>
      </c>
      <c r="U101" s="65">
        <v>132.9</v>
      </c>
      <c r="V101" s="65">
        <v>130.5</v>
      </c>
      <c r="W101" s="65">
        <v>129</v>
      </c>
      <c r="X101" s="65">
        <v>129</v>
      </c>
      <c r="Y101" s="65">
        <v>134.19999999999999</v>
      </c>
      <c r="Z101" s="65">
        <v>136.5</v>
      </c>
      <c r="AA101" s="65">
        <v>131.6</v>
      </c>
      <c r="AB101" s="65">
        <v>134</v>
      </c>
      <c r="AC101" s="65">
        <v>134</v>
      </c>
      <c r="AD101" s="65">
        <v>133</v>
      </c>
      <c r="AE101" s="65">
        <v>131.80000000000001</v>
      </c>
      <c r="AF101" s="65">
        <v>127.5</v>
      </c>
      <c r="AG101" s="92"/>
      <c r="AH101" s="48">
        <f t="shared" si="9"/>
        <v>136.5</v>
      </c>
      <c r="AI101" s="49">
        <f t="shared" si="10"/>
        <v>124.6</v>
      </c>
    </row>
    <row r="102" spans="1:35" ht="15.75" thickBot="1" x14ac:dyDescent="0.3">
      <c r="A102" s="91" t="s">
        <v>107</v>
      </c>
      <c r="B102" s="96">
        <v>66.2</v>
      </c>
      <c r="C102" s="96">
        <v>66.2</v>
      </c>
      <c r="D102" s="96">
        <v>66.2</v>
      </c>
      <c r="E102" s="96">
        <v>66.7</v>
      </c>
      <c r="F102" s="96">
        <v>66.8</v>
      </c>
      <c r="G102" s="96">
        <v>66.8</v>
      </c>
      <c r="H102" s="96">
        <v>65.5</v>
      </c>
      <c r="I102" s="96">
        <v>65.5</v>
      </c>
      <c r="J102" s="96">
        <v>65.5</v>
      </c>
      <c r="K102" s="96">
        <v>64.099999999999994</v>
      </c>
      <c r="L102" s="96">
        <v>65.5</v>
      </c>
      <c r="M102" s="96">
        <v>64.8</v>
      </c>
      <c r="N102" s="96">
        <v>65.099999999999994</v>
      </c>
      <c r="O102" s="96">
        <v>63.2</v>
      </c>
      <c r="P102" s="96">
        <v>64</v>
      </c>
      <c r="Q102" s="96">
        <v>62.6</v>
      </c>
      <c r="R102" s="96">
        <v>62</v>
      </c>
      <c r="S102" s="96">
        <v>62.6</v>
      </c>
      <c r="T102" s="96">
        <v>63.3</v>
      </c>
      <c r="U102" s="96">
        <v>63.3</v>
      </c>
      <c r="V102" s="96">
        <v>64.7</v>
      </c>
      <c r="W102" s="96">
        <v>64.599999999999994</v>
      </c>
      <c r="X102" s="96">
        <v>64.099999999999994</v>
      </c>
      <c r="Y102" s="96">
        <v>64.099999999999994</v>
      </c>
      <c r="Z102" s="96">
        <v>64.599999999999994</v>
      </c>
      <c r="AA102" s="96">
        <v>64.900000000000006</v>
      </c>
      <c r="AB102" s="96">
        <v>65.3</v>
      </c>
      <c r="AC102" s="96">
        <v>65.3</v>
      </c>
      <c r="AD102" s="96">
        <v>65.7</v>
      </c>
      <c r="AE102" s="96">
        <v>65.7</v>
      </c>
      <c r="AF102" s="96">
        <v>66.599999999999994</v>
      </c>
      <c r="AG102" s="97"/>
      <c r="AH102" s="48">
        <f t="shared" si="9"/>
        <v>66.8</v>
      </c>
      <c r="AI102" s="49">
        <f t="shared" si="10"/>
        <v>62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9"/>
        <v>0</v>
      </c>
      <c r="AI103" s="49">
        <f t="shared" si="10"/>
        <v>0</v>
      </c>
    </row>
    <row r="104" spans="1:35" ht="15.75" thickBot="1" x14ac:dyDescent="0.3">
      <c r="A104" s="99" t="s">
        <v>108</v>
      </c>
      <c r="B104" s="100">
        <f t="shared" ref="B104:AF104" si="30">SUM(B16,B22,B25:B26,B52,B54:B55,B57,B59,B105:B109,B131,B137,B143,B152,B154,B166,B173,B176:B177,B184,B186,B188,B192:B194,B196:B198,B203,B209:B210,B212:B214,B222,B227)</f>
        <v>102.09899999999999</v>
      </c>
      <c r="C104" s="100">
        <f t="shared" si="30"/>
        <v>89.038999999999987</v>
      </c>
      <c r="D104" s="100">
        <f t="shared" si="30"/>
        <v>477.03899999999999</v>
      </c>
      <c r="E104" s="100">
        <f t="shared" si="30"/>
        <v>477.03899999999999</v>
      </c>
      <c r="F104" s="100">
        <f t="shared" si="30"/>
        <v>477.03899999999999</v>
      </c>
      <c r="G104" s="100">
        <f t="shared" si="30"/>
        <v>121.53899999999999</v>
      </c>
      <c r="H104" s="100">
        <f t="shared" si="30"/>
        <v>177.53899999999999</v>
      </c>
      <c r="I104" s="100">
        <f t="shared" si="30"/>
        <v>177.53899999999999</v>
      </c>
      <c r="J104" s="100">
        <f t="shared" si="30"/>
        <v>155.47899999999998</v>
      </c>
      <c r="K104" s="100">
        <f t="shared" si="30"/>
        <v>419.63900000000001</v>
      </c>
      <c r="L104" s="100">
        <f t="shared" si="30"/>
        <v>305.839</v>
      </c>
      <c r="M104" s="100">
        <f t="shared" si="30"/>
        <v>305.839</v>
      </c>
      <c r="N104" s="100">
        <f t="shared" si="30"/>
        <v>291.43899999999996</v>
      </c>
      <c r="O104" s="100">
        <f t="shared" si="30"/>
        <v>274.839</v>
      </c>
      <c r="P104" s="100">
        <f t="shared" si="30"/>
        <v>221.339</v>
      </c>
      <c r="Q104" s="100">
        <f t="shared" si="30"/>
        <v>249.79899999999998</v>
      </c>
      <c r="R104" s="100">
        <f t="shared" si="30"/>
        <v>242.59899999999999</v>
      </c>
      <c r="S104" s="100">
        <f t="shared" si="30"/>
        <v>237.19899999999998</v>
      </c>
      <c r="T104" s="100">
        <f t="shared" si="30"/>
        <v>247.09899999999999</v>
      </c>
      <c r="U104" s="100">
        <f t="shared" si="30"/>
        <v>247.09899999999999</v>
      </c>
      <c r="V104" s="100">
        <f t="shared" si="30"/>
        <v>303.79899999999998</v>
      </c>
      <c r="W104" s="100">
        <f t="shared" si="30"/>
        <v>358.399</v>
      </c>
      <c r="X104" s="100">
        <f t="shared" si="30"/>
        <v>396.49900000000002</v>
      </c>
      <c r="Y104" s="100">
        <f t="shared" si="30"/>
        <v>399.29899999999998</v>
      </c>
      <c r="Z104" s="100">
        <f t="shared" si="30"/>
        <v>386.99899999999997</v>
      </c>
      <c r="AA104" s="100">
        <f t="shared" si="30"/>
        <v>370.79899999999998</v>
      </c>
      <c r="AB104" s="100">
        <f t="shared" si="30"/>
        <v>330.99899999999997</v>
      </c>
      <c r="AC104" s="100">
        <f t="shared" si="30"/>
        <v>330.99899999999997</v>
      </c>
      <c r="AD104" s="100">
        <f t="shared" si="30"/>
        <v>284.49899999999997</v>
      </c>
      <c r="AE104" s="100">
        <f t="shared" si="30"/>
        <v>197.69899999999998</v>
      </c>
      <c r="AF104" s="100">
        <f t="shared" si="30"/>
        <v>141.69900000000001</v>
      </c>
      <c r="AG104" s="101"/>
      <c r="AH104" s="48">
        <f t="shared" si="9"/>
        <v>477.03899999999999</v>
      </c>
      <c r="AI104" s="49">
        <f t="shared" si="10"/>
        <v>89.038999999999987</v>
      </c>
    </row>
    <row r="105" spans="1:35" x14ac:dyDescent="0.25">
      <c r="A105" s="88" t="s">
        <v>109</v>
      </c>
      <c r="B105" s="102">
        <v>-10</v>
      </c>
      <c r="C105" s="102">
        <v>2</v>
      </c>
      <c r="D105" s="102">
        <v>2</v>
      </c>
      <c r="E105" s="102">
        <v>2</v>
      </c>
      <c r="F105" s="102">
        <v>2</v>
      </c>
      <c r="G105" s="102">
        <v>10</v>
      </c>
      <c r="H105" s="102">
        <v>32.1</v>
      </c>
      <c r="I105" s="102">
        <v>32.1</v>
      </c>
      <c r="J105" s="102">
        <v>10</v>
      </c>
      <c r="K105" s="102">
        <v>252</v>
      </c>
      <c r="L105" s="102">
        <v>27.4</v>
      </c>
      <c r="M105" s="102">
        <v>27.6</v>
      </c>
      <c r="N105" s="102">
        <v>34.4</v>
      </c>
      <c r="O105" s="102">
        <v>45.3</v>
      </c>
      <c r="P105" s="102">
        <v>-15.3</v>
      </c>
      <c r="Q105" s="102">
        <v>43.2</v>
      </c>
      <c r="R105" s="102">
        <v>41.2</v>
      </c>
      <c r="S105" s="102">
        <v>38.200000000000003</v>
      </c>
      <c r="T105" s="102">
        <v>40.200000000000003</v>
      </c>
      <c r="U105" s="102">
        <v>40.200000000000003</v>
      </c>
      <c r="V105" s="102">
        <v>37.799999999999997</v>
      </c>
      <c r="W105" s="102">
        <v>38</v>
      </c>
      <c r="X105" s="102">
        <v>27.4</v>
      </c>
      <c r="Y105" s="102">
        <v>33.299999999999997</v>
      </c>
      <c r="Z105" s="102">
        <v>34.200000000000003</v>
      </c>
      <c r="AA105" s="102">
        <v>28.9</v>
      </c>
      <c r="AB105" s="102">
        <v>31.1</v>
      </c>
      <c r="AC105" s="102">
        <v>31.1</v>
      </c>
      <c r="AD105" s="102">
        <v>30.1</v>
      </c>
      <c r="AE105" s="102">
        <v>20.3</v>
      </c>
      <c r="AF105" s="102">
        <v>8.3000000000000007</v>
      </c>
      <c r="AG105" s="103">
        <v>75</v>
      </c>
      <c r="AH105" s="48">
        <f t="shared" si="9"/>
        <v>252</v>
      </c>
      <c r="AI105" s="49">
        <f t="shared" si="10"/>
        <v>-15.3</v>
      </c>
    </row>
    <row r="106" spans="1:35" x14ac:dyDescent="0.25">
      <c r="A106" s="91" t="s">
        <v>110</v>
      </c>
      <c r="B106" s="104">
        <v>-8</v>
      </c>
      <c r="C106" s="104">
        <v>10</v>
      </c>
      <c r="D106" s="104">
        <v>2</v>
      </c>
      <c r="E106" s="104">
        <v>2</v>
      </c>
      <c r="F106" s="104">
        <v>2</v>
      </c>
      <c r="G106" s="104">
        <v>22</v>
      </c>
      <c r="H106" s="104">
        <v>53</v>
      </c>
      <c r="I106" s="104">
        <v>53</v>
      </c>
      <c r="J106" s="104">
        <v>53</v>
      </c>
      <c r="K106" s="104">
        <v>53</v>
      </c>
      <c r="L106" s="104">
        <v>40.9</v>
      </c>
      <c r="M106" s="104">
        <v>42.4</v>
      </c>
      <c r="N106" s="104">
        <v>53.8</v>
      </c>
      <c r="O106" s="104">
        <v>65.2</v>
      </c>
      <c r="P106" s="104">
        <v>69.599999999999994</v>
      </c>
      <c r="Q106" s="104">
        <v>66.900000000000006</v>
      </c>
      <c r="R106" s="104">
        <v>63</v>
      </c>
      <c r="S106" s="104">
        <v>58</v>
      </c>
      <c r="T106" s="104">
        <v>59.6</v>
      </c>
      <c r="U106" s="104">
        <v>59.6</v>
      </c>
      <c r="V106" s="104">
        <v>57.6</v>
      </c>
      <c r="W106" s="104">
        <v>57.3</v>
      </c>
      <c r="X106" s="104">
        <v>40.700000000000003</v>
      </c>
      <c r="Y106" s="104">
        <v>48.9</v>
      </c>
      <c r="Z106" s="104">
        <v>49.7</v>
      </c>
      <c r="AA106" s="104">
        <v>42.8</v>
      </c>
      <c r="AB106" s="104">
        <v>46.6</v>
      </c>
      <c r="AC106" s="104">
        <v>46.6</v>
      </c>
      <c r="AD106" s="104">
        <v>44.6</v>
      </c>
      <c r="AE106" s="104">
        <v>33.6</v>
      </c>
      <c r="AF106" s="104">
        <v>16.3</v>
      </c>
      <c r="AG106" s="103">
        <v>240</v>
      </c>
      <c r="AH106" s="48">
        <f t="shared" si="9"/>
        <v>69.599999999999994</v>
      </c>
      <c r="AI106" s="49">
        <f t="shared" si="10"/>
        <v>-8</v>
      </c>
    </row>
    <row r="107" spans="1:35" x14ac:dyDescent="0.25">
      <c r="A107" s="91" t="s">
        <v>111</v>
      </c>
      <c r="B107" s="104">
        <v>-66</v>
      </c>
      <c r="C107" s="104">
        <v>-83</v>
      </c>
      <c r="D107" s="104">
        <v>-76</v>
      </c>
      <c r="E107" s="104">
        <v>-76</v>
      </c>
      <c r="F107" s="104">
        <v>-76</v>
      </c>
      <c r="G107" s="104">
        <v>-78</v>
      </c>
      <c r="H107" s="104">
        <f>-40.8-43.4</f>
        <v>-84.199999999999989</v>
      </c>
      <c r="I107" s="104">
        <f t="shared" ref="I107:J107" si="31">-40.8-43.4</f>
        <v>-84.199999999999989</v>
      </c>
      <c r="J107" s="104">
        <f t="shared" si="31"/>
        <v>-84.199999999999989</v>
      </c>
      <c r="K107" s="104">
        <v>-62</v>
      </c>
      <c r="L107" s="104">
        <f>-34.8-11</f>
        <v>-45.8</v>
      </c>
      <c r="M107" s="104">
        <v>-49.6</v>
      </c>
      <c r="N107" s="104">
        <v>-54.3</v>
      </c>
      <c r="O107" s="104">
        <v>-23</v>
      </c>
      <c r="P107" s="104">
        <v>-5</v>
      </c>
      <c r="Q107" s="104">
        <v>-16</v>
      </c>
      <c r="R107" s="104">
        <v>-13.8</v>
      </c>
      <c r="S107" s="104">
        <f>-5-6</f>
        <v>-11</v>
      </c>
      <c r="T107" s="104">
        <f>-2.6-3.1</f>
        <v>-5.7</v>
      </c>
      <c r="U107" s="104">
        <f>-2.6-3.1</f>
        <v>-5.7</v>
      </c>
      <c r="V107" s="104">
        <f>-16.4-20</f>
        <v>-36.4</v>
      </c>
      <c r="W107" s="104">
        <f>-4-10</f>
        <v>-14</v>
      </c>
      <c r="X107" s="104">
        <f>12+5</f>
        <v>17</v>
      </c>
      <c r="Y107" s="104">
        <f>10+2</f>
        <v>12</v>
      </c>
      <c r="Z107" s="104">
        <f>9+2</f>
        <v>11</v>
      </c>
      <c r="AA107" s="104">
        <f>5+1</f>
        <v>6</v>
      </c>
      <c r="AB107" s="104">
        <v>-8.3000000000000007</v>
      </c>
      <c r="AC107" s="104">
        <v>-8.3000000000000007</v>
      </c>
      <c r="AD107" s="104">
        <v>-18</v>
      </c>
      <c r="AE107" s="104">
        <v>-48</v>
      </c>
      <c r="AF107" s="104">
        <v>-68</v>
      </c>
      <c r="AG107" s="103">
        <v>240</v>
      </c>
      <c r="AH107" s="48">
        <f t="shared" si="9"/>
        <v>17</v>
      </c>
      <c r="AI107" s="49">
        <f t="shared" si="10"/>
        <v>-84.199999999999989</v>
      </c>
    </row>
    <row r="108" spans="1:35" x14ac:dyDescent="0.25">
      <c r="A108" s="91" t="s">
        <v>112</v>
      </c>
      <c r="B108" s="104">
        <v>3</v>
      </c>
      <c r="C108" s="104">
        <v>-3</v>
      </c>
      <c r="D108" s="104">
        <v>-3</v>
      </c>
      <c r="E108" s="104">
        <v>-3</v>
      </c>
      <c r="F108" s="104">
        <v>-3</v>
      </c>
      <c r="G108" s="104">
        <v>-1.5</v>
      </c>
      <c r="H108" s="104">
        <v>2.1</v>
      </c>
      <c r="I108" s="104">
        <v>2.1</v>
      </c>
      <c r="J108" s="104">
        <v>2.1</v>
      </c>
      <c r="K108" s="104">
        <v>2.1</v>
      </c>
      <c r="L108" s="104">
        <v>50.1</v>
      </c>
      <c r="M108" s="104">
        <v>50.3</v>
      </c>
      <c r="N108" s="104">
        <v>39.299999999999997</v>
      </c>
      <c r="O108" s="104">
        <v>45.3</v>
      </c>
      <c r="P108" s="104">
        <v>30</v>
      </c>
      <c r="Q108" s="104">
        <v>14.6</v>
      </c>
      <c r="R108" s="104">
        <v>11.3</v>
      </c>
      <c r="S108" s="104">
        <v>11.1</v>
      </c>
      <c r="T108" s="104">
        <v>12.1</v>
      </c>
      <c r="U108" s="104">
        <v>12.1</v>
      </c>
      <c r="V108" s="104">
        <v>17.7</v>
      </c>
      <c r="W108" s="104">
        <v>32</v>
      </c>
      <c r="X108" s="104">
        <v>50.3</v>
      </c>
      <c r="Y108" s="104">
        <v>53</v>
      </c>
      <c r="Z108" s="104">
        <v>42</v>
      </c>
      <c r="AA108" s="104">
        <v>35</v>
      </c>
      <c r="AB108" s="104">
        <v>23.5</v>
      </c>
      <c r="AC108" s="104">
        <v>23.5</v>
      </c>
      <c r="AD108" s="104">
        <v>17.5</v>
      </c>
      <c r="AE108" s="104">
        <v>2.2000000000000002</v>
      </c>
      <c r="AF108" s="104">
        <v>-3.8</v>
      </c>
      <c r="AG108" s="103">
        <v>60</v>
      </c>
      <c r="AH108" s="48">
        <f t="shared" si="9"/>
        <v>53</v>
      </c>
      <c r="AI108" s="49">
        <f t="shared" si="10"/>
        <v>-3.8</v>
      </c>
    </row>
    <row r="109" spans="1:35" x14ac:dyDescent="0.25">
      <c r="A109" s="105" t="s">
        <v>113</v>
      </c>
      <c r="B109" s="106">
        <v>55</v>
      </c>
      <c r="C109" s="106">
        <v>34</v>
      </c>
      <c r="D109" s="106">
        <v>423</v>
      </c>
      <c r="E109" s="106">
        <v>423</v>
      </c>
      <c r="F109" s="106">
        <v>423</v>
      </c>
      <c r="G109" s="106">
        <v>40</v>
      </c>
      <c r="H109" s="106">
        <v>36.5</v>
      </c>
      <c r="I109" s="106">
        <v>36.5</v>
      </c>
      <c r="J109" s="106">
        <v>36.5</v>
      </c>
      <c r="K109" s="106">
        <v>36.5</v>
      </c>
      <c r="L109" s="106">
        <v>95.2</v>
      </c>
      <c r="M109" s="106">
        <v>95.1</v>
      </c>
      <c r="N109" s="106">
        <v>76.2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86</v>
      </c>
      <c r="W109" s="106">
        <v>108</v>
      </c>
      <c r="X109" s="106">
        <v>124</v>
      </c>
      <c r="Y109" s="106">
        <v>115</v>
      </c>
      <c r="Z109" s="106">
        <v>113</v>
      </c>
      <c r="AA109" s="106">
        <v>121</v>
      </c>
      <c r="AB109" s="106">
        <v>101</v>
      </c>
      <c r="AC109" s="106">
        <v>101</v>
      </c>
      <c r="AD109" s="106">
        <v>73.2</v>
      </c>
      <c r="AE109" s="106">
        <v>52.5</v>
      </c>
      <c r="AF109" s="106">
        <v>51.8</v>
      </c>
      <c r="AG109" s="107">
        <v>120</v>
      </c>
      <c r="AH109" s="48">
        <f t="shared" si="9"/>
        <v>423</v>
      </c>
      <c r="AI109" s="49">
        <f t="shared" si="10"/>
        <v>0</v>
      </c>
    </row>
    <row r="110" spans="1:35" x14ac:dyDescent="0.25">
      <c r="A110" s="105" t="s">
        <v>115</v>
      </c>
      <c r="B110" s="106">
        <v>63</v>
      </c>
      <c r="C110" s="106">
        <v>47</v>
      </c>
      <c r="D110" s="106">
        <v>56</v>
      </c>
      <c r="E110" s="106">
        <v>56</v>
      </c>
      <c r="F110" s="106">
        <v>56</v>
      </c>
      <c r="G110" s="106">
        <v>47.6</v>
      </c>
      <c r="H110" s="106">
        <v>46.8</v>
      </c>
      <c r="I110" s="106">
        <v>46.8</v>
      </c>
      <c r="J110" s="106">
        <v>46.8</v>
      </c>
      <c r="K110" s="106">
        <v>46.8</v>
      </c>
      <c r="L110" s="106">
        <v>97.5</v>
      </c>
      <c r="M110" s="106">
        <v>77.8</v>
      </c>
      <c r="N110" s="106">
        <v>73.8</v>
      </c>
      <c r="O110" s="106">
        <v>95.6</v>
      </c>
      <c r="P110" s="106">
        <v>78.3</v>
      </c>
      <c r="Q110" s="106">
        <v>98.5</v>
      </c>
      <c r="R110" s="106">
        <v>104.2</v>
      </c>
      <c r="S110" s="106">
        <v>107</v>
      </c>
      <c r="T110" s="106">
        <v>103</v>
      </c>
      <c r="U110" s="106">
        <v>103</v>
      </c>
      <c r="V110" s="106">
        <v>67.3</v>
      </c>
      <c r="W110" s="106">
        <v>81</v>
      </c>
      <c r="X110" s="106">
        <v>91.3</v>
      </c>
      <c r="Y110" s="106">
        <v>69.3</v>
      </c>
      <c r="Z110" s="106">
        <v>70</v>
      </c>
      <c r="AA110" s="106">
        <v>78.5</v>
      </c>
      <c r="AB110" s="106">
        <v>75.2</v>
      </c>
      <c r="AC110" s="106">
        <v>75.2</v>
      </c>
      <c r="AD110" s="106">
        <v>53.8</v>
      </c>
      <c r="AE110" s="106">
        <v>53</v>
      </c>
      <c r="AF110" s="106">
        <v>61.1</v>
      </c>
      <c r="AG110" s="107"/>
      <c r="AH110" s="48">
        <f t="shared" si="9"/>
        <v>107</v>
      </c>
      <c r="AI110" s="49">
        <f t="shared" si="10"/>
        <v>46.8</v>
      </c>
    </row>
    <row r="111" spans="1:35" x14ac:dyDescent="0.25">
      <c r="A111" s="105" t="s">
        <v>116</v>
      </c>
      <c r="B111" s="106">
        <v>58</v>
      </c>
      <c r="C111" s="106">
        <v>47</v>
      </c>
      <c r="D111" s="106">
        <v>46</v>
      </c>
      <c r="E111" s="106">
        <v>46</v>
      </c>
      <c r="F111" s="106">
        <v>46</v>
      </c>
      <c r="G111" s="106">
        <v>24.2</v>
      </c>
      <c r="H111" s="106">
        <v>-26.3</v>
      </c>
      <c r="I111" s="106">
        <v>-26.3</v>
      </c>
      <c r="J111" s="106">
        <v>-26.3</v>
      </c>
      <c r="K111" s="106">
        <v>-26.3</v>
      </c>
      <c r="L111" s="106">
        <v>-42.1</v>
      </c>
      <c r="M111" s="106">
        <v>40.9</v>
      </c>
      <c r="N111" s="106">
        <v>28.4</v>
      </c>
      <c r="O111" s="106">
        <v>11.1</v>
      </c>
      <c r="P111" s="106">
        <v>6.6</v>
      </c>
      <c r="Q111" s="106">
        <v>-4.3</v>
      </c>
      <c r="R111" s="106">
        <v>-5.3</v>
      </c>
      <c r="S111" s="106">
        <v>-13</v>
      </c>
      <c r="T111" s="106">
        <v>-1.6</v>
      </c>
      <c r="U111" s="106">
        <v>-1.6</v>
      </c>
      <c r="V111" s="106">
        <v>25.8</v>
      </c>
      <c r="W111" s="106">
        <v>21.4</v>
      </c>
      <c r="X111" s="106">
        <v>47.1</v>
      </c>
      <c r="Y111" s="106">
        <v>39.6</v>
      </c>
      <c r="Z111" s="106">
        <v>37.299999999999997</v>
      </c>
      <c r="AA111" s="106">
        <v>49</v>
      </c>
      <c r="AB111" s="106">
        <v>46.2</v>
      </c>
      <c r="AC111" s="106">
        <v>46.2</v>
      </c>
      <c r="AD111" s="106">
        <v>21.1</v>
      </c>
      <c r="AE111" s="106">
        <v>25.2</v>
      </c>
      <c r="AF111" s="106">
        <v>41.5</v>
      </c>
      <c r="AG111" s="108"/>
      <c r="AH111" s="48">
        <f t="shared" si="9"/>
        <v>58</v>
      </c>
      <c r="AI111" s="49">
        <f t="shared" si="10"/>
        <v>-42.1</v>
      </c>
    </row>
    <row r="112" spans="1:35" x14ac:dyDescent="0.25">
      <c r="A112" s="109" t="s">
        <v>117</v>
      </c>
      <c r="B112" s="94">
        <v>20</v>
      </c>
      <c r="C112" s="94">
        <v>22</v>
      </c>
      <c r="D112" s="94">
        <v>23</v>
      </c>
      <c r="E112" s="94">
        <v>23</v>
      </c>
      <c r="F112" s="94">
        <v>23</v>
      </c>
      <c r="G112" s="94" t="s">
        <v>251</v>
      </c>
      <c r="H112" s="94">
        <v>13.7</v>
      </c>
      <c r="I112" s="94">
        <v>13.7</v>
      </c>
      <c r="J112" s="94">
        <v>13.7</v>
      </c>
      <c r="K112" s="94">
        <v>13.7</v>
      </c>
      <c r="L112" s="94">
        <v>1</v>
      </c>
      <c r="M112" s="94">
        <v>-3.6</v>
      </c>
      <c r="N112" s="94">
        <v>-11.6</v>
      </c>
      <c r="O112" s="94">
        <v>-3.5</v>
      </c>
      <c r="P112" s="94">
        <v>7.9</v>
      </c>
      <c r="Q112" s="94">
        <v>18</v>
      </c>
      <c r="R112" s="94">
        <v>22.7</v>
      </c>
      <c r="S112" s="94">
        <v>16.8</v>
      </c>
      <c r="T112" s="94">
        <v>17</v>
      </c>
      <c r="U112" s="94">
        <v>17</v>
      </c>
      <c r="V112" s="94">
        <v>-16.7</v>
      </c>
      <c r="W112" s="94">
        <v>-37.299999999999997</v>
      </c>
      <c r="X112" s="94">
        <v>-40</v>
      </c>
      <c r="Y112" s="94">
        <v>-23</v>
      </c>
      <c r="Z112" s="94">
        <v>-9.6</v>
      </c>
      <c r="AA112" s="94">
        <v>2</v>
      </c>
      <c r="AB112" s="94">
        <v>15.6</v>
      </c>
      <c r="AC112" s="94">
        <v>15.6</v>
      </c>
      <c r="AD112" s="94">
        <v>24.74</v>
      </c>
      <c r="AE112" s="94">
        <v>36.299999999999997</v>
      </c>
      <c r="AF112" s="94">
        <v>43.4</v>
      </c>
      <c r="AG112" s="108"/>
      <c r="AH112" s="48">
        <f t="shared" si="9"/>
        <v>43.4</v>
      </c>
      <c r="AI112" s="49">
        <f t="shared" si="10"/>
        <v>-40</v>
      </c>
    </row>
    <row r="113" spans="1:37" ht="15.75" thickBot="1" x14ac:dyDescent="0.3">
      <c r="A113" s="109" t="s">
        <v>118</v>
      </c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>
        <v>31</v>
      </c>
      <c r="N113" s="94">
        <v>41</v>
      </c>
      <c r="O113" s="94">
        <v>30.6</v>
      </c>
      <c r="P113" s="94">
        <v>25.5</v>
      </c>
      <c r="Q113" s="94">
        <v>18</v>
      </c>
      <c r="R113" s="94">
        <v>12.2</v>
      </c>
      <c r="S113" s="94">
        <v>12</v>
      </c>
      <c r="T113" s="94">
        <v>12.8</v>
      </c>
      <c r="U113" s="94">
        <v>12.8</v>
      </c>
      <c r="V113" s="94">
        <v>31.3</v>
      </c>
      <c r="W113" s="94">
        <v>24.3</v>
      </c>
      <c r="X113" s="94">
        <v>6.3</v>
      </c>
      <c r="Y113" s="94">
        <v>15.2</v>
      </c>
      <c r="Z113" s="94">
        <v>16</v>
      </c>
      <c r="AA113" s="94">
        <v>3.6</v>
      </c>
      <c r="AB113" s="94">
        <v>8.3000000000000007</v>
      </c>
      <c r="AC113" s="94">
        <v>8.3000000000000007</v>
      </c>
      <c r="AD113" s="94">
        <v>18.7</v>
      </c>
      <c r="AE113" s="94">
        <v>30.3</v>
      </c>
      <c r="AF113" s="94">
        <v>37.9</v>
      </c>
      <c r="AG113" s="108"/>
      <c r="AH113" s="48">
        <f t="shared" si="9"/>
        <v>41</v>
      </c>
      <c r="AI113" s="49">
        <f t="shared" si="10"/>
        <v>3.6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32">SUM(B115:B219)</f>
        <v>0</v>
      </c>
      <c r="C220" s="125">
        <f t="shared" si="32"/>
        <v>0</v>
      </c>
      <c r="D220" s="125">
        <f t="shared" si="32"/>
        <v>0</v>
      </c>
      <c r="E220" s="125">
        <f t="shared" si="32"/>
        <v>0</v>
      </c>
      <c r="F220" s="125">
        <f t="shared" si="32"/>
        <v>0</v>
      </c>
      <c r="G220" s="125">
        <f t="shared" si="32"/>
        <v>0</v>
      </c>
      <c r="H220" s="125">
        <f t="shared" si="32"/>
        <v>0</v>
      </c>
      <c r="I220" s="125">
        <f t="shared" si="32"/>
        <v>0</v>
      </c>
      <c r="J220" s="125">
        <f t="shared" si="32"/>
        <v>0</v>
      </c>
      <c r="K220" s="125">
        <f t="shared" si="32"/>
        <v>0</v>
      </c>
      <c r="L220" s="125">
        <f t="shared" si="32"/>
        <v>0</v>
      </c>
      <c r="M220" s="125">
        <f t="shared" si="32"/>
        <v>0</v>
      </c>
      <c r="N220" s="125">
        <f t="shared" si="32"/>
        <v>0</v>
      </c>
      <c r="O220" s="125">
        <f t="shared" si="32"/>
        <v>0</v>
      </c>
      <c r="P220" s="125">
        <f t="shared" si="32"/>
        <v>0</v>
      </c>
      <c r="Q220" s="125">
        <f t="shared" si="32"/>
        <v>0</v>
      </c>
      <c r="R220" s="125">
        <f t="shared" si="32"/>
        <v>0</v>
      </c>
      <c r="S220" s="125">
        <f t="shared" si="32"/>
        <v>0</v>
      </c>
      <c r="T220" s="125">
        <f t="shared" si="32"/>
        <v>0</v>
      </c>
      <c r="U220" s="125">
        <f t="shared" si="32"/>
        <v>0</v>
      </c>
      <c r="V220" s="125">
        <f t="shared" si="32"/>
        <v>0</v>
      </c>
      <c r="W220" s="125">
        <f t="shared" si="32"/>
        <v>0</v>
      </c>
      <c r="X220" s="125">
        <f t="shared" si="32"/>
        <v>0</v>
      </c>
      <c r="Y220" s="125">
        <f t="shared" si="32"/>
        <v>0</v>
      </c>
      <c r="Z220" s="125">
        <f t="shared" si="32"/>
        <v>0</v>
      </c>
      <c r="AA220" s="125">
        <f t="shared" si="32"/>
        <v>0</v>
      </c>
      <c r="AB220" s="125">
        <f t="shared" si="32"/>
        <v>0</v>
      </c>
      <c r="AC220" s="125">
        <f t="shared" si="32"/>
        <v>0</v>
      </c>
      <c r="AD220" s="125">
        <f t="shared" si="32"/>
        <v>0</v>
      </c>
      <c r="AE220" s="125">
        <f t="shared" si="32"/>
        <v>0</v>
      </c>
      <c r="AF220" s="126">
        <f t="shared" si="32"/>
        <v>0</v>
      </c>
      <c r="AG220" s="127">
        <f t="shared" si="32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33">AF222</f>
        <v>0</v>
      </c>
      <c r="C222" s="129">
        <v>0.3</v>
      </c>
      <c r="D222" s="129">
        <f t="shared" ref="D222:P227" si="34">C222</f>
        <v>0.3</v>
      </c>
      <c r="E222" s="129">
        <f t="shared" si="34"/>
        <v>0.3</v>
      </c>
      <c r="F222" s="129">
        <f t="shared" si="34"/>
        <v>0.3</v>
      </c>
      <c r="G222" s="129">
        <f t="shared" si="34"/>
        <v>0.3</v>
      </c>
      <c r="H222" s="129">
        <f t="shared" si="34"/>
        <v>0.3</v>
      </c>
      <c r="I222" s="129">
        <f t="shared" si="34"/>
        <v>0.3</v>
      </c>
      <c r="J222" s="129">
        <f t="shared" si="34"/>
        <v>0.3</v>
      </c>
      <c r="K222" s="129">
        <f t="shared" si="34"/>
        <v>0.3</v>
      </c>
      <c r="L222" s="129">
        <f t="shared" si="34"/>
        <v>0.3</v>
      </c>
      <c r="M222" s="129">
        <f t="shared" si="34"/>
        <v>0.3</v>
      </c>
      <c r="N222" s="129">
        <f t="shared" si="34"/>
        <v>0.3</v>
      </c>
      <c r="O222" s="129">
        <f t="shared" si="34"/>
        <v>0.3</v>
      </c>
      <c r="P222" s="129">
        <f t="shared" si="34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33"/>
        <v>0</v>
      </c>
      <c r="C223" s="117">
        <v>0.4</v>
      </c>
      <c r="D223" s="117">
        <f t="shared" si="34"/>
        <v>0.4</v>
      </c>
      <c r="E223" s="117">
        <f t="shared" si="34"/>
        <v>0.4</v>
      </c>
      <c r="F223" s="117">
        <f t="shared" si="34"/>
        <v>0.4</v>
      </c>
      <c r="G223" s="117">
        <f t="shared" si="34"/>
        <v>0.4</v>
      </c>
      <c r="H223" s="117">
        <f t="shared" si="34"/>
        <v>0.4</v>
      </c>
      <c r="I223" s="117">
        <f t="shared" si="34"/>
        <v>0.4</v>
      </c>
      <c r="J223" s="117">
        <f t="shared" si="34"/>
        <v>0.4</v>
      </c>
      <c r="K223" s="117">
        <f t="shared" si="34"/>
        <v>0.4</v>
      </c>
      <c r="L223" s="117">
        <f t="shared" si="34"/>
        <v>0.4</v>
      </c>
      <c r="M223" s="117">
        <f t="shared" si="34"/>
        <v>0.4</v>
      </c>
      <c r="N223" s="117">
        <f t="shared" si="34"/>
        <v>0.4</v>
      </c>
      <c r="O223" s="117">
        <f t="shared" si="34"/>
        <v>0.4</v>
      </c>
      <c r="P223" s="117">
        <f t="shared" si="34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33"/>
        <v>0</v>
      </c>
      <c r="C224" s="117">
        <v>1.5</v>
      </c>
      <c r="D224" s="117">
        <f t="shared" si="34"/>
        <v>1.5</v>
      </c>
      <c r="E224" s="117">
        <f t="shared" si="34"/>
        <v>1.5</v>
      </c>
      <c r="F224" s="117">
        <f t="shared" si="34"/>
        <v>1.5</v>
      </c>
      <c r="G224" s="117">
        <f t="shared" si="34"/>
        <v>1.5</v>
      </c>
      <c r="H224" s="117">
        <f t="shared" si="34"/>
        <v>1.5</v>
      </c>
      <c r="I224" s="100">
        <f t="shared" ref="I224" ca="1" si="35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34"/>
        <v>1.5</v>
      </c>
      <c r="K224" s="117">
        <f t="shared" ca="1" si="34"/>
        <v>1.5</v>
      </c>
      <c r="L224" s="117">
        <f t="shared" ca="1" si="34"/>
        <v>1.5</v>
      </c>
      <c r="M224" s="117">
        <f t="shared" ca="1" si="34"/>
        <v>1.5</v>
      </c>
      <c r="N224" s="117">
        <f t="shared" ca="1" si="34"/>
        <v>1.5</v>
      </c>
      <c r="O224" s="117">
        <f t="shared" ca="1" si="34"/>
        <v>1.5</v>
      </c>
      <c r="P224" s="117">
        <f t="shared" ca="1" si="34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33"/>
        <v>0</v>
      </c>
      <c r="C225" s="117">
        <v>0.3</v>
      </c>
      <c r="D225" s="117">
        <f t="shared" si="34"/>
        <v>0.3</v>
      </c>
      <c r="E225" s="117">
        <f t="shared" si="34"/>
        <v>0.3</v>
      </c>
      <c r="F225" s="117">
        <f t="shared" si="34"/>
        <v>0.3</v>
      </c>
      <c r="G225" s="117">
        <f t="shared" si="34"/>
        <v>0.3</v>
      </c>
      <c r="H225" s="117">
        <f t="shared" si="34"/>
        <v>0.3</v>
      </c>
      <c r="I225" s="117">
        <f t="shared" si="34"/>
        <v>0.3</v>
      </c>
      <c r="J225" s="117">
        <f t="shared" si="34"/>
        <v>0.3</v>
      </c>
      <c r="K225" s="117">
        <f t="shared" si="34"/>
        <v>0.3</v>
      </c>
      <c r="L225" s="117">
        <f t="shared" si="34"/>
        <v>0.3</v>
      </c>
      <c r="M225" s="117">
        <f t="shared" si="34"/>
        <v>0.3</v>
      </c>
      <c r="N225" s="117">
        <f t="shared" si="34"/>
        <v>0.3</v>
      </c>
      <c r="O225" s="117">
        <f t="shared" si="34"/>
        <v>0.3</v>
      </c>
      <c r="P225" s="117">
        <f t="shared" si="34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33"/>
        <v>0</v>
      </c>
      <c r="C226" s="117">
        <v>0.4</v>
      </c>
      <c r="D226" s="117">
        <f t="shared" si="34"/>
        <v>0.4</v>
      </c>
      <c r="E226" s="117">
        <f t="shared" si="34"/>
        <v>0.4</v>
      </c>
      <c r="F226" s="117">
        <f t="shared" si="34"/>
        <v>0.4</v>
      </c>
      <c r="G226" s="117">
        <f t="shared" si="34"/>
        <v>0.4</v>
      </c>
      <c r="H226" s="117">
        <f t="shared" si="34"/>
        <v>0.4</v>
      </c>
      <c r="I226" s="117">
        <f t="shared" si="34"/>
        <v>0.4</v>
      </c>
      <c r="J226" s="117">
        <f t="shared" si="34"/>
        <v>0.4</v>
      </c>
      <c r="K226" s="117">
        <f t="shared" si="34"/>
        <v>0.4</v>
      </c>
      <c r="L226" s="117">
        <f t="shared" si="34"/>
        <v>0.4</v>
      </c>
      <c r="M226" s="117">
        <f t="shared" si="34"/>
        <v>0.4</v>
      </c>
      <c r="N226" s="117">
        <f t="shared" si="34"/>
        <v>0.4</v>
      </c>
      <c r="O226" s="117">
        <f t="shared" si="34"/>
        <v>0.4</v>
      </c>
      <c r="P226" s="117">
        <f t="shared" si="34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33"/>
        <v>0</v>
      </c>
      <c r="C227" s="121">
        <v>0.64</v>
      </c>
      <c r="D227" s="121">
        <f t="shared" si="34"/>
        <v>0.64</v>
      </c>
      <c r="E227" s="121">
        <f t="shared" si="34"/>
        <v>0.64</v>
      </c>
      <c r="F227" s="121">
        <f t="shared" si="34"/>
        <v>0.64</v>
      </c>
      <c r="G227" s="121">
        <f t="shared" si="34"/>
        <v>0.64</v>
      </c>
      <c r="H227" s="121">
        <f t="shared" si="34"/>
        <v>0.64</v>
      </c>
      <c r="I227" s="121">
        <f t="shared" si="34"/>
        <v>0.64</v>
      </c>
      <c r="J227" s="121">
        <f t="shared" si="34"/>
        <v>0.64</v>
      </c>
      <c r="K227" s="121">
        <f t="shared" si="34"/>
        <v>0.64</v>
      </c>
      <c r="L227" s="121">
        <f t="shared" si="34"/>
        <v>0.64</v>
      </c>
      <c r="M227" s="121">
        <f t="shared" si="34"/>
        <v>0.64</v>
      </c>
      <c r="N227" s="121">
        <f t="shared" si="34"/>
        <v>0.64</v>
      </c>
      <c r="O227" s="121">
        <f t="shared" si="34"/>
        <v>0.64</v>
      </c>
      <c r="P227" s="121">
        <f t="shared" si="34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36">SUM(B222:B227)</f>
        <v>0</v>
      </c>
      <c r="C228" s="125">
        <f t="shared" si="36"/>
        <v>3.54</v>
      </c>
      <c r="D228" s="125">
        <f t="shared" si="36"/>
        <v>3.54</v>
      </c>
      <c r="E228" s="125">
        <f t="shared" si="36"/>
        <v>3.54</v>
      </c>
      <c r="F228" s="125">
        <f t="shared" si="36"/>
        <v>3.54</v>
      </c>
      <c r="G228" s="125">
        <f t="shared" si="36"/>
        <v>3.54</v>
      </c>
      <c r="H228" s="125">
        <f t="shared" si="36"/>
        <v>3.54</v>
      </c>
      <c r="I228" s="125">
        <f t="shared" ca="1" si="36"/>
        <v>3.54</v>
      </c>
      <c r="J228" s="125">
        <f t="shared" ca="1" si="36"/>
        <v>3.54</v>
      </c>
      <c r="K228" s="125">
        <f t="shared" ca="1" si="36"/>
        <v>3.54</v>
      </c>
      <c r="L228" s="125">
        <f t="shared" ca="1" si="36"/>
        <v>3.54</v>
      </c>
      <c r="M228" s="125">
        <f t="shared" ca="1" si="36"/>
        <v>3.54</v>
      </c>
      <c r="N228" s="125">
        <f t="shared" ca="1" si="36"/>
        <v>3.54</v>
      </c>
      <c r="O228" s="125">
        <f t="shared" ca="1" si="36"/>
        <v>3.54</v>
      </c>
      <c r="P228" s="125">
        <f t="shared" ca="1" si="36"/>
        <v>3.54</v>
      </c>
      <c r="Q228" s="125">
        <f t="shared" si="36"/>
        <v>0</v>
      </c>
      <c r="R228" s="125">
        <f t="shared" si="36"/>
        <v>0</v>
      </c>
      <c r="S228" s="125">
        <f t="shared" si="36"/>
        <v>0</v>
      </c>
      <c r="T228" s="125">
        <f t="shared" si="36"/>
        <v>0</v>
      </c>
      <c r="U228" s="125">
        <f t="shared" si="36"/>
        <v>0</v>
      </c>
      <c r="V228" s="125">
        <f t="shared" si="36"/>
        <v>0</v>
      </c>
      <c r="W228" s="125">
        <f t="shared" si="36"/>
        <v>0</v>
      </c>
      <c r="X228" s="125">
        <f t="shared" si="36"/>
        <v>0</v>
      </c>
      <c r="Y228" s="125">
        <f t="shared" si="36"/>
        <v>0</v>
      </c>
      <c r="Z228" s="125">
        <f t="shared" si="36"/>
        <v>0</v>
      </c>
      <c r="AA228" s="125">
        <f t="shared" si="36"/>
        <v>0</v>
      </c>
      <c r="AB228" s="125">
        <f t="shared" si="36"/>
        <v>0</v>
      </c>
      <c r="AC228" s="125">
        <f t="shared" si="36"/>
        <v>0</v>
      </c>
      <c r="AD228" s="125">
        <f t="shared" si="36"/>
        <v>0</v>
      </c>
      <c r="AE228" s="125">
        <f t="shared" si="36"/>
        <v>0</v>
      </c>
      <c r="AF228" s="125">
        <f t="shared" si="36"/>
        <v>0</v>
      </c>
      <c r="AG228" s="134">
        <f t="shared" si="36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1586.8389999999999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6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2079/09/6)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2079/09/6)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37">B85</f>
        <v>989.83900000000006</v>
      </c>
      <c r="U242" s="159">
        <f t="shared" si="37"/>
        <v>941.24900000000002</v>
      </c>
      <c r="V242" s="159">
        <f t="shared" si="37"/>
        <v>930.33900000000006</v>
      </c>
      <c r="W242" s="159">
        <f t="shared" si="37"/>
        <v>956.73900000000003</v>
      </c>
      <c r="X242" s="159">
        <f t="shared" si="37"/>
        <v>962.93900000000008</v>
      </c>
      <c r="Y242" s="159">
        <f t="shared" si="37"/>
        <v>997.73900000000003</v>
      </c>
      <c r="Z242" s="159">
        <f t="shared" si="37"/>
        <v>1095.6389999999999</v>
      </c>
      <c r="AA242" s="159">
        <f t="shared" si="37"/>
        <v>1205.239</v>
      </c>
      <c r="AB242" s="159">
        <f t="shared" si="37"/>
        <v>1288.5790000000002</v>
      </c>
      <c r="AC242" s="159">
        <f t="shared" si="37"/>
        <v>1474.3389999999999</v>
      </c>
      <c r="AD242" s="159">
        <f t="shared" si="37"/>
        <v>1531.4389999999999</v>
      </c>
      <c r="AE242" s="159">
        <f t="shared" si="37"/>
        <v>1586.8389999999999</v>
      </c>
      <c r="AF242" s="159">
        <f t="shared" si="37"/>
        <v>1470.6390000000001</v>
      </c>
      <c r="AG242" s="159">
        <f t="shared" si="37"/>
        <v>1434.4390000000001</v>
      </c>
      <c r="AH242" s="159">
        <f t="shared" si="37"/>
        <v>1429.239</v>
      </c>
      <c r="AI242" s="159">
        <f t="shared" si="37"/>
        <v>1318.5390000000002</v>
      </c>
      <c r="AJ242" s="159">
        <f t="shared" si="37"/>
        <v>1260.239</v>
      </c>
      <c r="AK242" s="159">
        <f t="shared" si="37"/>
        <v>1239.739</v>
      </c>
      <c r="AL242" s="159">
        <f t="shared" si="37"/>
        <v>1253.6390000000001</v>
      </c>
      <c r="AM242" s="159">
        <f t="shared" si="37"/>
        <v>1273.6390000000001</v>
      </c>
      <c r="AN242" s="159">
        <f t="shared" si="37"/>
        <v>1368.6390000000001</v>
      </c>
      <c r="AO242" s="159">
        <f t="shared" si="37"/>
        <v>1539.239</v>
      </c>
      <c r="AP242" s="159">
        <f t="shared" si="37"/>
        <v>1645.6390000000004</v>
      </c>
      <c r="AQ242" s="159">
        <f t="shared" si="37"/>
        <v>1596.5390000000002</v>
      </c>
      <c r="AR242" s="159">
        <f t="shared" si="37"/>
        <v>1545.239</v>
      </c>
      <c r="AS242" s="159">
        <f t="shared" si="37"/>
        <v>1444.6390000000001</v>
      </c>
      <c r="AT242" s="159">
        <f t="shared" si="37"/>
        <v>1341.8389999999999</v>
      </c>
      <c r="AU242" s="159">
        <f t="shared" si="37"/>
        <v>1341.8389999999999</v>
      </c>
      <c r="AV242" s="159">
        <f t="shared" si="37"/>
        <v>1199.739</v>
      </c>
      <c r="AW242" s="159">
        <f t="shared" si="37"/>
        <v>1062.039</v>
      </c>
      <c r="AX242" s="159">
        <f t="shared" si="37"/>
        <v>1012.8389999999999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38">C227</f>
        <v>0.64</v>
      </c>
      <c r="C263" s="162">
        <f t="shared" si="38"/>
        <v>0.64</v>
      </c>
      <c r="D263" s="162">
        <f t="shared" si="38"/>
        <v>0.64</v>
      </c>
      <c r="E263" s="162">
        <f t="shared" si="38"/>
        <v>0.64</v>
      </c>
      <c r="F263" s="162">
        <f t="shared" si="38"/>
        <v>0.64</v>
      </c>
      <c r="G263" s="162">
        <f t="shared" si="38"/>
        <v>0.64</v>
      </c>
      <c r="H263" s="162">
        <f t="shared" si="38"/>
        <v>0.64</v>
      </c>
      <c r="I263" s="162">
        <f t="shared" si="38"/>
        <v>0.64</v>
      </c>
      <c r="J263" s="162">
        <f t="shared" si="38"/>
        <v>0.64</v>
      </c>
      <c r="K263" s="162">
        <f t="shared" si="38"/>
        <v>0.64</v>
      </c>
      <c r="L263" s="162">
        <f t="shared" si="38"/>
        <v>0.64</v>
      </c>
      <c r="M263" s="162">
        <f t="shared" si="38"/>
        <v>0.64</v>
      </c>
      <c r="N263" s="162">
        <f t="shared" si="38"/>
        <v>0.64</v>
      </c>
      <c r="O263" s="162">
        <f t="shared" si="38"/>
        <v>0.64</v>
      </c>
      <c r="P263" s="162">
        <f t="shared" si="38"/>
        <v>0</v>
      </c>
      <c r="Q263" s="162">
        <f t="shared" si="38"/>
        <v>0</v>
      </c>
      <c r="R263" s="162">
        <f t="shared" si="38"/>
        <v>0</v>
      </c>
      <c r="S263" s="162">
        <f t="shared" si="38"/>
        <v>0</v>
      </c>
      <c r="T263" s="162">
        <f t="shared" si="38"/>
        <v>0</v>
      </c>
      <c r="U263" s="162">
        <f t="shared" si="38"/>
        <v>0</v>
      </c>
      <c r="V263" s="162">
        <f t="shared" si="38"/>
        <v>0</v>
      </c>
      <c r="W263" s="162">
        <f t="shared" si="38"/>
        <v>0</v>
      </c>
      <c r="X263" s="162">
        <f t="shared" si="38"/>
        <v>0</v>
      </c>
      <c r="Y263" s="162">
        <f t="shared" si="38"/>
        <v>0</v>
      </c>
      <c r="Z263" s="162">
        <f t="shared" si="38"/>
        <v>0</v>
      </c>
      <c r="AA263" s="162">
        <f t="shared" si="38"/>
        <v>0</v>
      </c>
      <c r="AB263" s="162">
        <f t="shared" si="38"/>
        <v>0</v>
      </c>
      <c r="AC263" s="162">
        <f t="shared" si="38"/>
        <v>0</v>
      </c>
      <c r="AD263" s="162">
        <f t="shared" si="38"/>
        <v>0</v>
      </c>
      <c r="AE263" s="162">
        <f t="shared" si="38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39">IF(B231&lt;100,"",B231-520)</f>
        <v/>
      </c>
      <c r="C264" s="163" t="str">
        <f t="shared" si="39"/>
        <v/>
      </c>
      <c r="D264" s="163" t="str">
        <f t="shared" si="39"/>
        <v/>
      </c>
      <c r="E264" s="163" t="str">
        <f t="shared" si="39"/>
        <v/>
      </c>
      <c r="F264" s="163" t="str">
        <f t="shared" si="39"/>
        <v/>
      </c>
      <c r="G264" s="163" t="str">
        <f t="shared" si="39"/>
        <v/>
      </c>
      <c r="H264" s="163" t="str">
        <f t="shared" si="39"/>
        <v/>
      </c>
      <c r="I264" s="163" t="str">
        <f t="shared" si="39"/>
        <v/>
      </c>
      <c r="J264" s="163" t="str">
        <f t="shared" si="39"/>
        <v/>
      </c>
      <c r="K264" s="163" t="str">
        <f t="shared" si="39"/>
        <v/>
      </c>
      <c r="L264" s="163" t="str">
        <f t="shared" si="39"/>
        <v/>
      </c>
      <c r="M264" s="163" t="str">
        <f t="shared" si="39"/>
        <v/>
      </c>
      <c r="N264" s="163" t="str">
        <f t="shared" si="39"/>
        <v/>
      </c>
      <c r="O264" s="163" t="str">
        <f t="shared" si="39"/>
        <v/>
      </c>
      <c r="P264" s="163" t="str">
        <f t="shared" si="39"/>
        <v/>
      </c>
      <c r="Q264" s="163" t="str">
        <f t="shared" si="39"/>
        <v/>
      </c>
      <c r="R264" s="163" t="str">
        <f t="shared" si="39"/>
        <v/>
      </c>
      <c r="S264" s="163" t="str">
        <f t="shared" si="39"/>
        <v/>
      </c>
      <c r="T264" s="163" t="str">
        <f t="shared" si="39"/>
        <v/>
      </c>
      <c r="U264" s="163" t="str">
        <f t="shared" si="39"/>
        <v/>
      </c>
      <c r="V264" s="163" t="str">
        <f t="shared" si="39"/>
        <v/>
      </c>
      <c r="W264" s="163" t="str">
        <f t="shared" si="39"/>
        <v/>
      </c>
      <c r="X264" s="163" t="str">
        <f t="shared" si="39"/>
        <v/>
      </c>
      <c r="Y264" s="163" t="str">
        <f t="shared" si="39"/>
        <v/>
      </c>
      <c r="Z264" s="163" t="str">
        <f t="shared" si="39"/>
        <v/>
      </c>
      <c r="AA264" s="163" t="str">
        <f t="shared" si="39"/>
        <v/>
      </c>
      <c r="AB264" s="163" t="str">
        <f t="shared" si="39"/>
        <v/>
      </c>
      <c r="AC264" s="163" t="str">
        <f t="shared" si="39"/>
        <v/>
      </c>
      <c r="AD264" s="163" t="str">
        <f t="shared" si="39"/>
        <v/>
      </c>
      <c r="AE264" s="163" t="str">
        <f t="shared" si="39"/>
        <v/>
      </c>
      <c r="AF264" s="163" t="str">
        <f t="shared" si="39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40">IF(B232&lt;100,"",B232-620)</f>
        <v/>
      </c>
      <c r="C265" s="163" t="str">
        <f t="shared" si="40"/>
        <v/>
      </c>
      <c r="D265" s="163" t="str">
        <f t="shared" si="40"/>
        <v/>
      </c>
      <c r="E265" s="163" t="str">
        <f t="shared" si="40"/>
        <v/>
      </c>
      <c r="F265" s="163" t="str">
        <f t="shared" si="40"/>
        <v/>
      </c>
      <c r="G265" s="163" t="str">
        <f t="shared" si="40"/>
        <v/>
      </c>
      <c r="H265" s="163" t="str">
        <f t="shared" si="40"/>
        <v/>
      </c>
      <c r="I265" s="163" t="str">
        <f t="shared" si="40"/>
        <v/>
      </c>
      <c r="J265" s="163" t="str">
        <f t="shared" si="40"/>
        <v/>
      </c>
      <c r="K265" s="163" t="str">
        <f t="shared" si="40"/>
        <v/>
      </c>
      <c r="L265" s="163" t="str">
        <f t="shared" si="40"/>
        <v/>
      </c>
      <c r="M265" s="163" t="str">
        <f t="shared" si="40"/>
        <v/>
      </c>
      <c r="N265" s="163" t="str">
        <f t="shared" si="40"/>
        <v/>
      </c>
      <c r="O265" s="163" t="str">
        <f t="shared" si="40"/>
        <v/>
      </c>
      <c r="P265" s="163" t="str">
        <f t="shared" si="40"/>
        <v/>
      </c>
      <c r="Q265" s="163" t="str">
        <f t="shared" si="40"/>
        <v/>
      </c>
      <c r="R265" s="163" t="str">
        <f t="shared" si="40"/>
        <v/>
      </c>
      <c r="S265" s="163" t="str">
        <f t="shared" si="40"/>
        <v/>
      </c>
      <c r="T265" s="163" t="str">
        <f t="shared" si="40"/>
        <v/>
      </c>
      <c r="U265" s="163" t="str">
        <f t="shared" si="40"/>
        <v/>
      </c>
      <c r="V265" s="163" t="str">
        <f t="shared" si="40"/>
        <v/>
      </c>
      <c r="W265" s="163" t="str">
        <f t="shared" si="40"/>
        <v/>
      </c>
      <c r="X265" s="163" t="str">
        <f t="shared" si="40"/>
        <v/>
      </c>
      <c r="Y265" s="163" t="str">
        <f t="shared" si="40"/>
        <v/>
      </c>
      <c r="Z265" s="163" t="str">
        <f t="shared" si="40"/>
        <v/>
      </c>
      <c r="AA265" s="163" t="str">
        <f t="shared" si="40"/>
        <v/>
      </c>
      <c r="AB265" s="163" t="str">
        <f t="shared" si="40"/>
        <v/>
      </c>
      <c r="AC265" s="163" t="str">
        <f t="shared" si="40"/>
        <v/>
      </c>
      <c r="AD265" s="163" t="str">
        <f t="shared" si="40"/>
        <v/>
      </c>
      <c r="AE265" s="163" t="str">
        <f t="shared" si="40"/>
        <v/>
      </c>
      <c r="AF265" s="163" t="str">
        <f t="shared" si="40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41">IF(B233&lt;100,"",B233-330)</f>
        <v/>
      </c>
      <c r="C266" s="163" t="str">
        <f t="shared" si="41"/>
        <v/>
      </c>
      <c r="D266" s="163" t="str">
        <f t="shared" si="41"/>
        <v/>
      </c>
      <c r="E266" s="163" t="str">
        <f t="shared" si="41"/>
        <v/>
      </c>
      <c r="F266" s="163" t="str">
        <f t="shared" si="41"/>
        <v/>
      </c>
      <c r="G266" s="163" t="str">
        <f t="shared" si="41"/>
        <v/>
      </c>
      <c r="H266" s="163" t="str">
        <f t="shared" si="41"/>
        <v/>
      </c>
      <c r="I266" s="163" t="str">
        <f t="shared" si="41"/>
        <v/>
      </c>
      <c r="J266" s="163" t="str">
        <f t="shared" si="41"/>
        <v/>
      </c>
      <c r="K266" s="163" t="str">
        <f t="shared" si="41"/>
        <v/>
      </c>
      <c r="L266" s="163" t="str">
        <f t="shared" si="41"/>
        <v/>
      </c>
      <c r="M266" s="163" t="str">
        <f t="shared" si="41"/>
        <v/>
      </c>
      <c r="N266" s="163" t="str">
        <f t="shared" si="41"/>
        <v/>
      </c>
      <c r="O266" s="163" t="str">
        <f t="shared" si="41"/>
        <v/>
      </c>
      <c r="P266" s="163" t="str">
        <f t="shared" si="41"/>
        <v/>
      </c>
      <c r="Q266" s="163" t="str">
        <f t="shared" si="41"/>
        <v/>
      </c>
      <c r="R266" s="163" t="str">
        <f t="shared" si="41"/>
        <v/>
      </c>
      <c r="S266" s="163" t="str">
        <f t="shared" si="41"/>
        <v/>
      </c>
      <c r="T266" s="163" t="str">
        <f t="shared" si="41"/>
        <v/>
      </c>
      <c r="U266" s="163" t="str">
        <f t="shared" si="41"/>
        <v/>
      </c>
      <c r="V266" s="163" t="str">
        <f t="shared" si="41"/>
        <v/>
      </c>
      <c r="W266" s="163" t="str">
        <f t="shared" si="41"/>
        <v/>
      </c>
      <c r="X266" s="163" t="str">
        <f t="shared" si="41"/>
        <v/>
      </c>
      <c r="Y266" s="163" t="str">
        <f t="shared" si="41"/>
        <v/>
      </c>
      <c r="Z266" s="163" t="str">
        <f t="shared" si="41"/>
        <v/>
      </c>
      <c r="AA266" s="163" t="str">
        <f t="shared" si="41"/>
        <v/>
      </c>
      <c r="AB266" s="163" t="str">
        <f t="shared" si="41"/>
        <v/>
      </c>
      <c r="AC266" s="163" t="str">
        <f t="shared" si="41"/>
        <v/>
      </c>
      <c r="AD266" s="163" t="str">
        <f t="shared" si="41"/>
        <v/>
      </c>
      <c r="AE266" s="163" t="str">
        <f t="shared" si="41"/>
        <v/>
      </c>
      <c r="AF266" s="163" t="str">
        <f t="shared" si="41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42">IF(B234&lt;100,"",B234-1500)</f>
        <v/>
      </c>
      <c r="C267" s="163" t="str">
        <f t="shared" si="42"/>
        <v/>
      </c>
      <c r="D267" s="163" t="str">
        <f t="shared" si="42"/>
        <v/>
      </c>
      <c r="E267" s="163" t="str">
        <f t="shared" si="42"/>
        <v/>
      </c>
      <c r="F267" s="163" t="str">
        <f t="shared" si="42"/>
        <v/>
      </c>
      <c r="G267" s="163" t="str">
        <f t="shared" si="42"/>
        <v/>
      </c>
      <c r="H267" s="163" t="str">
        <f t="shared" si="42"/>
        <v/>
      </c>
      <c r="I267" s="163" t="str">
        <f t="shared" si="42"/>
        <v/>
      </c>
      <c r="J267" s="163" t="str">
        <f t="shared" si="42"/>
        <v/>
      </c>
      <c r="K267" s="163" t="str">
        <f t="shared" si="42"/>
        <v/>
      </c>
      <c r="L267" s="163" t="str">
        <f t="shared" si="42"/>
        <v/>
      </c>
      <c r="M267" s="163" t="str">
        <f t="shared" si="42"/>
        <v/>
      </c>
      <c r="N267" s="163" t="str">
        <f t="shared" si="42"/>
        <v/>
      </c>
      <c r="O267" s="163" t="str">
        <f t="shared" si="42"/>
        <v/>
      </c>
      <c r="P267" s="163" t="str">
        <f t="shared" si="42"/>
        <v/>
      </c>
      <c r="Q267" s="163" t="str">
        <f t="shared" si="42"/>
        <v/>
      </c>
      <c r="R267" s="163" t="str">
        <f t="shared" si="42"/>
        <v/>
      </c>
      <c r="S267" s="163" t="str">
        <f t="shared" si="42"/>
        <v/>
      </c>
      <c r="T267" s="163" t="str">
        <f t="shared" si="42"/>
        <v/>
      </c>
      <c r="U267" s="163" t="str">
        <f t="shared" si="42"/>
        <v/>
      </c>
      <c r="V267" s="163" t="str">
        <f t="shared" si="42"/>
        <v/>
      </c>
      <c r="W267" s="163" t="str">
        <f t="shared" si="42"/>
        <v/>
      </c>
      <c r="X267" s="163" t="str">
        <f t="shared" si="42"/>
        <v/>
      </c>
      <c r="Y267" s="163" t="str">
        <f t="shared" si="42"/>
        <v/>
      </c>
      <c r="Z267" s="163" t="str">
        <f t="shared" si="42"/>
        <v/>
      </c>
      <c r="AA267" s="163" t="str">
        <f t="shared" si="42"/>
        <v/>
      </c>
      <c r="AB267" s="163" t="str">
        <f t="shared" si="42"/>
        <v/>
      </c>
      <c r="AC267" s="163" t="str">
        <f t="shared" si="42"/>
        <v/>
      </c>
      <c r="AD267" s="163" t="str">
        <f t="shared" si="42"/>
        <v/>
      </c>
      <c r="AE267" s="163" t="str">
        <f t="shared" si="42"/>
        <v/>
      </c>
      <c r="AF267" s="163" t="str">
        <f t="shared" si="42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1332" priority="112">
      <formula>$AH11=0</formula>
    </cfRule>
  </conditionalFormatting>
  <conditionalFormatting sqref="B8 M8 S8 AB8">
    <cfRule type="expression" dxfId="1331" priority="241">
      <formula>AND(C$9&gt;=14/24,C$9&lt;20/24)</formula>
    </cfRule>
    <cfRule type="expression" dxfId="1330" priority="243">
      <formula>C$9&lt;8/24</formula>
    </cfRule>
    <cfRule type="expression" dxfId="1329" priority="242">
      <formula>AND(C$9&gt;=8/24,C$9&lt;14/24)</formula>
    </cfRule>
  </conditionalFormatting>
  <conditionalFormatting sqref="B67:B72 C70:M72">
    <cfRule type="expression" dxfId="1328" priority="81">
      <formula>B$9&lt;8/24</formula>
    </cfRule>
  </conditionalFormatting>
  <conditionalFormatting sqref="B68:B72 C70:M72">
    <cfRule type="expression" dxfId="1327" priority="80">
      <formula>AND(B$9&gt;=8/24,B$9&lt;14/24)</formula>
    </cfRule>
    <cfRule type="expression" dxfId="1326" priority="79">
      <formula>AND(B$9&gt;=14/24,B$9&lt;20/24)</formula>
    </cfRule>
    <cfRule type="expression" dxfId="1325" priority="78">
      <formula>B$9&gt;=20/24</formula>
    </cfRule>
  </conditionalFormatting>
  <conditionalFormatting sqref="B49:I51">
    <cfRule type="expression" dxfId="1320" priority="84">
      <formula>AND(B$9&gt;=14/24,B$9&lt;20/24)</formula>
    </cfRule>
    <cfRule type="expression" dxfId="1319" priority="86">
      <formula>B$9&lt;8/24</formula>
    </cfRule>
    <cfRule type="expression" dxfId="1318" priority="85">
      <formula>AND(B$9&gt;=8/24,B$9&lt;14/24)</formula>
    </cfRule>
    <cfRule type="expression" dxfId="1317" priority="83">
      <formula>B$9&gt;=20/24</formula>
    </cfRule>
  </conditionalFormatting>
  <conditionalFormatting sqref="B73:M77">
    <cfRule type="expression" dxfId="1316" priority="1">
      <formula>B$9&gt;=20/24</formula>
    </cfRule>
    <cfRule type="expression" dxfId="1315" priority="2">
      <formula>AND(B$9&gt;=14/24,B$9&lt;20/24)</formula>
    </cfRule>
    <cfRule type="expression" dxfId="1314" priority="3">
      <formula>AND(B$9&gt;=8/24,B$9&lt;14/24)</formula>
    </cfRule>
    <cfRule type="expression" dxfId="1313" priority="4">
      <formula>B$9&lt;8/24</formula>
    </cfRule>
  </conditionalFormatting>
  <conditionalFormatting sqref="B11:W11">
    <cfRule type="expression" dxfId="1312" priority="14">
      <formula>B$9&gt;=20/24</formula>
    </cfRule>
    <cfRule type="expression" dxfId="1311" priority="15">
      <formula>AND(B$9&gt;=14/24,B$9&lt;20/24)</formula>
    </cfRule>
    <cfRule type="expression" dxfId="1310" priority="16">
      <formula>AND(B$9&gt;=8/24,B$9&lt;14/24)</formula>
    </cfRule>
    <cfRule type="expression" dxfId="1309" priority="17">
      <formula>B$9&lt;8/24</formula>
    </cfRule>
  </conditionalFormatting>
  <conditionalFormatting sqref="B12:W14">
    <cfRule type="expression" dxfId="1308" priority="9">
      <formula>B$9&gt;=20/24</formula>
    </cfRule>
    <cfRule type="expression" dxfId="1307" priority="11">
      <formula>AND(B$9&gt;=8/24,B$9&lt;14/24)</formula>
    </cfRule>
    <cfRule type="expression" dxfId="1306" priority="12">
      <formula>B$9&lt;8/24</formula>
    </cfRule>
    <cfRule type="expression" dxfId="1305" priority="10">
      <formula>AND(B$9&gt;=14/24,B$9&lt;20/24)</formula>
    </cfRule>
  </conditionalFormatting>
  <conditionalFormatting sqref="B15:W40">
    <cfRule type="expression" dxfId="1304" priority="103">
      <formula>B$9&lt;8/24</formula>
    </cfRule>
    <cfRule type="expression" dxfId="1303" priority="101">
      <formula>AND(B$9&gt;=14/24,B$9&lt;20/24)</formula>
    </cfRule>
    <cfRule type="expression" dxfId="1302" priority="100">
      <formula>B$9&gt;=20/24</formula>
    </cfRule>
    <cfRule type="expression" dxfId="1301" priority="102">
      <formula>AND(B$9&gt;=8/24,B$9&lt;14/24)</formula>
    </cfRule>
  </conditionalFormatting>
  <conditionalFormatting sqref="B41:W41">
    <cfRule type="expression" dxfId="1300" priority="5">
      <formula>B$9&gt;=20/24</formula>
    </cfRule>
    <cfRule type="expression" dxfId="1299" priority="6">
      <formula>AND(B$9&gt;=14/24,B$9&lt;20/24)</formula>
    </cfRule>
    <cfRule type="expression" dxfId="1298" priority="7">
      <formula>AND(B$9&gt;=8/24,B$9&lt;14/24)</formula>
    </cfRule>
    <cfRule type="expression" dxfId="1297" priority="8">
      <formula>B$9&lt;8/24</formula>
    </cfRule>
  </conditionalFormatting>
  <conditionalFormatting sqref="B42:W42">
    <cfRule type="expression" dxfId="1296" priority="67">
      <formula>B$9&lt;8/24</formula>
    </cfRule>
    <cfRule type="expression" dxfId="1295" priority="64">
      <formula>B$9&gt;=20/24</formula>
    </cfRule>
    <cfRule type="expression" dxfId="1294" priority="65">
      <formula>AND(B$9&gt;=14/24,B$9&lt;20/24)</formula>
    </cfRule>
    <cfRule type="expression" dxfId="1293" priority="66">
      <formula>AND(B$9&gt;=8/24,B$9&lt;14/24)</formula>
    </cfRule>
  </conditionalFormatting>
  <conditionalFormatting sqref="B54:W60">
    <cfRule type="expression" dxfId="1292" priority="20">
      <formula>B$9&gt;=20/24</formula>
    </cfRule>
    <cfRule type="expression" dxfId="1291" priority="21">
      <formula>AND(B$9&gt;=14/24,B$9&lt;20/24)</formula>
    </cfRule>
    <cfRule type="expression" dxfId="1290" priority="22">
      <formula>AND(B$9&gt;=8/24,B$9&lt;14/24)</formula>
    </cfRule>
    <cfRule type="expression" dxfId="1289" priority="23">
      <formula>B$9&lt;8/24</formula>
    </cfRule>
  </conditionalFormatting>
  <conditionalFormatting sqref="B9:AF10 B220:AF220 D222:AF223 B222:B228 D224:H224 J224:AF224 D225:AF228 U241:AF241">
    <cfRule type="expression" dxfId="1288" priority="235">
      <formula>AND(B$9&gt;=14/24,B$9&lt;20/24)</formula>
    </cfRule>
    <cfRule type="expression" dxfId="1287" priority="234">
      <formula>B$9&gt;=20/24</formula>
    </cfRule>
    <cfRule type="expression" dxfId="1286" priority="236">
      <formula>AND(B$9&gt;=8/24,B$9&lt;14/24)</formula>
    </cfRule>
    <cfRule type="expression" dxfId="1285" priority="237">
      <formula>B$9&lt;8/24</formula>
    </cfRule>
  </conditionalFormatting>
  <conditionalFormatting sqref="B11:AF66">
    <cfRule type="expression" dxfId="1284" priority="13">
      <formula>B11&gt;$AG11</formula>
    </cfRule>
  </conditionalFormatting>
  <conditionalFormatting sqref="B43:AF43">
    <cfRule type="expression" dxfId="1283" priority="96">
      <formula>B$9&gt;=20/24</formula>
    </cfRule>
    <cfRule type="expression" dxfId="1282" priority="97">
      <formula>AND(B$9&gt;=14/24,B$9&lt;20/24)</formula>
    </cfRule>
    <cfRule type="expression" dxfId="1281" priority="98">
      <formula>AND(B$9&gt;=8/24,B$9&lt;14/24)</formula>
    </cfRule>
    <cfRule type="expression" dxfId="1280" priority="99">
      <formula>B$9&lt;8/24</formula>
    </cfRule>
  </conditionalFormatting>
  <conditionalFormatting sqref="B45:AF48">
    <cfRule type="expression" dxfId="1279" priority="43">
      <formula>AND(B$9&gt;=8/24,B$9&lt;14/24)</formula>
    </cfRule>
    <cfRule type="expression" dxfId="1278" priority="44">
      <formula>B$9&lt;8/24</formula>
    </cfRule>
    <cfRule type="expression" dxfId="1277" priority="42">
      <formula>AND(B$9&gt;=14/24,B$9&lt;20/24)</formula>
    </cfRule>
    <cfRule type="expression" dxfId="1276" priority="41">
      <formula>B$9&gt;=20/24</formula>
    </cfRule>
  </conditionalFormatting>
  <conditionalFormatting sqref="B63:AF66">
    <cfRule type="expression" dxfId="1275" priority="62">
      <formula>B$9&lt;8/24</formula>
    </cfRule>
  </conditionalFormatting>
  <conditionalFormatting sqref="B63:AF67">
    <cfRule type="expression" dxfId="1274" priority="59">
      <formula>B$9&gt;=20/24</formula>
    </cfRule>
    <cfRule type="expression" dxfId="1273" priority="61">
      <formula>AND(B$9&gt;=8/24,B$9&lt;14/24)</formula>
    </cfRule>
    <cfRule type="expression" dxfId="1272" priority="60">
      <formula>AND(B$9&gt;=14/24,B$9&lt;20/24)</formula>
    </cfRule>
  </conditionalFormatting>
  <conditionalFormatting sqref="B78:AF85">
    <cfRule type="expression" dxfId="1271" priority="54">
      <formula>B$9&gt;=20/24</formula>
    </cfRule>
    <cfRule type="expression" dxfId="1270" priority="55">
      <formula>AND(B$9&gt;=14/24,B$9&lt;20/24)</formula>
    </cfRule>
    <cfRule type="expression" dxfId="1269" priority="56">
      <formula>AND(B$9&gt;=8/24,B$9&lt;14/24)</formula>
    </cfRule>
    <cfRule type="expression" dxfId="1268" priority="57">
      <formula>B$9&lt;8/24</formula>
    </cfRule>
  </conditionalFormatting>
  <conditionalFormatting sqref="B87:AF103">
    <cfRule type="expression" dxfId="1263" priority="37">
      <formula>AND(B$9&gt;=14/24,B$9&lt;20/24)</formula>
    </cfRule>
    <cfRule type="expression" dxfId="1262" priority="36">
      <formula>B$9&gt;=20/24</formula>
    </cfRule>
    <cfRule type="expression" dxfId="1261" priority="39">
      <formula>B$9&lt;8/24</formula>
    </cfRule>
    <cfRule type="expression" dxfId="1260" priority="38">
      <formula>AND(B$9&gt;=8/24,B$9&lt;14/24)</formula>
    </cfRule>
  </conditionalFormatting>
  <conditionalFormatting sqref="B105:AF112">
    <cfRule type="expression" dxfId="1259" priority="24">
      <formula>B$9&gt;=20/24</formula>
    </cfRule>
    <cfRule type="expression" dxfId="1258" priority="25">
      <formula>AND(B$9&gt;=14/24,B$9&lt;20/24)</formula>
    </cfRule>
    <cfRule type="expression" dxfId="1257" priority="27">
      <formula>B$9&lt;8/24</formula>
    </cfRule>
    <cfRule type="expression" dxfId="1256" priority="26">
      <formula>AND(B$9&gt;=8/24,B$9&lt;14/24)</formula>
    </cfRule>
  </conditionalFormatting>
  <conditionalFormatting sqref="J50:N51 P50:Q51 O50:O53 M52:N53 P52:W53 E67:AF67">
    <cfRule type="expression" dxfId="1251" priority="207">
      <formula>E$9&lt;8/24</formula>
    </cfRule>
  </conditionalFormatting>
  <conditionalFormatting sqref="J50:N51 P50:Q51 O50:O53 M52:N53 P52:W53">
    <cfRule type="expression" dxfId="1250" priority="206">
      <formula>AND(J$9&gt;=8/24,J$9&lt;14/24)</formula>
    </cfRule>
    <cfRule type="expression" dxfId="1249" priority="205">
      <formula>AND(J$9&gt;=14/24,J$9&lt;20/24)</formula>
    </cfRule>
    <cfRule type="expression" dxfId="1248" priority="204">
      <formula>J$9&gt;=20/24</formula>
    </cfRule>
  </conditionalFormatting>
  <conditionalFormatting sqref="J49:Q49">
    <cfRule type="expression" dxfId="1247" priority="200">
      <formula>J$9&gt;=20/24</formula>
    </cfRule>
    <cfRule type="expression" dxfId="1246" priority="203">
      <formula>J$9&lt;8/24</formula>
    </cfRule>
    <cfRule type="expression" dxfId="1245" priority="202">
      <formula>AND(J$9&gt;=8/24,J$9&lt;14/24)</formula>
    </cfRule>
    <cfRule type="expression" dxfId="1244" priority="201">
      <formula>AND(J$9&gt;=14/24,J$9&lt;20/24)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P68:R69 O68:O77 S68:AF77 N70:R77 E68:N69">
    <cfRule type="expression" dxfId="1243" priority="198">
      <formula>E$9&lt;8/24</formula>
    </cfRule>
  </conditionalFormatting>
  <conditionalFormatting sqref="P68:R69 O68:O77 S68:AF77 N70:R77">
    <cfRule type="expression" dxfId="1242" priority="197">
      <formula>AND(N$9&gt;=8/24,N$9&lt;14/24)</formula>
    </cfRule>
    <cfRule type="expression" dxfId="1241" priority="196">
      <formula>AND(N$9&gt;=14/24,N$9&lt;20/24)</formula>
    </cfRule>
    <cfRule type="expression" dxfId="1240" priority="195">
      <formula>N$9&gt;=20/24</formula>
    </cfRule>
  </conditionalFormatting>
  <conditionalFormatting sqref="R49:W51">
    <cfRule type="expression" dxfId="1239" priority="190">
      <formula>R$9&gt;=20/24</formula>
    </cfRule>
    <cfRule type="expression" dxfId="1238" priority="191">
      <formula>AND(R$9&gt;=14/24,R$9&lt;20/24)</formula>
    </cfRule>
    <cfRule type="expression" dxfId="1237" priority="193">
      <formula>R$9&lt;8/24</formula>
    </cfRule>
    <cfRule type="expression" dxfId="1236" priority="192">
      <formula>AND(R$9&gt;=8/24,R$9&lt;14/24)</formula>
    </cfRule>
  </conditionalFormatting>
  <conditionalFormatting sqref="S8 AB8 B8 M8">
    <cfRule type="expression" dxfId="1235" priority="240">
      <formula>C$9&gt;=20/24</formula>
    </cfRule>
  </conditionalFormatting>
  <conditionalFormatting sqref="S8">
    <cfRule type="expression" dxfId="1234" priority="213">
      <formula>U$9&gt;=20/24</formula>
    </cfRule>
    <cfRule type="expression" dxfId="1233" priority="214">
      <formula>AND(U$9&gt;=14/24,U$9&lt;20/24)</formula>
    </cfRule>
    <cfRule type="expression" dxfId="1232" priority="215">
      <formula>AND(U$9&gt;=8/24,U$9&lt;14/24)</formula>
    </cfRule>
    <cfRule type="expression" dxfId="1231" priority="216">
      <formula>U$9&lt;8/24</formula>
    </cfRule>
  </conditionalFormatting>
  <conditionalFormatting sqref="T241">
    <cfRule type="expression" dxfId="1230" priority="253">
      <formula>AX$9&gt;=20/24</formula>
    </cfRule>
    <cfRule type="expression" dxfId="1229" priority="254">
      <formula>AND(AX$9&gt;=14/24,AX$9&lt;20/24)</formula>
    </cfRule>
    <cfRule type="expression" dxfId="1228" priority="255">
      <formula>AND(AX$9&gt;=8/24,AX$9&lt;14/24)</formula>
    </cfRule>
    <cfRule type="expression" dxfId="1227" priority="256">
      <formula>AX$9&lt;8/24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X11:AF42">
    <cfRule type="expression" dxfId="1226" priority="175">
      <formula>X$9&lt;8/24</formula>
    </cfRule>
    <cfRule type="expression" dxfId="1225" priority="174">
      <formula>AND(X$9&gt;=8/24,X$9&lt;14/24)</formula>
    </cfRule>
    <cfRule type="expression" dxfId="1224" priority="173">
      <formula>AND(X$9&gt;=14/24,X$9&lt;20/24)</formula>
    </cfRule>
    <cfRule type="expression" dxfId="1223" priority="172">
      <formula>X$9&gt;=20/24</formula>
    </cfRule>
  </conditionalFormatting>
  <conditionalFormatting sqref="X49:AF60">
    <cfRule type="expression" dxfId="1222" priority="158">
      <formula>X$9&gt;=20/24</formula>
    </cfRule>
    <cfRule type="expression" dxfId="1221" priority="159">
      <formula>AND(X$9&gt;=14/24,X$9&lt;20/24)</formula>
    </cfRule>
    <cfRule type="expression" dxfId="1220" priority="160">
      <formula>AND(X$9&gt;=8/24,X$9&lt;14/24)</formula>
    </cfRule>
    <cfRule type="expression" dxfId="1219" priority="161">
      <formula>X$9&lt;8/24</formula>
    </cfRule>
  </conditionalFormatting>
  <conditionalFormatting sqref="AB8">
    <cfRule type="expression" dxfId="1218" priority="212">
      <formula>AD$9&lt;8/24</formula>
    </cfRule>
    <cfRule type="expression" dxfId="1217" priority="211">
      <formula>AND(AD$9&gt;=8/24,AD$9&lt;14/24)</formula>
    </cfRule>
    <cfRule type="expression" dxfId="1216" priority="209">
      <formula>AD$9&gt;=20/24</formula>
    </cfRule>
    <cfRule type="expression" dxfId="1215" priority="210">
      <formula>AND(AD$9&gt;=14/24,AD$9&lt;20/24)</formula>
    </cfRule>
  </conditionalFormatting>
  <conditionalFormatting sqref="AG44 AG61:AG62 AG66">
    <cfRule type="expression" dxfId="1214" priority="162">
      <formula>AG44&gt;$AG44</formula>
    </cfRule>
  </conditionalFormatting>
  <conditionalFormatting sqref="AG48">
    <cfRule type="expression" dxfId="1213" priority="145">
      <formula>AND(AG$9&gt;=8/24,AG$9&lt;14/24)</formula>
    </cfRule>
    <cfRule type="expression" dxfId="1212" priority="142">
      <formula>AG48&gt;$AG48</formula>
    </cfRule>
    <cfRule type="expression" dxfId="1211" priority="146">
      <formula>AG$9&lt;8/24</formula>
    </cfRule>
    <cfRule type="expression" dxfId="1210" priority="143">
      <formula>AG$9&gt;=20/24</formula>
    </cfRule>
    <cfRule type="expression" dxfId="1209" priority="144">
      <formula>AND(AG$9&gt;=14/24,AG$9&lt;20/24)</formula>
    </cfRule>
  </conditionalFormatting>
  <conditionalFormatting sqref="AG66 C67:D69 AG83">
    <cfRule type="expression" dxfId="1208" priority="166">
      <formula>C$9&lt;8/24</formula>
    </cfRule>
  </conditionalFormatting>
  <conditionalFormatting sqref="AG66 C68:N69 AG83">
    <cfRule type="expression" dxfId="1207" priority="164">
      <formula>AND(C$9&gt;=14/24,C$9&lt;20/24)</formula>
    </cfRule>
    <cfRule type="expression" dxfId="1206" priority="163">
      <formula>C$9&gt;=20/24</formula>
    </cfRule>
    <cfRule type="expression" dxfId="1205" priority="165">
      <formula>AND(C$9&gt;=8/24,C$9&lt;14/24)</formula>
    </cfRule>
  </conditionalFormatting>
  <conditionalFormatting sqref="AG241">
    <cfRule type="expression" dxfId="1204" priority="245">
      <formula>B$9&gt;=20/24</formula>
    </cfRule>
    <cfRule type="expression" dxfId="1203" priority="246">
      <formula>AND(B$9&gt;=14/24,B$9&lt;20/24)</formula>
    </cfRule>
    <cfRule type="expression" dxfId="1202" priority="247">
      <formula>AND(B$9&gt;=8/24,B$9&lt;14/24)</formula>
    </cfRule>
    <cfRule type="expression" dxfId="1201" priority="248">
      <formula>B$9&lt;8/24</formula>
    </cfRule>
  </conditionalFormatting>
  <conditionalFormatting sqref="AH241:AX241">
    <cfRule type="expression" dxfId="1200" priority="249">
      <formula>AG$9&gt;=20/24</formula>
    </cfRule>
    <cfRule type="expression" dxfId="1199" priority="250">
      <formula>AND(AG$9&gt;=14/24,AG$9&lt;20/24)</formula>
    </cfRule>
    <cfRule type="expression" dxfId="1198" priority="251">
      <formula>AND(AG$9&gt;=8/24,AG$9&lt;14/24)</formula>
    </cfRule>
    <cfRule type="expression" dxfId="1197" priority="252">
      <formula>AG$9&lt;8/24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8" id="{C6B925F3-1B06-4841-84C3-1EF41D1CB06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9" id="{829AFD6E-CABF-49D5-A0F6-BAA9511DB19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0" id="{BC367BC0-7907-4AB5-A2EC-E8C9AF6F570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1" id="{814740D0-CC99-42FC-93D3-F858DBCF3E8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35" id="{4F19FEF7-DCB9-4750-BF4A-86730ED8A69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4" id="{5FCF7574-379F-47AA-AB52-A867C7F5FD6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3" id="{D387F97E-6B89-4430-AD6D-212CCCC8334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2" id="{17D12B92-5F86-445C-BB8B-08C104FA8F8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1" id="{4027B82E-800F-4359-A575-A00990D26CD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D44E10D4-BAF9-4CAA-9D73-C19DB878FF7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89FBD25A-2E76-4A92-A05C-CB0E9387065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0" id="{748BD5C9-713D-48EB-9EDC-1F30476D358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J274"/>
  <sheetViews>
    <sheetView topLeftCell="A49" workbookViewId="0">
      <selection activeCell="L76" sqref="L7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2079/09/7</v>
      </c>
      <c r="C4" s="197"/>
      <c r="D4" s="197"/>
      <c r="E4" s="198" t="str">
        <f ca="1">"2079/"&amp;"09/"&amp;INT(MID(CELL("filename",G6),FIND("]",CELL("filename",G6))+1,200))</f>
        <v>2079/09/7</v>
      </c>
      <c r="F4" s="198"/>
      <c r="G4" s="198"/>
      <c r="H4" s="198" t="str">
        <f ca="1">TEXT(E4,"dddd")</f>
        <v>Thursday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168</v>
      </c>
      <c r="C5" s="30">
        <f t="shared" si="0"/>
        <v>131</v>
      </c>
      <c r="D5" s="30">
        <f t="shared" si="0"/>
        <v>134</v>
      </c>
      <c r="E5" s="30">
        <f t="shared" si="0"/>
        <v>135</v>
      </c>
      <c r="F5" s="30">
        <f t="shared" si="0"/>
        <v>158</v>
      </c>
      <c r="G5" s="30">
        <f t="shared" si="0"/>
        <v>155</v>
      </c>
      <c r="H5" s="30">
        <f t="shared" si="0"/>
        <v>158</v>
      </c>
      <c r="I5" s="30">
        <f t="shared" si="0"/>
        <v>154</v>
      </c>
      <c r="J5" s="30">
        <f t="shared" si="0"/>
        <v>107.2</v>
      </c>
      <c r="K5" s="30">
        <f t="shared" si="0"/>
        <v>45.2</v>
      </c>
      <c r="L5" s="30">
        <f t="shared" si="0"/>
        <v>44.7</v>
      </c>
      <c r="M5" s="30">
        <f t="shared" si="0"/>
        <v>36</v>
      </c>
      <c r="N5" s="30">
        <f t="shared" si="0"/>
        <v>120.9</v>
      </c>
      <c r="O5" s="30">
        <f t="shared" si="0"/>
        <v>162.80000000000001</v>
      </c>
      <c r="P5" s="30">
        <f t="shared" si="0"/>
        <v>287.09999999999997</v>
      </c>
      <c r="Q5" s="30">
        <f t="shared" si="0"/>
        <v>308.39999999999998</v>
      </c>
      <c r="R5" s="30">
        <f t="shared" si="0"/>
        <v>353.8</v>
      </c>
      <c r="S5" s="30">
        <f t="shared" si="0"/>
        <v>358.8</v>
      </c>
      <c r="T5" s="30">
        <f t="shared" si="0"/>
        <v>349.7</v>
      </c>
      <c r="U5" s="30">
        <f t="shared" si="0"/>
        <v>207.2</v>
      </c>
      <c r="V5" s="30">
        <f t="shared" si="0"/>
        <v>106.6</v>
      </c>
      <c r="W5" s="30">
        <f t="shared" si="0"/>
        <v>103.6</v>
      </c>
      <c r="X5" s="30">
        <f t="shared" si="0"/>
        <v>100.1</v>
      </c>
      <c r="Y5" s="30">
        <f t="shared" si="0"/>
        <v>96.3</v>
      </c>
      <c r="Z5" s="30">
        <f t="shared" si="0"/>
        <v>90.7</v>
      </c>
      <c r="AA5" s="30">
        <f t="shared" si="0"/>
        <v>166.9</v>
      </c>
      <c r="AB5" s="30">
        <f t="shared" si="0"/>
        <v>148.80000000000001</v>
      </c>
      <c r="AC5" s="30">
        <f t="shared" si="0"/>
        <v>165.1</v>
      </c>
      <c r="AD5" s="30">
        <f t="shared" si="0"/>
        <v>197</v>
      </c>
      <c r="AE5" s="30">
        <f t="shared" si="0"/>
        <v>223</v>
      </c>
      <c r="AF5" s="30">
        <f>B78</f>
        <v>162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1610MW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Load=973</v>
      </c>
      <c r="B7" s="35">
        <f t="shared" ref="B7:AF7" si="1">B85</f>
        <v>1004.3390000000001</v>
      </c>
      <c r="C7" s="35">
        <f t="shared" si="1"/>
        <v>990.33900000000006</v>
      </c>
      <c r="D7" s="35">
        <f t="shared" si="1"/>
        <v>973.33900000000006</v>
      </c>
      <c r="E7" s="35">
        <f t="shared" si="1"/>
        <v>982.43900000000008</v>
      </c>
      <c r="F7" s="35">
        <f t="shared" si="1"/>
        <v>977.23900000000003</v>
      </c>
      <c r="G7" s="35">
        <f t="shared" si="1"/>
        <v>1024.039</v>
      </c>
      <c r="H7" s="35">
        <f t="shared" si="1"/>
        <v>1139.8390000000002</v>
      </c>
      <c r="I7" s="35">
        <f t="shared" si="1"/>
        <v>1237.6390000000001</v>
      </c>
      <c r="J7" s="35">
        <f t="shared" si="1"/>
        <v>1093.6390000000001</v>
      </c>
      <c r="K7" s="35">
        <f t="shared" si="1"/>
        <v>1109.6380000000001</v>
      </c>
      <c r="L7" s="35">
        <f t="shared" si="1"/>
        <v>1599.9380000000001</v>
      </c>
      <c r="M7" s="35">
        <f t="shared" si="1"/>
        <v>1610.4390000000001</v>
      </c>
      <c r="N7" s="35">
        <f>N85</f>
        <v>1536.539</v>
      </c>
      <c r="O7" s="35">
        <f t="shared" si="1"/>
        <v>1486.4390000000003</v>
      </c>
      <c r="P7" s="35">
        <f t="shared" si="1"/>
        <v>1493.3390000000002</v>
      </c>
      <c r="Q7" s="35">
        <f t="shared" si="1"/>
        <v>1335.1390000000001</v>
      </c>
      <c r="R7" s="35">
        <f t="shared" si="1"/>
        <v>1274.4490000000001</v>
      </c>
      <c r="S7" s="35">
        <f t="shared" si="1"/>
        <v>1356.1390000000001</v>
      </c>
      <c r="T7" s="35">
        <f t="shared" si="1"/>
        <v>1350.4390000000001</v>
      </c>
      <c r="U7" s="35">
        <f t="shared" si="1"/>
        <v>1360.1390000000001</v>
      </c>
      <c r="V7" s="35">
        <f t="shared" si="1"/>
        <v>1423.1389999999999</v>
      </c>
      <c r="W7" s="35">
        <f t="shared" si="1"/>
        <v>1571.8389999999999</v>
      </c>
      <c r="X7" s="35">
        <f t="shared" si="1"/>
        <v>1652.1389999999999</v>
      </c>
      <c r="Y7" s="35">
        <f t="shared" si="1"/>
        <v>1573.1389999999999</v>
      </c>
      <c r="Z7" s="35">
        <f t="shared" si="1"/>
        <v>1514.039</v>
      </c>
      <c r="AA7" s="35">
        <f t="shared" si="1"/>
        <v>1493.1389999999999</v>
      </c>
      <c r="AB7" s="35">
        <f t="shared" si="1"/>
        <v>1389.3389999999999</v>
      </c>
      <c r="AC7" s="35">
        <f t="shared" si="1"/>
        <v>1346.3389999999999</v>
      </c>
      <c r="AD7" s="35">
        <f t="shared" si="1"/>
        <v>1243.8389999999999</v>
      </c>
      <c r="AE7" s="35">
        <f t="shared" si="1"/>
        <v>1087.9389999999999</v>
      </c>
      <c r="AF7" s="35">
        <f t="shared" si="1"/>
        <v>1043.8389999999999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25.6</v>
      </c>
      <c r="C11" s="45">
        <v>25.6</v>
      </c>
      <c r="D11" s="45">
        <v>25.6</v>
      </c>
      <c r="E11" s="45">
        <v>26.2</v>
      </c>
      <c r="F11" s="45">
        <v>26.2</v>
      </c>
      <c r="G11" s="45">
        <v>26.2</v>
      </c>
      <c r="H11" s="45">
        <v>26.2</v>
      </c>
      <c r="I11" s="45">
        <v>26.2</v>
      </c>
      <c r="J11" s="45">
        <v>26.2</v>
      </c>
      <c r="K11" s="45">
        <v>26.2</v>
      </c>
      <c r="L11" s="45">
        <v>26.2</v>
      </c>
      <c r="M11" s="45">
        <v>26.2</v>
      </c>
      <c r="N11" s="45">
        <v>26.2</v>
      </c>
      <c r="O11" s="45">
        <v>26.2</v>
      </c>
      <c r="P11" s="45">
        <v>26.2</v>
      </c>
      <c r="Q11" s="45">
        <v>26.2</v>
      </c>
      <c r="R11" s="45">
        <v>27.4</v>
      </c>
      <c r="S11" s="45">
        <v>27.4</v>
      </c>
      <c r="T11" s="45">
        <v>27.4</v>
      </c>
      <c r="U11" s="45">
        <v>27.4</v>
      </c>
      <c r="V11" s="45">
        <v>27.4</v>
      </c>
      <c r="W11" s="45">
        <v>27.4</v>
      </c>
      <c r="X11" s="45">
        <v>26.9</v>
      </c>
      <c r="Y11" s="45">
        <v>26.9</v>
      </c>
      <c r="Z11" s="45">
        <v>26.9</v>
      </c>
      <c r="AA11" s="45">
        <v>26.9</v>
      </c>
      <c r="AB11" s="45">
        <v>26.9</v>
      </c>
      <c r="AC11" s="45">
        <v>26.9</v>
      </c>
      <c r="AD11" s="45">
        <v>26.9</v>
      </c>
      <c r="AE11" s="45">
        <v>26.9</v>
      </c>
      <c r="AF11" s="45">
        <v>26.9</v>
      </c>
      <c r="AG11" s="47">
        <v>52.4</v>
      </c>
      <c r="AH11" s="48">
        <f t="shared" ref="AH11:AH74" si="2">MAX(B11:AF11)</f>
        <v>27.4</v>
      </c>
      <c r="AI11" s="49">
        <f t="shared" ref="AI11:AI74" si="3">MIN(B11:AF11)</f>
        <v>25.6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49.4</v>
      </c>
      <c r="C12" s="45">
        <v>49.4</v>
      </c>
      <c r="D12" s="45">
        <v>49.4</v>
      </c>
      <c r="E12" s="45">
        <v>49.4</v>
      </c>
      <c r="F12" s="45">
        <v>49.4</v>
      </c>
      <c r="G12" s="45">
        <v>49.4</v>
      </c>
      <c r="H12" s="45">
        <v>49.4</v>
      </c>
      <c r="I12" s="45">
        <v>49.4</v>
      </c>
      <c r="J12" s="45">
        <v>49.4</v>
      </c>
      <c r="K12" s="45">
        <v>49.4</v>
      </c>
      <c r="L12" s="45">
        <v>49.4</v>
      </c>
      <c r="M12" s="45">
        <v>49.4</v>
      </c>
      <c r="N12" s="45">
        <v>49.4</v>
      </c>
      <c r="O12" s="45">
        <v>49.4</v>
      </c>
      <c r="P12" s="45">
        <v>49.4</v>
      </c>
      <c r="Q12" s="45">
        <v>49.4</v>
      </c>
      <c r="R12" s="45">
        <v>48</v>
      </c>
      <c r="S12" s="45">
        <v>48</v>
      </c>
      <c r="T12" s="45">
        <v>48</v>
      </c>
      <c r="U12" s="45">
        <v>48</v>
      </c>
      <c r="V12" s="45">
        <v>48</v>
      </c>
      <c r="W12" s="45">
        <v>48</v>
      </c>
      <c r="X12" s="45">
        <v>48</v>
      </c>
      <c r="Y12" s="45">
        <v>48</v>
      </c>
      <c r="Z12" s="45">
        <v>48</v>
      </c>
      <c r="AA12" s="45">
        <v>48</v>
      </c>
      <c r="AB12" s="45">
        <v>48</v>
      </c>
      <c r="AC12" s="45">
        <v>48</v>
      </c>
      <c r="AD12" s="45">
        <v>48</v>
      </c>
      <c r="AE12" s="45">
        <v>48</v>
      </c>
      <c r="AF12" s="45">
        <v>48</v>
      </c>
      <c r="AG12" s="51">
        <v>50</v>
      </c>
      <c r="AH12" s="48">
        <f t="shared" si="2"/>
        <v>49.4</v>
      </c>
      <c r="AI12" s="49">
        <f t="shared" si="3"/>
        <v>48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24.2</v>
      </c>
      <c r="C13" s="45">
        <v>24.2</v>
      </c>
      <c r="D13" s="45">
        <v>24.2</v>
      </c>
      <c r="E13" s="45">
        <v>24.9</v>
      </c>
      <c r="F13" s="45">
        <v>24.9</v>
      </c>
      <c r="G13" s="45">
        <v>24.9</v>
      </c>
      <c r="H13" s="45">
        <v>24.9</v>
      </c>
      <c r="I13" s="45">
        <v>24.9</v>
      </c>
      <c r="J13" s="45">
        <v>24</v>
      </c>
      <c r="K13" s="45">
        <v>24</v>
      </c>
      <c r="L13" s="45">
        <v>22.9</v>
      </c>
      <c r="M13" s="45">
        <v>22.9</v>
      </c>
      <c r="N13" s="45">
        <v>22.9</v>
      </c>
      <c r="O13" s="45">
        <v>22.9</v>
      </c>
      <c r="P13" s="45">
        <v>22.9</v>
      </c>
      <c r="Q13" s="45">
        <v>22.9</v>
      </c>
      <c r="R13" s="45">
        <v>22.2</v>
      </c>
      <c r="S13" s="45">
        <v>22.2</v>
      </c>
      <c r="T13" s="45">
        <v>22.2</v>
      </c>
      <c r="U13" s="45">
        <v>22.2</v>
      </c>
      <c r="V13" s="45">
        <v>22.2</v>
      </c>
      <c r="W13" s="45">
        <v>22.2</v>
      </c>
      <c r="X13" s="45">
        <v>24.5</v>
      </c>
      <c r="Y13" s="45">
        <v>24.5</v>
      </c>
      <c r="Z13" s="45">
        <v>24.5</v>
      </c>
      <c r="AA13" s="45">
        <v>24.5</v>
      </c>
      <c r="AB13" s="45">
        <v>24.5</v>
      </c>
      <c r="AC13" s="45">
        <v>24.5</v>
      </c>
      <c r="AD13" s="45">
        <v>24.5</v>
      </c>
      <c r="AE13" s="45">
        <v>24.5</v>
      </c>
      <c r="AF13" s="45">
        <v>24.5</v>
      </c>
      <c r="AG13" s="51">
        <v>45</v>
      </c>
      <c r="AH13" s="48">
        <f t="shared" si="2"/>
        <v>24.9</v>
      </c>
      <c r="AI13" s="49">
        <f t="shared" si="3"/>
        <v>22.2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21</v>
      </c>
      <c r="C15" s="45">
        <v>21</v>
      </c>
      <c r="D15" s="45">
        <v>21</v>
      </c>
      <c r="E15" s="45">
        <v>21</v>
      </c>
      <c r="F15" s="45">
        <v>21</v>
      </c>
      <c r="G15" s="45">
        <v>21</v>
      </c>
      <c r="H15" s="45">
        <v>21</v>
      </c>
      <c r="I15" s="45">
        <v>21</v>
      </c>
      <c r="J15" s="45">
        <v>21</v>
      </c>
      <c r="K15" s="45">
        <v>21</v>
      </c>
      <c r="L15" s="45">
        <v>21</v>
      </c>
      <c r="M15" s="45">
        <v>21</v>
      </c>
      <c r="N15" s="45">
        <v>21</v>
      </c>
      <c r="O15" s="45">
        <v>21</v>
      </c>
      <c r="P15" s="45">
        <v>21</v>
      </c>
      <c r="Q15" s="45">
        <v>21</v>
      </c>
      <c r="R15" s="45">
        <v>21</v>
      </c>
      <c r="S15" s="45">
        <v>21</v>
      </c>
      <c r="T15" s="45">
        <v>21</v>
      </c>
      <c r="U15" s="45">
        <v>21</v>
      </c>
      <c r="V15" s="45">
        <v>21</v>
      </c>
      <c r="W15" s="45">
        <v>21</v>
      </c>
      <c r="X15" s="45">
        <v>21</v>
      </c>
      <c r="Y15" s="45">
        <v>21</v>
      </c>
      <c r="Z15" s="45">
        <v>21</v>
      </c>
      <c r="AA15" s="45">
        <v>21</v>
      </c>
      <c r="AB15" s="45">
        <v>21</v>
      </c>
      <c r="AC15" s="45">
        <v>21</v>
      </c>
      <c r="AD15" s="45">
        <v>21</v>
      </c>
      <c r="AE15" s="45">
        <v>21</v>
      </c>
      <c r="AF15" s="45">
        <v>21</v>
      </c>
      <c r="AG15" s="51">
        <v>36</v>
      </c>
      <c r="AH15" s="48">
        <f t="shared" si="2"/>
        <v>21</v>
      </c>
      <c r="AI15" s="49">
        <f t="shared" si="3"/>
        <v>21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14</v>
      </c>
      <c r="C16" s="45">
        <v>14</v>
      </c>
      <c r="D16" s="45">
        <v>14</v>
      </c>
      <c r="E16" s="45">
        <v>14</v>
      </c>
      <c r="F16" s="45">
        <v>14</v>
      </c>
      <c r="G16" s="45">
        <v>14</v>
      </c>
      <c r="H16" s="45">
        <v>14</v>
      </c>
      <c r="I16" s="45">
        <v>14</v>
      </c>
      <c r="J16" s="45">
        <v>14</v>
      </c>
      <c r="K16" s="45">
        <v>14</v>
      </c>
      <c r="L16" s="45">
        <v>14</v>
      </c>
      <c r="M16" s="45">
        <v>14</v>
      </c>
      <c r="N16" s="45">
        <v>14</v>
      </c>
      <c r="O16" s="45">
        <v>14</v>
      </c>
      <c r="P16" s="45">
        <v>14</v>
      </c>
      <c r="Q16" s="45">
        <v>14</v>
      </c>
      <c r="R16" s="45">
        <v>14</v>
      </c>
      <c r="S16" s="45">
        <v>14</v>
      </c>
      <c r="T16" s="45">
        <v>14</v>
      </c>
      <c r="U16" s="45">
        <v>14</v>
      </c>
      <c r="V16" s="45">
        <v>14</v>
      </c>
      <c r="W16" s="45">
        <v>14</v>
      </c>
      <c r="X16" s="45">
        <v>12.7</v>
      </c>
      <c r="Y16" s="45">
        <v>12.7</v>
      </c>
      <c r="Z16" s="45">
        <v>12.7</v>
      </c>
      <c r="AA16" s="45">
        <v>12.7</v>
      </c>
      <c r="AB16" s="45">
        <v>12.7</v>
      </c>
      <c r="AC16" s="45">
        <v>12.7</v>
      </c>
      <c r="AD16" s="45">
        <v>12.7</v>
      </c>
      <c r="AE16" s="45">
        <v>12.7</v>
      </c>
      <c r="AF16" s="45">
        <v>12.7</v>
      </c>
      <c r="AG16" s="52">
        <v>30</v>
      </c>
      <c r="AH16" s="48">
        <f t="shared" si="2"/>
        <v>14</v>
      </c>
      <c r="AI16" s="49">
        <f t="shared" si="3"/>
        <v>12.7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11.8</v>
      </c>
      <c r="C17" s="45">
        <v>11.8</v>
      </c>
      <c r="D17" s="45">
        <v>11.8</v>
      </c>
      <c r="E17" s="45">
        <v>12</v>
      </c>
      <c r="F17" s="45">
        <v>12</v>
      </c>
      <c r="G17" s="45">
        <v>12</v>
      </c>
      <c r="H17" s="45">
        <v>12</v>
      </c>
      <c r="I17" s="45">
        <v>12</v>
      </c>
      <c r="J17" s="45">
        <v>12</v>
      </c>
      <c r="K17" s="45">
        <v>12</v>
      </c>
      <c r="L17" s="45">
        <v>12</v>
      </c>
      <c r="M17" s="45">
        <v>12</v>
      </c>
      <c r="N17" s="45">
        <v>12</v>
      </c>
      <c r="O17" s="45">
        <v>12</v>
      </c>
      <c r="P17" s="45">
        <v>12</v>
      </c>
      <c r="Q17" s="45">
        <v>12</v>
      </c>
      <c r="R17" s="45">
        <v>12</v>
      </c>
      <c r="S17" s="45">
        <v>12</v>
      </c>
      <c r="T17" s="45">
        <v>12</v>
      </c>
      <c r="U17" s="45">
        <v>12</v>
      </c>
      <c r="V17" s="45">
        <v>12</v>
      </c>
      <c r="W17" s="45">
        <v>12</v>
      </c>
      <c r="X17" s="45">
        <v>12.1</v>
      </c>
      <c r="Y17" s="45">
        <v>12.1</v>
      </c>
      <c r="Z17" s="45">
        <v>12.1</v>
      </c>
      <c r="AA17" s="45">
        <v>12.1</v>
      </c>
      <c r="AB17" s="45">
        <v>12.1</v>
      </c>
      <c r="AC17" s="45">
        <v>12.1</v>
      </c>
      <c r="AD17" s="45">
        <v>12.1</v>
      </c>
      <c r="AE17" s="45">
        <v>12.1</v>
      </c>
      <c r="AF17" s="45">
        <v>12.1</v>
      </c>
      <c r="AG17" s="51">
        <v>24.2</v>
      </c>
      <c r="AH17" s="48">
        <f t="shared" si="2"/>
        <v>12.1</v>
      </c>
      <c r="AI17" s="49">
        <f t="shared" si="3"/>
        <v>11.8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13.2</v>
      </c>
      <c r="C18" s="45">
        <v>13.2</v>
      </c>
      <c r="D18" s="45">
        <v>13.2</v>
      </c>
      <c r="E18" s="45">
        <v>13.2</v>
      </c>
      <c r="F18" s="45">
        <v>13.2</v>
      </c>
      <c r="G18" s="45">
        <v>13.2</v>
      </c>
      <c r="H18" s="45">
        <v>13.2</v>
      </c>
      <c r="I18" s="45">
        <v>13.2</v>
      </c>
      <c r="J18" s="45">
        <v>13.2</v>
      </c>
      <c r="K18" s="45">
        <v>13.2</v>
      </c>
      <c r="L18" s="45">
        <v>13.2</v>
      </c>
      <c r="M18" s="45">
        <v>13.2</v>
      </c>
      <c r="N18" s="45">
        <v>13.2</v>
      </c>
      <c r="O18" s="45">
        <v>13.2</v>
      </c>
      <c r="P18" s="45">
        <v>13.2</v>
      </c>
      <c r="Q18" s="45">
        <v>13.2</v>
      </c>
      <c r="R18" s="45">
        <v>13.2</v>
      </c>
      <c r="S18" s="45">
        <v>13.2</v>
      </c>
      <c r="T18" s="45">
        <v>13.2</v>
      </c>
      <c r="U18" s="45">
        <v>13.2</v>
      </c>
      <c r="V18" s="45">
        <v>13.2</v>
      </c>
      <c r="W18" s="45">
        <v>13.2</v>
      </c>
      <c r="X18" s="45">
        <v>13.2</v>
      </c>
      <c r="Y18" s="45">
        <v>13.2</v>
      </c>
      <c r="Z18" s="45">
        <v>13.2</v>
      </c>
      <c r="AA18" s="45">
        <v>13.2</v>
      </c>
      <c r="AB18" s="45">
        <v>13.2</v>
      </c>
      <c r="AC18" s="45">
        <v>13.2</v>
      </c>
      <c r="AD18" s="45">
        <v>13.2</v>
      </c>
      <c r="AE18" s="45">
        <v>13.2</v>
      </c>
      <c r="AF18" s="45">
        <v>13.2</v>
      </c>
      <c r="AG18" s="51">
        <v>28</v>
      </c>
      <c r="AH18" s="48">
        <f t="shared" si="2"/>
        <v>13.2</v>
      </c>
      <c r="AI18" s="49">
        <f t="shared" si="3"/>
        <v>13.2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0</v>
      </c>
      <c r="R19" s="45">
        <v>12</v>
      </c>
      <c r="S19" s="45">
        <v>12</v>
      </c>
      <c r="T19" s="45">
        <v>12</v>
      </c>
      <c r="U19" s="45">
        <v>12</v>
      </c>
      <c r="V19" s="45">
        <v>12</v>
      </c>
      <c r="W19" s="45">
        <v>12</v>
      </c>
      <c r="X19" s="45">
        <v>12</v>
      </c>
      <c r="Y19" s="45">
        <v>12</v>
      </c>
      <c r="Z19" s="45">
        <v>12</v>
      </c>
      <c r="AA19" s="45">
        <v>12</v>
      </c>
      <c r="AB19" s="45">
        <v>12</v>
      </c>
      <c r="AC19" s="45">
        <v>12</v>
      </c>
      <c r="AD19" s="45">
        <v>12</v>
      </c>
      <c r="AE19" s="45">
        <v>12</v>
      </c>
      <c r="AF19" s="45">
        <v>12</v>
      </c>
      <c r="AG19" s="52">
        <v>30</v>
      </c>
      <c r="AH19" s="48">
        <f t="shared" si="2"/>
        <v>13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13.4</v>
      </c>
      <c r="C20" s="45">
        <v>13.4</v>
      </c>
      <c r="D20" s="45">
        <v>13.4</v>
      </c>
      <c r="E20" s="45">
        <v>13.4</v>
      </c>
      <c r="F20" s="45">
        <v>13.4</v>
      </c>
      <c r="G20" s="45">
        <v>13.4</v>
      </c>
      <c r="H20" s="45">
        <v>13.4</v>
      </c>
      <c r="I20" s="45">
        <v>13.4</v>
      </c>
      <c r="J20" s="45">
        <v>13.4</v>
      </c>
      <c r="K20" s="45">
        <v>13.4</v>
      </c>
      <c r="L20" s="45">
        <v>13.4</v>
      </c>
      <c r="M20" s="45">
        <v>13.4</v>
      </c>
      <c r="N20" s="45">
        <v>13.4</v>
      </c>
      <c r="O20" s="45">
        <v>13.4</v>
      </c>
      <c r="P20" s="45">
        <v>13.4</v>
      </c>
      <c r="Q20" s="45">
        <v>13.4</v>
      </c>
      <c r="R20" s="45">
        <v>13.4</v>
      </c>
      <c r="S20" s="45">
        <v>13.4</v>
      </c>
      <c r="T20" s="45">
        <v>13.4</v>
      </c>
      <c r="U20" s="45">
        <v>13.4</v>
      </c>
      <c r="V20" s="45">
        <v>13.4</v>
      </c>
      <c r="W20" s="45">
        <v>13.4</v>
      </c>
      <c r="X20" s="45">
        <v>13.4</v>
      </c>
      <c r="Y20" s="45">
        <v>13.4</v>
      </c>
      <c r="Z20" s="45">
        <v>13.4</v>
      </c>
      <c r="AA20" s="45">
        <v>13.4</v>
      </c>
      <c r="AB20" s="45">
        <v>13.4</v>
      </c>
      <c r="AC20" s="45">
        <v>13.4</v>
      </c>
      <c r="AD20" s="45">
        <v>13.4</v>
      </c>
      <c r="AE20" s="45">
        <v>13.4</v>
      </c>
      <c r="AF20" s="45">
        <v>13.4</v>
      </c>
      <c r="AG20" s="51">
        <v>25</v>
      </c>
      <c r="AH20" s="48">
        <f t="shared" si="2"/>
        <v>13.4</v>
      </c>
      <c r="AI20" s="49">
        <f t="shared" si="3"/>
        <v>13.4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51">
        <v>25</v>
      </c>
      <c r="AH21" s="48">
        <f t="shared" si="2"/>
        <v>0</v>
      </c>
      <c r="AI21" s="49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13.5</v>
      </c>
      <c r="C23" s="45">
        <v>13.5</v>
      </c>
      <c r="D23" s="45">
        <v>13.5</v>
      </c>
      <c r="E23" s="45">
        <v>13.5</v>
      </c>
      <c r="F23" s="45">
        <v>13.5</v>
      </c>
      <c r="G23" s="45">
        <v>13.5</v>
      </c>
      <c r="H23" s="45">
        <v>13.5</v>
      </c>
      <c r="I23" s="45">
        <v>13.5</v>
      </c>
      <c r="J23" s="45">
        <v>13.5</v>
      </c>
      <c r="K23" s="45">
        <v>13.5</v>
      </c>
      <c r="L23" s="45">
        <v>13.5</v>
      </c>
      <c r="M23" s="45">
        <v>13.5</v>
      </c>
      <c r="N23" s="45">
        <v>13.5</v>
      </c>
      <c r="O23" s="45">
        <v>13.5</v>
      </c>
      <c r="P23" s="45">
        <v>13.5</v>
      </c>
      <c r="Q23" s="45">
        <v>13.5</v>
      </c>
      <c r="R23" s="45">
        <v>13.5</v>
      </c>
      <c r="S23" s="45">
        <v>13.5</v>
      </c>
      <c r="T23" s="45">
        <v>13.5</v>
      </c>
      <c r="U23" s="45">
        <v>13.5</v>
      </c>
      <c r="V23" s="45">
        <v>13.5</v>
      </c>
      <c r="W23" s="45">
        <v>13.5</v>
      </c>
      <c r="X23" s="45">
        <v>13.5</v>
      </c>
      <c r="Y23" s="45">
        <v>13.5</v>
      </c>
      <c r="Z23" s="45">
        <v>13.5</v>
      </c>
      <c r="AA23" s="45">
        <v>13.5</v>
      </c>
      <c r="AB23" s="45">
        <v>13.5</v>
      </c>
      <c r="AC23" s="45">
        <v>13.5</v>
      </c>
      <c r="AD23" s="45">
        <v>13.5</v>
      </c>
      <c r="AE23" s="45">
        <v>13.5</v>
      </c>
      <c r="AF23" s="45">
        <v>13.5</v>
      </c>
      <c r="AG23" s="51">
        <v>25</v>
      </c>
      <c r="AH23" s="48">
        <f t="shared" si="2"/>
        <v>13.5</v>
      </c>
      <c r="AI23" s="49">
        <f t="shared" si="3"/>
        <v>13.5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11.8</v>
      </c>
      <c r="C24" s="45">
        <v>11.8</v>
      </c>
      <c r="D24" s="45">
        <v>11.8</v>
      </c>
      <c r="E24" s="45">
        <v>11.8</v>
      </c>
      <c r="F24" s="45">
        <v>11.8</v>
      </c>
      <c r="G24" s="45">
        <v>11.8</v>
      </c>
      <c r="H24" s="45">
        <v>11.8</v>
      </c>
      <c r="I24" s="45">
        <v>11.8</v>
      </c>
      <c r="J24" s="45">
        <v>11.8</v>
      </c>
      <c r="K24" s="45">
        <v>11.8</v>
      </c>
      <c r="L24" s="45">
        <v>11.8</v>
      </c>
      <c r="M24" s="45">
        <v>11.8</v>
      </c>
      <c r="N24" s="45">
        <v>11.8</v>
      </c>
      <c r="O24" s="45">
        <v>11.8</v>
      </c>
      <c r="P24" s="45">
        <v>11.8</v>
      </c>
      <c r="Q24" s="45">
        <v>11.8</v>
      </c>
      <c r="R24" s="45">
        <v>11.8</v>
      </c>
      <c r="S24" s="45">
        <v>11.8</v>
      </c>
      <c r="T24" s="45">
        <v>11.8</v>
      </c>
      <c r="U24" s="45">
        <v>11.8</v>
      </c>
      <c r="V24" s="45">
        <v>11.8</v>
      </c>
      <c r="W24" s="45">
        <v>11.8</v>
      </c>
      <c r="X24" s="45">
        <v>10.6</v>
      </c>
      <c r="Y24" s="45">
        <v>10.6</v>
      </c>
      <c r="Z24" s="45">
        <v>10.6</v>
      </c>
      <c r="AA24" s="45">
        <v>10.6</v>
      </c>
      <c r="AB24" s="45">
        <v>10.6</v>
      </c>
      <c r="AC24" s="45">
        <v>10.6</v>
      </c>
      <c r="AD24" s="45">
        <v>10.6</v>
      </c>
      <c r="AE24" s="45">
        <v>10.6</v>
      </c>
      <c r="AF24" s="45">
        <v>10.6</v>
      </c>
      <c r="AG24" s="51">
        <v>23.5</v>
      </c>
      <c r="AH24" s="48">
        <f t="shared" si="2"/>
        <v>11.8</v>
      </c>
      <c r="AI24" s="49">
        <f t="shared" si="3"/>
        <v>10.6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7.0990000000000002</v>
      </c>
      <c r="C26" s="45">
        <v>7.0990000000000002</v>
      </c>
      <c r="D26" s="45">
        <v>7.0990000000000002</v>
      </c>
      <c r="E26" s="45">
        <v>7.0990000000000002</v>
      </c>
      <c r="F26" s="45">
        <v>7.0990000000000002</v>
      </c>
      <c r="G26" s="45">
        <v>7.0990000000000002</v>
      </c>
      <c r="H26" s="45">
        <v>7.0990000000000002</v>
      </c>
      <c r="I26" s="45">
        <v>7.0990000000000002</v>
      </c>
      <c r="J26" s="45">
        <v>7.0990000000000002</v>
      </c>
      <c r="K26" s="45">
        <v>7.0990000000000002</v>
      </c>
      <c r="L26" s="45">
        <v>7.0990000000000002</v>
      </c>
      <c r="M26" s="45">
        <v>7.0990000000000002</v>
      </c>
      <c r="N26" s="45">
        <v>7.0990000000000002</v>
      </c>
      <c r="O26" s="45">
        <v>7.0990000000000002</v>
      </c>
      <c r="P26" s="45">
        <v>7.0990000000000002</v>
      </c>
      <c r="Q26" s="45">
        <v>7.0990000000000002</v>
      </c>
      <c r="R26" s="45">
        <v>7.0990000000000002</v>
      </c>
      <c r="S26" s="45">
        <v>7.0990000000000002</v>
      </c>
      <c r="T26" s="45">
        <v>7.0990000000000002</v>
      </c>
      <c r="U26" s="45">
        <v>7.0990000000000002</v>
      </c>
      <c r="V26" s="45">
        <v>7.0990000000000002</v>
      </c>
      <c r="W26" s="45">
        <v>7.0990000000000002</v>
      </c>
      <c r="X26" s="45">
        <v>7.0990000000000002</v>
      </c>
      <c r="Y26" s="45">
        <v>7.0990000000000002</v>
      </c>
      <c r="Z26" s="45">
        <v>7.0990000000000002</v>
      </c>
      <c r="AA26" s="45">
        <v>7.0990000000000002</v>
      </c>
      <c r="AB26" s="45">
        <v>7.0990000000000002</v>
      </c>
      <c r="AC26" s="45">
        <v>7.0990000000000002</v>
      </c>
      <c r="AD26" s="45">
        <v>7.0990000000000002</v>
      </c>
      <c r="AE26" s="45">
        <v>7.0990000000000002</v>
      </c>
      <c r="AF26" s="45">
        <v>7.0990000000000002</v>
      </c>
      <c r="AG26" s="51">
        <v>22.1</v>
      </c>
      <c r="AH26" s="48">
        <f t="shared" si="2"/>
        <v>7.0990000000000002</v>
      </c>
      <c r="AI26" s="49">
        <f t="shared" si="3"/>
        <v>7.0990000000000002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200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si="2"/>
        <v>200</v>
      </c>
      <c r="AI42" s="49">
        <f t="shared" si="3"/>
        <v>200</v>
      </c>
      <c r="AK42" s="50"/>
    </row>
    <row r="43" spans="1:88" ht="15.75" thickBot="1" x14ac:dyDescent="0.3">
      <c r="A43" s="58" t="s">
        <v>51</v>
      </c>
      <c r="B43" s="59">
        <v>48.099999999999994</v>
      </c>
      <c r="C43" s="59">
        <f>36.6+14.1</f>
        <v>50.7</v>
      </c>
      <c r="D43" s="59">
        <f>36+14</f>
        <v>50</v>
      </c>
      <c r="E43" s="59">
        <f>36+14</f>
        <v>50</v>
      </c>
      <c r="F43" s="59">
        <v>51.6</v>
      </c>
      <c r="G43" s="59">
        <v>50.8</v>
      </c>
      <c r="H43" s="59">
        <v>51</v>
      </c>
      <c r="I43" s="59">
        <v>50.4</v>
      </c>
      <c r="J43" s="59">
        <v>50.4</v>
      </c>
      <c r="K43" s="59">
        <v>50</v>
      </c>
      <c r="L43" s="59">
        <v>49.3</v>
      </c>
      <c r="M43" s="59">
        <f>35.2+13.5</f>
        <v>48.7</v>
      </c>
      <c r="N43" s="59">
        <f>36.3+14</f>
        <v>50.3</v>
      </c>
      <c r="O43" s="59">
        <f>35+13.9</f>
        <v>48.9</v>
      </c>
      <c r="P43" s="59">
        <f>14.4+32.3</f>
        <v>46.699999999999996</v>
      </c>
      <c r="Q43" s="59">
        <f>37.8+14.5</f>
        <v>52.3</v>
      </c>
      <c r="R43" s="59">
        <f>14.6+37.8</f>
        <v>52.4</v>
      </c>
      <c r="S43" s="59">
        <f>14.5+30.9</f>
        <v>45.4</v>
      </c>
      <c r="T43" s="57">
        <f>14.2+27.3</f>
        <v>41.5</v>
      </c>
      <c r="U43" s="57">
        <f>13.3+33.8</f>
        <v>47.099999999999994</v>
      </c>
      <c r="V43" s="57">
        <f>12+34.6</f>
        <v>46.6</v>
      </c>
      <c r="W43" s="57">
        <f>11.9+33.1</f>
        <v>45</v>
      </c>
      <c r="X43" s="57">
        <v>44.3</v>
      </c>
      <c r="Y43" s="57">
        <v>44</v>
      </c>
      <c r="Z43" s="57">
        <v>45</v>
      </c>
      <c r="AA43" s="57">
        <f>11.8+33.4</f>
        <v>45.2</v>
      </c>
      <c r="AB43" s="57">
        <f>12.2+34</f>
        <v>46.2</v>
      </c>
      <c r="AC43" s="57">
        <f>12.4+34.2</f>
        <v>46.6</v>
      </c>
      <c r="AD43" s="57">
        <f>12.6+34.6</f>
        <v>47.2</v>
      </c>
      <c r="AE43" s="57">
        <f>13+35.1</f>
        <v>48.1</v>
      </c>
      <c r="AF43" s="57">
        <f>13.8+35.4</f>
        <v>49.2</v>
      </c>
      <c r="AG43" s="55">
        <v>240</v>
      </c>
      <c r="AH43" s="48">
        <f t="shared" si="2"/>
        <v>52.4</v>
      </c>
      <c r="AI43" s="49">
        <f t="shared" si="3"/>
        <v>41.5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556.69900000000007</v>
      </c>
      <c r="C44" s="61">
        <f t="shared" si="4"/>
        <v>556.69900000000007</v>
      </c>
      <c r="D44" s="61">
        <f t="shared" si="4"/>
        <v>556.69900000000007</v>
      </c>
      <c r="E44" s="61">
        <f t="shared" si="4"/>
        <v>558.19900000000007</v>
      </c>
      <c r="F44" s="61">
        <f>SUM(F11:F42)</f>
        <v>558.19900000000007</v>
      </c>
      <c r="G44" s="61">
        <f t="shared" si="4"/>
        <v>558.19900000000007</v>
      </c>
      <c r="H44" s="61">
        <f t="shared" si="4"/>
        <v>558.19900000000007</v>
      </c>
      <c r="I44" s="61">
        <f t="shared" si="4"/>
        <v>558.19900000000007</v>
      </c>
      <c r="J44" s="61">
        <f t="shared" si="4"/>
        <v>557.29899999999998</v>
      </c>
      <c r="K44" s="61">
        <f t="shared" si="4"/>
        <v>557.29899999999998</v>
      </c>
      <c r="L44" s="61">
        <f t="shared" si="4"/>
        <v>556.19900000000007</v>
      </c>
      <c r="M44" s="61">
        <f t="shared" si="4"/>
        <v>556.19900000000007</v>
      </c>
      <c r="N44" s="61">
        <f t="shared" si="4"/>
        <v>556.19900000000007</v>
      </c>
      <c r="O44" s="61">
        <f t="shared" si="4"/>
        <v>556.19900000000007</v>
      </c>
      <c r="P44" s="61">
        <f t="shared" si="4"/>
        <v>556.19900000000007</v>
      </c>
      <c r="Q44" s="61">
        <f t="shared" si="4"/>
        <v>543.19900000000007</v>
      </c>
      <c r="R44" s="61">
        <f>SUM(R11:R42)</f>
        <v>554.29899999999998</v>
      </c>
      <c r="S44" s="61">
        <f t="shared" si="4"/>
        <v>554.29899999999998</v>
      </c>
      <c r="T44" s="61">
        <f t="shared" si="4"/>
        <v>554.29899999999998</v>
      </c>
      <c r="U44" s="61">
        <f t="shared" si="4"/>
        <v>554.29899999999998</v>
      </c>
      <c r="V44" s="61">
        <f t="shared" si="4"/>
        <v>554.29899999999998</v>
      </c>
      <c r="W44" s="61">
        <f t="shared" si="4"/>
        <v>554.29899999999998</v>
      </c>
      <c r="X44" s="61">
        <f t="shared" si="4"/>
        <v>553.69899999999996</v>
      </c>
      <c r="Y44" s="61">
        <f t="shared" si="4"/>
        <v>553.69899999999996</v>
      </c>
      <c r="Z44" s="61">
        <f t="shared" si="4"/>
        <v>553.69899999999996</v>
      </c>
      <c r="AA44" s="61">
        <f t="shared" si="4"/>
        <v>553.69899999999996</v>
      </c>
      <c r="AB44" s="61">
        <f t="shared" si="4"/>
        <v>553.69899999999996</v>
      </c>
      <c r="AC44" s="61">
        <f t="shared" si="4"/>
        <v>553.69899999999996</v>
      </c>
      <c r="AD44" s="61">
        <f t="shared" si="4"/>
        <v>553.69899999999996</v>
      </c>
      <c r="AE44" s="61">
        <f t="shared" si="4"/>
        <v>553.69899999999996</v>
      </c>
      <c r="AF44" s="61">
        <f t="shared" si="4"/>
        <v>553.69899999999996</v>
      </c>
      <c r="AG44" s="62">
        <f t="shared" si="4"/>
        <v>814.78000000000009</v>
      </c>
      <c r="AH44" s="48">
        <f t="shared" si="2"/>
        <v>558.19900000000007</v>
      </c>
      <c r="AI44" s="49">
        <f t="shared" si="3"/>
        <v>543.19900000000007</v>
      </c>
      <c r="AK44" s="50"/>
    </row>
    <row r="45" spans="1:88" x14ac:dyDescent="0.25">
      <c r="A45" s="63" t="s">
        <v>53</v>
      </c>
      <c r="B45" s="45">
        <v>40</v>
      </c>
      <c r="C45" s="45">
        <v>30</v>
      </c>
      <c r="D45" s="45">
        <v>40</v>
      </c>
      <c r="E45" s="45">
        <v>60</v>
      </c>
      <c r="F45" s="45">
        <v>56</v>
      </c>
      <c r="G45" s="45">
        <v>15</v>
      </c>
      <c r="H45" s="45">
        <v>70</v>
      </c>
      <c r="I45" s="45">
        <v>75</v>
      </c>
      <c r="J45" s="45"/>
      <c r="K45" s="45"/>
      <c r="L45" s="45">
        <v>436</v>
      </c>
      <c r="M45" s="164">
        <v>440</v>
      </c>
      <c r="N45" s="45">
        <v>380</v>
      </c>
      <c r="O45" s="45">
        <v>230</v>
      </c>
      <c r="P45" s="45">
        <v>130</v>
      </c>
      <c r="Q45" s="45">
        <v>15</v>
      </c>
      <c r="R45" s="45">
        <v>15</v>
      </c>
      <c r="S45" s="45">
        <v>15</v>
      </c>
      <c r="T45" s="45">
        <v>15</v>
      </c>
      <c r="U45" s="45">
        <v>15</v>
      </c>
      <c r="V45" s="45">
        <v>160</v>
      </c>
      <c r="W45" s="45">
        <v>330</v>
      </c>
      <c r="X45" s="45">
        <v>380</v>
      </c>
      <c r="Y45" s="45">
        <v>350</v>
      </c>
      <c r="Z45" s="45">
        <v>310</v>
      </c>
      <c r="AA45" s="45">
        <v>280</v>
      </c>
      <c r="AB45" s="45">
        <v>100</v>
      </c>
      <c r="AC45" s="45">
        <v>120</v>
      </c>
      <c r="AD45" s="45">
        <v>120</v>
      </c>
      <c r="AE45" s="45">
        <v>30</v>
      </c>
      <c r="AF45" s="45">
        <v>15</v>
      </c>
      <c r="AG45" s="52">
        <v>456</v>
      </c>
      <c r="AH45" s="48">
        <f t="shared" si="2"/>
        <v>440</v>
      </c>
      <c r="AI45" s="49">
        <f t="shared" si="3"/>
        <v>15</v>
      </c>
      <c r="AK45" s="50"/>
    </row>
    <row r="46" spans="1:88" x14ac:dyDescent="0.25">
      <c r="A46" s="64" t="s">
        <v>54</v>
      </c>
      <c r="B46" s="65">
        <v>46</v>
      </c>
      <c r="C46" s="65">
        <v>46</v>
      </c>
      <c r="D46" s="65">
        <v>46</v>
      </c>
      <c r="E46" s="65">
        <v>46</v>
      </c>
      <c r="F46" s="65">
        <v>46</v>
      </c>
      <c r="G46" s="65">
        <v>45</v>
      </c>
      <c r="H46" s="65">
        <v>45</v>
      </c>
      <c r="I46" s="65">
        <v>46</v>
      </c>
      <c r="J46" s="65"/>
      <c r="K46" s="65"/>
      <c r="L46" s="65">
        <v>46</v>
      </c>
      <c r="M46" s="65">
        <v>46</v>
      </c>
      <c r="N46" s="65">
        <v>46</v>
      </c>
      <c r="O46" s="65">
        <v>46</v>
      </c>
      <c r="P46" s="65">
        <v>46</v>
      </c>
      <c r="Q46" s="65">
        <v>46</v>
      </c>
      <c r="R46" s="65">
        <v>46</v>
      </c>
      <c r="S46" s="65">
        <v>46</v>
      </c>
      <c r="T46" s="65">
        <v>46</v>
      </c>
      <c r="U46" s="65">
        <v>46</v>
      </c>
      <c r="V46" s="65">
        <v>46</v>
      </c>
      <c r="W46" s="65">
        <v>46</v>
      </c>
      <c r="X46" s="65">
        <v>46</v>
      </c>
      <c r="Y46" s="65">
        <v>46</v>
      </c>
      <c r="Z46" s="65">
        <v>46</v>
      </c>
      <c r="AA46" s="65">
        <v>46</v>
      </c>
      <c r="AB46" s="65">
        <v>46</v>
      </c>
      <c r="AC46" s="65">
        <v>46</v>
      </c>
      <c r="AD46" s="65">
        <v>46</v>
      </c>
      <c r="AE46" s="65">
        <v>46</v>
      </c>
      <c r="AF46" s="65">
        <v>46</v>
      </c>
      <c r="AG46" s="55">
        <v>60</v>
      </c>
      <c r="AH46" s="48">
        <f t="shared" si="2"/>
        <v>46</v>
      </c>
      <c r="AI46" s="49">
        <f t="shared" si="3"/>
        <v>45</v>
      </c>
      <c r="AK46" s="50"/>
    </row>
    <row r="47" spans="1:88" ht="15.75" thickBot="1" x14ac:dyDescent="0.3">
      <c r="A47" s="66" t="s">
        <v>55</v>
      </c>
      <c r="B47" s="67">
        <v>18</v>
      </c>
      <c r="C47" s="67">
        <v>18</v>
      </c>
      <c r="D47" s="67">
        <v>18</v>
      </c>
      <c r="E47" s="67">
        <v>18</v>
      </c>
      <c r="F47" s="67">
        <v>18.100000000000001</v>
      </c>
      <c r="G47" s="67">
        <v>18.3</v>
      </c>
      <c r="H47" s="67">
        <v>18.2</v>
      </c>
      <c r="I47" s="67">
        <v>18.100000000000001</v>
      </c>
      <c r="J47" s="67"/>
      <c r="K47" s="67"/>
      <c r="L47" s="67">
        <v>18.2</v>
      </c>
      <c r="M47" s="67">
        <v>18.2</v>
      </c>
      <c r="N47" s="67">
        <v>18.2</v>
      </c>
      <c r="O47" s="67">
        <v>18.2</v>
      </c>
      <c r="P47" s="67">
        <v>18.2</v>
      </c>
      <c r="Q47" s="67">
        <v>17.100000000000001</v>
      </c>
      <c r="R47" s="67">
        <v>17.309999999999999</v>
      </c>
      <c r="S47" s="67">
        <v>15.1</v>
      </c>
      <c r="T47" s="67">
        <v>15.2</v>
      </c>
      <c r="U47" s="67">
        <v>15.1</v>
      </c>
      <c r="V47" s="67">
        <v>15.1</v>
      </c>
      <c r="W47" s="67">
        <v>15.1</v>
      </c>
      <c r="X47" s="67">
        <v>21.1</v>
      </c>
      <c r="Y47" s="67">
        <v>21.1</v>
      </c>
      <c r="Z47" s="67">
        <v>21.1</v>
      </c>
      <c r="AA47" s="67">
        <v>17.600000000000001</v>
      </c>
      <c r="AB47" s="67">
        <v>17.600000000000001</v>
      </c>
      <c r="AC47" s="67">
        <v>17.600000000000001</v>
      </c>
      <c r="AD47" s="67">
        <v>17.600000000000001</v>
      </c>
      <c r="AE47" s="67">
        <v>17.600000000000001</v>
      </c>
      <c r="AF47" s="67">
        <v>17.600000000000001</v>
      </c>
      <c r="AG47" s="68">
        <v>22.1</v>
      </c>
      <c r="AH47" s="48">
        <f t="shared" si="2"/>
        <v>21.1</v>
      </c>
      <c r="AI47" s="49">
        <f t="shared" si="3"/>
        <v>15.1</v>
      </c>
      <c r="AK47" s="50"/>
    </row>
    <row r="48" spans="1:88" ht="15.75" thickBot="1" x14ac:dyDescent="0.3">
      <c r="A48" s="69" t="s">
        <v>56</v>
      </c>
      <c r="B48" s="61">
        <f t="shared" ref="B48:AG48" si="5">SUM(B45:B47)</f>
        <v>104</v>
      </c>
      <c r="C48" s="61">
        <f t="shared" si="5"/>
        <v>94</v>
      </c>
      <c r="D48" s="61">
        <f t="shared" si="5"/>
        <v>104</v>
      </c>
      <c r="E48" s="61">
        <f t="shared" si="5"/>
        <v>124</v>
      </c>
      <c r="F48" s="61">
        <f>SUM(F45:F47)</f>
        <v>120.1</v>
      </c>
      <c r="G48" s="61">
        <f t="shared" si="5"/>
        <v>78.3</v>
      </c>
      <c r="H48" s="61">
        <f t="shared" si="5"/>
        <v>133.19999999999999</v>
      </c>
      <c r="I48" s="61">
        <f t="shared" si="5"/>
        <v>139.1</v>
      </c>
      <c r="J48" s="61">
        <f t="shared" si="5"/>
        <v>0</v>
      </c>
      <c r="K48" s="61">
        <f t="shared" si="5"/>
        <v>0</v>
      </c>
      <c r="L48" s="61">
        <f t="shared" si="5"/>
        <v>500.2</v>
      </c>
      <c r="M48" s="61">
        <f t="shared" si="5"/>
        <v>504.2</v>
      </c>
      <c r="N48" s="61">
        <f t="shared" si="5"/>
        <v>444.2</v>
      </c>
      <c r="O48" s="61">
        <f t="shared" si="5"/>
        <v>294.2</v>
      </c>
      <c r="P48" s="61">
        <f t="shared" si="5"/>
        <v>194.2</v>
      </c>
      <c r="Q48" s="61">
        <f t="shared" si="5"/>
        <v>78.099999999999994</v>
      </c>
      <c r="R48" s="61">
        <f t="shared" si="5"/>
        <v>78.31</v>
      </c>
      <c r="S48" s="61">
        <f t="shared" si="5"/>
        <v>76.099999999999994</v>
      </c>
      <c r="T48" s="61">
        <f>SUM(T45:T47)</f>
        <v>76.2</v>
      </c>
      <c r="U48" s="61">
        <f>SUM(U45:U47)</f>
        <v>76.099999999999994</v>
      </c>
      <c r="V48" s="61">
        <f t="shared" si="5"/>
        <v>221.1</v>
      </c>
      <c r="W48" s="61">
        <f t="shared" si="5"/>
        <v>391.1</v>
      </c>
      <c r="X48" s="61">
        <f t="shared" si="5"/>
        <v>447.1</v>
      </c>
      <c r="Y48" s="61">
        <f t="shared" si="5"/>
        <v>417.1</v>
      </c>
      <c r="Z48" s="61">
        <f t="shared" si="5"/>
        <v>377.1</v>
      </c>
      <c r="AA48" s="61">
        <f t="shared" si="5"/>
        <v>343.6</v>
      </c>
      <c r="AB48" s="61">
        <f t="shared" si="5"/>
        <v>163.6</v>
      </c>
      <c r="AC48" s="61">
        <f t="shared" si="5"/>
        <v>183.6</v>
      </c>
      <c r="AD48" s="61">
        <f t="shared" si="5"/>
        <v>183.6</v>
      </c>
      <c r="AE48" s="61">
        <f t="shared" si="5"/>
        <v>93.6</v>
      </c>
      <c r="AF48" s="61">
        <f t="shared" si="5"/>
        <v>78.599999999999994</v>
      </c>
      <c r="AG48" s="62">
        <f t="shared" si="5"/>
        <v>538.1</v>
      </c>
      <c r="AH48" s="48">
        <f t="shared" si="2"/>
        <v>504.2</v>
      </c>
      <c r="AI48" s="49">
        <f t="shared" si="3"/>
        <v>0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63.9</v>
      </c>
      <c r="I49" s="45">
        <v>126</v>
      </c>
      <c r="J49" s="45">
        <v>126</v>
      </c>
      <c r="K49" s="45">
        <v>143.6</v>
      </c>
      <c r="L49" s="45">
        <v>143.6</v>
      </c>
      <c r="M49" s="45">
        <v>143.69999999999999</v>
      </c>
      <c r="N49" s="45">
        <v>143.5</v>
      </c>
      <c r="O49" s="45">
        <v>143.5</v>
      </c>
      <c r="P49" s="45">
        <v>143.5</v>
      </c>
      <c r="Q49" s="45">
        <v>131.6</v>
      </c>
      <c r="R49" s="45">
        <v>135.1</v>
      </c>
      <c r="S49" s="45">
        <v>123.2</v>
      </c>
      <c r="T49" s="45">
        <v>101.9</v>
      </c>
      <c r="U49" s="45">
        <v>101.6</v>
      </c>
      <c r="V49" s="45">
        <v>121</v>
      </c>
      <c r="W49" s="45">
        <v>141</v>
      </c>
      <c r="X49" s="45">
        <v>141</v>
      </c>
      <c r="Y49" s="45">
        <v>141</v>
      </c>
      <c r="Z49" s="45">
        <v>141</v>
      </c>
      <c r="AA49" s="45">
        <v>138.9</v>
      </c>
      <c r="AB49" s="45">
        <v>138.9</v>
      </c>
      <c r="AC49" s="45">
        <v>120</v>
      </c>
      <c r="AD49" s="45">
        <v>81</v>
      </c>
      <c r="AE49" s="45">
        <v>61</v>
      </c>
      <c r="AF49" s="45">
        <v>31.3</v>
      </c>
      <c r="AG49" s="52">
        <v>144</v>
      </c>
      <c r="AH49" s="48">
        <f t="shared" si="2"/>
        <v>143.69999999999999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49.3</v>
      </c>
      <c r="H50" s="65">
        <v>49.3</v>
      </c>
      <c r="I50" s="65">
        <v>69.7</v>
      </c>
      <c r="J50" s="65">
        <v>69.7</v>
      </c>
      <c r="K50" s="65">
        <v>70</v>
      </c>
      <c r="L50" s="65">
        <v>70</v>
      </c>
      <c r="M50" s="65">
        <v>69</v>
      </c>
      <c r="N50" s="65">
        <v>69.5</v>
      </c>
      <c r="O50" s="65">
        <v>69.5</v>
      </c>
      <c r="P50" s="65">
        <v>69.5</v>
      </c>
      <c r="Q50" s="65">
        <v>58.5</v>
      </c>
      <c r="R50" s="45">
        <v>51.5</v>
      </c>
      <c r="S50" s="45">
        <v>60.1</v>
      </c>
      <c r="T50" s="45">
        <v>41.9</v>
      </c>
      <c r="U50" s="45">
        <v>35.200000000000003</v>
      </c>
      <c r="V50" s="45">
        <v>55.2</v>
      </c>
      <c r="W50" s="45">
        <v>70.7</v>
      </c>
      <c r="X50" s="45">
        <v>70.7</v>
      </c>
      <c r="Y50" s="45">
        <v>70.7</v>
      </c>
      <c r="Z50" s="45">
        <v>70.7</v>
      </c>
      <c r="AA50" s="65">
        <v>70.3</v>
      </c>
      <c r="AB50" s="65">
        <v>70.3</v>
      </c>
      <c r="AC50" s="65">
        <v>64.599999999999994</v>
      </c>
      <c r="AD50" s="65">
        <v>35.200000000000003</v>
      </c>
      <c r="AE50" s="65">
        <v>22.1</v>
      </c>
      <c r="AF50" s="65">
        <v>0</v>
      </c>
      <c r="AG50" s="55">
        <v>70</v>
      </c>
      <c r="AH50" s="48">
        <f t="shared" si="2"/>
        <v>70.7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70</v>
      </c>
      <c r="C51" s="65">
        <v>60</v>
      </c>
      <c r="D51" s="65">
        <v>70</v>
      </c>
      <c r="E51" s="65">
        <v>55</v>
      </c>
      <c r="F51" s="65">
        <v>52.7</v>
      </c>
      <c r="G51" s="65">
        <v>54</v>
      </c>
      <c r="H51" s="65">
        <v>54</v>
      </c>
      <c r="I51" s="65">
        <v>59</v>
      </c>
      <c r="J51" s="65">
        <v>59</v>
      </c>
      <c r="K51" s="65">
        <v>65</v>
      </c>
      <c r="L51" s="65">
        <v>65</v>
      </c>
      <c r="M51" s="65">
        <v>55</v>
      </c>
      <c r="N51" s="65">
        <v>45.3</v>
      </c>
      <c r="O51" s="65">
        <v>45.3</v>
      </c>
      <c r="P51" s="65">
        <v>45.3</v>
      </c>
      <c r="Q51" s="65">
        <v>50</v>
      </c>
      <c r="R51" s="45">
        <v>33.9</v>
      </c>
      <c r="S51" s="45">
        <v>34.5</v>
      </c>
      <c r="T51" s="45">
        <v>33.799999999999997</v>
      </c>
      <c r="U51" s="45">
        <v>32.200000000000003</v>
      </c>
      <c r="V51" s="45">
        <v>60.1</v>
      </c>
      <c r="W51" s="45">
        <v>67</v>
      </c>
      <c r="X51" s="45">
        <v>69</v>
      </c>
      <c r="Y51" s="45">
        <v>69</v>
      </c>
      <c r="Z51" s="45">
        <v>69</v>
      </c>
      <c r="AA51" s="65">
        <v>67.2</v>
      </c>
      <c r="AB51" s="65">
        <v>67.2</v>
      </c>
      <c r="AC51" s="65">
        <v>66.7</v>
      </c>
      <c r="AD51" s="65">
        <v>67.400000000000006</v>
      </c>
      <c r="AE51" s="65">
        <v>49</v>
      </c>
      <c r="AF51" s="65">
        <v>45.7</v>
      </c>
      <c r="AG51" s="55">
        <v>69</v>
      </c>
      <c r="AH51" s="48">
        <f t="shared" si="2"/>
        <v>70</v>
      </c>
      <c r="AI51" s="49">
        <f t="shared" si="3"/>
        <v>32.200000000000003</v>
      </c>
      <c r="AK51" s="50"/>
    </row>
    <row r="52" spans="1:41" x14ac:dyDescent="0.25">
      <c r="A52" s="54" t="s">
        <v>60</v>
      </c>
      <c r="B52" s="57">
        <v>60.7</v>
      </c>
      <c r="C52" s="57">
        <v>60.7</v>
      </c>
      <c r="D52" s="57">
        <v>60.7</v>
      </c>
      <c r="E52" s="57">
        <v>60.3</v>
      </c>
      <c r="F52" s="57">
        <v>60.3</v>
      </c>
      <c r="G52" s="57">
        <v>60.3</v>
      </c>
      <c r="H52" s="57">
        <v>60.3</v>
      </c>
      <c r="I52" s="57">
        <v>60.3</v>
      </c>
      <c r="J52" s="57">
        <v>60.3</v>
      </c>
      <c r="K52" s="57">
        <v>60.999000000000002</v>
      </c>
      <c r="L52" s="57">
        <v>60.999000000000002</v>
      </c>
      <c r="M52" s="65">
        <v>61.2</v>
      </c>
      <c r="N52" s="65">
        <v>61.2</v>
      </c>
      <c r="O52" s="65">
        <v>61.2</v>
      </c>
      <c r="P52" s="65">
        <v>61.2</v>
      </c>
      <c r="Q52" s="65">
        <v>60.9</v>
      </c>
      <c r="R52" s="65">
        <v>60.9</v>
      </c>
      <c r="S52" s="65">
        <v>60.9</v>
      </c>
      <c r="T52" s="65">
        <v>60.9</v>
      </c>
      <c r="U52" s="65">
        <v>60.9</v>
      </c>
      <c r="V52" s="65">
        <v>60.9</v>
      </c>
      <c r="W52" s="65">
        <v>60.9</v>
      </c>
      <c r="X52" s="65">
        <v>60.9</v>
      </c>
      <c r="Y52" s="65">
        <v>60.9</v>
      </c>
      <c r="Z52" s="65">
        <v>60.9</v>
      </c>
      <c r="AA52" s="65">
        <v>60.9</v>
      </c>
      <c r="AB52" s="65">
        <v>60.9</v>
      </c>
      <c r="AC52" s="45">
        <v>61.4</v>
      </c>
      <c r="AD52" s="45">
        <v>61.4</v>
      </c>
      <c r="AE52" s="45">
        <v>61.4</v>
      </c>
      <c r="AF52" s="45">
        <v>61.4</v>
      </c>
      <c r="AG52" s="55">
        <v>60</v>
      </c>
      <c r="AH52" s="48">
        <f t="shared" si="2"/>
        <v>61.4</v>
      </c>
      <c r="AI52" s="49">
        <f t="shared" si="3"/>
        <v>60.3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13.3</v>
      </c>
      <c r="H53" s="57">
        <v>13.3</v>
      </c>
      <c r="I53" s="57">
        <v>15</v>
      </c>
      <c r="J53" s="57">
        <v>15</v>
      </c>
      <c r="K53" s="57">
        <v>29.9</v>
      </c>
      <c r="L53" s="57">
        <v>29.9</v>
      </c>
      <c r="M53" s="65">
        <v>26.3</v>
      </c>
      <c r="N53" s="65">
        <v>30</v>
      </c>
      <c r="O53" s="65">
        <v>30</v>
      </c>
      <c r="P53" s="65">
        <v>30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14</v>
      </c>
      <c r="W53" s="65">
        <v>26.6</v>
      </c>
      <c r="X53" s="65">
        <v>26.6</v>
      </c>
      <c r="Y53" s="65">
        <v>26.6</v>
      </c>
      <c r="Z53" s="65">
        <v>26.6</v>
      </c>
      <c r="AA53" s="65">
        <v>15</v>
      </c>
      <c r="AB53" s="65">
        <v>15</v>
      </c>
      <c r="AC53" s="45">
        <v>0</v>
      </c>
      <c r="AD53" s="45">
        <v>0</v>
      </c>
      <c r="AE53" s="45">
        <v>0</v>
      </c>
      <c r="AF53" s="45">
        <v>0</v>
      </c>
      <c r="AG53" s="55">
        <v>30</v>
      </c>
      <c r="AH53" s="48">
        <f t="shared" si="2"/>
        <v>30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4</v>
      </c>
      <c r="T54" s="65">
        <v>4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25</v>
      </c>
      <c r="AH54" s="48">
        <f t="shared" si="2"/>
        <v>4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17.2</v>
      </c>
      <c r="H55" s="65">
        <v>17.2</v>
      </c>
      <c r="I55" s="65">
        <v>17.3</v>
      </c>
      <c r="J55" s="65">
        <v>17.3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>
        <v>17</v>
      </c>
      <c r="S55" s="65">
        <v>17</v>
      </c>
      <c r="T55" s="65">
        <v>17</v>
      </c>
      <c r="U55" s="65">
        <v>17</v>
      </c>
      <c r="V55" s="65">
        <v>17</v>
      </c>
      <c r="W55" s="65">
        <v>17</v>
      </c>
      <c r="X55" s="6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5">
        <v>24</v>
      </c>
      <c r="AH55" s="48">
        <f t="shared" si="2"/>
        <v>17.3</v>
      </c>
      <c r="AI55" s="49">
        <f t="shared" si="3"/>
        <v>17</v>
      </c>
      <c r="AK55" s="50"/>
    </row>
    <row r="56" spans="1:41" x14ac:dyDescent="0.25">
      <c r="A56" s="54" t="s">
        <v>64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13.2</v>
      </c>
      <c r="C57" s="65">
        <v>13.2</v>
      </c>
      <c r="D57" s="65">
        <v>13.2</v>
      </c>
      <c r="E57" s="65">
        <v>13.2</v>
      </c>
      <c r="F57" s="65">
        <v>13.2</v>
      </c>
      <c r="G57" s="65">
        <v>14.8</v>
      </c>
      <c r="H57" s="65">
        <v>14.8</v>
      </c>
      <c r="I57" s="65">
        <v>14.2</v>
      </c>
      <c r="J57" s="65">
        <v>14.2</v>
      </c>
      <c r="K57" s="65">
        <v>14.2</v>
      </c>
      <c r="L57" s="65">
        <v>14.2</v>
      </c>
      <c r="M57" s="65">
        <v>14.2</v>
      </c>
      <c r="N57" s="65">
        <v>14.2</v>
      </c>
      <c r="O57" s="65">
        <v>14.2</v>
      </c>
      <c r="P57" s="65">
        <v>14.2</v>
      </c>
      <c r="Q57" s="65">
        <v>14.2</v>
      </c>
      <c r="R57" s="65">
        <v>14.2</v>
      </c>
      <c r="S57" s="65">
        <v>14.2</v>
      </c>
      <c r="T57" s="65">
        <v>14.2</v>
      </c>
      <c r="U57" s="65">
        <v>14.2</v>
      </c>
      <c r="V57" s="65">
        <v>14.2</v>
      </c>
      <c r="W57" s="65">
        <v>14.2</v>
      </c>
      <c r="X57" s="65">
        <v>14.2</v>
      </c>
      <c r="Y57" s="65">
        <v>14.2</v>
      </c>
      <c r="Z57" s="65">
        <v>14.2</v>
      </c>
      <c r="AA57" s="65">
        <v>14.2</v>
      </c>
      <c r="AB57" s="65">
        <v>14.2</v>
      </c>
      <c r="AC57" s="65">
        <v>14.2</v>
      </c>
      <c r="AD57" s="65">
        <v>14.2</v>
      </c>
      <c r="AE57" s="65">
        <v>14.2</v>
      </c>
      <c r="AF57" s="65">
        <v>14.2</v>
      </c>
      <c r="AG57" s="55">
        <v>14.1</v>
      </c>
      <c r="AH57" s="48">
        <f t="shared" si="2"/>
        <v>14.8</v>
      </c>
      <c r="AI57" s="49">
        <f t="shared" si="3"/>
        <v>13.2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7</v>
      </c>
      <c r="C58" s="65">
        <v>7</v>
      </c>
      <c r="D58" s="65">
        <v>7</v>
      </c>
      <c r="E58" s="65">
        <v>7</v>
      </c>
      <c r="F58" s="65">
        <v>7</v>
      </c>
      <c r="G58" s="65">
        <v>7</v>
      </c>
      <c r="H58" s="65">
        <v>7</v>
      </c>
      <c r="I58" s="65">
        <v>7.2</v>
      </c>
      <c r="J58" s="65">
        <v>7.2</v>
      </c>
      <c r="K58" s="65">
        <v>7.2</v>
      </c>
      <c r="L58" s="65">
        <v>7.2</v>
      </c>
      <c r="M58" s="65">
        <v>7.2</v>
      </c>
      <c r="N58" s="65">
        <v>7.2</v>
      </c>
      <c r="O58" s="65">
        <v>7.2</v>
      </c>
      <c r="P58" s="65">
        <v>7.2</v>
      </c>
      <c r="Q58" s="65">
        <v>7.2</v>
      </c>
      <c r="R58" s="65">
        <v>7.2</v>
      </c>
      <c r="S58" s="65">
        <v>7.2</v>
      </c>
      <c r="T58" s="65">
        <v>7.2</v>
      </c>
      <c r="U58" s="65">
        <v>7.2</v>
      </c>
      <c r="V58" s="65">
        <v>7.2</v>
      </c>
      <c r="W58" s="65">
        <v>7.2</v>
      </c>
      <c r="X58" s="65">
        <v>7.2</v>
      </c>
      <c r="Y58" s="65">
        <v>7.2</v>
      </c>
      <c r="Z58" s="65">
        <v>7.2</v>
      </c>
      <c r="AA58" s="65">
        <v>7.2</v>
      </c>
      <c r="AB58" s="65">
        <v>7.2</v>
      </c>
      <c r="AC58" s="65">
        <v>6.8</v>
      </c>
      <c r="AD58" s="65">
        <v>6.8</v>
      </c>
      <c r="AE58" s="65">
        <v>6.8</v>
      </c>
      <c r="AF58" s="65">
        <v>6.8</v>
      </c>
      <c r="AG58" s="55">
        <v>14</v>
      </c>
      <c r="AH58" s="48">
        <f t="shared" si="2"/>
        <v>7.2</v>
      </c>
      <c r="AI58" s="49">
        <f t="shared" si="3"/>
        <v>6.8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5</v>
      </c>
      <c r="AD59" s="65">
        <v>5</v>
      </c>
      <c r="AE59" s="65">
        <v>5</v>
      </c>
      <c r="AF59" s="65">
        <v>5</v>
      </c>
      <c r="AG59" s="55">
        <v>10.050000000000001</v>
      </c>
      <c r="AH59" s="48">
        <f t="shared" si="2"/>
        <v>6.5</v>
      </c>
      <c r="AI59" s="49">
        <f t="shared" si="3"/>
        <v>5</v>
      </c>
      <c r="AK59" s="50"/>
    </row>
    <row r="60" spans="1:41" x14ac:dyDescent="0.25">
      <c r="A60" s="54" t="s">
        <v>68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>
        <v>3.6</v>
      </c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6">SUM(B49:B61)</f>
        <v>181.63999999999996</v>
      </c>
      <c r="C62" s="61">
        <f t="shared" si="6"/>
        <v>171.64</v>
      </c>
      <c r="D62" s="61">
        <f t="shared" si="6"/>
        <v>181.63999999999996</v>
      </c>
      <c r="E62" s="61">
        <f t="shared" si="6"/>
        <v>166.23999999999998</v>
      </c>
      <c r="F62" s="61">
        <f t="shared" si="6"/>
        <v>163.93999999999997</v>
      </c>
      <c r="G62" s="61">
        <f t="shared" si="6"/>
        <v>229.54</v>
      </c>
      <c r="H62" s="61">
        <f t="shared" si="6"/>
        <v>293.44000000000005</v>
      </c>
      <c r="I62" s="61">
        <f t="shared" si="6"/>
        <v>382.34000000000003</v>
      </c>
      <c r="J62" s="61">
        <f t="shared" si="6"/>
        <v>382.34000000000003</v>
      </c>
      <c r="K62" s="61">
        <f t="shared" si="6"/>
        <v>421.53900000000004</v>
      </c>
      <c r="L62" s="61">
        <f t="shared" si="6"/>
        <v>421.53900000000004</v>
      </c>
      <c r="M62" s="61">
        <f t="shared" si="6"/>
        <v>407.24</v>
      </c>
      <c r="N62" s="61">
        <f t="shared" si="6"/>
        <v>401.54</v>
      </c>
      <c r="O62" s="61">
        <f t="shared" si="6"/>
        <v>401.54</v>
      </c>
      <c r="P62" s="61">
        <f t="shared" si="6"/>
        <v>401.54</v>
      </c>
      <c r="Q62" s="61">
        <f t="shared" si="6"/>
        <v>353.04</v>
      </c>
      <c r="R62" s="61">
        <f t="shared" si="6"/>
        <v>333.44</v>
      </c>
      <c r="S62" s="61">
        <f t="shared" si="6"/>
        <v>334.74</v>
      </c>
      <c r="T62" s="61">
        <f t="shared" si="6"/>
        <v>294.54000000000002</v>
      </c>
      <c r="U62" s="61">
        <f t="shared" si="6"/>
        <v>281.94000000000005</v>
      </c>
      <c r="V62" s="61">
        <f t="shared" si="6"/>
        <v>363.24</v>
      </c>
      <c r="W62" s="61">
        <f t="shared" si="6"/>
        <v>418.24</v>
      </c>
      <c r="X62" s="61">
        <f t="shared" si="6"/>
        <v>420.24</v>
      </c>
      <c r="Y62" s="61">
        <f t="shared" si="6"/>
        <v>420.24</v>
      </c>
      <c r="Z62" s="61">
        <f t="shared" si="6"/>
        <v>420.24</v>
      </c>
      <c r="AA62" s="61">
        <f t="shared" si="6"/>
        <v>404.34</v>
      </c>
      <c r="AB62" s="61">
        <f t="shared" si="6"/>
        <v>404.34</v>
      </c>
      <c r="AC62" s="61">
        <f t="shared" si="6"/>
        <v>362.84000000000003</v>
      </c>
      <c r="AD62" s="61">
        <f t="shared" si="6"/>
        <v>295.14000000000004</v>
      </c>
      <c r="AE62" s="61">
        <f t="shared" si="6"/>
        <v>243.64</v>
      </c>
      <c r="AF62" s="61">
        <f t="shared" si="6"/>
        <v>188.54</v>
      </c>
      <c r="AG62" s="62">
        <f t="shared" si="6"/>
        <v>489.91</v>
      </c>
      <c r="AH62" s="48">
        <f t="shared" si="2"/>
        <v>421.53900000000004</v>
      </c>
      <c r="AI62" s="49">
        <f t="shared" si="3"/>
        <v>163.93999999999997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14.1</v>
      </c>
      <c r="L63" s="45">
        <v>45</v>
      </c>
      <c r="M63" s="45">
        <v>60</v>
      </c>
      <c r="N63" s="45">
        <v>60</v>
      </c>
      <c r="O63" s="45">
        <v>60</v>
      </c>
      <c r="P63" s="45">
        <v>60</v>
      </c>
      <c r="Q63" s="45">
        <v>45</v>
      </c>
      <c r="R63" s="45">
        <v>0</v>
      </c>
      <c r="S63" s="45">
        <v>30</v>
      </c>
      <c r="T63" s="45">
        <v>40</v>
      </c>
      <c r="U63" s="45">
        <v>60</v>
      </c>
      <c r="V63" s="45">
        <v>55</v>
      </c>
      <c r="W63" s="45">
        <v>60</v>
      </c>
      <c r="X63" s="45">
        <v>60</v>
      </c>
      <c r="Y63" s="45">
        <v>50</v>
      </c>
      <c r="Z63" s="45">
        <v>40</v>
      </c>
      <c r="AA63" s="45">
        <v>60</v>
      </c>
      <c r="AB63" s="45">
        <v>60</v>
      </c>
      <c r="AC63" s="45">
        <v>60</v>
      </c>
      <c r="AD63" s="45">
        <v>30</v>
      </c>
      <c r="AE63" s="45">
        <v>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7.2</v>
      </c>
      <c r="L64" s="65">
        <v>23.3</v>
      </c>
      <c r="M64" s="65">
        <v>27.9</v>
      </c>
      <c r="N64" s="65">
        <v>28.3</v>
      </c>
      <c r="O64" s="65">
        <v>28.3</v>
      </c>
      <c r="P64" s="65">
        <v>28.3</v>
      </c>
      <c r="Q64" s="65">
        <v>21</v>
      </c>
      <c r="R64" s="65">
        <v>0</v>
      </c>
      <c r="S64" s="65">
        <v>5.3</v>
      </c>
      <c r="T64" s="65">
        <v>19.5</v>
      </c>
      <c r="U64" s="65">
        <v>27.9</v>
      </c>
      <c r="V64" s="65">
        <v>16.3</v>
      </c>
      <c r="W64" s="65">
        <v>30.5</v>
      </c>
      <c r="X64" s="65">
        <v>27.5</v>
      </c>
      <c r="Y64" s="65">
        <v>22</v>
      </c>
      <c r="Z64" s="65">
        <v>16.7</v>
      </c>
      <c r="AA64" s="65">
        <v>29.9</v>
      </c>
      <c r="AB64" s="65">
        <v>29.9</v>
      </c>
      <c r="AC64" s="65">
        <v>27.4</v>
      </c>
      <c r="AD64" s="65">
        <v>12</v>
      </c>
      <c r="AE64" s="65">
        <v>0</v>
      </c>
      <c r="AF64" s="65">
        <v>0</v>
      </c>
      <c r="AG64" s="55">
        <v>32</v>
      </c>
      <c r="AH64" s="48">
        <f t="shared" si="2"/>
        <v>30.5</v>
      </c>
      <c r="AI64" s="49">
        <f t="shared" si="3"/>
        <v>0</v>
      </c>
      <c r="AK64" s="50"/>
    </row>
    <row r="65" spans="1:37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2.2999999999999998</v>
      </c>
      <c r="L65" s="67">
        <v>8.5</v>
      </c>
      <c r="M65" s="67">
        <v>10.199999999999999</v>
      </c>
      <c r="N65" s="67">
        <v>10.3</v>
      </c>
      <c r="O65" s="67">
        <v>10.3</v>
      </c>
      <c r="P65" s="67">
        <v>10.3</v>
      </c>
      <c r="Q65" s="67">
        <v>7.7</v>
      </c>
      <c r="R65" s="67">
        <v>0</v>
      </c>
      <c r="S65" s="67">
        <v>1.9</v>
      </c>
      <c r="T65" s="67">
        <v>7.1</v>
      </c>
      <c r="U65" s="67">
        <v>10.199999999999999</v>
      </c>
      <c r="V65" s="67">
        <v>6</v>
      </c>
      <c r="W65" s="67">
        <v>11.1</v>
      </c>
      <c r="X65" s="67">
        <v>10</v>
      </c>
      <c r="Y65" s="67">
        <v>10</v>
      </c>
      <c r="Z65" s="67">
        <v>10</v>
      </c>
      <c r="AA65" s="67">
        <v>10.9</v>
      </c>
      <c r="AB65" s="67">
        <v>10.9</v>
      </c>
      <c r="AC65" s="67">
        <v>10</v>
      </c>
      <c r="AD65" s="67">
        <v>4.3</v>
      </c>
      <c r="AE65" s="67">
        <v>0</v>
      </c>
      <c r="AF65" s="67">
        <v>0</v>
      </c>
      <c r="AG65" s="68">
        <v>14</v>
      </c>
      <c r="AH65" s="48">
        <f t="shared" si="2"/>
        <v>11.1</v>
      </c>
      <c r="AI65" s="49">
        <f t="shared" si="3"/>
        <v>0</v>
      </c>
      <c r="AK65" s="50"/>
    </row>
    <row r="66" spans="1:37" ht="15.75" thickBot="1" x14ac:dyDescent="0.3">
      <c r="A66" s="74" t="s">
        <v>74</v>
      </c>
      <c r="B66" s="61">
        <f t="shared" ref="B66:AG66" si="7">SUM(B63:B65)</f>
        <v>0</v>
      </c>
      <c r="C66" s="61">
        <f t="shared" si="7"/>
        <v>0</v>
      </c>
      <c r="D66" s="61">
        <f t="shared" si="7"/>
        <v>0</v>
      </c>
      <c r="E66" s="61">
        <f t="shared" si="7"/>
        <v>0</v>
      </c>
      <c r="F66" s="61">
        <f t="shared" si="7"/>
        <v>0</v>
      </c>
      <c r="G66" s="61">
        <f t="shared" si="7"/>
        <v>0</v>
      </c>
      <c r="H66" s="61">
        <f t="shared" si="7"/>
        <v>0</v>
      </c>
      <c r="I66" s="61">
        <f t="shared" si="7"/>
        <v>0</v>
      </c>
      <c r="J66" s="61">
        <f t="shared" si="7"/>
        <v>0</v>
      </c>
      <c r="K66" s="61">
        <f t="shared" si="7"/>
        <v>23.6</v>
      </c>
      <c r="L66" s="61">
        <f t="shared" si="7"/>
        <v>76.8</v>
      </c>
      <c r="M66" s="61">
        <f t="shared" si="7"/>
        <v>98.100000000000009</v>
      </c>
      <c r="N66" s="61">
        <f t="shared" si="7"/>
        <v>98.6</v>
      </c>
      <c r="O66" s="61">
        <f t="shared" si="7"/>
        <v>98.6</v>
      </c>
      <c r="P66" s="61">
        <f t="shared" si="7"/>
        <v>98.6</v>
      </c>
      <c r="Q66" s="61">
        <f t="shared" si="7"/>
        <v>73.7</v>
      </c>
      <c r="R66" s="61">
        <f t="shared" si="7"/>
        <v>0</v>
      </c>
      <c r="S66" s="61">
        <f t="shared" si="7"/>
        <v>37.199999999999996</v>
      </c>
      <c r="T66" s="61">
        <f t="shared" si="7"/>
        <v>66.599999999999994</v>
      </c>
      <c r="U66" s="61">
        <f t="shared" si="7"/>
        <v>98.100000000000009</v>
      </c>
      <c r="V66" s="61">
        <f t="shared" si="7"/>
        <v>77.3</v>
      </c>
      <c r="W66" s="61">
        <f t="shared" si="7"/>
        <v>101.6</v>
      </c>
      <c r="X66" s="61">
        <f t="shared" si="7"/>
        <v>97.5</v>
      </c>
      <c r="Y66" s="61">
        <f t="shared" si="7"/>
        <v>82</v>
      </c>
      <c r="Z66" s="61">
        <f t="shared" si="7"/>
        <v>66.7</v>
      </c>
      <c r="AA66" s="61">
        <f t="shared" si="7"/>
        <v>100.80000000000001</v>
      </c>
      <c r="AB66" s="61">
        <f t="shared" si="7"/>
        <v>100.80000000000001</v>
      </c>
      <c r="AC66" s="61">
        <f t="shared" si="7"/>
        <v>97.4</v>
      </c>
      <c r="AD66" s="61">
        <f t="shared" si="7"/>
        <v>46.3</v>
      </c>
      <c r="AE66" s="61">
        <f t="shared" si="7"/>
        <v>0</v>
      </c>
      <c r="AF66" s="61">
        <f t="shared" si="7"/>
        <v>0</v>
      </c>
      <c r="AG66" s="62">
        <f t="shared" si="7"/>
        <v>106</v>
      </c>
      <c r="AH66" s="48">
        <f t="shared" si="2"/>
        <v>101.6</v>
      </c>
      <c r="AI66" s="49">
        <f t="shared" si="3"/>
        <v>0</v>
      </c>
      <c r="AK66" s="50"/>
    </row>
    <row r="67" spans="1:37" x14ac:dyDescent="0.25">
      <c r="A67" s="44" t="s">
        <v>75</v>
      </c>
      <c r="B67" s="45">
        <v>63</v>
      </c>
      <c r="C67" s="45">
        <v>68</v>
      </c>
      <c r="D67" s="45">
        <v>65</v>
      </c>
      <c r="E67" s="45">
        <v>58</v>
      </c>
      <c r="F67" s="45">
        <v>57</v>
      </c>
      <c r="G67" s="45">
        <v>62</v>
      </c>
      <c r="H67" s="45">
        <v>59</v>
      </c>
      <c r="I67" s="45">
        <v>60</v>
      </c>
      <c r="J67" s="45">
        <v>58</v>
      </c>
      <c r="K67" s="45">
        <v>59</v>
      </c>
      <c r="L67" s="45">
        <v>43</v>
      </c>
      <c r="M67" s="45">
        <v>39.700000000000003</v>
      </c>
      <c r="N67" s="45">
        <v>35</v>
      </c>
      <c r="O67" s="45">
        <v>68</v>
      </c>
      <c r="P67" s="45">
        <v>66.599999999999994</v>
      </c>
      <c r="Q67" s="45">
        <v>58.9</v>
      </c>
      <c r="R67" s="45">
        <v>58.4</v>
      </c>
      <c r="S67" s="45">
        <v>66.8</v>
      </c>
      <c r="T67" s="45">
        <v>67.7</v>
      </c>
      <c r="U67" s="45">
        <v>70.599999999999994</v>
      </c>
      <c r="V67" s="45">
        <v>57.6</v>
      </c>
      <c r="W67" s="45">
        <v>45.6</v>
      </c>
      <c r="X67" s="45">
        <v>53.7</v>
      </c>
      <c r="Y67" s="45">
        <v>50.2</v>
      </c>
      <c r="Z67" s="45">
        <v>49.6</v>
      </c>
      <c r="AA67" s="45">
        <v>68.7</v>
      </c>
      <c r="AB67" s="45">
        <v>44.5</v>
      </c>
      <c r="AC67" s="45">
        <v>55.8</v>
      </c>
      <c r="AD67" s="45">
        <v>58.1</v>
      </c>
      <c r="AE67" s="45">
        <v>56</v>
      </c>
      <c r="AF67" s="45">
        <v>59</v>
      </c>
      <c r="AG67" s="52"/>
      <c r="AH67" s="48">
        <f t="shared" si="2"/>
        <v>70.599999999999994</v>
      </c>
      <c r="AI67" s="49">
        <f t="shared" si="3"/>
        <v>35</v>
      </c>
      <c r="AK67" s="50"/>
    </row>
    <row r="68" spans="1:37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 t="s">
        <v>252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65">
        <v>99</v>
      </c>
      <c r="C69" s="65">
        <v>100</v>
      </c>
      <c r="D69" s="65">
        <v>66</v>
      </c>
      <c r="E69" s="65">
        <v>76</v>
      </c>
      <c r="F69" s="65">
        <v>78</v>
      </c>
      <c r="G69" s="65">
        <v>96</v>
      </c>
      <c r="H69" s="65">
        <v>96</v>
      </c>
      <c r="I69" s="65">
        <v>98</v>
      </c>
      <c r="J69" s="65">
        <v>96</v>
      </c>
      <c r="K69" s="65">
        <v>48.2</v>
      </c>
      <c r="L69" s="65">
        <v>2.2000000000000002</v>
      </c>
      <c r="M69" s="65">
        <v>5</v>
      </c>
      <c r="N69" s="65">
        <v>1</v>
      </c>
      <c r="O69" s="65">
        <v>52.9</v>
      </c>
      <c r="P69" s="65">
        <v>96.2</v>
      </c>
      <c r="Q69" s="65">
        <v>228.2</v>
      </c>
      <c r="R69" s="65">
        <v>250</v>
      </c>
      <c r="S69" s="65">
        <v>237</v>
      </c>
      <c r="T69" s="65">
        <v>240.6</v>
      </c>
      <c r="U69" s="65">
        <v>229.1</v>
      </c>
      <c r="V69" s="65">
        <v>99.6</v>
      </c>
      <c r="W69" s="65">
        <v>10.1</v>
      </c>
      <c r="X69" s="65">
        <v>1.9</v>
      </c>
      <c r="Y69" s="65">
        <v>1.9</v>
      </c>
      <c r="Z69" s="65">
        <v>-0.4</v>
      </c>
      <c r="AA69" s="65">
        <v>22</v>
      </c>
      <c r="AB69" s="65">
        <v>122.4</v>
      </c>
      <c r="AC69" s="65">
        <v>93</v>
      </c>
      <c r="AD69" s="65">
        <v>107</v>
      </c>
      <c r="AE69" s="65">
        <v>141</v>
      </c>
      <c r="AF69" s="65">
        <v>164</v>
      </c>
      <c r="AG69" s="75"/>
      <c r="AH69" s="48">
        <f t="shared" si="2"/>
        <v>250</v>
      </c>
      <c r="AI69" s="49">
        <f t="shared" si="3"/>
        <v>-0.4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65">
        <v>20</v>
      </c>
      <c r="T70" s="65">
        <v>20.5</v>
      </c>
      <c r="U70" s="65">
        <v>20</v>
      </c>
      <c r="V70" s="65">
        <v>20</v>
      </c>
      <c r="W70" s="65">
        <v>18.899999999999999</v>
      </c>
      <c r="X70" s="65">
        <v>18</v>
      </c>
      <c r="Y70" s="65">
        <v>18</v>
      </c>
      <c r="Z70" s="65">
        <v>16.7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75"/>
      <c r="AH70" s="48">
        <f t="shared" si="2"/>
        <v>20.5</v>
      </c>
      <c r="AI70" s="49">
        <f t="shared" si="3"/>
        <v>0</v>
      </c>
      <c r="AK70" s="50"/>
    </row>
    <row r="71" spans="1:37" x14ac:dyDescent="0.25">
      <c r="A71" s="54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65">
        <v>30</v>
      </c>
      <c r="T71" s="65">
        <v>30</v>
      </c>
      <c r="U71" s="65">
        <v>30</v>
      </c>
      <c r="V71" s="65">
        <v>30</v>
      </c>
      <c r="W71" s="65">
        <v>32</v>
      </c>
      <c r="X71" s="65">
        <v>30</v>
      </c>
      <c r="Y71" s="65">
        <v>30</v>
      </c>
      <c r="Z71" s="65">
        <v>30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75"/>
      <c r="AH71" s="48">
        <f t="shared" si="2"/>
        <v>32</v>
      </c>
      <c r="AI71" s="49">
        <f t="shared" si="3"/>
        <v>0</v>
      </c>
      <c r="AK71" s="50"/>
    </row>
    <row r="72" spans="1:37" x14ac:dyDescent="0.25">
      <c r="A72" s="54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0</v>
      </c>
      <c r="AC75" s="65">
        <v>0</v>
      </c>
      <c r="AD75" s="65">
        <v>0</v>
      </c>
      <c r="AE75" s="65">
        <v>0</v>
      </c>
      <c r="AF75" s="65">
        <v>0</v>
      </c>
      <c r="AG75" s="75"/>
      <c r="AH75" s="48">
        <f t="shared" ref="AH75:AH113" si="8">MAX(B75:AF75)</f>
        <v>0</v>
      </c>
      <c r="AI75" s="49">
        <f t="shared" ref="AI75:AI113" si="9">MIN(B75:AF75)</f>
        <v>0</v>
      </c>
      <c r="AK75" s="50"/>
    </row>
    <row r="76" spans="1:37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  <c r="AG76" s="80"/>
      <c r="AH76" s="48">
        <f t="shared" si="8"/>
        <v>0</v>
      </c>
      <c r="AI76" s="49">
        <f t="shared" si="9"/>
        <v>0</v>
      </c>
      <c r="AK76" s="50"/>
    </row>
    <row r="77" spans="1:37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  <c r="AG77" s="80"/>
      <c r="AH77" s="48">
        <f t="shared" si="8"/>
        <v>0</v>
      </c>
      <c r="AI77" s="49">
        <f t="shared" si="9"/>
        <v>0</v>
      </c>
      <c r="AK77" s="50"/>
    </row>
    <row r="78" spans="1:37" ht="15.75" thickBot="1" x14ac:dyDescent="0.3">
      <c r="A78" s="74" t="s">
        <v>86</v>
      </c>
      <c r="B78" s="61">
        <f t="shared" ref="B78:P78" si="10">SUMIF(B67:B77,"&gt;0")</f>
        <v>162</v>
      </c>
      <c r="C78" s="61">
        <f t="shared" si="10"/>
        <v>168</v>
      </c>
      <c r="D78" s="61">
        <f t="shared" si="10"/>
        <v>131</v>
      </c>
      <c r="E78" s="61">
        <f t="shared" si="10"/>
        <v>134</v>
      </c>
      <c r="F78" s="61">
        <f>SUMIF(F67:F77,"&gt;0")</f>
        <v>135</v>
      </c>
      <c r="G78" s="61">
        <f t="shared" si="10"/>
        <v>158</v>
      </c>
      <c r="H78" s="61">
        <f t="shared" si="10"/>
        <v>155</v>
      </c>
      <c r="I78" s="61">
        <f t="shared" si="10"/>
        <v>158</v>
      </c>
      <c r="J78" s="61">
        <f t="shared" si="10"/>
        <v>154</v>
      </c>
      <c r="K78" s="61">
        <f t="shared" si="10"/>
        <v>107.2</v>
      </c>
      <c r="L78" s="61">
        <f t="shared" si="10"/>
        <v>45.2</v>
      </c>
      <c r="M78" s="61">
        <f t="shared" si="10"/>
        <v>44.7</v>
      </c>
      <c r="N78" s="61">
        <f t="shared" si="10"/>
        <v>36</v>
      </c>
      <c r="O78" s="61">
        <f t="shared" si="10"/>
        <v>120.9</v>
      </c>
      <c r="P78" s="61">
        <f t="shared" si="10"/>
        <v>162.80000000000001</v>
      </c>
      <c r="Q78" s="61">
        <f>SUMIF(Q67:Q77,"&gt;0")</f>
        <v>287.09999999999997</v>
      </c>
      <c r="R78" s="61">
        <f>SUMIF(R67:R77,"&gt;0")</f>
        <v>308.39999999999998</v>
      </c>
      <c r="S78" s="61">
        <f t="shared" ref="S78:AF78" si="11">SUMIF(S67:S77,"&gt;0")</f>
        <v>353.8</v>
      </c>
      <c r="T78" s="61">
        <f t="shared" si="11"/>
        <v>358.8</v>
      </c>
      <c r="U78" s="61">
        <f t="shared" si="11"/>
        <v>349.7</v>
      </c>
      <c r="V78" s="61">
        <f t="shared" si="11"/>
        <v>207.2</v>
      </c>
      <c r="W78" s="61">
        <f t="shared" si="11"/>
        <v>106.6</v>
      </c>
      <c r="X78" s="61">
        <f t="shared" si="11"/>
        <v>103.6</v>
      </c>
      <c r="Y78" s="61">
        <f t="shared" si="11"/>
        <v>100.1</v>
      </c>
      <c r="Z78" s="61">
        <f t="shared" si="11"/>
        <v>96.3</v>
      </c>
      <c r="AA78" s="61">
        <f t="shared" si="11"/>
        <v>90.7</v>
      </c>
      <c r="AB78" s="61">
        <f t="shared" si="11"/>
        <v>166.9</v>
      </c>
      <c r="AC78" s="61">
        <f t="shared" si="11"/>
        <v>148.80000000000001</v>
      </c>
      <c r="AD78" s="61">
        <f t="shared" si="11"/>
        <v>165.1</v>
      </c>
      <c r="AE78" s="61">
        <f t="shared" si="11"/>
        <v>197</v>
      </c>
      <c r="AF78" s="61">
        <f t="shared" si="11"/>
        <v>223</v>
      </c>
      <c r="AG78" s="81">
        <f>SUM(AG67:AG77)</f>
        <v>0</v>
      </c>
      <c r="AH78" s="48">
        <f t="shared" si="8"/>
        <v>358.8</v>
      </c>
      <c r="AI78" s="49">
        <f t="shared" si="9"/>
        <v>36</v>
      </c>
      <c r="AK78" s="50"/>
    </row>
    <row r="79" spans="1:37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8"/>
        <v>0</v>
      </c>
      <c r="AI79" s="49">
        <f t="shared" si="9"/>
        <v>0</v>
      </c>
      <c r="AK79" s="50"/>
    </row>
    <row r="80" spans="1:37" x14ac:dyDescent="0.25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8"/>
        <v>0</v>
      </c>
      <c r="AI80" s="49">
        <f t="shared" si="9"/>
        <v>0</v>
      </c>
      <c r="AK80" s="50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8"/>
        <v>0</v>
      </c>
      <c r="AI81" s="49">
        <f t="shared" si="9"/>
        <v>0</v>
      </c>
    </row>
    <row r="82" spans="1:37" ht="15.75" thickBot="1" x14ac:dyDescent="0.3">
      <c r="A82" s="74" t="s">
        <v>90</v>
      </c>
      <c r="B82" s="61">
        <v>0</v>
      </c>
      <c r="C82" s="61">
        <v>0</v>
      </c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8"/>
        <v>0</v>
      </c>
      <c r="AI82" s="49">
        <f t="shared" si="9"/>
        <v>0</v>
      </c>
    </row>
    <row r="83" spans="1:37" ht="15.75" thickBot="1" x14ac:dyDescent="0.3">
      <c r="A83" s="74" t="s">
        <v>91</v>
      </c>
      <c r="B83" s="83">
        <f t="shared" ref="B83:AG83" si="12">B44+B48+B66+B62+B78+B82</f>
        <v>1004.3390000000001</v>
      </c>
      <c r="C83" s="83">
        <f t="shared" si="12"/>
        <v>990.33900000000006</v>
      </c>
      <c r="D83" s="83">
        <f t="shared" si="12"/>
        <v>973.33900000000006</v>
      </c>
      <c r="E83" s="83">
        <f t="shared" si="12"/>
        <v>982.43900000000008</v>
      </c>
      <c r="F83" s="83">
        <f t="shared" si="12"/>
        <v>977.23900000000003</v>
      </c>
      <c r="G83" s="83">
        <f t="shared" si="12"/>
        <v>1024.039</v>
      </c>
      <c r="H83" s="83">
        <f t="shared" si="12"/>
        <v>1139.8390000000002</v>
      </c>
      <c r="I83" s="83">
        <f t="shared" si="12"/>
        <v>1237.6390000000001</v>
      </c>
      <c r="J83" s="83">
        <f t="shared" si="12"/>
        <v>1093.6390000000001</v>
      </c>
      <c r="K83" s="83">
        <f t="shared" si="12"/>
        <v>1109.6380000000001</v>
      </c>
      <c r="L83" s="83">
        <f t="shared" si="12"/>
        <v>1599.9380000000001</v>
      </c>
      <c r="M83" s="83">
        <f t="shared" si="12"/>
        <v>1610.4390000000001</v>
      </c>
      <c r="N83" s="83">
        <f t="shared" si="12"/>
        <v>1536.539</v>
      </c>
      <c r="O83" s="83">
        <f t="shared" si="12"/>
        <v>1471.4390000000003</v>
      </c>
      <c r="P83" s="83">
        <f t="shared" si="12"/>
        <v>1413.3390000000002</v>
      </c>
      <c r="Q83" s="83">
        <f t="shared" si="12"/>
        <v>1335.1390000000001</v>
      </c>
      <c r="R83" s="83">
        <f t="shared" si="12"/>
        <v>1274.4490000000001</v>
      </c>
      <c r="S83" s="83">
        <f t="shared" si="12"/>
        <v>1356.1390000000001</v>
      </c>
      <c r="T83" s="83">
        <f t="shared" si="12"/>
        <v>1350.4390000000001</v>
      </c>
      <c r="U83" s="83">
        <f t="shared" si="12"/>
        <v>1360.1390000000001</v>
      </c>
      <c r="V83" s="83">
        <f t="shared" si="12"/>
        <v>1423.1389999999999</v>
      </c>
      <c r="W83" s="83">
        <f t="shared" si="12"/>
        <v>1571.8389999999999</v>
      </c>
      <c r="X83" s="83">
        <f t="shared" si="12"/>
        <v>1622.1389999999999</v>
      </c>
      <c r="Y83" s="83">
        <f t="shared" si="12"/>
        <v>1573.1389999999999</v>
      </c>
      <c r="Z83" s="83">
        <f t="shared" si="12"/>
        <v>1514.039</v>
      </c>
      <c r="AA83" s="83">
        <f t="shared" si="12"/>
        <v>1493.1389999999999</v>
      </c>
      <c r="AB83" s="83">
        <f t="shared" si="12"/>
        <v>1389.3389999999999</v>
      </c>
      <c r="AC83" s="83">
        <f t="shared" si="12"/>
        <v>1346.3389999999999</v>
      </c>
      <c r="AD83" s="83">
        <f t="shared" si="12"/>
        <v>1243.8389999999999</v>
      </c>
      <c r="AE83" s="83">
        <f t="shared" si="12"/>
        <v>1087.9389999999999</v>
      </c>
      <c r="AF83" s="83">
        <f t="shared" si="12"/>
        <v>1043.8389999999999</v>
      </c>
      <c r="AG83" s="62">
        <f t="shared" si="12"/>
        <v>2004.1900000000003</v>
      </c>
      <c r="AH83" s="48">
        <f t="shared" si="8"/>
        <v>1622.1389999999999</v>
      </c>
      <c r="AI83" s="49">
        <f t="shared" si="9"/>
        <v>973.33900000000006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>
        <v>15</v>
      </c>
      <c r="P84" s="85">
        <v>80</v>
      </c>
      <c r="Q84" s="85"/>
      <c r="R84" s="85"/>
      <c r="S84" s="85"/>
      <c r="T84" s="85"/>
      <c r="U84" s="85"/>
      <c r="V84" s="85"/>
      <c r="W84" s="85"/>
      <c r="X84" s="85">
        <v>30</v>
      </c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8"/>
        <v>80</v>
      </c>
      <c r="AI84" s="49">
        <f t="shared" si="9"/>
        <v>15</v>
      </c>
    </row>
    <row r="85" spans="1:37" ht="15.75" thickBot="1" x14ac:dyDescent="0.3">
      <c r="A85" s="74" t="s">
        <v>93</v>
      </c>
      <c r="B85" s="83">
        <f t="shared" ref="B85:O85" si="13">B83+B84</f>
        <v>1004.3390000000001</v>
      </c>
      <c r="C85" s="83">
        <f t="shared" si="13"/>
        <v>990.33900000000006</v>
      </c>
      <c r="D85" s="83">
        <f t="shared" si="13"/>
        <v>973.33900000000006</v>
      </c>
      <c r="E85" s="83">
        <f t="shared" si="13"/>
        <v>982.43900000000008</v>
      </c>
      <c r="F85" s="83">
        <f t="shared" si="13"/>
        <v>977.23900000000003</v>
      </c>
      <c r="G85" s="83">
        <f t="shared" si="13"/>
        <v>1024.039</v>
      </c>
      <c r="H85" s="83">
        <f t="shared" si="13"/>
        <v>1139.8390000000002</v>
      </c>
      <c r="I85" s="83">
        <f t="shared" si="13"/>
        <v>1237.6390000000001</v>
      </c>
      <c r="J85" s="83">
        <f t="shared" si="13"/>
        <v>1093.6390000000001</v>
      </c>
      <c r="K85" s="83">
        <f t="shared" si="13"/>
        <v>1109.6380000000001</v>
      </c>
      <c r="L85" s="83">
        <f t="shared" si="13"/>
        <v>1599.9380000000001</v>
      </c>
      <c r="M85" s="83">
        <f t="shared" si="13"/>
        <v>1610.4390000000001</v>
      </c>
      <c r="N85" s="83">
        <f t="shared" si="13"/>
        <v>1536.539</v>
      </c>
      <c r="O85" s="83">
        <f t="shared" si="13"/>
        <v>1486.4390000000003</v>
      </c>
      <c r="P85" s="83">
        <f>P83+P84</f>
        <v>1493.3390000000002</v>
      </c>
      <c r="Q85" s="83">
        <f>Q83+Q84</f>
        <v>1335.1390000000001</v>
      </c>
      <c r="R85" s="83">
        <f>R83+R84</f>
        <v>1274.4490000000001</v>
      </c>
      <c r="S85" s="83">
        <f t="shared" ref="S85:AF85" si="14">S83+S84</f>
        <v>1356.1390000000001</v>
      </c>
      <c r="T85" s="83">
        <f t="shared" si="14"/>
        <v>1350.4390000000001</v>
      </c>
      <c r="U85" s="83">
        <f t="shared" si="14"/>
        <v>1360.1390000000001</v>
      </c>
      <c r="V85" s="83">
        <f t="shared" si="14"/>
        <v>1423.1389999999999</v>
      </c>
      <c r="W85" s="83">
        <f t="shared" si="14"/>
        <v>1571.8389999999999</v>
      </c>
      <c r="X85" s="83">
        <f t="shared" si="14"/>
        <v>1652.1389999999999</v>
      </c>
      <c r="Y85" s="83">
        <f t="shared" si="14"/>
        <v>1573.1389999999999</v>
      </c>
      <c r="Z85" s="83">
        <f t="shared" si="14"/>
        <v>1514.039</v>
      </c>
      <c r="AA85" s="83">
        <f t="shared" si="14"/>
        <v>1493.1389999999999</v>
      </c>
      <c r="AB85" s="83">
        <f t="shared" si="14"/>
        <v>1389.3389999999999</v>
      </c>
      <c r="AC85" s="83">
        <f t="shared" si="14"/>
        <v>1346.3389999999999</v>
      </c>
      <c r="AD85" s="83">
        <f t="shared" si="14"/>
        <v>1243.8389999999999</v>
      </c>
      <c r="AE85" s="83">
        <f t="shared" si="14"/>
        <v>1087.9389999999999</v>
      </c>
      <c r="AF85" s="83">
        <f t="shared" si="14"/>
        <v>1043.8389999999999</v>
      </c>
      <c r="AG85" s="81">
        <f>AG82+AG78+AG66+AG62+AG44+AG84</f>
        <v>1466.0900000000001</v>
      </c>
      <c r="AH85" s="48">
        <f t="shared" si="8"/>
        <v>1652.1389999999999</v>
      </c>
      <c r="AI85" s="49">
        <f t="shared" si="9"/>
        <v>973.33900000000006</v>
      </c>
    </row>
    <row r="86" spans="1:37" ht="15.75" thickBot="1" x14ac:dyDescent="0.3">
      <c r="A86" s="74" t="s">
        <v>94</v>
      </c>
      <c r="B86" s="83">
        <f t="shared" ref="B86:AF86" si="15">B85-B93</f>
        <v>1004.3390000000001</v>
      </c>
      <c r="C86" s="83">
        <f t="shared" si="15"/>
        <v>990.33900000000006</v>
      </c>
      <c r="D86" s="83">
        <f t="shared" si="15"/>
        <v>973.33900000000006</v>
      </c>
      <c r="E86" s="83">
        <f t="shared" si="15"/>
        <v>982.43900000000008</v>
      </c>
      <c r="F86" s="83">
        <f t="shared" si="15"/>
        <v>977.23900000000003</v>
      </c>
      <c r="G86" s="83">
        <f t="shared" si="15"/>
        <v>1024.039</v>
      </c>
      <c r="H86" s="83">
        <f t="shared" si="15"/>
        <v>1139.8390000000002</v>
      </c>
      <c r="I86" s="83">
        <f t="shared" si="15"/>
        <v>1237.6390000000001</v>
      </c>
      <c r="J86" s="83">
        <f t="shared" si="15"/>
        <v>1093.6390000000001</v>
      </c>
      <c r="K86" s="83">
        <f t="shared" si="15"/>
        <v>1109.6380000000001</v>
      </c>
      <c r="L86" s="83">
        <f t="shared" si="15"/>
        <v>1599.9380000000001</v>
      </c>
      <c r="M86" s="83">
        <f t="shared" si="15"/>
        <v>1610.4390000000001</v>
      </c>
      <c r="N86" s="83">
        <f t="shared" si="15"/>
        <v>1536.539</v>
      </c>
      <c r="O86" s="83">
        <f t="shared" si="15"/>
        <v>1486.4390000000003</v>
      </c>
      <c r="P86" s="83">
        <f t="shared" si="15"/>
        <v>1493.3390000000002</v>
      </c>
      <c r="Q86" s="83">
        <f t="shared" si="15"/>
        <v>1335.1390000000001</v>
      </c>
      <c r="R86" s="83">
        <f t="shared" si="15"/>
        <v>1274.4490000000001</v>
      </c>
      <c r="S86" s="83">
        <f t="shared" si="15"/>
        <v>1356.1390000000001</v>
      </c>
      <c r="T86" s="83">
        <f t="shared" si="15"/>
        <v>1350.4390000000001</v>
      </c>
      <c r="U86" s="83">
        <f t="shared" si="15"/>
        <v>1360.1390000000001</v>
      </c>
      <c r="V86" s="83">
        <f t="shared" si="15"/>
        <v>1423.1389999999999</v>
      </c>
      <c r="W86" s="83">
        <f t="shared" si="15"/>
        <v>1571.8389999999999</v>
      </c>
      <c r="X86" s="83">
        <f t="shared" si="15"/>
        <v>1652.1389999999999</v>
      </c>
      <c r="Y86" s="83">
        <f t="shared" si="15"/>
        <v>1573.1389999999999</v>
      </c>
      <c r="Z86" s="83">
        <f t="shared" si="15"/>
        <v>1514.039</v>
      </c>
      <c r="AA86" s="83">
        <f t="shared" si="15"/>
        <v>1493.1389999999999</v>
      </c>
      <c r="AB86" s="83">
        <f t="shared" si="15"/>
        <v>1389.3389999999999</v>
      </c>
      <c r="AC86" s="83">
        <f t="shared" si="15"/>
        <v>1346.3389999999999</v>
      </c>
      <c r="AD86" s="83">
        <f t="shared" si="15"/>
        <v>1243.8389999999999</v>
      </c>
      <c r="AE86" s="83">
        <f t="shared" si="15"/>
        <v>1087.9389999999999</v>
      </c>
      <c r="AF86" s="83">
        <f t="shared" si="15"/>
        <v>1043.8389999999999</v>
      </c>
      <c r="AG86" s="81"/>
      <c r="AH86" s="48">
        <f t="shared" si="8"/>
        <v>1652.1389999999999</v>
      </c>
      <c r="AI86" s="49">
        <f t="shared" si="9"/>
        <v>973.33900000000006</v>
      </c>
    </row>
    <row r="87" spans="1:37" x14ac:dyDescent="0.25">
      <c r="A87" s="44" t="s">
        <v>78</v>
      </c>
      <c r="B87" s="76">
        <f t="shared" ref="B87:K87" si="16">IF(B70&lt;0,B70*-1,0)</f>
        <v>0</v>
      </c>
      <c r="C87" s="76">
        <f t="shared" si="16"/>
        <v>0</v>
      </c>
      <c r="D87" s="76">
        <f t="shared" si="16"/>
        <v>0</v>
      </c>
      <c r="E87" s="76">
        <f t="shared" si="16"/>
        <v>0</v>
      </c>
      <c r="F87" s="76">
        <f t="shared" si="16"/>
        <v>0</v>
      </c>
      <c r="G87" s="76">
        <f t="shared" si="16"/>
        <v>0</v>
      </c>
      <c r="H87" s="76">
        <f t="shared" si="16"/>
        <v>0</v>
      </c>
      <c r="I87" s="76">
        <f t="shared" si="16"/>
        <v>0</v>
      </c>
      <c r="J87" s="76">
        <f t="shared" si="16"/>
        <v>0</v>
      </c>
      <c r="K87" s="76">
        <f t="shared" si="16"/>
        <v>0</v>
      </c>
      <c r="L87" s="76">
        <f t="shared" ref="L87:Q87" si="17">IF(L70&lt;0,L70*-1,0)</f>
        <v>0</v>
      </c>
      <c r="M87" s="76">
        <f t="shared" si="17"/>
        <v>0</v>
      </c>
      <c r="N87" s="76">
        <f t="shared" si="17"/>
        <v>0</v>
      </c>
      <c r="O87" s="76">
        <f t="shared" si="17"/>
        <v>0</v>
      </c>
      <c r="P87" s="76">
        <f t="shared" si="17"/>
        <v>0</v>
      </c>
      <c r="Q87" s="76">
        <f t="shared" si="17"/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8"/>
        <v>0</v>
      </c>
      <c r="AI87" s="49">
        <f t="shared" si="9"/>
        <v>0</v>
      </c>
    </row>
    <row r="88" spans="1:37" x14ac:dyDescent="0.25">
      <c r="A88" s="54" t="s">
        <v>76</v>
      </c>
      <c r="B88" s="76">
        <f t="shared" ref="B88:K88" si="18">IF(B68&lt;0,B68*-1,0)</f>
        <v>0</v>
      </c>
      <c r="C88" s="76">
        <f t="shared" si="18"/>
        <v>0</v>
      </c>
      <c r="D88" s="76">
        <f t="shared" si="18"/>
        <v>0</v>
      </c>
      <c r="E88" s="76">
        <f t="shared" si="18"/>
        <v>0</v>
      </c>
      <c r="F88" s="76">
        <f t="shared" si="18"/>
        <v>0</v>
      </c>
      <c r="G88" s="76">
        <f t="shared" si="18"/>
        <v>0</v>
      </c>
      <c r="H88" s="76">
        <f t="shared" si="18"/>
        <v>0</v>
      </c>
      <c r="I88" s="76">
        <f t="shared" si="18"/>
        <v>0</v>
      </c>
      <c r="J88" s="76">
        <f t="shared" si="18"/>
        <v>0</v>
      </c>
      <c r="K88" s="76">
        <f t="shared" si="18"/>
        <v>0</v>
      </c>
      <c r="L88" s="76">
        <f t="shared" ref="L88:Q88" si="19">IF(L68&lt;0,L68*-1,0)</f>
        <v>0</v>
      </c>
      <c r="M88" s="76">
        <f t="shared" si="19"/>
        <v>0</v>
      </c>
      <c r="N88" s="76">
        <f t="shared" si="19"/>
        <v>0</v>
      </c>
      <c r="O88" s="76">
        <f t="shared" si="19"/>
        <v>0</v>
      </c>
      <c r="P88" s="76">
        <f t="shared" si="19"/>
        <v>0</v>
      </c>
      <c r="Q88" s="76">
        <f t="shared" si="19"/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8"/>
        <v>0</v>
      </c>
      <c r="AI88" s="49">
        <f t="shared" si="9"/>
        <v>0</v>
      </c>
    </row>
    <row r="89" spans="1:37" x14ac:dyDescent="0.25">
      <c r="A89" s="78" t="s">
        <v>95</v>
      </c>
      <c r="B89" s="76">
        <f t="shared" ref="B89:K89" si="20">IF(B71&lt;0,B71*-1,0)</f>
        <v>0</v>
      </c>
      <c r="C89" s="76">
        <f t="shared" si="20"/>
        <v>0</v>
      </c>
      <c r="D89" s="76">
        <f t="shared" si="20"/>
        <v>0</v>
      </c>
      <c r="E89" s="76">
        <f t="shared" si="20"/>
        <v>0</v>
      </c>
      <c r="F89" s="76">
        <f t="shared" si="20"/>
        <v>0</v>
      </c>
      <c r="G89" s="76">
        <f t="shared" si="20"/>
        <v>0</v>
      </c>
      <c r="H89" s="76">
        <f t="shared" si="20"/>
        <v>0</v>
      </c>
      <c r="I89" s="76">
        <f t="shared" si="20"/>
        <v>0</v>
      </c>
      <c r="J89" s="76">
        <f t="shared" si="20"/>
        <v>0</v>
      </c>
      <c r="K89" s="76">
        <f t="shared" si="20"/>
        <v>0</v>
      </c>
      <c r="L89" s="76">
        <f t="shared" ref="L89:Q89" si="21">IF(L71&lt;0,L71*-1,0)</f>
        <v>0</v>
      </c>
      <c r="M89" s="76">
        <f t="shared" si="21"/>
        <v>0</v>
      </c>
      <c r="N89" s="76">
        <f t="shared" si="21"/>
        <v>0</v>
      </c>
      <c r="O89" s="76">
        <f t="shared" si="21"/>
        <v>0</v>
      </c>
      <c r="P89" s="76">
        <f t="shared" si="21"/>
        <v>0</v>
      </c>
      <c r="Q89" s="76">
        <f t="shared" si="21"/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8"/>
        <v>0</v>
      </c>
      <c r="AI89" s="49">
        <f t="shared" si="9"/>
        <v>0</v>
      </c>
    </row>
    <row r="90" spans="1:37" x14ac:dyDescent="0.25">
      <c r="A90" s="78" t="s">
        <v>96</v>
      </c>
      <c r="B90" s="76">
        <f t="shared" ref="B90:K90" si="22">IF(B69&lt;0,B69*-1,0)</f>
        <v>0</v>
      </c>
      <c r="C90" s="76">
        <f t="shared" si="22"/>
        <v>0</v>
      </c>
      <c r="D90" s="76">
        <f t="shared" si="22"/>
        <v>0</v>
      </c>
      <c r="E90" s="76">
        <f t="shared" si="22"/>
        <v>0</v>
      </c>
      <c r="F90" s="76">
        <f t="shared" si="22"/>
        <v>0</v>
      </c>
      <c r="G90" s="76">
        <f t="shared" si="22"/>
        <v>0</v>
      </c>
      <c r="H90" s="76">
        <f t="shared" si="22"/>
        <v>0</v>
      </c>
      <c r="I90" s="76">
        <f t="shared" si="22"/>
        <v>0</v>
      </c>
      <c r="J90" s="76">
        <f t="shared" si="22"/>
        <v>0</v>
      </c>
      <c r="K90" s="76">
        <f t="shared" si="22"/>
        <v>0</v>
      </c>
      <c r="L90" s="76">
        <f t="shared" ref="L90:Q90" si="23">IF(L69&lt;0,L69*-1,0)</f>
        <v>0</v>
      </c>
      <c r="M90" s="76">
        <f t="shared" si="23"/>
        <v>0</v>
      </c>
      <c r="N90" s="76">
        <f t="shared" si="23"/>
        <v>0</v>
      </c>
      <c r="O90" s="76">
        <f t="shared" si="23"/>
        <v>0</v>
      </c>
      <c r="P90" s="76">
        <f t="shared" si="23"/>
        <v>0</v>
      </c>
      <c r="Q90" s="76">
        <f t="shared" si="23"/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8"/>
        <v>0</v>
      </c>
      <c r="AI90" s="49">
        <f t="shared" si="9"/>
        <v>0</v>
      </c>
    </row>
    <row r="91" spans="1:37" x14ac:dyDescent="0.25">
      <c r="A91" s="78" t="s">
        <v>75</v>
      </c>
      <c r="B91" s="76">
        <f t="shared" ref="B91:K91" si="24">IF(B67&lt;0,B67*-1,0)</f>
        <v>0</v>
      </c>
      <c r="C91" s="76">
        <f t="shared" si="24"/>
        <v>0</v>
      </c>
      <c r="D91" s="76">
        <f t="shared" si="24"/>
        <v>0</v>
      </c>
      <c r="E91" s="76">
        <f t="shared" si="24"/>
        <v>0</v>
      </c>
      <c r="F91" s="76">
        <f t="shared" si="24"/>
        <v>0</v>
      </c>
      <c r="G91" s="76">
        <f t="shared" si="24"/>
        <v>0</v>
      </c>
      <c r="H91" s="76">
        <f t="shared" si="24"/>
        <v>0</v>
      </c>
      <c r="I91" s="76">
        <f t="shared" si="24"/>
        <v>0</v>
      </c>
      <c r="J91" s="76">
        <f t="shared" si="24"/>
        <v>0</v>
      </c>
      <c r="K91" s="76">
        <f t="shared" si="24"/>
        <v>0</v>
      </c>
      <c r="L91" s="76">
        <f t="shared" ref="L91:Q91" si="25">IF(L67&lt;0,L67*-1,0)</f>
        <v>0</v>
      </c>
      <c r="M91" s="76">
        <f t="shared" si="25"/>
        <v>0</v>
      </c>
      <c r="N91" s="76">
        <f t="shared" si="25"/>
        <v>0</v>
      </c>
      <c r="O91" s="76">
        <f t="shared" si="25"/>
        <v>0</v>
      </c>
      <c r="P91" s="76">
        <f t="shared" si="25"/>
        <v>0</v>
      </c>
      <c r="Q91" s="76">
        <f t="shared" si="25"/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8"/>
        <v>0</v>
      </c>
      <c r="AI91" s="49">
        <f t="shared" si="9"/>
        <v>0</v>
      </c>
    </row>
    <row r="92" spans="1:37" ht="15.75" thickBot="1" x14ac:dyDescent="0.3">
      <c r="A92" s="78" t="s">
        <v>97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8"/>
        <v>0</v>
      </c>
      <c r="AI92" s="49">
        <f t="shared" si="9"/>
        <v>0</v>
      </c>
    </row>
    <row r="93" spans="1:37" ht="15.75" thickBot="1" x14ac:dyDescent="0.3">
      <c r="A93" s="87" t="s">
        <v>98</v>
      </c>
      <c r="B93" s="61">
        <f t="shared" ref="B93" si="26">SUM(B87:B92)</f>
        <v>0</v>
      </c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81"/>
      <c r="AH93" s="48">
        <f t="shared" si="8"/>
        <v>0</v>
      </c>
      <c r="AI93" s="49">
        <f t="shared" si="9"/>
        <v>0</v>
      </c>
      <c r="AK93" s="50"/>
    </row>
    <row r="94" spans="1:37" ht="15.75" thickBot="1" x14ac:dyDescent="0.3">
      <c r="A94" s="74" t="s">
        <v>99</v>
      </c>
      <c r="B94" s="61">
        <f t="shared" ref="B94:S94" si="27">B78-B93</f>
        <v>162</v>
      </c>
      <c r="C94" s="61">
        <f t="shared" si="27"/>
        <v>168</v>
      </c>
      <c r="D94" s="61">
        <f t="shared" si="27"/>
        <v>131</v>
      </c>
      <c r="E94" s="61">
        <f t="shared" si="27"/>
        <v>134</v>
      </c>
      <c r="F94" s="61">
        <f t="shared" si="27"/>
        <v>135</v>
      </c>
      <c r="G94" s="61">
        <f t="shared" si="27"/>
        <v>158</v>
      </c>
      <c r="H94" s="61">
        <f t="shared" si="27"/>
        <v>155</v>
      </c>
      <c r="I94" s="61">
        <f t="shared" si="27"/>
        <v>158</v>
      </c>
      <c r="J94" s="61">
        <f t="shared" si="27"/>
        <v>154</v>
      </c>
      <c r="K94" s="61">
        <f t="shared" si="27"/>
        <v>107.2</v>
      </c>
      <c r="L94" s="61">
        <f t="shared" si="27"/>
        <v>45.2</v>
      </c>
      <c r="M94" s="61">
        <f t="shared" si="27"/>
        <v>44.7</v>
      </c>
      <c r="N94" s="61">
        <f t="shared" si="27"/>
        <v>36</v>
      </c>
      <c r="O94" s="61">
        <f t="shared" si="27"/>
        <v>120.9</v>
      </c>
      <c r="P94" s="61">
        <f t="shared" si="27"/>
        <v>162.80000000000001</v>
      </c>
      <c r="Q94" s="61">
        <f t="shared" si="27"/>
        <v>287.09999999999997</v>
      </c>
      <c r="R94" s="61">
        <f t="shared" si="27"/>
        <v>308.39999999999998</v>
      </c>
      <c r="S94" s="61">
        <f t="shared" si="27"/>
        <v>353.8</v>
      </c>
      <c r="T94" s="61">
        <f>T78-T93</f>
        <v>358.8</v>
      </c>
      <c r="U94" s="61">
        <f t="shared" ref="U94:AF94" si="28">U78-U93</f>
        <v>349.7</v>
      </c>
      <c r="V94" s="61">
        <f t="shared" si="28"/>
        <v>207.2</v>
      </c>
      <c r="W94" s="61">
        <f t="shared" si="28"/>
        <v>106.6</v>
      </c>
      <c r="X94" s="61">
        <f t="shared" si="28"/>
        <v>103.6</v>
      </c>
      <c r="Y94" s="61">
        <f t="shared" si="28"/>
        <v>100.1</v>
      </c>
      <c r="Z94" s="61">
        <f t="shared" si="28"/>
        <v>96.3</v>
      </c>
      <c r="AA94" s="61">
        <f t="shared" si="28"/>
        <v>90.7</v>
      </c>
      <c r="AB94" s="61">
        <f t="shared" si="28"/>
        <v>166.9</v>
      </c>
      <c r="AC94" s="61">
        <f t="shared" si="28"/>
        <v>148.80000000000001</v>
      </c>
      <c r="AD94" s="61">
        <f t="shared" si="28"/>
        <v>165.1</v>
      </c>
      <c r="AE94" s="61">
        <f t="shared" si="28"/>
        <v>197</v>
      </c>
      <c r="AF94" s="61">
        <f t="shared" si="28"/>
        <v>223</v>
      </c>
      <c r="AG94" s="81"/>
      <c r="AH94" s="48">
        <f t="shared" si="8"/>
        <v>358.8</v>
      </c>
      <c r="AI94" s="49">
        <f t="shared" si="9"/>
        <v>36</v>
      </c>
    </row>
    <row r="95" spans="1:37" x14ac:dyDescent="0.25">
      <c r="A95" s="88" t="s">
        <v>100</v>
      </c>
      <c r="B95" s="89">
        <v>49.966000000000001</v>
      </c>
      <c r="C95" s="89">
        <v>50.014000000000003</v>
      </c>
      <c r="D95" s="89">
        <v>49.893999999999998</v>
      </c>
      <c r="E95" s="89">
        <v>49.920999999999999</v>
      </c>
      <c r="F95" s="89">
        <v>50.002000000000002</v>
      </c>
      <c r="G95" s="89">
        <v>50.040999999999997</v>
      </c>
      <c r="H95" s="89">
        <v>50.183</v>
      </c>
      <c r="I95" s="89">
        <v>50.015999999999998</v>
      </c>
      <c r="J95" s="89">
        <v>50.015999999999998</v>
      </c>
      <c r="K95" s="89">
        <v>50.015999999999998</v>
      </c>
      <c r="L95" s="89">
        <v>49.959000000000003</v>
      </c>
      <c r="M95" s="89">
        <v>50.168999999999997</v>
      </c>
      <c r="N95" s="89">
        <v>50.036000000000001</v>
      </c>
      <c r="O95" s="89">
        <v>49.954999999999998</v>
      </c>
      <c r="P95" s="89">
        <v>50.113999999999997</v>
      </c>
      <c r="Q95" s="89">
        <v>50.131</v>
      </c>
      <c r="R95" s="89">
        <v>50</v>
      </c>
      <c r="S95" s="89">
        <v>49.993000000000002</v>
      </c>
      <c r="T95" s="89">
        <v>50.034999999999997</v>
      </c>
      <c r="U95" s="89">
        <v>49.963999999999999</v>
      </c>
      <c r="V95" s="89">
        <v>50.030999999999999</v>
      </c>
      <c r="W95" s="89">
        <v>49.743000000000002</v>
      </c>
      <c r="X95" s="89">
        <v>50.079000000000001</v>
      </c>
      <c r="Y95" s="89">
        <v>50.146999999999998</v>
      </c>
      <c r="Z95" s="89">
        <v>50.113999999999997</v>
      </c>
      <c r="AA95" s="89">
        <v>49.951999999999998</v>
      </c>
      <c r="AB95" s="89">
        <v>50.085999999999999</v>
      </c>
      <c r="AC95" s="89">
        <v>50.039000000000001</v>
      </c>
      <c r="AD95" s="89">
        <v>49.942999999999998</v>
      </c>
      <c r="AE95" s="89">
        <v>50.054000000000002</v>
      </c>
      <c r="AF95" s="89">
        <v>49.933999999999997</v>
      </c>
      <c r="AG95" s="90"/>
      <c r="AH95" s="48">
        <f t="shared" si="8"/>
        <v>50.183</v>
      </c>
      <c r="AI95" s="49">
        <f t="shared" si="9"/>
        <v>49.743000000000002</v>
      </c>
    </row>
    <row r="96" spans="1:37" x14ac:dyDescent="0.25">
      <c r="A96" s="91" t="s">
        <v>101</v>
      </c>
      <c r="B96" s="65">
        <v>127.6</v>
      </c>
      <c r="C96" s="65">
        <v>127.6</v>
      </c>
      <c r="D96" s="65">
        <v>128.19999999999999</v>
      </c>
      <c r="E96" s="65">
        <v>128.6</v>
      </c>
      <c r="F96" s="65">
        <v>127.8</v>
      </c>
      <c r="G96" s="65">
        <v>127.3</v>
      </c>
      <c r="H96" s="65">
        <v>125.9</v>
      </c>
      <c r="I96" s="65">
        <v>125.9</v>
      </c>
      <c r="J96" s="65">
        <v>125.9</v>
      </c>
      <c r="K96" s="65">
        <v>125.9</v>
      </c>
      <c r="L96" s="65">
        <v>124</v>
      </c>
      <c r="M96" s="65">
        <v>123.9</v>
      </c>
      <c r="N96" s="65">
        <v>124.1</v>
      </c>
      <c r="O96" s="65">
        <v>126.4</v>
      </c>
      <c r="P96" s="65">
        <v>123.2</v>
      </c>
      <c r="Q96" s="65">
        <v>125.8</v>
      </c>
      <c r="R96" s="65">
        <v>124.1</v>
      </c>
      <c r="S96" s="65">
        <v>123.8</v>
      </c>
      <c r="T96" s="65">
        <v>125.1</v>
      </c>
      <c r="U96" s="65">
        <v>126.4</v>
      </c>
      <c r="V96" s="65">
        <v>127.1</v>
      </c>
      <c r="W96" s="65">
        <v>126.1</v>
      </c>
      <c r="X96" s="65">
        <v>127.2</v>
      </c>
      <c r="Y96" s="65">
        <v>128</v>
      </c>
      <c r="Z96" s="65">
        <v>127.8</v>
      </c>
      <c r="AA96" s="65">
        <v>128.1</v>
      </c>
      <c r="AB96" s="65">
        <v>129.1</v>
      </c>
      <c r="AC96" s="65">
        <v>129.30000000000001</v>
      </c>
      <c r="AD96" s="65">
        <v>128.5</v>
      </c>
      <c r="AE96" s="65">
        <v>128.80000000000001</v>
      </c>
      <c r="AF96" s="65">
        <v>128.6</v>
      </c>
      <c r="AG96" s="92"/>
      <c r="AH96" s="48">
        <f t="shared" si="8"/>
        <v>129.30000000000001</v>
      </c>
      <c r="AI96" s="49">
        <f t="shared" si="9"/>
        <v>123.2</v>
      </c>
    </row>
    <row r="97" spans="1:35" x14ac:dyDescent="0.25">
      <c r="A97" s="91" t="s">
        <v>102</v>
      </c>
      <c r="B97" s="65">
        <v>131.5</v>
      </c>
      <c r="C97" s="65">
        <v>131.9</v>
      </c>
      <c r="D97" s="65">
        <v>132.19999999999999</v>
      </c>
      <c r="E97" s="65">
        <v>132.19999999999999</v>
      </c>
      <c r="F97" s="65">
        <v>131.9</v>
      </c>
      <c r="G97" s="65">
        <v>131.69999999999999</v>
      </c>
      <c r="H97" s="65">
        <v>130.1</v>
      </c>
      <c r="I97" s="65">
        <v>130.19999999999999</v>
      </c>
      <c r="J97" s="65">
        <v>130.19999999999999</v>
      </c>
      <c r="K97" s="65">
        <v>130.19999999999999</v>
      </c>
      <c r="L97" s="65">
        <v>126.8</v>
      </c>
      <c r="M97" s="65">
        <v>126.9</v>
      </c>
      <c r="N97" s="65">
        <v>126.3</v>
      </c>
      <c r="O97" s="65">
        <v>127.7</v>
      </c>
      <c r="P97" s="65">
        <v>125.6</v>
      </c>
      <c r="Q97" s="65">
        <v>128.1</v>
      </c>
      <c r="R97" s="65">
        <v>126.5</v>
      </c>
      <c r="S97" s="65">
        <v>126.5</v>
      </c>
      <c r="T97" s="65">
        <v>128.1</v>
      </c>
      <c r="U97" s="65">
        <v>128.5</v>
      </c>
      <c r="V97" s="65">
        <v>129.4</v>
      </c>
      <c r="W97" s="65">
        <v>128.1</v>
      </c>
      <c r="X97" s="65">
        <v>128.80000000000001</v>
      </c>
      <c r="Y97" s="65">
        <v>130.19999999999999</v>
      </c>
      <c r="Z97" s="65">
        <v>129.80000000000001</v>
      </c>
      <c r="AA97" s="65">
        <v>130</v>
      </c>
      <c r="AB97" s="65">
        <v>130.80000000000001</v>
      </c>
      <c r="AC97" s="65">
        <v>131.19999999999999</v>
      </c>
      <c r="AD97" s="65">
        <v>130.6</v>
      </c>
      <c r="AE97" s="65">
        <v>131.69999999999999</v>
      </c>
      <c r="AF97" s="65">
        <v>132.1</v>
      </c>
      <c r="AG97" s="92"/>
      <c r="AH97" s="48">
        <f t="shared" si="8"/>
        <v>132.19999999999999</v>
      </c>
      <c r="AI97" s="49">
        <f t="shared" si="9"/>
        <v>125.6</v>
      </c>
    </row>
    <row r="98" spans="1:35" x14ac:dyDescent="0.25">
      <c r="A98" s="91" t="s">
        <v>103</v>
      </c>
      <c r="B98" s="65">
        <v>131.5</v>
      </c>
      <c r="C98" s="65">
        <v>131.69999999999999</v>
      </c>
      <c r="D98" s="65">
        <v>132</v>
      </c>
      <c r="E98" s="65">
        <v>134</v>
      </c>
      <c r="F98" s="65">
        <v>130.19999999999999</v>
      </c>
      <c r="G98" s="65">
        <v>132.1</v>
      </c>
      <c r="H98" s="65">
        <v>130</v>
      </c>
      <c r="I98" s="65">
        <v>127.7</v>
      </c>
      <c r="J98" s="65">
        <v>127.7</v>
      </c>
      <c r="K98" s="65">
        <v>127.7</v>
      </c>
      <c r="L98" s="65">
        <v>125.7</v>
      </c>
      <c r="M98" s="65">
        <v>125.2</v>
      </c>
      <c r="N98" s="65">
        <v>127.5</v>
      </c>
      <c r="O98" s="65">
        <v>131.69999999999999</v>
      </c>
      <c r="P98" s="65">
        <v>131.69999999999999</v>
      </c>
      <c r="Q98" s="65">
        <v>130.9</v>
      </c>
      <c r="R98" s="65">
        <v>131.30000000000001</v>
      </c>
      <c r="S98" s="65">
        <v>129.69999999999999</v>
      </c>
      <c r="T98" s="65">
        <v>129.1</v>
      </c>
      <c r="U98" s="65">
        <v>129.30000000000001</v>
      </c>
      <c r="V98" s="65">
        <v>128.9</v>
      </c>
      <c r="W98" s="65">
        <v>125.3</v>
      </c>
      <c r="X98" s="65">
        <v>128.9</v>
      </c>
      <c r="Y98" s="65">
        <v>131.5</v>
      </c>
      <c r="Z98" s="65">
        <v>131.30000000000001</v>
      </c>
      <c r="AA98" s="65">
        <v>133</v>
      </c>
      <c r="AB98" s="65">
        <v>132.30000000000001</v>
      </c>
      <c r="AC98" s="65">
        <v>133.1</v>
      </c>
      <c r="AD98" s="65">
        <v>131.19999999999999</v>
      </c>
      <c r="AE98" s="65">
        <v>132.9</v>
      </c>
      <c r="AF98" s="65">
        <v>130.69999999999999</v>
      </c>
      <c r="AG98" s="92"/>
      <c r="AH98" s="48">
        <f t="shared" si="8"/>
        <v>134</v>
      </c>
      <c r="AI98" s="49">
        <f t="shared" si="9"/>
        <v>125.2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8"/>
        <v>0</v>
      </c>
      <c r="AI99" s="49">
        <f t="shared" si="9"/>
        <v>0</v>
      </c>
    </row>
    <row r="100" spans="1:35" x14ac:dyDescent="0.25">
      <c r="A100" s="93" t="s">
        <v>105</v>
      </c>
      <c r="B100" s="94">
        <v>133.30000000000001</v>
      </c>
      <c r="C100" s="94">
        <v>132.80000000000001</v>
      </c>
      <c r="D100" s="94">
        <v>133.6</v>
      </c>
      <c r="E100" s="94">
        <v>133.80000000000001</v>
      </c>
      <c r="F100" s="94">
        <v>133.30000000000001</v>
      </c>
      <c r="G100" s="94">
        <v>135</v>
      </c>
      <c r="H100" s="94">
        <v>134.1</v>
      </c>
      <c r="I100" s="94">
        <v>134.19999999999999</v>
      </c>
      <c r="J100" s="94">
        <v>134.19999999999999</v>
      </c>
      <c r="K100" s="94">
        <v>134.19999999999999</v>
      </c>
      <c r="L100" s="94">
        <v>131.19999999999999</v>
      </c>
      <c r="M100" s="94">
        <v>132.9</v>
      </c>
      <c r="N100" s="94">
        <v>131.4</v>
      </c>
      <c r="O100" s="94">
        <v>135.9</v>
      </c>
      <c r="P100" s="94">
        <v>134.1</v>
      </c>
      <c r="Q100" s="94">
        <v>135.1</v>
      </c>
      <c r="R100" s="94">
        <v>135.19999999999999</v>
      </c>
      <c r="S100" s="94">
        <v>134.1</v>
      </c>
      <c r="T100" s="94">
        <v>133</v>
      </c>
      <c r="U100" s="94">
        <v>134.1</v>
      </c>
      <c r="V100" s="94">
        <v>134</v>
      </c>
      <c r="W100" s="94">
        <v>132.9</v>
      </c>
      <c r="X100" s="94">
        <v>135.5</v>
      </c>
      <c r="Y100" s="94">
        <v>133.69999999999999</v>
      </c>
      <c r="Z100" s="94">
        <v>133.69999999999999</v>
      </c>
      <c r="AA100" s="94">
        <v>133.1</v>
      </c>
      <c r="AB100" s="94">
        <v>135.19999999999999</v>
      </c>
      <c r="AC100" s="94">
        <v>136.5</v>
      </c>
      <c r="AD100" s="94">
        <v>132.9</v>
      </c>
      <c r="AE100" s="94">
        <v>133.80000000000001</v>
      </c>
      <c r="AF100" s="94">
        <v>133.6</v>
      </c>
      <c r="AG100" s="95"/>
      <c r="AH100" s="48">
        <f t="shared" si="8"/>
        <v>136.5</v>
      </c>
      <c r="AI100" s="49">
        <f t="shared" si="9"/>
        <v>131.19999999999999</v>
      </c>
    </row>
    <row r="101" spans="1:35" x14ac:dyDescent="0.25">
      <c r="A101" s="91" t="s">
        <v>106</v>
      </c>
      <c r="B101" s="65">
        <v>129.6</v>
      </c>
      <c r="C101" s="65">
        <v>130</v>
      </c>
      <c r="D101" s="65">
        <v>134.19999999999999</v>
      </c>
      <c r="E101" s="65">
        <v>135.1</v>
      </c>
      <c r="F101" s="65">
        <v>134.4</v>
      </c>
      <c r="G101" s="65">
        <v>129.9</v>
      </c>
      <c r="H101" s="65">
        <v>131.80000000000001</v>
      </c>
      <c r="I101" s="65">
        <v>130.69999999999999</v>
      </c>
      <c r="J101" s="65">
        <v>130.69999999999999</v>
      </c>
      <c r="K101" s="65">
        <v>130.69999999999999</v>
      </c>
      <c r="L101" s="65">
        <v>125.7</v>
      </c>
      <c r="M101" s="65">
        <v>131.19999999999999</v>
      </c>
      <c r="N101" s="65">
        <v>138.30000000000001</v>
      </c>
      <c r="O101" s="65">
        <v>125.8</v>
      </c>
      <c r="P101" s="65">
        <v>124.8</v>
      </c>
      <c r="Q101" s="65">
        <v>131.9</v>
      </c>
      <c r="R101" s="65">
        <v>134.19999999999999</v>
      </c>
      <c r="S101" s="65">
        <v>127.3</v>
      </c>
      <c r="T101" s="65">
        <v>130.19999999999999</v>
      </c>
      <c r="U101" s="65">
        <v>131.9</v>
      </c>
      <c r="V101" s="65">
        <v>132.9</v>
      </c>
      <c r="W101" s="65">
        <v>130.30000000000001</v>
      </c>
      <c r="X101" s="65">
        <v>132.19999999999999</v>
      </c>
      <c r="Y101" s="65">
        <v>131.1</v>
      </c>
      <c r="Z101" s="65">
        <v>131.30000000000001</v>
      </c>
      <c r="AA101" s="65">
        <v>131.5</v>
      </c>
      <c r="AB101" s="65">
        <v>134.69999999999999</v>
      </c>
      <c r="AC101" s="65">
        <v>132</v>
      </c>
      <c r="AD101" s="65">
        <v>129.19999999999999</v>
      </c>
      <c r="AE101" s="65">
        <v>131.4</v>
      </c>
      <c r="AF101" s="65">
        <v>132.4</v>
      </c>
      <c r="AG101" s="92"/>
      <c r="AH101" s="48">
        <f t="shared" si="8"/>
        <v>138.30000000000001</v>
      </c>
      <c r="AI101" s="49">
        <f t="shared" si="9"/>
        <v>124.8</v>
      </c>
    </row>
    <row r="102" spans="1:35" ht="15.75" thickBot="1" x14ac:dyDescent="0.3">
      <c r="A102" s="91" t="s">
        <v>107</v>
      </c>
      <c r="B102" s="96">
        <v>66.2</v>
      </c>
      <c r="C102" s="96">
        <v>66.400000000000006</v>
      </c>
      <c r="D102" s="96">
        <v>66.599999999999994</v>
      </c>
      <c r="E102" s="96">
        <v>66.599999999999994</v>
      </c>
      <c r="F102" s="96">
        <v>66.3</v>
      </c>
      <c r="G102" s="96">
        <v>66.3</v>
      </c>
      <c r="H102" s="96">
        <v>65.5</v>
      </c>
      <c r="I102" s="96">
        <v>65.599999999999994</v>
      </c>
      <c r="J102" s="96">
        <v>65.599999999999994</v>
      </c>
      <c r="K102" s="96">
        <v>65.599999999999994</v>
      </c>
      <c r="L102" s="96">
        <v>63.8</v>
      </c>
      <c r="M102" s="96">
        <v>63.2</v>
      </c>
      <c r="N102" s="96">
        <v>63</v>
      </c>
      <c r="O102" s="96">
        <v>62.8</v>
      </c>
      <c r="P102" s="96">
        <v>62.4</v>
      </c>
      <c r="Q102" s="96">
        <v>64.099999999999994</v>
      </c>
      <c r="R102" s="96">
        <v>62.9</v>
      </c>
      <c r="S102" s="96">
        <v>63.5</v>
      </c>
      <c r="T102" s="96">
        <v>64.3</v>
      </c>
      <c r="U102" s="96">
        <v>64.400000000000006</v>
      </c>
      <c r="V102" s="96">
        <v>64.7</v>
      </c>
      <c r="W102" s="96">
        <v>64</v>
      </c>
      <c r="X102" s="96">
        <v>64.3</v>
      </c>
      <c r="Y102" s="96">
        <v>65.2</v>
      </c>
      <c r="Z102" s="96">
        <v>65</v>
      </c>
      <c r="AA102" s="96">
        <v>65.099999999999994</v>
      </c>
      <c r="AB102" s="96">
        <v>65.3</v>
      </c>
      <c r="AC102" s="96">
        <v>65.400000000000006</v>
      </c>
      <c r="AD102" s="96">
        <v>65.5</v>
      </c>
      <c r="AE102" s="96">
        <v>66.2</v>
      </c>
      <c r="AF102" s="96">
        <v>66.400000000000006</v>
      </c>
      <c r="AG102" s="97"/>
      <c r="AH102" s="48">
        <f t="shared" si="8"/>
        <v>66.599999999999994</v>
      </c>
      <c r="AI102" s="49">
        <f t="shared" si="9"/>
        <v>62.4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8"/>
        <v>0</v>
      </c>
      <c r="AI103" s="49">
        <f t="shared" si="9"/>
        <v>0</v>
      </c>
    </row>
    <row r="104" spans="1:35" ht="15.75" thickBot="1" x14ac:dyDescent="0.3">
      <c r="A104" s="99" t="s">
        <v>108</v>
      </c>
      <c r="B104" s="100">
        <f t="shared" ref="B104:AF104" si="29">SUM(B16,B22,B25:B26,B52,B54:B55,B57,B59,B105:B109,B131,B137,B143,B152,B154,B166,B173,B176:B177,B184,B186,B188,B192:B194,B196:B198,B203,B209:B210,B212:B214,B222,B227)</f>
        <v>108.999</v>
      </c>
      <c r="C104" s="100">
        <f t="shared" si="29"/>
        <v>96.739000000000004</v>
      </c>
      <c r="D104" s="100">
        <f t="shared" si="29"/>
        <v>96.138999999999982</v>
      </c>
      <c r="E104" s="100">
        <f t="shared" si="29"/>
        <v>89.438999999999979</v>
      </c>
      <c r="F104" s="100">
        <f t="shared" si="29"/>
        <v>93.83899999999997</v>
      </c>
      <c r="G104" s="100">
        <f t="shared" si="29"/>
        <v>123.93900000000001</v>
      </c>
      <c r="H104" s="100">
        <f t="shared" si="29"/>
        <v>171.83900000000003</v>
      </c>
      <c r="I104" s="100">
        <f t="shared" si="29"/>
        <v>196.53899999999999</v>
      </c>
      <c r="J104" s="100">
        <f t="shared" si="29"/>
        <v>338.43900000000002</v>
      </c>
      <c r="K104" s="100">
        <f t="shared" si="29"/>
        <v>338.83800000000002</v>
      </c>
      <c r="L104" s="100">
        <f t="shared" si="29"/>
        <v>324.13799999999998</v>
      </c>
      <c r="M104" s="100">
        <f t="shared" si="29"/>
        <v>335.839</v>
      </c>
      <c r="N104" s="100">
        <f t="shared" si="29"/>
        <v>331.43900000000002</v>
      </c>
      <c r="O104" s="100">
        <f t="shared" si="29"/>
        <v>274.339</v>
      </c>
      <c r="P104" s="100">
        <f t="shared" si="29"/>
        <v>294.83899999999994</v>
      </c>
      <c r="Q104" s="100">
        <f t="shared" si="29"/>
        <v>284.19900000000001</v>
      </c>
      <c r="R104" s="100">
        <f t="shared" si="29"/>
        <v>256.19899999999996</v>
      </c>
      <c r="S104" s="100">
        <f t="shared" si="29"/>
        <v>260.79899999999998</v>
      </c>
      <c r="T104" s="100">
        <f t="shared" si="29"/>
        <v>234.79900000000001</v>
      </c>
      <c r="U104" s="100">
        <f t="shared" si="29"/>
        <v>220.999</v>
      </c>
      <c r="V104" s="100">
        <f t="shared" si="29"/>
        <v>298.79899999999998</v>
      </c>
      <c r="W104" s="100">
        <f t="shared" si="29"/>
        <v>333.39899999999994</v>
      </c>
      <c r="X104" s="100">
        <f t="shared" si="29"/>
        <v>376.69899999999996</v>
      </c>
      <c r="Y104" s="100">
        <f t="shared" si="29"/>
        <v>376.69899999999996</v>
      </c>
      <c r="Z104" s="100">
        <f t="shared" si="29"/>
        <v>356.29899999999998</v>
      </c>
      <c r="AA104" s="100">
        <f t="shared" si="29"/>
        <v>328.899</v>
      </c>
      <c r="AB104" s="100">
        <f t="shared" si="29"/>
        <v>335.69900000000001</v>
      </c>
      <c r="AC104" s="100">
        <f t="shared" si="29"/>
        <v>340.99900000000002</v>
      </c>
      <c r="AD104" s="100">
        <f t="shared" si="29"/>
        <v>296.09899999999999</v>
      </c>
      <c r="AE104" s="100">
        <f t="shared" si="29"/>
        <v>213.99900000000002</v>
      </c>
      <c r="AF104" s="100">
        <f t="shared" si="29"/>
        <v>151.999</v>
      </c>
      <c r="AG104" s="101"/>
      <c r="AH104" s="48">
        <f t="shared" si="8"/>
        <v>376.69899999999996</v>
      </c>
      <c r="AI104" s="49">
        <f t="shared" si="9"/>
        <v>89.438999999999979</v>
      </c>
    </row>
    <row r="105" spans="1:35" x14ac:dyDescent="0.25">
      <c r="A105" s="88" t="s">
        <v>109</v>
      </c>
      <c r="B105" s="102">
        <v>11</v>
      </c>
      <c r="C105" s="102">
        <v>6</v>
      </c>
      <c r="D105" s="102">
        <v>10.3</v>
      </c>
      <c r="E105" s="102">
        <v>5.9</v>
      </c>
      <c r="F105" s="102">
        <v>3</v>
      </c>
      <c r="G105" s="102">
        <v>17.3</v>
      </c>
      <c r="H105" s="102">
        <v>32.9</v>
      </c>
      <c r="I105" s="102">
        <v>37.200000000000003</v>
      </c>
      <c r="J105" s="102">
        <v>37.200000000000003</v>
      </c>
      <c r="K105" s="102">
        <v>37.200000000000003</v>
      </c>
      <c r="L105" s="102">
        <v>22.5</v>
      </c>
      <c r="M105" s="102">
        <v>18.600000000000001</v>
      </c>
      <c r="N105" s="102">
        <v>26.4</v>
      </c>
      <c r="O105" s="102">
        <v>47.4</v>
      </c>
      <c r="P105" s="102">
        <v>46.6</v>
      </c>
      <c r="Q105" s="102">
        <v>35</v>
      </c>
      <c r="R105" s="102">
        <v>36.4</v>
      </c>
      <c r="S105" s="102">
        <v>34.9</v>
      </c>
      <c r="T105" s="102">
        <v>23</v>
      </c>
      <c r="U105" s="102">
        <v>22.9</v>
      </c>
      <c r="V105" s="102">
        <v>37.700000000000003</v>
      </c>
      <c r="W105" s="102">
        <v>40.299999999999997</v>
      </c>
      <c r="X105" s="102">
        <v>36</v>
      </c>
      <c r="Y105" s="102">
        <v>36</v>
      </c>
      <c r="Z105" s="102">
        <v>41.3</v>
      </c>
      <c r="AA105" s="102">
        <v>40.299999999999997</v>
      </c>
      <c r="AB105" s="102">
        <v>40.700000000000003</v>
      </c>
      <c r="AC105" s="102">
        <v>41.2</v>
      </c>
      <c r="AD105" s="102">
        <v>32.6</v>
      </c>
      <c r="AE105" s="102">
        <v>26</v>
      </c>
      <c r="AF105" s="102">
        <v>9.1999999999999993</v>
      </c>
      <c r="AG105" s="103">
        <v>75</v>
      </c>
      <c r="AH105" s="48">
        <f t="shared" si="8"/>
        <v>47.4</v>
      </c>
      <c r="AI105" s="49">
        <f t="shared" si="9"/>
        <v>3</v>
      </c>
    </row>
    <row r="106" spans="1:35" x14ac:dyDescent="0.25">
      <c r="A106" s="91" t="s">
        <v>110</v>
      </c>
      <c r="B106" s="104">
        <v>20.100000000000001</v>
      </c>
      <c r="C106" s="104">
        <v>13.4</v>
      </c>
      <c r="D106" s="104">
        <v>19.2</v>
      </c>
      <c r="E106" s="104">
        <v>14.1</v>
      </c>
      <c r="F106" s="104">
        <v>10.6</v>
      </c>
      <c r="G106" s="104">
        <v>31</v>
      </c>
      <c r="H106" s="104">
        <v>51.9</v>
      </c>
      <c r="I106" s="104">
        <v>59.1</v>
      </c>
      <c r="J106" s="104">
        <v>35.5</v>
      </c>
      <c r="K106" s="104">
        <v>35.5</v>
      </c>
      <c r="L106" s="104">
        <v>35.5</v>
      </c>
      <c r="M106" s="104">
        <v>30.7</v>
      </c>
      <c r="N106" s="104">
        <v>41</v>
      </c>
      <c r="O106" s="104">
        <v>65.5</v>
      </c>
      <c r="P106" s="104">
        <v>67.7</v>
      </c>
      <c r="Q106" s="104">
        <v>50.6</v>
      </c>
      <c r="R106" s="104">
        <v>53.2</v>
      </c>
      <c r="S106" s="104">
        <v>54.6</v>
      </c>
      <c r="T106" s="104">
        <v>37.200000000000003</v>
      </c>
      <c r="U106" s="104">
        <v>33.799999999999997</v>
      </c>
      <c r="V106" s="104">
        <v>50.6</v>
      </c>
      <c r="W106" s="104">
        <v>53.5</v>
      </c>
      <c r="X106" s="104">
        <v>49.1</v>
      </c>
      <c r="Y106" s="104">
        <v>49.1</v>
      </c>
      <c r="Z106" s="104">
        <v>56</v>
      </c>
      <c r="AA106" s="104">
        <v>56</v>
      </c>
      <c r="AB106" s="104">
        <v>55.9</v>
      </c>
      <c r="AC106" s="104">
        <v>56.9</v>
      </c>
      <c r="AD106" s="104">
        <v>43.6</v>
      </c>
      <c r="AE106" s="104">
        <v>35.299999999999997</v>
      </c>
      <c r="AF106" s="104">
        <v>14.6</v>
      </c>
      <c r="AG106" s="103">
        <v>240</v>
      </c>
      <c r="AH106" s="48">
        <f t="shared" si="8"/>
        <v>67.7</v>
      </c>
      <c r="AI106" s="49">
        <f t="shared" si="9"/>
        <v>10.6</v>
      </c>
    </row>
    <row r="107" spans="1:35" x14ac:dyDescent="0.25">
      <c r="A107" s="91" t="s">
        <v>111</v>
      </c>
      <c r="B107" s="104">
        <v>-90</v>
      </c>
      <c r="C107" s="104">
        <v>-90</v>
      </c>
      <c r="D107" s="104">
        <v>-95</v>
      </c>
      <c r="E107" s="104">
        <v>-91.2</v>
      </c>
      <c r="F107" s="104">
        <v>-87</v>
      </c>
      <c r="G107" s="104">
        <v>-89.3</v>
      </c>
      <c r="H107" s="104">
        <v>-83.6</v>
      </c>
      <c r="I107" s="104">
        <v>-76.5</v>
      </c>
      <c r="J107" s="104">
        <v>-26</v>
      </c>
      <c r="K107" s="104">
        <v>-26</v>
      </c>
      <c r="L107" s="104">
        <v>-26</v>
      </c>
      <c r="M107" s="104">
        <f>-11.2-4.2</f>
        <v>-15.399999999999999</v>
      </c>
      <c r="N107" s="104">
        <f>-5.5-2.2</f>
        <v>-7.7</v>
      </c>
      <c r="O107" s="104">
        <f>-21-13.3</f>
        <v>-34.299999999999997</v>
      </c>
      <c r="P107" s="104">
        <f>-10-3.3</f>
        <v>-13.3</v>
      </c>
      <c r="Q107" s="104">
        <v>15.8</v>
      </c>
      <c r="R107" s="104">
        <f>6+11.2</f>
        <v>17.2</v>
      </c>
      <c r="S107" s="104">
        <v>-12</v>
      </c>
      <c r="T107" s="104">
        <v>-14</v>
      </c>
      <c r="U107" s="104">
        <v>-30</v>
      </c>
      <c r="V107" s="104">
        <v>-33</v>
      </c>
      <c r="W107" s="104">
        <v>-39.9</v>
      </c>
      <c r="X107" s="104">
        <v>-14</v>
      </c>
      <c r="Y107" s="104">
        <v>-14</v>
      </c>
      <c r="Z107" s="104">
        <v>-19</v>
      </c>
      <c r="AA107" s="104">
        <v>-51.9</v>
      </c>
      <c r="AB107" s="104">
        <f>-2.1-12.4</f>
        <v>-14.5</v>
      </c>
      <c r="AC107" s="104">
        <f>-5-14</f>
        <v>-19</v>
      </c>
      <c r="AD107" s="104">
        <f>-7.1-12</f>
        <v>-19.100000000000001</v>
      </c>
      <c r="AE107" s="104">
        <f>-24-25</f>
        <v>-49</v>
      </c>
      <c r="AF107" s="104">
        <f>-30-33</f>
        <v>-63</v>
      </c>
      <c r="AG107" s="103">
        <v>240</v>
      </c>
      <c r="AH107" s="48">
        <f t="shared" si="8"/>
        <v>17.2</v>
      </c>
      <c r="AI107" s="49">
        <f t="shared" si="9"/>
        <v>-95</v>
      </c>
    </row>
    <row r="108" spans="1:35" x14ac:dyDescent="0.25">
      <c r="A108" s="91" t="s">
        <v>112</v>
      </c>
      <c r="B108" s="104">
        <v>-7.1</v>
      </c>
      <c r="C108" s="104">
        <v>-6.4</v>
      </c>
      <c r="D108" s="104">
        <v>-5.9</v>
      </c>
      <c r="E108" s="104">
        <v>-10.199999999999999</v>
      </c>
      <c r="F108" s="104">
        <v>-8.3000000000000007</v>
      </c>
      <c r="G108" s="104">
        <v>-5.2</v>
      </c>
      <c r="H108" s="104">
        <v>-3.1</v>
      </c>
      <c r="I108" s="104">
        <v>-2.2000000000000002</v>
      </c>
      <c r="J108" s="104">
        <v>45.9</v>
      </c>
      <c r="K108" s="104">
        <v>45.9</v>
      </c>
      <c r="L108" s="104">
        <v>45.9</v>
      </c>
      <c r="M108" s="104">
        <v>52</v>
      </c>
      <c r="N108" s="104">
        <v>52.1</v>
      </c>
      <c r="O108" s="104">
        <v>56.3</v>
      </c>
      <c r="P108" s="104">
        <v>54.4</v>
      </c>
      <c r="Q108" s="104">
        <v>44.6</v>
      </c>
      <c r="R108" s="104">
        <v>11.2</v>
      </c>
      <c r="S108" s="104">
        <v>41.1</v>
      </c>
      <c r="T108" s="104">
        <v>46.4</v>
      </c>
      <c r="U108" s="104">
        <v>56.1</v>
      </c>
      <c r="V108" s="104">
        <v>51.6</v>
      </c>
      <c r="W108" s="104">
        <v>54.3</v>
      </c>
      <c r="X108" s="104">
        <v>59.6</v>
      </c>
      <c r="Y108" s="104">
        <v>59.6</v>
      </c>
      <c r="Z108" s="104">
        <v>49.5</v>
      </c>
      <c r="AA108" s="104">
        <v>58.3</v>
      </c>
      <c r="AB108" s="104">
        <v>58.4</v>
      </c>
      <c r="AC108" s="104">
        <v>57</v>
      </c>
      <c r="AD108" s="104">
        <v>38.299999999999997</v>
      </c>
      <c r="AE108" s="104">
        <v>13.1</v>
      </c>
      <c r="AF108" s="104">
        <v>3.2</v>
      </c>
      <c r="AG108" s="103">
        <v>60</v>
      </c>
      <c r="AH108" s="48">
        <f t="shared" si="8"/>
        <v>59.6</v>
      </c>
      <c r="AI108" s="49">
        <f t="shared" si="9"/>
        <v>-10.199999999999999</v>
      </c>
    </row>
    <row r="109" spans="1:35" x14ac:dyDescent="0.25">
      <c r="A109" s="105" t="s">
        <v>113</v>
      </c>
      <c r="B109" s="106">
        <v>37.9</v>
      </c>
      <c r="C109" s="106">
        <v>35.700000000000003</v>
      </c>
      <c r="D109" s="106">
        <v>29.5</v>
      </c>
      <c r="E109" s="106">
        <v>33.200000000000003</v>
      </c>
      <c r="F109" s="106">
        <v>37.9</v>
      </c>
      <c r="G109" s="106">
        <v>30.8</v>
      </c>
      <c r="H109" s="106">
        <v>34.4</v>
      </c>
      <c r="I109" s="106">
        <v>40.1</v>
      </c>
      <c r="J109" s="106">
        <v>107</v>
      </c>
      <c r="K109" s="106">
        <v>107</v>
      </c>
      <c r="L109" s="106">
        <v>107</v>
      </c>
      <c r="M109" s="106">
        <v>110.5</v>
      </c>
      <c r="N109" s="106">
        <v>80.2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53.7</v>
      </c>
      <c r="W109" s="106">
        <v>87</v>
      </c>
      <c r="X109" s="106">
        <v>109.1</v>
      </c>
      <c r="Y109" s="106">
        <v>109.1</v>
      </c>
      <c r="Z109" s="106">
        <v>91.6</v>
      </c>
      <c r="AA109" s="106">
        <v>89.3</v>
      </c>
      <c r="AB109" s="106">
        <v>58.3</v>
      </c>
      <c r="AC109" s="106">
        <v>69</v>
      </c>
      <c r="AD109" s="106">
        <v>64.8</v>
      </c>
      <c r="AE109" s="106">
        <v>52.7</v>
      </c>
      <c r="AF109" s="106">
        <v>52.1</v>
      </c>
      <c r="AG109" s="107">
        <v>120</v>
      </c>
      <c r="AH109" s="48">
        <f t="shared" si="8"/>
        <v>110.5</v>
      </c>
      <c r="AI109" s="49">
        <f t="shared" si="9"/>
        <v>0</v>
      </c>
    </row>
    <row r="110" spans="1:35" x14ac:dyDescent="0.25">
      <c r="A110" s="105" t="s">
        <v>115</v>
      </c>
      <c r="B110" s="106">
        <v>51.2</v>
      </c>
      <c r="C110" s="106">
        <v>50</v>
      </c>
      <c r="D110" s="106">
        <v>42</v>
      </c>
      <c r="E110" s="106">
        <v>44.5</v>
      </c>
      <c r="F110" s="106">
        <v>49.2</v>
      </c>
      <c r="G110" s="106">
        <v>43.9</v>
      </c>
      <c r="H110" s="106">
        <v>42.4</v>
      </c>
      <c r="I110" s="106">
        <v>43.8</v>
      </c>
      <c r="J110" s="106">
        <v>102</v>
      </c>
      <c r="K110" s="106">
        <v>102</v>
      </c>
      <c r="L110" s="106">
        <v>102</v>
      </c>
      <c r="M110" s="106">
        <v>101.8</v>
      </c>
      <c r="N110" s="106">
        <v>97</v>
      </c>
      <c r="O110" s="106">
        <v>63</v>
      </c>
      <c r="P110" s="106">
        <v>90.5</v>
      </c>
      <c r="Q110" s="106">
        <v>99.7</v>
      </c>
      <c r="R110" s="106">
        <v>106</v>
      </c>
      <c r="S110" s="106">
        <v>87.7</v>
      </c>
      <c r="T110" s="106">
        <v>87.6</v>
      </c>
      <c r="U110" s="106">
        <v>83.1</v>
      </c>
      <c r="V110" s="106">
        <v>53.2</v>
      </c>
      <c r="W110" s="106">
        <v>54.3</v>
      </c>
      <c r="X110" s="106">
        <v>60.3</v>
      </c>
      <c r="Y110" s="106">
        <v>60.3</v>
      </c>
      <c r="Z110" s="106">
        <v>48.7</v>
      </c>
      <c r="AA110" s="106">
        <v>38</v>
      </c>
      <c r="AB110" s="106">
        <v>33.200000000000003</v>
      </c>
      <c r="AC110" s="106">
        <v>25</v>
      </c>
      <c r="AD110" s="106">
        <v>47</v>
      </c>
      <c r="AE110" s="106">
        <v>56.8</v>
      </c>
      <c r="AF110" s="106">
        <v>58.3</v>
      </c>
      <c r="AG110" s="107"/>
      <c r="AH110" s="48">
        <f t="shared" si="8"/>
        <v>106</v>
      </c>
      <c r="AI110" s="49">
        <f t="shared" si="9"/>
        <v>25</v>
      </c>
    </row>
    <row r="111" spans="1:35" x14ac:dyDescent="0.25">
      <c r="A111" s="105" t="s">
        <v>116</v>
      </c>
      <c r="B111" s="106">
        <v>52.1</v>
      </c>
      <c r="C111" s="106">
        <v>56.9</v>
      </c>
      <c r="D111" s="106">
        <v>56.7</v>
      </c>
      <c r="E111" s="106">
        <v>52.1</v>
      </c>
      <c r="F111" s="106">
        <v>55.8</v>
      </c>
      <c r="G111" s="106">
        <v>54.5</v>
      </c>
      <c r="H111" s="106">
        <v>22</v>
      </c>
      <c r="I111" s="106">
        <v>15.9</v>
      </c>
      <c r="J111" s="106">
        <v>54.1</v>
      </c>
      <c r="K111" s="106">
        <v>54.1</v>
      </c>
      <c r="L111" s="106">
        <v>54.1</v>
      </c>
      <c r="M111" s="106">
        <v>50.7</v>
      </c>
      <c r="N111" s="106">
        <v>30.6</v>
      </c>
      <c r="O111" s="106">
        <v>5</v>
      </c>
      <c r="P111" s="106">
        <v>-5.3</v>
      </c>
      <c r="Q111" s="106">
        <v>14</v>
      </c>
      <c r="R111" s="106">
        <v>7.6</v>
      </c>
      <c r="S111" s="106">
        <v>6.3</v>
      </c>
      <c r="T111" s="106">
        <v>27.4</v>
      </c>
      <c r="U111" s="106">
        <v>24.2</v>
      </c>
      <c r="V111" s="106">
        <v>12</v>
      </c>
      <c r="W111" s="106">
        <v>16.899999999999999</v>
      </c>
      <c r="X111" s="106">
        <v>33.200000000000003</v>
      </c>
      <c r="Y111" s="106">
        <v>33.200000000000003</v>
      </c>
      <c r="Z111" s="106">
        <v>25.1</v>
      </c>
      <c r="AA111" s="106">
        <v>31.4</v>
      </c>
      <c r="AB111" s="106">
        <v>26.1</v>
      </c>
      <c r="AC111" s="106">
        <v>24.2</v>
      </c>
      <c r="AD111" s="106">
        <v>31</v>
      </c>
      <c r="AE111" s="106">
        <v>26.7</v>
      </c>
      <c r="AF111" s="106">
        <v>43.8</v>
      </c>
      <c r="AG111" s="108"/>
      <c r="AH111" s="48">
        <f t="shared" si="8"/>
        <v>56.9</v>
      </c>
      <c r="AI111" s="49">
        <f t="shared" si="9"/>
        <v>-5.3</v>
      </c>
    </row>
    <row r="112" spans="1:35" x14ac:dyDescent="0.25">
      <c r="A112" s="109" t="s">
        <v>117</v>
      </c>
      <c r="B112" s="94">
        <v>44.3</v>
      </c>
      <c r="C112" s="94">
        <v>44.5</v>
      </c>
      <c r="D112" s="94">
        <v>46.4</v>
      </c>
      <c r="E112" s="94">
        <v>48.8</v>
      </c>
      <c r="F112" s="94">
        <v>48.5</v>
      </c>
      <c r="G112" s="94">
        <v>42</v>
      </c>
      <c r="H112" s="94">
        <v>31.4</v>
      </c>
      <c r="I112" s="94">
        <v>23.4</v>
      </c>
      <c r="J112" s="94">
        <v>-6.3</v>
      </c>
      <c r="K112" s="94">
        <v>-6.3</v>
      </c>
      <c r="L112" s="94">
        <v>-6.3</v>
      </c>
      <c r="M112" s="94">
        <v>14.7</v>
      </c>
      <c r="N112" s="94">
        <v>3.2</v>
      </c>
      <c r="O112" s="94">
        <v>7</v>
      </c>
      <c r="P112" s="94">
        <v>1.1000000000000001</v>
      </c>
      <c r="Q112" s="94">
        <v>17.5</v>
      </c>
      <c r="R112" s="94">
        <v>25.6</v>
      </c>
      <c r="S112" s="94">
        <v>9.5</v>
      </c>
      <c r="T112" s="94">
        <v>-7.4</v>
      </c>
      <c r="U112" s="94">
        <v>0</v>
      </c>
      <c r="V112" s="94">
        <v>-18.2</v>
      </c>
      <c r="W112" s="94">
        <v>-39.6</v>
      </c>
      <c r="X112" s="94">
        <v>-34.200000000000003</v>
      </c>
      <c r="Y112" s="94">
        <v>-34.200000000000003</v>
      </c>
      <c r="Z112" s="94">
        <v>-8.8000000000000007</v>
      </c>
      <c r="AA112" s="94">
        <v>-1.8</v>
      </c>
      <c r="AB112" s="94">
        <v>8.1</v>
      </c>
      <c r="AC112" s="94">
        <v>12.3</v>
      </c>
      <c r="AD112" s="94">
        <v>22</v>
      </c>
      <c r="AE112" s="94">
        <v>33.5</v>
      </c>
      <c r="AF112" s="94">
        <v>41</v>
      </c>
      <c r="AG112" s="108"/>
      <c r="AH112" s="48">
        <f t="shared" si="8"/>
        <v>48.8</v>
      </c>
      <c r="AI112" s="49">
        <f t="shared" si="9"/>
        <v>-39.6</v>
      </c>
    </row>
    <row r="113" spans="1:37" ht="15.75" thickBot="1" x14ac:dyDescent="0.3">
      <c r="A113" s="109" t="s">
        <v>118</v>
      </c>
      <c r="B113" s="94">
        <v>52</v>
      </c>
      <c r="C113" s="94">
        <v>53.6</v>
      </c>
      <c r="D113" s="94">
        <v>57.8</v>
      </c>
      <c r="E113" s="94">
        <v>55.2</v>
      </c>
      <c r="F113" s="94">
        <v>48.8</v>
      </c>
      <c r="G113" s="94">
        <v>55.4</v>
      </c>
      <c r="H113" s="94">
        <v>61</v>
      </c>
      <c r="I113" s="94">
        <v>57.7</v>
      </c>
      <c r="J113" s="94">
        <v>11.3</v>
      </c>
      <c r="K113" s="94">
        <v>11.3</v>
      </c>
      <c r="L113" s="94">
        <v>11.3</v>
      </c>
      <c r="M113" s="94">
        <v>7.9</v>
      </c>
      <c r="N113" s="94">
        <v>22</v>
      </c>
      <c r="O113" s="94">
        <v>10</v>
      </c>
      <c r="P113" s="94">
        <v>28.9</v>
      </c>
      <c r="Q113" s="94">
        <v>15.2</v>
      </c>
      <c r="R113" s="94">
        <v>-3.1</v>
      </c>
      <c r="S113" s="94">
        <v>11.3</v>
      </c>
      <c r="T113" s="94">
        <v>7</v>
      </c>
      <c r="U113" s="94">
        <v>5.0999999999999996</v>
      </c>
      <c r="V113" s="94">
        <v>29.4</v>
      </c>
      <c r="W113" s="94">
        <v>23.8</v>
      </c>
      <c r="X113" s="94">
        <v>2</v>
      </c>
      <c r="Y113" s="94">
        <v>2</v>
      </c>
      <c r="Z113" s="94">
        <v>15.7</v>
      </c>
      <c r="AA113" s="94">
        <v>37.4</v>
      </c>
      <c r="AB113" s="94">
        <v>42</v>
      </c>
      <c r="AC113" s="94">
        <v>45.7</v>
      </c>
      <c r="AD113" s="94">
        <v>28</v>
      </c>
      <c r="AE113" s="94">
        <v>32.4</v>
      </c>
      <c r="AF113" s="94">
        <v>32.5</v>
      </c>
      <c r="AG113" s="108"/>
      <c r="AH113" s="48">
        <f t="shared" si="8"/>
        <v>61</v>
      </c>
      <c r="AI113" s="49">
        <f t="shared" si="9"/>
        <v>-3.1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30">SUM(B115:B219)</f>
        <v>0</v>
      </c>
      <c r="C220" s="125">
        <f t="shared" si="30"/>
        <v>0</v>
      </c>
      <c r="D220" s="125">
        <f t="shared" si="30"/>
        <v>0</v>
      </c>
      <c r="E220" s="125">
        <f t="shared" si="30"/>
        <v>0</v>
      </c>
      <c r="F220" s="125">
        <f t="shared" si="30"/>
        <v>0</v>
      </c>
      <c r="G220" s="125">
        <f t="shared" si="30"/>
        <v>0</v>
      </c>
      <c r="H220" s="125">
        <f t="shared" si="30"/>
        <v>0</v>
      </c>
      <c r="I220" s="125">
        <f t="shared" si="30"/>
        <v>0</v>
      </c>
      <c r="J220" s="125">
        <f t="shared" si="30"/>
        <v>0</v>
      </c>
      <c r="K220" s="125">
        <f t="shared" si="30"/>
        <v>0</v>
      </c>
      <c r="L220" s="125">
        <f t="shared" si="30"/>
        <v>0</v>
      </c>
      <c r="M220" s="125">
        <f t="shared" si="30"/>
        <v>0</v>
      </c>
      <c r="N220" s="125">
        <f t="shared" si="30"/>
        <v>0</v>
      </c>
      <c r="O220" s="125">
        <f t="shared" si="30"/>
        <v>0</v>
      </c>
      <c r="P220" s="125">
        <f t="shared" si="30"/>
        <v>0</v>
      </c>
      <c r="Q220" s="125">
        <f t="shared" si="30"/>
        <v>0</v>
      </c>
      <c r="R220" s="125">
        <f t="shared" si="30"/>
        <v>0</v>
      </c>
      <c r="S220" s="125">
        <f t="shared" si="30"/>
        <v>0</v>
      </c>
      <c r="T220" s="125">
        <f t="shared" si="30"/>
        <v>0</v>
      </c>
      <c r="U220" s="125">
        <f t="shared" si="30"/>
        <v>0</v>
      </c>
      <c r="V220" s="125">
        <f t="shared" si="30"/>
        <v>0</v>
      </c>
      <c r="W220" s="125">
        <f t="shared" si="30"/>
        <v>0</v>
      </c>
      <c r="X220" s="125">
        <f t="shared" si="30"/>
        <v>0</v>
      </c>
      <c r="Y220" s="125">
        <f t="shared" si="30"/>
        <v>0</v>
      </c>
      <c r="Z220" s="125">
        <f t="shared" si="30"/>
        <v>0</v>
      </c>
      <c r="AA220" s="125">
        <f t="shared" si="30"/>
        <v>0</v>
      </c>
      <c r="AB220" s="125">
        <f t="shared" si="30"/>
        <v>0</v>
      </c>
      <c r="AC220" s="125">
        <f t="shared" si="30"/>
        <v>0</v>
      </c>
      <c r="AD220" s="125">
        <f t="shared" si="30"/>
        <v>0</v>
      </c>
      <c r="AE220" s="125">
        <f t="shared" si="30"/>
        <v>0</v>
      </c>
      <c r="AF220" s="126">
        <f t="shared" si="30"/>
        <v>0</v>
      </c>
      <c r="AG220" s="127">
        <f t="shared" si="30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31">AF222</f>
        <v>0</v>
      </c>
      <c r="C222" s="129">
        <v>0.3</v>
      </c>
      <c r="D222" s="129">
        <f t="shared" ref="D222:P227" si="32">C222</f>
        <v>0.3</v>
      </c>
      <c r="E222" s="129">
        <f t="shared" si="32"/>
        <v>0.3</v>
      </c>
      <c r="F222" s="129">
        <f t="shared" si="32"/>
        <v>0.3</v>
      </c>
      <c r="G222" s="129">
        <f t="shared" si="32"/>
        <v>0.3</v>
      </c>
      <c r="H222" s="129">
        <f t="shared" si="32"/>
        <v>0.3</v>
      </c>
      <c r="I222" s="129">
        <f t="shared" si="32"/>
        <v>0.3</v>
      </c>
      <c r="J222" s="129">
        <f t="shared" si="32"/>
        <v>0.3</v>
      </c>
      <c r="K222" s="129">
        <f t="shared" si="32"/>
        <v>0.3</v>
      </c>
      <c r="L222" s="129">
        <f t="shared" si="32"/>
        <v>0.3</v>
      </c>
      <c r="M222" s="129">
        <f t="shared" si="32"/>
        <v>0.3</v>
      </c>
      <c r="N222" s="129">
        <f t="shared" si="32"/>
        <v>0.3</v>
      </c>
      <c r="O222" s="129">
        <f t="shared" si="32"/>
        <v>0.3</v>
      </c>
      <c r="P222" s="129">
        <f t="shared" si="32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31"/>
        <v>0</v>
      </c>
      <c r="C223" s="117">
        <v>0.4</v>
      </c>
      <c r="D223" s="117">
        <f t="shared" si="32"/>
        <v>0.4</v>
      </c>
      <c r="E223" s="117">
        <f t="shared" si="32"/>
        <v>0.4</v>
      </c>
      <c r="F223" s="117">
        <f t="shared" si="32"/>
        <v>0.4</v>
      </c>
      <c r="G223" s="117">
        <f t="shared" si="32"/>
        <v>0.4</v>
      </c>
      <c r="H223" s="117">
        <f t="shared" si="32"/>
        <v>0.4</v>
      </c>
      <c r="I223" s="117">
        <f t="shared" si="32"/>
        <v>0.4</v>
      </c>
      <c r="J223" s="117">
        <f t="shared" si="32"/>
        <v>0.4</v>
      </c>
      <c r="K223" s="117">
        <f t="shared" si="32"/>
        <v>0.4</v>
      </c>
      <c r="L223" s="117">
        <f t="shared" si="32"/>
        <v>0.4</v>
      </c>
      <c r="M223" s="117">
        <f t="shared" si="32"/>
        <v>0.4</v>
      </c>
      <c r="N223" s="117">
        <f t="shared" si="32"/>
        <v>0.4</v>
      </c>
      <c r="O223" s="117">
        <f t="shared" si="32"/>
        <v>0.4</v>
      </c>
      <c r="P223" s="117">
        <f t="shared" si="32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31"/>
        <v>0</v>
      </c>
      <c r="C224" s="117">
        <v>1.5</v>
      </c>
      <c r="D224" s="117">
        <f t="shared" si="32"/>
        <v>1.5</v>
      </c>
      <c r="E224" s="117">
        <f t="shared" si="32"/>
        <v>1.5</v>
      </c>
      <c r="F224" s="117">
        <f t="shared" si="32"/>
        <v>1.5</v>
      </c>
      <c r="G224" s="117">
        <f t="shared" si="32"/>
        <v>1.5</v>
      </c>
      <c r="H224" s="117">
        <f t="shared" si="32"/>
        <v>1.5</v>
      </c>
      <c r="I224" s="100">
        <f t="shared" ref="I224" ca="1" si="33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32"/>
        <v>1.5</v>
      </c>
      <c r="K224" s="117">
        <f t="shared" ca="1" si="32"/>
        <v>1.5</v>
      </c>
      <c r="L224" s="117">
        <f t="shared" ca="1" si="32"/>
        <v>1.5</v>
      </c>
      <c r="M224" s="117">
        <f t="shared" ca="1" si="32"/>
        <v>1.5</v>
      </c>
      <c r="N224" s="117">
        <f t="shared" ca="1" si="32"/>
        <v>1.5</v>
      </c>
      <c r="O224" s="117">
        <f t="shared" ca="1" si="32"/>
        <v>1.5</v>
      </c>
      <c r="P224" s="117">
        <f t="shared" ca="1" si="32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31"/>
        <v>0</v>
      </c>
      <c r="C225" s="117">
        <v>0.3</v>
      </c>
      <c r="D225" s="117">
        <f t="shared" si="32"/>
        <v>0.3</v>
      </c>
      <c r="E225" s="117">
        <f t="shared" si="32"/>
        <v>0.3</v>
      </c>
      <c r="F225" s="117">
        <f t="shared" si="32"/>
        <v>0.3</v>
      </c>
      <c r="G225" s="117">
        <f t="shared" si="32"/>
        <v>0.3</v>
      </c>
      <c r="H225" s="117">
        <f t="shared" si="32"/>
        <v>0.3</v>
      </c>
      <c r="I225" s="117">
        <f t="shared" si="32"/>
        <v>0.3</v>
      </c>
      <c r="J225" s="117">
        <f t="shared" si="32"/>
        <v>0.3</v>
      </c>
      <c r="K225" s="117">
        <f t="shared" si="32"/>
        <v>0.3</v>
      </c>
      <c r="L225" s="117">
        <f t="shared" si="32"/>
        <v>0.3</v>
      </c>
      <c r="M225" s="117">
        <f t="shared" si="32"/>
        <v>0.3</v>
      </c>
      <c r="N225" s="117">
        <f t="shared" si="32"/>
        <v>0.3</v>
      </c>
      <c r="O225" s="117">
        <f t="shared" si="32"/>
        <v>0.3</v>
      </c>
      <c r="P225" s="117">
        <f t="shared" si="32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31"/>
        <v>0</v>
      </c>
      <c r="C226" s="117">
        <v>0.4</v>
      </c>
      <c r="D226" s="117">
        <f t="shared" si="32"/>
        <v>0.4</v>
      </c>
      <c r="E226" s="117">
        <f t="shared" si="32"/>
        <v>0.4</v>
      </c>
      <c r="F226" s="117">
        <f t="shared" si="32"/>
        <v>0.4</v>
      </c>
      <c r="G226" s="117">
        <f t="shared" si="32"/>
        <v>0.4</v>
      </c>
      <c r="H226" s="117">
        <f t="shared" si="32"/>
        <v>0.4</v>
      </c>
      <c r="I226" s="117">
        <f t="shared" si="32"/>
        <v>0.4</v>
      </c>
      <c r="J226" s="117">
        <f t="shared" si="32"/>
        <v>0.4</v>
      </c>
      <c r="K226" s="117">
        <f t="shared" si="32"/>
        <v>0.4</v>
      </c>
      <c r="L226" s="117">
        <f t="shared" si="32"/>
        <v>0.4</v>
      </c>
      <c r="M226" s="117">
        <f t="shared" si="32"/>
        <v>0.4</v>
      </c>
      <c r="N226" s="117">
        <f t="shared" si="32"/>
        <v>0.4</v>
      </c>
      <c r="O226" s="117">
        <f t="shared" si="32"/>
        <v>0.4</v>
      </c>
      <c r="P226" s="117">
        <f t="shared" si="32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31"/>
        <v>0</v>
      </c>
      <c r="C227" s="121">
        <v>0.64</v>
      </c>
      <c r="D227" s="121">
        <f t="shared" si="32"/>
        <v>0.64</v>
      </c>
      <c r="E227" s="121">
        <f t="shared" si="32"/>
        <v>0.64</v>
      </c>
      <c r="F227" s="121">
        <f t="shared" si="32"/>
        <v>0.64</v>
      </c>
      <c r="G227" s="121">
        <f t="shared" si="32"/>
        <v>0.64</v>
      </c>
      <c r="H227" s="121">
        <f t="shared" si="32"/>
        <v>0.64</v>
      </c>
      <c r="I227" s="121">
        <f t="shared" si="32"/>
        <v>0.64</v>
      </c>
      <c r="J227" s="121">
        <f t="shared" si="32"/>
        <v>0.64</v>
      </c>
      <c r="K227" s="121">
        <f t="shared" si="32"/>
        <v>0.64</v>
      </c>
      <c r="L227" s="121">
        <f t="shared" si="32"/>
        <v>0.64</v>
      </c>
      <c r="M227" s="121">
        <f t="shared" si="32"/>
        <v>0.64</v>
      </c>
      <c r="N227" s="121">
        <f t="shared" si="32"/>
        <v>0.64</v>
      </c>
      <c r="O227" s="121">
        <f t="shared" si="32"/>
        <v>0.64</v>
      </c>
      <c r="P227" s="121">
        <f t="shared" si="32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34">SUM(B222:B227)</f>
        <v>0</v>
      </c>
      <c r="C228" s="125">
        <f t="shared" si="34"/>
        <v>3.54</v>
      </c>
      <c r="D228" s="125">
        <f t="shared" si="34"/>
        <v>3.54</v>
      </c>
      <c r="E228" s="125">
        <f t="shared" si="34"/>
        <v>3.54</v>
      </c>
      <c r="F228" s="125">
        <f t="shared" si="34"/>
        <v>3.54</v>
      </c>
      <c r="G228" s="125">
        <f t="shared" si="34"/>
        <v>3.54</v>
      </c>
      <c r="H228" s="125">
        <f t="shared" si="34"/>
        <v>3.54</v>
      </c>
      <c r="I228" s="125">
        <f t="shared" ca="1" si="34"/>
        <v>3.54</v>
      </c>
      <c r="J228" s="125">
        <f t="shared" ca="1" si="34"/>
        <v>3.54</v>
      </c>
      <c r="K228" s="125">
        <f t="shared" ca="1" si="34"/>
        <v>3.54</v>
      </c>
      <c r="L228" s="125">
        <f t="shared" ca="1" si="34"/>
        <v>3.54</v>
      </c>
      <c r="M228" s="125">
        <f t="shared" ca="1" si="34"/>
        <v>3.54</v>
      </c>
      <c r="N228" s="125">
        <f t="shared" ca="1" si="34"/>
        <v>3.54</v>
      </c>
      <c r="O228" s="125">
        <f t="shared" ca="1" si="34"/>
        <v>3.54</v>
      </c>
      <c r="P228" s="125">
        <f t="shared" ca="1" si="34"/>
        <v>3.54</v>
      </c>
      <c r="Q228" s="125">
        <f t="shared" si="34"/>
        <v>0</v>
      </c>
      <c r="R228" s="125">
        <f t="shared" si="34"/>
        <v>0</v>
      </c>
      <c r="S228" s="125">
        <f t="shared" si="34"/>
        <v>0</v>
      </c>
      <c r="T228" s="125">
        <f t="shared" si="34"/>
        <v>0</v>
      </c>
      <c r="U228" s="125">
        <f t="shared" si="34"/>
        <v>0</v>
      </c>
      <c r="V228" s="125">
        <f t="shared" si="34"/>
        <v>0</v>
      </c>
      <c r="W228" s="125">
        <f t="shared" si="34"/>
        <v>0</v>
      </c>
      <c r="X228" s="125">
        <f t="shared" si="34"/>
        <v>0</v>
      </c>
      <c r="Y228" s="125">
        <f t="shared" si="34"/>
        <v>0</v>
      </c>
      <c r="Z228" s="125">
        <f t="shared" si="34"/>
        <v>0</v>
      </c>
      <c r="AA228" s="125">
        <f t="shared" si="34"/>
        <v>0</v>
      </c>
      <c r="AB228" s="125">
        <f t="shared" si="34"/>
        <v>0</v>
      </c>
      <c r="AC228" s="125">
        <f t="shared" si="34"/>
        <v>0</v>
      </c>
      <c r="AD228" s="125">
        <f t="shared" si="34"/>
        <v>0</v>
      </c>
      <c r="AE228" s="125">
        <f t="shared" si="34"/>
        <v>0</v>
      </c>
      <c r="AF228" s="125">
        <f t="shared" si="34"/>
        <v>0</v>
      </c>
      <c r="AG228" s="134">
        <f t="shared" si="34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1610.4390000000001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7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2079/09/7)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2079/09/7)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35">B85</f>
        <v>1004.3390000000001</v>
      </c>
      <c r="U242" s="159">
        <f t="shared" si="35"/>
        <v>990.33900000000006</v>
      </c>
      <c r="V242" s="159">
        <f t="shared" si="35"/>
        <v>973.33900000000006</v>
      </c>
      <c r="W242" s="159">
        <f t="shared" si="35"/>
        <v>982.43900000000008</v>
      </c>
      <c r="X242" s="159">
        <f t="shared" si="35"/>
        <v>977.23900000000003</v>
      </c>
      <c r="Y242" s="159">
        <f t="shared" si="35"/>
        <v>1024.039</v>
      </c>
      <c r="Z242" s="159">
        <f t="shared" si="35"/>
        <v>1139.8390000000002</v>
      </c>
      <c r="AA242" s="159">
        <f t="shared" si="35"/>
        <v>1237.6390000000001</v>
      </c>
      <c r="AB242" s="159">
        <f t="shared" si="35"/>
        <v>1093.6390000000001</v>
      </c>
      <c r="AC242" s="159">
        <f t="shared" si="35"/>
        <v>1109.6380000000001</v>
      </c>
      <c r="AD242" s="159">
        <f t="shared" si="35"/>
        <v>1599.9380000000001</v>
      </c>
      <c r="AE242" s="159">
        <f t="shared" si="35"/>
        <v>1610.4390000000001</v>
      </c>
      <c r="AF242" s="159">
        <f t="shared" si="35"/>
        <v>1536.539</v>
      </c>
      <c r="AG242" s="159">
        <f t="shared" si="35"/>
        <v>1486.4390000000003</v>
      </c>
      <c r="AH242" s="159">
        <f t="shared" si="35"/>
        <v>1493.3390000000002</v>
      </c>
      <c r="AI242" s="159">
        <f t="shared" si="35"/>
        <v>1335.1390000000001</v>
      </c>
      <c r="AJ242" s="159">
        <f t="shared" si="35"/>
        <v>1274.4490000000001</v>
      </c>
      <c r="AK242" s="159">
        <f t="shared" si="35"/>
        <v>1356.1390000000001</v>
      </c>
      <c r="AL242" s="159">
        <f t="shared" si="35"/>
        <v>1350.4390000000001</v>
      </c>
      <c r="AM242" s="159">
        <f t="shared" si="35"/>
        <v>1360.1390000000001</v>
      </c>
      <c r="AN242" s="159">
        <f t="shared" si="35"/>
        <v>1423.1389999999999</v>
      </c>
      <c r="AO242" s="159">
        <f t="shared" si="35"/>
        <v>1571.8389999999999</v>
      </c>
      <c r="AP242" s="159">
        <f t="shared" si="35"/>
        <v>1652.1389999999999</v>
      </c>
      <c r="AQ242" s="159">
        <f t="shared" si="35"/>
        <v>1573.1389999999999</v>
      </c>
      <c r="AR242" s="159">
        <f t="shared" si="35"/>
        <v>1514.039</v>
      </c>
      <c r="AS242" s="159">
        <f t="shared" si="35"/>
        <v>1493.1389999999999</v>
      </c>
      <c r="AT242" s="159">
        <f t="shared" si="35"/>
        <v>1389.3389999999999</v>
      </c>
      <c r="AU242" s="159">
        <f t="shared" si="35"/>
        <v>1346.3389999999999</v>
      </c>
      <c r="AV242" s="159">
        <f t="shared" si="35"/>
        <v>1243.8389999999999</v>
      </c>
      <c r="AW242" s="159">
        <f t="shared" si="35"/>
        <v>1087.9389999999999</v>
      </c>
      <c r="AX242" s="159">
        <f t="shared" si="35"/>
        <v>1043.8389999999999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36">C227</f>
        <v>0.64</v>
      </c>
      <c r="C263" s="162">
        <f t="shared" si="36"/>
        <v>0.64</v>
      </c>
      <c r="D263" s="162">
        <f t="shared" si="36"/>
        <v>0.64</v>
      </c>
      <c r="E263" s="162">
        <f t="shared" si="36"/>
        <v>0.64</v>
      </c>
      <c r="F263" s="162">
        <f t="shared" si="36"/>
        <v>0.64</v>
      </c>
      <c r="G263" s="162">
        <f t="shared" si="36"/>
        <v>0.64</v>
      </c>
      <c r="H263" s="162">
        <f t="shared" si="36"/>
        <v>0.64</v>
      </c>
      <c r="I263" s="162">
        <f t="shared" si="36"/>
        <v>0.64</v>
      </c>
      <c r="J263" s="162">
        <f t="shared" si="36"/>
        <v>0.64</v>
      </c>
      <c r="K263" s="162">
        <f t="shared" si="36"/>
        <v>0.64</v>
      </c>
      <c r="L263" s="162">
        <f t="shared" si="36"/>
        <v>0.64</v>
      </c>
      <c r="M263" s="162">
        <f t="shared" si="36"/>
        <v>0.64</v>
      </c>
      <c r="N263" s="162">
        <f t="shared" si="36"/>
        <v>0.64</v>
      </c>
      <c r="O263" s="162">
        <f t="shared" si="36"/>
        <v>0.64</v>
      </c>
      <c r="P263" s="162">
        <f t="shared" si="36"/>
        <v>0</v>
      </c>
      <c r="Q263" s="162">
        <f t="shared" si="36"/>
        <v>0</v>
      </c>
      <c r="R263" s="162">
        <f t="shared" si="36"/>
        <v>0</v>
      </c>
      <c r="S263" s="162">
        <f t="shared" si="36"/>
        <v>0</v>
      </c>
      <c r="T263" s="162">
        <f t="shared" si="36"/>
        <v>0</v>
      </c>
      <c r="U263" s="162">
        <f t="shared" si="36"/>
        <v>0</v>
      </c>
      <c r="V263" s="162">
        <f t="shared" si="36"/>
        <v>0</v>
      </c>
      <c r="W263" s="162">
        <f t="shared" si="36"/>
        <v>0</v>
      </c>
      <c r="X263" s="162">
        <f t="shared" si="36"/>
        <v>0</v>
      </c>
      <c r="Y263" s="162">
        <f t="shared" si="36"/>
        <v>0</v>
      </c>
      <c r="Z263" s="162">
        <f t="shared" si="36"/>
        <v>0</v>
      </c>
      <c r="AA263" s="162">
        <f t="shared" si="36"/>
        <v>0</v>
      </c>
      <c r="AB263" s="162">
        <f t="shared" si="36"/>
        <v>0</v>
      </c>
      <c r="AC263" s="162">
        <f t="shared" si="36"/>
        <v>0</v>
      </c>
      <c r="AD263" s="162">
        <f t="shared" si="36"/>
        <v>0</v>
      </c>
      <c r="AE263" s="162">
        <f t="shared" si="36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37">IF(B231&lt;100,"",B231-520)</f>
        <v/>
      </c>
      <c r="C264" s="163" t="str">
        <f t="shared" si="37"/>
        <v/>
      </c>
      <c r="D264" s="163" t="str">
        <f t="shared" si="37"/>
        <v/>
      </c>
      <c r="E264" s="163" t="str">
        <f t="shared" si="37"/>
        <v/>
      </c>
      <c r="F264" s="163" t="str">
        <f t="shared" si="37"/>
        <v/>
      </c>
      <c r="G264" s="163" t="str">
        <f t="shared" si="37"/>
        <v/>
      </c>
      <c r="H264" s="163" t="str">
        <f t="shared" si="37"/>
        <v/>
      </c>
      <c r="I264" s="163" t="str">
        <f t="shared" si="37"/>
        <v/>
      </c>
      <c r="J264" s="163" t="str">
        <f t="shared" si="37"/>
        <v/>
      </c>
      <c r="K264" s="163" t="str">
        <f t="shared" si="37"/>
        <v/>
      </c>
      <c r="L264" s="163" t="str">
        <f t="shared" si="37"/>
        <v/>
      </c>
      <c r="M264" s="163" t="str">
        <f t="shared" si="37"/>
        <v/>
      </c>
      <c r="N264" s="163" t="str">
        <f t="shared" si="37"/>
        <v/>
      </c>
      <c r="O264" s="163" t="str">
        <f t="shared" si="37"/>
        <v/>
      </c>
      <c r="P264" s="163" t="str">
        <f t="shared" si="37"/>
        <v/>
      </c>
      <c r="Q264" s="163" t="str">
        <f t="shared" si="37"/>
        <v/>
      </c>
      <c r="R264" s="163" t="str">
        <f t="shared" si="37"/>
        <v/>
      </c>
      <c r="S264" s="163" t="str">
        <f t="shared" si="37"/>
        <v/>
      </c>
      <c r="T264" s="163" t="str">
        <f t="shared" si="37"/>
        <v/>
      </c>
      <c r="U264" s="163" t="str">
        <f t="shared" si="37"/>
        <v/>
      </c>
      <c r="V264" s="163" t="str">
        <f t="shared" si="37"/>
        <v/>
      </c>
      <c r="W264" s="163" t="str">
        <f t="shared" si="37"/>
        <v/>
      </c>
      <c r="X264" s="163" t="str">
        <f t="shared" si="37"/>
        <v/>
      </c>
      <c r="Y264" s="163" t="str">
        <f t="shared" si="37"/>
        <v/>
      </c>
      <c r="Z264" s="163" t="str">
        <f t="shared" si="37"/>
        <v/>
      </c>
      <c r="AA264" s="163" t="str">
        <f t="shared" si="37"/>
        <v/>
      </c>
      <c r="AB264" s="163" t="str">
        <f t="shared" si="37"/>
        <v/>
      </c>
      <c r="AC264" s="163" t="str">
        <f t="shared" si="37"/>
        <v/>
      </c>
      <c r="AD264" s="163" t="str">
        <f t="shared" si="37"/>
        <v/>
      </c>
      <c r="AE264" s="163" t="str">
        <f t="shared" si="37"/>
        <v/>
      </c>
      <c r="AF264" s="163" t="str">
        <f t="shared" si="37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8">IF(B232&lt;100,"",B232-620)</f>
        <v/>
      </c>
      <c r="C265" s="163" t="str">
        <f t="shared" si="38"/>
        <v/>
      </c>
      <c r="D265" s="163" t="str">
        <f t="shared" si="38"/>
        <v/>
      </c>
      <c r="E265" s="163" t="str">
        <f t="shared" si="38"/>
        <v/>
      </c>
      <c r="F265" s="163" t="str">
        <f t="shared" si="38"/>
        <v/>
      </c>
      <c r="G265" s="163" t="str">
        <f t="shared" si="38"/>
        <v/>
      </c>
      <c r="H265" s="163" t="str">
        <f t="shared" si="38"/>
        <v/>
      </c>
      <c r="I265" s="163" t="str">
        <f t="shared" si="38"/>
        <v/>
      </c>
      <c r="J265" s="163" t="str">
        <f t="shared" si="38"/>
        <v/>
      </c>
      <c r="K265" s="163" t="str">
        <f t="shared" si="38"/>
        <v/>
      </c>
      <c r="L265" s="163" t="str">
        <f t="shared" si="38"/>
        <v/>
      </c>
      <c r="M265" s="163" t="str">
        <f t="shared" si="38"/>
        <v/>
      </c>
      <c r="N265" s="163" t="str">
        <f t="shared" si="38"/>
        <v/>
      </c>
      <c r="O265" s="163" t="str">
        <f t="shared" si="38"/>
        <v/>
      </c>
      <c r="P265" s="163" t="str">
        <f t="shared" si="38"/>
        <v/>
      </c>
      <c r="Q265" s="163" t="str">
        <f t="shared" si="38"/>
        <v/>
      </c>
      <c r="R265" s="163" t="str">
        <f t="shared" si="38"/>
        <v/>
      </c>
      <c r="S265" s="163" t="str">
        <f t="shared" si="38"/>
        <v/>
      </c>
      <c r="T265" s="163" t="str">
        <f t="shared" si="38"/>
        <v/>
      </c>
      <c r="U265" s="163" t="str">
        <f t="shared" si="38"/>
        <v/>
      </c>
      <c r="V265" s="163" t="str">
        <f t="shared" si="38"/>
        <v/>
      </c>
      <c r="W265" s="163" t="str">
        <f t="shared" si="38"/>
        <v/>
      </c>
      <c r="X265" s="163" t="str">
        <f t="shared" si="38"/>
        <v/>
      </c>
      <c r="Y265" s="163" t="str">
        <f t="shared" si="38"/>
        <v/>
      </c>
      <c r="Z265" s="163" t="str">
        <f t="shared" si="38"/>
        <v/>
      </c>
      <c r="AA265" s="163" t="str">
        <f t="shared" si="38"/>
        <v/>
      </c>
      <c r="AB265" s="163" t="str">
        <f t="shared" si="38"/>
        <v/>
      </c>
      <c r="AC265" s="163" t="str">
        <f t="shared" si="38"/>
        <v/>
      </c>
      <c r="AD265" s="163" t="str">
        <f t="shared" si="38"/>
        <v/>
      </c>
      <c r="AE265" s="163" t="str">
        <f t="shared" si="38"/>
        <v/>
      </c>
      <c r="AF265" s="163" t="str">
        <f t="shared" si="38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9">IF(B233&lt;100,"",B233-330)</f>
        <v/>
      </c>
      <c r="C266" s="163" t="str">
        <f t="shared" si="39"/>
        <v/>
      </c>
      <c r="D266" s="163" t="str">
        <f t="shared" si="39"/>
        <v/>
      </c>
      <c r="E266" s="163" t="str">
        <f t="shared" si="39"/>
        <v/>
      </c>
      <c r="F266" s="163" t="str">
        <f t="shared" si="39"/>
        <v/>
      </c>
      <c r="G266" s="163" t="str">
        <f t="shared" si="39"/>
        <v/>
      </c>
      <c r="H266" s="163" t="str">
        <f t="shared" si="39"/>
        <v/>
      </c>
      <c r="I266" s="163" t="str">
        <f t="shared" si="39"/>
        <v/>
      </c>
      <c r="J266" s="163" t="str">
        <f t="shared" si="39"/>
        <v/>
      </c>
      <c r="K266" s="163" t="str">
        <f t="shared" si="39"/>
        <v/>
      </c>
      <c r="L266" s="163" t="str">
        <f t="shared" si="39"/>
        <v/>
      </c>
      <c r="M266" s="163" t="str">
        <f t="shared" si="39"/>
        <v/>
      </c>
      <c r="N266" s="163" t="str">
        <f t="shared" si="39"/>
        <v/>
      </c>
      <c r="O266" s="163" t="str">
        <f t="shared" si="39"/>
        <v/>
      </c>
      <c r="P266" s="163" t="str">
        <f t="shared" si="39"/>
        <v/>
      </c>
      <c r="Q266" s="163" t="str">
        <f t="shared" si="39"/>
        <v/>
      </c>
      <c r="R266" s="163" t="str">
        <f t="shared" si="39"/>
        <v/>
      </c>
      <c r="S266" s="163" t="str">
        <f t="shared" si="39"/>
        <v/>
      </c>
      <c r="T266" s="163" t="str">
        <f t="shared" si="39"/>
        <v/>
      </c>
      <c r="U266" s="163" t="str">
        <f t="shared" si="39"/>
        <v/>
      </c>
      <c r="V266" s="163" t="str">
        <f t="shared" si="39"/>
        <v/>
      </c>
      <c r="W266" s="163" t="str">
        <f t="shared" si="39"/>
        <v/>
      </c>
      <c r="X266" s="163" t="str">
        <f t="shared" si="39"/>
        <v/>
      </c>
      <c r="Y266" s="163" t="str">
        <f t="shared" si="39"/>
        <v/>
      </c>
      <c r="Z266" s="163" t="str">
        <f t="shared" si="39"/>
        <v/>
      </c>
      <c r="AA266" s="163" t="str">
        <f t="shared" si="39"/>
        <v/>
      </c>
      <c r="AB266" s="163" t="str">
        <f t="shared" si="39"/>
        <v/>
      </c>
      <c r="AC266" s="163" t="str">
        <f t="shared" si="39"/>
        <v/>
      </c>
      <c r="AD266" s="163" t="str">
        <f t="shared" si="39"/>
        <v/>
      </c>
      <c r="AE266" s="163" t="str">
        <f t="shared" si="39"/>
        <v/>
      </c>
      <c r="AF266" s="163" t="str">
        <f t="shared" si="39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40">IF(B234&lt;100,"",B234-1500)</f>
        <v/>
      </c>
      <c r="C267" s="163" t="str">
        <f t="shared" si="40"/>
        <v/>
      </c>
      <c r="D267" s="163" t="str">
        <f t="shared" si="40"/>
        <v/>
      </c>
      <c r="E267" s="163" t="str">
        <f t="shared" si="40"/>
        <v/>
      </c>
      <c r="F267" s="163" t="str">
        <f t="shared" si="40"/>
        <v/>
      </c>
      <c r="G267" s="163" t="str">
        <f t="shared" si="40"/>
        <v/>
      </c>
      <c r="H267" s="163" t="str">
        <f t="shared" si="40"/>
        <v/>
      </c>
      <c r="I267" s="163" t="str">
        <f t="shared" si="40"/>
        <v/>
      </c>
      <c r="J267" s="163" t="str">
        <f t="shared" si="40"/>
        <v/>
      </c>
      <c r="K267" s="163" t="str">
        <f t="shared" si="40"/>
        <v/>
      </c>
      <c r="L267" s="163" t="str">
        <f t="shared" si="40"/>
        <v/>
      </c>
      <c r="M267" s="163" t="str">
        <f t="shared" si="40"/>
        <v/>
      </c>
      <c r="N267" s="163" t="str">
        <f t="shared" si="40"/>
        <v/>
      </c>
      <c r="O267" s="163" t="str">
        <f t="shared" si="40"/>
        <v/>
      </c>
      <c r="P267" s="163" t="str">
        <f t="shared" si="40"/>
        <v/>
      </c>
      <c r="Q267" s="163" t="str">
        <f t="shared" si="40"/>
        <v/>
      </c>
      <c r="R267" s="163" t="str">
        <f t="shared" si="40"/>
        <v/>
      </c>
      <c r="S267" s="163" t="str">
        <f t="shared" si="40"/>
        <v/>
      </c>
      <c r="T267" s="163" t="str">
        <f t="shared" si="40"/>
        <v/>
      </c>
      <c r="U267" s="163" t="str">
        <f t="shared" si="40"/>
        <v/>
      </c>
      <c r="V267" s="163" t="str">
        <f t="shared" si="40"/>
        <v/>
      </c>
      <c r="W267" s="163" t="str">
        <f t="shared" si="40"/>
        <v/>
      </c>
      <c r="X267" s="163" t="str">
        <f t="shared" si="40"/>
        <v/>
      </c>
      <c r="Y267" s="163" t="str">
        <f t="shared" si="40"/>
        <v/>
      </c>
      <c r="Z267" s="163" t="str">
        <f t="shared" si="40"/>
        <v/>
      </c>
      <c r="AA267" s="163" t="str">
        <f t="shared" si="40"/>
        <v/>
      </c>
      <c r="AB267" s="163" t="str">
        <f t="shared" si="40"/>
        <v/>
      </c>
      <c r="AC267" s="163" t="str">
        <f t="shared" si="40"/>
        <v/>
      </c>
      <c r="AD267" s="163" t="str">
        <f t="shared" si="40"/>
        <v/>
      </c>
      <c r="AE267" s="163" t="str">
        <f t="shared" si="40"/>
        <v/>
      </c>
      <c r="AF267" s="163" t="str">
        <f t="shared" si="40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1196" priority="112">
      <formula>$AH11=0</formula>
    </cfRule>
  </conditionalFormatting>
  <conditionalFormatting sqref="B8 M8 S8 AB8">
    <cfRule type="expression" dxfId="1195" priority="233">
      <formula>AND(C$9&gt;=14/24,C$9&lt;20/24)</formula>
    </cfRule>
    <cfRule type="expression" dxfId="1194" priority="234">
      <formula>AND(C$9&gt;=8/24,C$9&lt;14/24)</formula>
    </cfRule>
    <cfRule type="expression" dxfId="1193" priority="235">
      <formula>C$9&lt;8/24</formula>
    </cfRule>
  </conditionalFormatting>
  <conditionalFormatting sqref="B67:D72 E70:R72 S72">
    <cfRule type="expression" dxfId="1188" priority="81">
      <formula>B$9&lt;8/24</formula>
    </cfRule>
  </conditionalFormatting>
  <conditionalFormatting sqref="B68:D72 E70:R72 S72">
    <cfRule type="expression" dxfId="1187" priority="80">
      <formula>AND(B$9&gt;=8/24,B$9&lt;14/24)</formula>
    </cfRule>
    <cfRule type="expression" dxfId="1186" priority="78">
      <formula>B$9&gt;=20/24</formula>
    </cfRule>
    <cfRule type="expression" dxfId="1185" priority="79">
      <formula>AND(B$9&gt;=14/24,B$9&lt;20/24)</formula>
    </cfRule>
  </conditionalFormatting>
  <conditionalFormatting sqref="B49:J51">
    <cfRule type="expression" dxfId="1184" priority="83">
      <formula>B$9&gt;=20/24</formula>
    </cfRule>
    <cfRule type="expression" dxfId="1183" priority="84">
      <formula>AND(B$9&gt;=14/24,B$9&lt;20/24)</formula>
    </cfRule>
    <cfRule type="expression" dxfId="1182" priority="85">
      <formula>AND(B$9&gt;=8/24,B$9&lt;14/24)</formula>
    </cfRule>
    <cfRule type="expression" dxfId="1181" priority="86">
      <formula>B$9&lt;8/24</formula>
    </cfRule>
  </conditionalFormatting>
  <conditionalFormatting sqref="B73:S77">
    <cfRule type="expression" dxfId="1180" priority="1">
      <formula>B$9&gt;=20/24</formula>
    </cfRule>
    <cfRule type="expression" dxfId="1179" priority="2">
      <formula>AND(B$9&gt;=14/24,B$9&lt;20/24)</formula>
    </cfRule>
    <cfRule type="expression" dxfId="1178" priority="3">
      <formula>AND(B$9&gt;=8/24,B$9&lt;14/24)</formula>
    </cfRule>
    <cfRule type="expression" dxfId="1177" priority="4">
      <formula>B$9&lt;8/24</formula>
    </cfRule>
  </conditionalFormatting>
  <conditionalFormatting sqref="B11:W11">
    <cfRule type="expression" dxfId="1176" priority="15">
      <formula>AND(B$9&gt;=14/24,B$9&lt;20/24)</formula>
    </cfRule>
    <cfRule type="expression" dxfId="1175" priority="14">
      <formula>B$9&gt;=20/24</formula>
    </cfRule>
    <cfRule type="expression" dxfId="1174" priority="16">
      <formula>AND(B$9&gt;=8/24,B$9&lt;14/24)</formula>
    </cfRule>
    <cfRule type="expression" dxfId="1173" priority="17">
      <formula>B$9&lt;8/24</formula>
    </cfRule>
  </conditionalFormatting>
  <conditionalFormatting sqref="B12:W14">
    <cfRule type="expression" dxfId="1172" priority="9">
      <formula>B$9&gt;=20/24</formula>
    </cfRule>
    <cfRule type="expression" dxfId="1171" priority="10">
      <formula>AND(B$9&gt;=14/24,B$9&lt;20/24)</formula>
    </cfRule>
    <cfRule type="expression" dxfId="1170" priority="11">
      <formula>AND(B$9&gt;=8/24,B$9&lt;14/24)</formula>
    </cfRule>
    <cfRule type="expression" dxfId="1169" priority="12">
      <formula>B$9&lt;8/24</formula>
    </cfRule>
  </conditionalFormatting>
  <conditionalFormatting sqref="B15:W40">
    <cfRule type="expression" dxfId="1168" priority="100">
      <formula>B$9&gt;=20/24</formula>
    </cfRule>
    <cfRule type="expression" dxfId="1167" priority="101">
      <formula>AND(B$9&gt;=14/24,B$9&lt;20/24)</formula>
    </cfRule>
    <cfRule type="expression" dxfId="1166" priority="102">
      <formula>AND(B$9&gt;=8/24,B$9&lt;14/24)</formula>
    </cfRule>
    <cfRule type="expression" dxfId="1165" priority="103">
      <formula>B$9&lt;8/24</formula>
    </cfRule>
  </conditionalFormatting>
  <conditionalFormatting sqref="B41:W41">
    <cfRule type="expression" dxfId="1164" priority="5">
      <formula>B$9&gt;=20/24</formula>
    </cfRule>
    <cfRule type="expression" dxfId="1163" priority="6">
      <formula>AND(B$9&gt;=14/24,B$9&lt;20/24)</formula>
    </cfRule>
    <cfRule type="expression" dxfId="1162" priority="7">
      <formula>AND(B$9&gt;=8/24,B$9&lt;14/24)</formula>
    </cfRule>
    <cfRule type="expression" dxfId="1161" priority="8">
      <formula>B$9&lt;8/24</formula>
    </cfRule>
  </conditionalFormatting>
  <conditionalFormatting sqref="B42:W42">
    <cfRule type="expression" dxfId="1160" priority="67">
      <formula>B$9&lt;8/24</formula>
    </cfRule>
    <cfRule type="expression" dxfId="1159" priority="66">
      <formula>AND(B$9&gt;=8/24,B$9&lt;14/24)</formula>
    </cfRule>
    <cfRule type="expression" dxfId="1158" priority="65">
      <formula>AND(B$9&gt;=14/24,B$9&lt;20/24)</formula>
    </cfRule>
    <cfRule type="expression" dxfId="1157" priority="64">
      <formula>B$9&gt;=20/24</formula>
    </cfRule>
  </conditionalFormatting>
  <conditionalFormatting sqref="B54:AB54">
    <cfRule type="expression" dxfId="1156" priority="76">
      <formula>B$9&lt;8/24</formula>
    </cfRule>
    <cfRule type="expression" dxfId="1155" priority="73">
      <formula>B$9&gt;=20/24</formula>
    </cfRule>
    <cfRule type="expression" dxfId="1154" priority="74">
      <formula>AND(B$9&gt;=14/24,B$9&lt;20/24)</formula>
    </cfRule>
    <cfRule type="expression" dxfId="1153" priority="75">
      <formula>AND(B$9&gt;=8/24,B$9&lt;14/24)</formula>
    </cfRule>
  </conditionalFormatting>
  <conditionalFormatting sqref="B9:AF10 B220:AF220 D222:AF223 B222:B228 D224:H224 J224:AF224 D225:AF228 U241:AF241">
    <cfRule type="expression" dxfId="1152" priority="229">
      <formula>B$9&lt;8/24</formula>
    </cfRule>
    <cfRule type="expression" dxfId="1151" priority="228">
      <formula>AND(B$9&gt;=8/24,B$9&lt;14/24)</formula>
    </cfRule>
    <cfRule type="expression" dxfId="1150" priority="227">
      <formula>AND(B$9&gt;=14/24,B$9&lt;20/24)</formula>
    </cfRule>
    <cfRule type="expression" dxfId="1149" priority="226">
      <formula>B$9&gt;=20/24</formula>
    </cfRule>
  </conditionalFormatting>
  <conditionalFormatting sqref="B11:AF66">
    <cfRule type="expression" dxfId="1148" priority="13">
      <formula>B11&gt;$AG11</formula>
    </cfRule>
  </conditionalFormatting>
  <conditionalFormatting sqref="B43:AF43">
    <cfRule type="expression" dxfId="1147" priority="99">
      <formula>B$9&lt;8/24</formula>
    </cfRule>
    <cfRule type="expression" dxfId="1146" priority="98">
      <formula>AND(B$9&gt;=8/24,B$9&lt;14/24)</formula>
    </cfRule>
    <cfRule type="expression" dxfId="1145" priority="97">
      <formula>AND(B$9&gt;=14/24,B$9&lt;20/24)</formula>
    </cfRule>
    <cfRule type="expression" dxfId="1144" priority="96">
      <formula>B$9&gt;=20/24</formula>
    </cfRule>
  </conditionalFormatting>
  <conditionalFormatting sqref="B45:AF48">
    <cfRule type="expression" dxfId="1143" priority="41">
      <formula>B$9&gt;=20/24</formula>
    </cfRule>
    <cfRule type="expression" dxfId="1142" priority="43">
      <formula>AND(B$9&gt;=8/24,B$9&lt;14/24)</formula>
    </cfRule>
    <cfRule type="expression" dxfId="1141" priority="42">
      <formula>AND(B$9&gt;=14/24,B$9&lt;20/24)</formula>
    </cfRule>
    <cfRule type="expression" dxfId="1140" priority="44">
      <formula>B$9&lt;8/24</formula>
    </cfRule>
  </conditionalFormatting>
  <conditionalFormatting sqref="B55:AF60">
    <cfRule type="expression" dxfId="1139" priority="20">
      <formula>B$9&gt;=20/24</formula>
    </cfRule>
    <cfRule type="expression" dxfId="1138" priority="22">
      <formula>AND(B$9&gt;=8/24,B$9&lt;14/24)</formula>
    </cfRule>
    <cfRule type="expression" dxfId="1137" priority="23">
      <formula>B$9&lt;8/24</formula>
    </cfRule>
    <cfRule type="expression" dxfId="1136" priority="21">
      <formula>AND(B$9&gt;=14/24,B$9&lt;20/24)</formula>
    </cfRule>
  </conditionalFormatting>
  <conditionalFormatting sqref="B63:AF66">
    <cfRule type="expression" dxfId="1135" priority="62">
      <formula>B$9&lt;8/24</formula>
    </cfRule>
  </conditionalFormatting>
  <conditionalFormatting sqref="B63:AF67">
    <cfRule type="expression" dxfId="1134" priority="60">
      <formula>AND(B$9&gt;=14/24,B$9&lt;20/24)</formula>
    </cfRule>
    <cfRule type="expression" dxfId="1133" priority="61">
      <formula>AND(B$9&gt;=8/24,B$9&lt;14/24)</formula>
    </cfRule>
    <cfRule type="expression" dxfId="1132" priority="59">
      <formula>B$9&gt;=20/24</formula>
    </cfRule>
  </conditionalFormatting>
  <conditionalFormatting sqref="B78:AF85">
    <cfRule type="expression" dxfId="1131" priority="56">
      <formula>AND(B$9&gt;=8/24,B$9&lt;14/24)</formula>
    </cfRule>
    <cfRule type="expression" dxfId="1130" priority="54">
      <formula>B$9&gt;=20/24</formula>
    </cfRule>
    <cfRule type="expression" dxfId="1129" priority="55">
      <formula>AND(B$9&gt;=14/24,B$9&lt;20/24)</formula>
    </cfRule>
    <cfRule type="expression" dxfId="1128" priority="57">
      <formula>B$9&lt;8/24</formula>
    </cfRule>
  </conditionalFormatting>
  <conditionalFormatting sqref="B87:AF103">
    <cfRule type="expression" dxfId="1123" priority="36">
      <formula>B$9&gt;=20/24</formula>
    </cfRule>
    <cfRule type="expression" dxfId="1122" priority="37">
      <formula>AND(B$9&gt;=14/24,B$9&lt;20/24)</formula>
    </cfRule>
    <cfRule type="expression" dxfId="1121" priority="39">
      <formula>B$9&lt;8/24</formula>
    </cfRule>
    <cfRule type="expression" dxfId="1120" priority="38">
      <formula>AND(B$9&gt;=8/24,B$9&lt;14/24)</formula>
    </cfRule>
  </conditionalFormatting>
  <conditionalFormatting sqref="B105:AF112">
    <cfRule type="expression" dxfId="1119" priority="25">
      <formula>AND(B$9&gt;=14/24,B$9&lt;20/24)</formula>
    </cfRule>
    <cfRule type="expression" dxfId="1118" priority="26">
      <formula>AND(B$9&gt;=8/24,B$9&lt;14/24)</formula>
    </cfRule>
    <cfRule type="expression" dxfId="1117" priority="27">
      <formula>B$9&lt;8/24</formula>
    </cfRule>
    <cfRule type="expression" dxfId="1116" priority="24">
      <formula>B$9&gt;=20/24</formula>
    </cfRule>
  </conditionalFormatting>
  <conditionalFormatting sqref="E68:X69 Y68:AA71 AB68:AF77 S70:X71 T72:AA77">
    <cfRule type="expression" dxfId="1111" priority="189">
      <formula>AND(E$9&gt;=8/24,E$9&lt;14/24)</formula>
    </cfRule>
    <cfRule type="expression" dxfId="1110" priority="187">
      <formula>E$9&gt;=20/24</formula>
    </cfRule>
    <cfRule type="expression" dxfId="1109" priority="188">
      <formula>AND(E$9&gt;=14/24,E$9&lt;20/24)</formula>
    </cfRule>
    <cfRule type="expression" dxfId="1108" priority="190">
      <formula>E$9&lt;8/24</formula>
    </cfRule>
  </conditionalFormatting>
  <conditionalFormatting sqref="K50:N51 Q50:Q51 AA50:AA51 O50:P53 AB50:AB53 M52:N53 Q52:AA53 E67:AF67">
    <cfRule type="expression" dxfId="1107" priority="199">
      <formula>E$9&lt;8/24</formula>
    </cfRule>
  </conditionalFormatting>
  <conditionalFormatting sqref="K50:N51 Q50:Q51 AA50:AA51 O50:P53 AB50:AB53 M52:N53 Q52:AA53">
    <cfRule type="expression" dxfId="1106" priority="196">
      <formula>K$9&gt;=20/24</formula>
    </cfRule>
    <cfRule type="expression" dxfId="1105" priority="198">
      <formula>AND(K$9&gt;=8/24,K$9&lt;14/24)</formula>
    </cfRule>
    <cfRule type="expression" dxfId="1104" priority="197">
      <formula>AND(K$9&gt;=14/24,K$9&lt;20/24)</formula>
    </cfRule>
  </conditionalFormatting>
  <conditionalFormatting sqref="K49:Q49 AA49:AF49">
    <cfRule type="expression" dxfId="1103" priority="194">
      <formula>AND(K$9&gt;=8/24,K$9&lt;14/24)</formula>
    </cfRule>
    <cfRule type="expression" dxfId="1102" priority="193">
      <formula>AND(K$9&gt;=14/24,K$9&lt;20/24)</formula>
    </cfRule>
    <cfRule type="expression" dxfId="1101" priority="192">
      <formula>K$9&gt;=20/24</formula>
    </cfRule>
    <cfRule type="expression" dxfId="1100" priority="195">
      <formula>K$9&lt;8/24</formula>
    </cfRule>
  </conditionalFormatting>
  <conditionalFormatting sqref="O3:P3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R49:Z51 AC50:AF54">
    <cfRule type="expression" dxfId="1099" priority="182">
      <formula>R$9&gt;=20/24</formula>
    </cfRule>
    <cfRule type="expression" dxfId="1098" priority="183">
      <formula>AND(R$9&gt;=14/24,R$9&lt;20/24)</formula>
    </cfRule>
    <cfRule type="expression" dxfId="1097" priority="184">
      <formula>AND(R$9&gt;=8/24,R$9&lt;14/24)</formula>
    </cfRule>
    <cfRule type="expression" dxfId="1096" priority="185">
      <formula>R$9&lt;8/24</formula>
    </cfRule>
  </conditionalFormatting>
  <conditionalFormatting sqref="S8 AB8 B8 M8">
    <cfRule type="expression" dxfId="1095" priority="232">
      <formula>C$9&gt;=20/24</formula>
    </cfRule>
  </conditionalFormatting>
  <conditionalFormatting sqref="S8">
    <cfRule type="expression" dxfId="1094" priority="208">
      <formula>U$9&lt;8/24</formula>
    </cfRule>
    <cfRule type="expression" dxfId="1093" priority="205">
      <formula>U$9&gt;=20/24</formula>
    </cfRule>
    <cfRule type="expression" dxfId="1092" priority="206">
      <formula>AND(U$9&gt;=14/24,U$9&lt;20/24)</formula>
    </cfRule>
    <cfRule type="expression" dxfId="1091" priority="207">
      <formula>AND(U$9&gt;=8/24,U$9&lt;14/24)</formula>
    </cfRule>
  </conditionalFormatting>
  <conditionalFormatting sqref="T241">
    <cfRule type="expression" dxfId="1090" priority="245">
      <formula>AX$9&gt;=20/24</formula>
    </cfRule>
    <cfRule type="expression" dxfId="1089" priority="246">
      <formula>AND(AX$9&gt;=14/24,AX$9&lt;20/24)</formula>
    </cfRule>
    <cfRule type="expression" dxfId="1088" priority="247">
      <formula>AND(AX$9&gt;=8/24,AX$9&lt;14/24)</formula>
    </cfRule>
    <cfRule type="expression" dxfId="1087" priority="248">
      <formula>AX$9&lt;8/24</formula>
    </cfRule>
  </conditionalFormatting>
  <conditionalFormatting sqref="V3 AB3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X11:AF42">
    <cfRule type="expression" dxfId="1086" priority="168">
      <formula>X$9&gt;=20/24</formula>
    </cfRule>
    <cfRule type="expression" dxfId="1085" priority="169">
      <formula>AND(X$9&gt;=14/24,X$9&lt;20/24)</formula>
    </cfRule>
    <cfRule type="expression" dxfId="1084" priority="171">
      <formula>X$9&lt;8/24</formula>
    </cfRule>
    <cfRule type="expression" dxfId="1083" priority="170">
      <formula>AND(X$9&gt;=8/24,X$9&lt;14/24)</formula>
    </cfRule>
  </conditionalFormatting>
  <conditionalFormatting sqref="AB8">
    <cfRule type="expression" dxfId="1082" priority="201">
      <formula>AD$9&gt;=20/24</formula>
    </cfRule>
    <cfRule type="expression" dxfId="1081" priority="202">
      <formula>AND(AD$9&gt;=14/24,AD$9&lt;20/24)</formula>
    </cfRule>
    <cfRule type="expression" dxfId="1080" priority="203">
      <formula>AND(AD$9&gt;=8/24,AD$9&lt;14/24)</formula>
    </cfRule>
    <cfRule type="expression" dxfId="1079" priority="204">
      <formula>AD$9&lt;8/24</formula>
    </cfRule>
  </conditionalFormatting>
  <conditionalFormatting sqref="AG44 AG61:AG62 AG66">
    <cfRule type="expression" dxfId="1078" priority="158">
      <formula>AG44&gt;$AG44</formula>
    </cfRule>
  </conditionalFormatting>
  <conditionalFormatting sqref="AG48">
    <cfRule type="expression" dxfId="1077" priority="139">
      <formula>AG$9&gt;=20/24</formula>
    </cfRule>
    <cfRule type="expression" dxfId="1076" priority="138">
      <formula>AG48&gt;$AG48</formula>
    </cfRule>
    <cfRule type="expression" dxfId="1075" priority="142">
      <formula>AG$9&lt;8/24</formula>
    </cfRule>
    <cfRule type="expression" dxfId="1074" priority="141">
      <formula>AND(AG$9&gt;=8/24,AG$9&lt;14/24)</formula>
    </cfRule>
    <cfRule type="expression" dxfId="1073" priority="140">
      <formula>AND(AG$9&gt;=14/24,AG$9&lt;20/24)</formula>
    </cfRule>
  </conditionalFormatting>
  <conditionalFormatting sqref="AG66 AG83">
    <cfRule type="expression" dxfId="1072" priority="162">
      <formula>AG$9&lt;8/24</formula>
    </cfRule>
    <cfRule type="expression" dxfId="1071" priority="161">
      <formula>AND(AG$9&gt;=8/24,AG$9&lt;14/24)</formula>
    </cfRule>
    <cfRule type="expression" dxfId="1070" priority="160">
      <formula>AND(AG$9&gt;=14/24,AG$9&lt;20/24)</formula>
    </cfRule>
    <cfRule type="expression" dxfId="1069" priority="159">
      <formula>AG$9&gt;=20/24</formula>
    </cfRule>
  </conditionalFormatting>
  <conditionalFormatting sqref="AG241">
    <cfRule type="expression" dxfId="1068" priority="237">
      <formula>B$9&gt;=20/24</formula>
    </cfRule>
    <cfRule type="expression" dxfId="1067" priority="238">
      <formula>AND(B$9&gt;=14/24,B$9&lt;20/24)</formula>
    </cfRule>
    <cfRule type="expression" dxfId="1066" priority="239">
      <formula>AND(B$9&gt;=8/24,B$9&lt;14/24)</formula>
    </cfRule>
    <cfRule type="expression" dxfId="1065" priority="240">
      <formula>B$9&lt;8/24</formula>
    </cfRule>
  </conditionalFormatting>
  <conditionalFormatting sqref="AH241:AX241">
    <cfRule type="expression" dxfId="1064" priority="241">
      <formula>AG$9&gt;=20/24</formula>
    </cfRule>
    <cfRule type="expression" dxfId="1063" priority="242">
      <formula>AND(AG$9&gt;=14/24,AG$9&lt;20/24)</formula>
    </cfRule>
    <cfRule type="expression" dxfId="1062" priority="243">
      <formula>AND(AG$9&gt;=8/24,AG$9&lt;14/24)</formula>
    </cfRule>
    <cfRule type="expression" dxfId="1061" priority="244">
      <formula>AG$9&lt;8/24</formula>
    </cfRule>
  </conditionalFormatting>
  <conditionalFormatting sqref="AL4:AL6">
    <cfRule type="iconSet" priority="225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49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1" id="{3DD72178-8AD4-4691-BE26-7E019A23581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28" id="{EE998072-B1EC-40A1-921B-8B3A465BFBE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9" id="{446E19C1-62C6-40EF-912A-C0924269F9D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0" id="{4B006F4E-06FD-4B00-A5A3-48E11F8EAB8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32" id="{F28CC376-6CFD-4E6D-912F-F6838D3B0ED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3" id="{FDF6FDCE-1B68-4BCB-B328-A9DF5234135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4" id="{53ED4E91-A46D-44F9-AE15-11B605835F9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5" id="{568E32C2-3E4B-4CB0-A434-C5DC213E44C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26" id="{FBDFA924-81D3-462E-AB9F-A1CB99CF413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7" id="{7FF62D9E-54D5-480B-B3B6-887B0E60957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8" id="{92A05F74-FA35-495C-AB70-F2E1EEED60D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9" id="{0E3A57D1-5526-4529-8B80-BE8F14E1DF6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274"/>
  <sheetViews>
    <sheetView topLeftCell="A49" workbookViewId="0">
      <selection activeCell="A70" sqref="A70:S7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2079/09/8</v>
      </c>
      <c r="C4" s="197"/>
      <c r="D4" s="197"/>
      <c r="E4" s="198" t="str">
        <f ca="1">"2079/"&amp;"09/"&amp;INT(MID(CELL("filename",G6),FIND("]",CELL("filename",G6))+1,200))</f>
        <v>2079/09/8</v>
      </c>
      <c r="F4" s="198"/>
      <c r="G4" s="198"/>
      <c r="H4" s="198" t="str">
        <f ca="1">TEXT(E4,"dddd")</f>
        <v>Friday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169.7</v>
      </c>
      <c r="C5" s="30">
        <f t="shared" si="0"/>
        <v>162.5</v>
      </c>
      <c r="D5" s="30">
        <f t="shared" si="0"/>
        <v>157.19999999999999</v>
      </c>
      <c r="E5" s="30">
        <f t="shared" si="0"/>
        <v>159.5</v>
      </c>
      <c r="F5" s="30">
        <f t="shared" si="0"/>
        <v>142.80000000000001</v>
      </c>
      <c r="G5" s="30">
        <f t="shared" si="0"/>
        <v>153</v>
      </c>
      <c r="H5" s="30">
        <f t="shared" si="0"/>
        <v>159.69999999999999</v>
      </c>
      <c r="I5" s="30">
        <f t="shared" si="0"/>
        <v>160</v>
      </c>
      <c r="J5" s="30">
        <f t="shared" si="0"/>
        <v>134.69999999999999</v>
      </c>
      <c r="K5" s="30">
        <f t="shared" si="0"/>
        <v>61.8</v>
      </c>
      <c r="L5" s="30">
        <f t="shared" si="0"/>
        <v>61.9</v>
      </c>
      <c r="M5" s="30">
        <f t="shared" si="0"/>
        <v>69.7</v>
      </c>
      <c r="N5" s="30">
        <f t="shared" si="0"/>
        <v>196.5</v>
      </c>
      <c r="O5" s="30">
        <f t="shared" si="0"/>
        <v>198.7</v>
      </c>
      <c r="P5" s="30">
        <f t="shared" si="0"/>
        <v>348.59999999999997</v>
      </c>
      <c r="Q5" s="30">
        <f t="shared" si="0"/>
        <v>368</v>
      </c>
      <c r="R5" s="30">
        <f t="shared" si="0"/>
        <v>370.2</v>
      </c>
      <c r="S5" s="30">
        <f t="shared" si="0"/>
        <v>381</v>
      </c>
      <c r="T5" s="30">
        <f t="shared" si="0"/>
        <v>378.7</v>
      </c>
      <c r="U5" s="30">
        <f t="shared" si="0"/>
        <v>199.9</v>
      </c>
      <c r="V5" s="30">
        <f t="shared" si="0"/>
        <v>165</v>
      </c>
      <c r="W5" s="30">
        <f t="shared" si="0"/>
        <v>113.9</v>
      </c>
      <c r="X5" s="30">
        <f t="shared" si="0"/>
        <v>105.19999999999999</v>
      </c>
      <c r="Y5" s="30">
        <f t="shared" si="0"/>
        <v>103.6</v>
      </c>
      <c r="Z5" s="30">
        <f t="shared" si="0"/>
        <v>71</v>
      </c>
      <c r="AA5" s="30">
        <f t="shared" si="0"/>
        <v>122.4</v>
      </c>
      <c r="AB5" s="30">
        <f t="shared" si="0"/>
        <v>148.9</v>
      </c>
      <c r="AC5" s="30">
        <f t="shared" si="0"/>
        <v>147.9</v>
      </c>
      <c r="AD5" s="30">
        <f t="shared" si="0"/>
        <v>198.4</v>
      </c>
      <c r="AE5" s="30">
        <f t="shared" si="0"/>
        <v>203.4</v>
      </c>
      <c r="AF5" s="30">
        <f>B78</f>
        <v>197.2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1603MW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Load=987</v>
      </c>
      <c r="B7" s="35">
        <f t="shared" ref="B7:AF7" si="1">B85</f>
        <v>1032.539</v>
      </c>
      <c r="C7" s="35">
        <f t="shared" si="1"/>
        <v>1019.039</v>
      </c>
      <c r="D7" s="35">
        <f t="shared" si="1"/>
        <v>1002.739</v>
      </c>
      <c r="E7" s="35">
        <f t="shared" si="1"/>
        <v>986.63900000000012</v>
      </c>
      <c r="F7" s="35">
        <f t="shared" si="1"/>
        <v>999.63900000000012</v>
      </c>
      <c r="G7" s="35">
        <f t="shared" si="1"/>
        <v>1046.6390000000001</v>
      </c>
      <c r="H7" s="35">
        <f t="shared" si="1"/>
        <v>1144.4390000000001</v>
      </c>
      <c r="I7" s="35">
        <f t="shared" si="1"/>
        <v>1239.8390000000002</v>
      </c>
      <c r="J7" s="35">
        <f t="shared" si="1"/>
        <v>1353.8390000000002</v>
      </c>
      <c r="K7" s="35">
        <f t="shared" si="1"/>
        <v>1472.7390000000003</v>
      </c>
      <c r="L7" s="35">
        <f t="shared" si="1"/>
        <v>1576.9390000000001</v>
      </c>
      <c r="M7" s="35">
        <f t="shared" si="1"/>
        <v>1603.3390000000002</v>
      </c>
      <c r="N7" s="35">
        <f>N85</f>
        <v>1595.2390000000003</v>
      </c>
      <c r="O7" s="35">
        <f t="shared" si="1"/>
        <v>1510.739</v>
      </c>
      <c r="P7" s="35">
        <f t="shared" si="1"/>
        <v>1386.539</v>
      </c>
      <c r="Q7" s="35">
        <f t="shared" si="1"/>
        <v>1321.9389999999999</v>
      </c>
      <c r="R7" s="35">
        <f t="shared" si="1"/>
        <v>1305.539</v>
      </c>
      <c r="S7" s="35">
        <f t="shared" si="1"/>
        <v>1322.6389999999999</v>
      </c>
      <c r="T7" s="35">
        <f t="shared" si="1"/>
        <v>1328.039</v>
      </c>
      <c r="U7" s="35">
        <f t="shared" si="1"/>
        <v>1335.1390000000001</v>
      </c>
      <c r="V7" s="35">
        <f t="shared" si="1"/>
        <v>1425.1390000000001</v>
      </c>
      <c r="W7" s="35">
        <f t="shared" si="1"/>
        <v>1502.539</v>
      </c>
      <c r="X7" s="35">
        <f t="shared" si="1"/>
        <v>1669.539</v>
      </c>
      <c r="Y7" s="35">
        <f t="shared" si="1"/>
        <v>1612.8389999999999</v>
      </c>
      <c r="Z7" s="35">
        <f t="shared" si="1"/>
        <v>1541.2389999999998</v>
      </c>
      <c r="AA7" s="35">
        <f t="shared" si="1"/>
        <v>1475.6389999999999</v>
      </c>
      <c r="AB7" s="35">
        <f t="shared" si="1"/>
        <v>1393.739</v>
      </c>
      <c r="AC7" s="35">
        <f t="shared" si="1"/>
        <v>1337.239</v>
      </c>
      <c r="AD7" s="35">
        <f t="shared" si="1"/>
        <v>1063.9389999999999</v>
      </c>
      <c r="AE7" s="35">
        <f t="shared" si="1"/>
        <v>1074.1389999999999</v>
      </c>
      <c r="AF7" s="35">
        <f t="shared" si="1"/>
        <v>1052.739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25.6</v>
      </c>
      <c r="C11" s="45">
        <v>25.6</v>
      </c>
      <c r="D11" s="45">
        <v>25.6</v>
      </c>
      <c r="E11" s="45">
        <v>25.6</v>
      </c>
      <c r="F11" s="45">
        <v>25.6</v>
      </c>
      <c r="G11" s="45">
        <v>25.6</v>
      </c>
      <c r="H11" s="45">
        <v>25.6</v>
      </c>
      <c r="I11" s="45">
        <v>25.6</v>
      </c>
      <c r="J11" s="45">
        <v>25.6</v>
      </c>
      <c r="K11" s="45">
        <v>25.6</v>
      </c>
      <c r="L11" s="45">
        <v>25.6</v>
      </c>
      <c r="M11" s="45">
        <v>25.6</v>
      </c>
      <c r="N11" s="45">
        <v>25.6</v>
      </c>
      <c r="O11" s="45">
        <v>25.6</v>
      </c>
      <c r="P11" s="45">
        <v>25.6</v>
      </c>
      <c r="Q11" s="45">
        <v>25.6</v>
      </c>
      <c r="R11" s="45">
        <v>25.6</v>
      </c>
      <c r="S11" s="45">
        <v>25.6</v>
      </c>
      <c r="T11" s="45">
        <v>25.6</v>
      </c>
      <c r="U11" s="45">
        <v>25.6</v>
      </c>
      <c r="V11" s="45">
        <v>25.6</v>
      </c>
      <c r="W11" s="45">
        <v>24</v>
      </c>
      <c r="X11" s="45">
        <v>24</v>
      </c>
      <c r="Y11" s="45">
        <v>24</v>
      </c>
      <c r="Z11" s="45">
        <v>24</v>
      </c>
      <c r="AA11" s="45">
        <v>24</v>
      </c>
      <c r="AB11" s="45">
        <v>24</v>
      </c>
      <c r="AC11" s="45">
        <v>27.4</v>
      </c>
      <c r="AD11" s="45">
        <v>27.4</v>
      </c>
      <c r="AE11" s="45">
        <v>27.4</v>
      </c>
      <c r="AF11" s="45">
        <v>27.4</v>
      </c>
      <c r="AG11" s="47">
        <v>52.4</v>
      </c>
      <c r="AH11" s="48">
        <f t="shared" ref="AH11:AH74" si="2">MAX(B11:AF11)</f>
        <v>27.4</v>
      </c>
      <c r="AI11" s="49">
        <f t="shared" ref="AI11:AI74" si="3">MIN(B11:AF11)</f>
        <v>24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49.4</v>
      </c>
      <c r="C12" s="45">
        <v>49.4</v>
      </c>
      <c r="D12" s="45">
        <v>49.4</v>
      </c>
      <c r="E12" s="45">
        <v>49.4</v>
      </c>
      <c r="F12" s="45">
        <v>49.4</v>
      </c>
      <c r="G12" s="45">
        <v>49.4</v>
      </c>
      <c r="H12" s="45">
        <v>49.4</v>
      </c>
      <c r="I12" s="45">
        <v>49.4</v>
      </c>
      <c r="J12" s="45">
        <v>49.4</v>
      </c>
      <c r="K12" s="45">
        <v>49.4</v>
      </c>
      <c r="L12" s="45">
        <v>49.4</v>
      </c>
      <c r="M12" s="45">
        <v>49.4</v>
      </c>
      <c r="N12" s="45">
        <v>49.4</v>
      </c>
      <c r="O12" s="45">
        <v>47</v>
      </c>
      <c r="P12" s="45">
        <v>47</v>
      </c>
      <c r="Q12" s="45">
        <v>47</v>
      </c>
      <c r="R12" s="45">
        <v>47</v>
      </c>
      <c r="S12" s="45">
        <v>47</v>
      </c>
      <c r="T12" s="45">
        <v>47</v>
      </c>
      <c r="U12" s="45">
        <v>47</v>
      </c>
      <c r="V12" s="45">
        <v>47</v>
      </c>
      <c r="W12" s="45">
        <v>46.8</v>
      </c>
      <c r="X12" s="45">
        <v>46.8</v>
      </c>
      <c r="Y12" s="45">
        <v>46.8</v>
      </c>
      <c r="Z12" s="45">
        <v>46.8</v>
      </c>
      <c r="AA12" s="45">
        <v>46.8</v>
      </c>
      <c r="AB12" s="45">
        <v>46.8</v>
      </c>
      <c r="AC12" s="45">
        <v>46.8</v>
      </c>
      <c r="AD12" s="45">
        <v>46.8</v>
      </c>
      <c r="AE12" s="45">
        <v>46.8</v>
      </c>
      <c r="AF12" s="45">
        <v>46.8</v>
      </c>
      <c r="AG12" s="51">
        <v>50</v>
      </c>
      <c r="AH12" s="48">
        <f t="shared" si="2"/>
        <v>49.4</v>
      </c>
      <c r="AI12" s="49">
        <f t="shared" si="3"/>
        <v>46.8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24.2</v>
      </c>
      <c r="C13" s="45">
        <v>24.2</v>
      </c>
      <c r="D13" s="45">
        <v>24.2</v>
      </c>
      <c r="E13" s="45">
        <v>24.2</v>
      </c>
      <c r="F13" s="45">
        <v>24.2</v>
      </c>
      <c r="G13" s="45">
        <v>24.2</v>
      </c>
      <c r="H13" s="45">
        <v>24.2</v>
      </c>
      <c r="I13" s="45">
        <v>24.2</v>
      </c>
      <c r="J13" s="45">
        <v>24.2</v>
      </c>
      <c r="K13" s="45">
        <v>24.2</v>
      </c>
      <c r="L13" s="45">
        <v>24.2</v>
      </c>
      <c r="M13" s="45">
        <v>24.2</v>
      </c>
      <c r="N13" s="45">
        <v>24.2</v>
      </c>
      <c r="O13" s="45">
        <v>24.2</v>
      </c>
      <c r="P13" s="45">
        <v>24.2</v>
      </c>
      <c r="Q13" s="45">
        <v>24.2</v>
      </c>
      <c r="R13" s="45">
        <v>24.2</v>
      </c>
      <c r="S13" s="45">
        <v>24.2</v>
      </c>
      <c r="T13" s="45">
        <v>24.2</v>
      </c>
      <c r="U13" s="45">
        <v>24.2</v>
      </c>
      <c r="V13" s="45">
        <v>24.2</v>
      </c>
      <c r="W13" s="45">
        <v>24.2</v>
      </c>
      <c r="X13" s="45">
        <v>24.2</v>
      </c>
      <c r="Y13" s="45">
        <v>24.2</v>
      </c>
      <c r="Z13" s="45">
        <v>24.2</v>
      </c>
      <c r="AA13" s="45">
        <v>24.2</v>
      </c>
      <c r="AB13" s="45">
        <v>24.2</v>
      </c>
      <c r="AC13" s="45">
        <v>24.7</v>
      </c>
      <c r="AD13" s="45">
        <v>24.7</v>
      </c>
      <c r="AE13" s="45">
        <v>24.7</v>
      </c>
      <c r="AF13" s="45">
        <v>24.7</v>
      </c>
      <c r="AG13" s="51">
        <v>45</v>
      </c>
      <c r="AH13" s="48">
        <f t="shared" si="2"/>
        <v>24.7</v>
      </c>
      <c r="AI13" s="49">
        <f t="shared" si="3"/>
        <v>24.2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21</v>
      </c>
      <c r="C15" s="45">
        <v>21</v>
      </c>
      <c r="D15" s="45">
        <v>21</v>
      </c>
      <c r="E15" s="45">
        <v>21</v>
      </c>
      <c r="F15" s="45">
        <v>21</v>
      </c>
      <c r="G15" s="45">
        <v>21</v>
      </c>
      <c r="H15" s="45">
        <v>21</v>
      </c>
      <c r="I15" s="45">
        <v>21</v>
      </c>
      <c r="J15" s="45">
        <v>21</v>
      </c>
      <c r="K15" s="45">
        <v>21</v>
      </c>
      <c r="L15" s="45">
        <v>21</v>
      </c>
      <c r="M15" s="45">
        <v>21</v>
      </c>
      <c r="N15" s="45">
        <v>21</v>
      </c>
      <c r="O15" s="45">
        <v>21</v>
      </c>
      <c r="P15" s="45">
        <v>21</v>
      </c>
      <c r="Q15" s="45">
        <v>21</v>
      </c>
      <c r="R15" s="45">
        <v>21</v>
      </c>
      <c r="S15" s="45">
        <v>21</v>
      </c>
      <c r="T15" s="45">
        <v>21</v>
      </c>
      <c r="U15" s="45">
        <v>21</v>
      </c>
      <c r="V15" s="45">
        <v>21</v>
      </c>
      <c r="W15" s="45">
        <v>21</v>
      </c>
      <c r="X15" s="45">
        <v>21</v>
      </c>
      <c r="Y15" s="45">
        <v>21</v>
      </c>
      <c r="Z15" s="45">
        <v>21</v>
      </c>
      <c r="AA15" s="45">
        <v>21</v>
      </c>
      <c r="AB15" s="45">
        <v>21</v>
      </c>
      <c r="AC15" s="45">
        <v>21</v>
      </c>
      <c r="AD15" s="45">
        <v>21</v>
      </c>
      <c r="AE15" s="45">
        <v>21</v>
      </c>
      <c r="AF15" s="45">
        <v>21</v>
      </c>
      <c r="AG15" s="51">
        <v>36</v>
      </c>
      <c r="AH15" s="48">
        <f t="shared" si="2"/>
        <v>21</v>
      </c>
      <c r="AI15" s="49">
        <f t="shared" si="3"/>
        <v>21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14</v>
      </c>
      <c r="C16" s="45">
        <v>14</v>
      </c>
      <c r="D16" s="45">
        <v>14</v>
      </c>
      <c r="E16" s="45">
        <v>14</v>
      </c>
      <c r="F16" s="45">
        <v>14</v>
      </c>
      <c r="G16" s="45">
        <v>14</v>
      </c>
      <c r="H16" s="45">
        <v>14</v>
      </c>
      <c r="I16" s="45">
        <v>14</v>
      </c>
      <c r="J16" s="45">
        <v>14</v>
      </c>
      <c r="K16" s="45">
        <v>14</v>
      </c>
      <c r="L16" s="45">
        <v>14</v>
      </c>
      <c r="M16" s="45">
        <v>14</v>
      </c>
      <c r="N16" s="45">
        <v>14</v>
      </c>
      <c r="O16" s="45">
        <v>14</v>
      </c>
      <c r="P16" s="45">
        <v>14</v>
      </c>
      <c r="Q16" s="45">
        <v>14</v>
      </c>
      <c r="R16" s="45">
        <v>14</v>
      </c>
      <c r="S16" s="45">
        <v>14</v>
      </c>
      <c r="T16" s="45">
        <v>14</v>
      </c>
      <c r="U16" s="45">
        <v>14</v>
      </c>
      <c r="V16" s="45">
        <v>14</v>
      </c>
      <c r="W16" s="45">
        <v>12</v>
      </c>
      <c r="X16" s="45">
        <v>12</v>
      </c>
      <c r="Y16" s="45">
        <v>12</v>
      </c>
      <c r="Z16" s="45">
        <v>12</v>
      </c>
      <c r="AA16" s="45">
        <v>12</v>
      </c>
      <c r="AB16" s="45">
        <v>12</v>
      </c>
      <c r="AC16" s="45">
        <v>12</v>
      </c>
      <c r="AD16" s="45">
        <v>12.6</v>
      </c>
      <c r="AE16" s="45">
        <v>12.6</v>
      </c>
      <c r="AF16" s="45">
        <v>12.6</v>
      </c>
      <c r="AG16" s="52">
        <v>30</v>
      </c>
      <c r="AH16" s="48">
        <f t="shared" si="2"/>
        <v>14</v>
      </c>
      <c r="AI16" s="49">
        <f t="shared" si="3"/>
        <v>12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11.8</v>
      </c>
      <c r="C17" s="45">
        <v>11.8</v>
      </c>
      <c r="D17" s="45">
        <v>11.8</v>
      </c>
      <c r="E17" s="45">
        <v>11.8</v>
      </c>
      <c r="F17" s="45">
        <v>11.8</v>
      </c>
      <c r="G17" s="45">
        <v>11.8</v>
      </c>
      <c r="H17" s="45">
        <v>11.8</v>
      </c>
      <c r="I17" s="45">
        <v>11.8</v>
      </c>
      <c r="J17" s="45">
        <v>11.8</v>
      </c>
      <c r="K17" s="45">
        <v>11.8</v>
      </c>
      <c r="L17" s="45">
        <v>11.8</v>
      </c>
      <c r="M17" s="45">
        <v>11.8</v>
      </c>
      <c r="N17" s="45">
        <v>11.8</v>
      </c>
      <c r="O17" s="45">
        <v>11.8</v>
      </c>
      <c r="P17" s="45">
        <v>11.8</v>
      </c>
      <c r="Q17" s="45">
        <v>11.8</v>
      </c>
      <c r="R17" s="45">
        <v>11.8</v>
      </c>
      <c r="S17" s="45">
        <v>11.8</v>
      </c>
      <c r="T17" s="45">
        <v>11.8</v>
      </c>
      <c r="U17" s="45">
        <v>11.8</v>
      </c>
      <c r="V17" s="45">
        <v>11.8</v>
      </c>
      <c r="W17" s="45">
        <v>11.7</v>
      </c>
      <c r="X17" s="45">
        <v>11.7</v>
      </c>
      <c r="Y17" s="45">
        <v>11.7</v>
      </c>
      <c r="Z17" s="45">
        <v>11.7</v>
      </c>
      <c r="AA17" s="45">
        <v>11.7</v>
      </c>
      <c r="AB17" s="45">
        <v>11.7</v>
      </c>
      <c r="AC17" s="45">
        <v>11.7</v>
      </c>
      <c r="AD17" s="45">
        <v>11.7</v>
      </c>
      <c r="AE17" s="45">
        <v>11.7</v>
      </c>
      <c r="AF17" s="45">
        <v>11.7</v>
      </c>
      <c r="AG17" s="51">
        <v>24.2</v>
      </c>
      <c r="AH17" s="48">
        <f t="shared" si="2"/>
        <v>11.8</v>
      </c>
      <c r="AI17" s="49">
        <f t="shared" si="3"/>
        <v>11.7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13.2</v>
      </c>
      <c r="C18" s="45">
        <v>13.2</v>
      </c>
      <c r="D18" s="45">
        <v>13.2</v>
      </c>
      <c r="E18" s="45">
        <v>13.2</v>
      </c>
      <c r="F18" s="45">
        <v>13.2</v>
      </c>
      <c r="G18" s="45">
        <v>13.2</v>
      </c>
      <c r="H18" s="45">
        <v>13.2</v>
      </c>
      <c r="I18" s="45">
        <v>13.2</v>
      </c>
      <c r="J18" s="45">
        <v>13.2</v>
      </c>
      <c r="K18" s="45">
        <v>13.2</v>
      </c>
      <c r="L18" s="45">
        <v>13.2</v>
      </c>
      <c r="M18" s="45">
        <v>13.2</v>
      </c>
      <c r="N18" s="45">
        <v>13.2</v>
      </c>
      <c r="O18" s="45">
        <v>13.2</v>
      </c>
      <c r="P18" s="45">
        <v>13.2</v>
      </c>
      <c r="Q18" s="45">
        <v>13.2</v>
      </c>
      <c r="R18" s="45">
        <v>13.2</v>
      </c>
      <c r="S18" s="45">
        <v>13.2</v>
      </c>
      <c r="T18" s="45">
        <v>13.2</v>
      </c>
      <c r="U18" s="45">
        <v>13.2</v>
      </c>
      <c r="V18" s="45">
        <v>13.2</v>
      </c>
      <c r="W18" s="45">
        <v>13.2</v>
      </c>
      <c r="X18" s="45">
        <v>13.2</v>
      </c>
      <c r="Y18" s="45">
        <v>13.2</v>
      </c>
      <c r="Z18" s="45">
        <v>13.2</v>
      </c>
      <c r="AA18" s="45">
        <v>13.2</v>
      </c>
      <c r="AB18" s="45">
        <v>13.2</v>
      </c>
      <c r="AC18" s="45">
        <v>13.2</v>
      </c>
      <c r="AD18" s="45">
        <v>13.2</v>
      </c>
      <c r="AE18" s="45">
        <v>13.2</v>
      </c>
      <c r="AF18" s="45">
        <v>13.2</v>
      </c>
      <c r="AG18" s="51">
        <v>28</v>
      </c>
      <c r="AH18" s="48">
        <f t="shared" si="2"/>
        <v>13.2</v>
      </c>
      <c r="AI18" s="49">
        <f t="shared" si="3"/>
        <v>13.2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13.4</v>
      </c>
      <c r="C20" s="45">
        <v>13.4</v>
      </c>
      <c r="D20" s="45">
        <v>13.4</v>
      </c>
      <c r="E20" s="45">
        <v>13.4</v>
      </c>
      <c r="F20" s="45">
        <v>13.4</v>
      </c>
      <c r="G20" s="45">
        <v>13.4</v>
      </c>
      <c r="H20" s="45">
        <v>13.4</v>
      </c>
      <c r="I20" s="45">
        <v>13.4</v>
      </c>
      <c r="J20" s="45">
        <v>13.4</v>
      </c>
      <c r="K20" s="45">
        <v>13.4</v>
      </c>
      <c r="L20" s="45">
        <v>13.4</v>
      </c>
      <c r="M20" s="45">
        <v>13.4</v>
      </c>
      <c r="N20" s="45">
        <v>13.4</v>
      </c>
      <c r="O20" s="45">
        <v>13.4</v>
      </c>
      <c r="P20" s="45">
        <v>13.4</v>
      </c>
      <c r="Q20" s="45">
        <v>13.4</v>
      </c>
      <c r="R20" s="45">
        <v>13.4</v>
      </c>
      <c r="S20" s="45">
        <v>13.4</v>
      </c>
      <c r="T20" s="45">
        <v>13.4</v>
      </c>
      <c r="U20" s="45">
        <v>13.4</v>
      </c>
      <c r="V20" s="45">
        <v>13.4</v>
      </c>
      <c r="W20" s="45">
        <v>13.4</v>
      </c>
      <c r="X20" s="45">
        <v>13.4</v>
      </c>
      <c r="Y20" s="45">
        <v>13.4</v>
      </c>
      <c r="Z20" s="45">
        <v>13.4</v>
      </c>
      <c r="AA20" s="45">
        <v>13.4</v>
      </c>
      <c r="AB20" s="45">
        <v>13.4</v>
      </c>
      <c r="AC20" s="45">
        <v>13.4</v>
      </c>
      <c r="AD20" s="45">
        <v>13.4</v>
      </c>
      <c r="AE20" s="45">
        <v>13.4</v>
      </c>
      <c r="AF20" s="45">
        <v>13.4</v>
      </c>
      <c r="AG20" s="51">
        <v>25</v>
      </c>
      <c r="AH20" s="48">
        <f t="shared" si="2"/>
        <v>13.4</v>
      </c>
      <c r="AI20" s="49">
        <f t="shared" si="3"/>
        <v>13.4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51">
        <v>25</v>
      </c>
      <c r="AH21" s="48">
        <f t="shared" si="2"/>
        <v>0</v>
      </c>
      <c r="AI21" s="49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13.5</v>
      </c>
      <c r="C23" s="45">
        <v>13.5</v>
      </c>
      <c r="D23" s="45">
        <v>13.5</v>
      </c>
      <c r="E23" s="45">
        <v>13.5</v>
      </c>
      <c r="F23" s="45">
        <v>13.5</v>
      </c>
      <c r="G23" s="45">
        <v>13.5</v>
      </c>
      <c r="H23" s="45">
        <v>13.5</v>
      </c>
      <c r="I23" s="45">
        <v>13.5</v>
      </c>
      <c r="J23" s="45">
        <v>13.5</v>
      </c>
      <c r="K23" s="45">
        <v>13.5</v>
      </c>
      <c r="L23" s="45">
        <v>13.5</v>
      </c>
      <c r="M23" s="45">
        <v>13.5</v>
      </c>
      <c r="N23" s="45">
        <v>13.5</v>
      </c>
      <c r="O23" s="45">
        <v>13.5</v>
      </c>
      <c r="P23" s="45">
        <v>13.5</v>
      </c>
      <c r="Q23" s="45">
        <v>13.5</v>
      </c>
      <c r="R23" s="45">
        <v>13.5</v>
      </c>
      <c r="S23" s="45">
        <v>13.5</v>
      </c>
      <c r="T23" s="45">
        <v>13.5</v>
      </c>
      <c r="U23" s="45">
        <v>13.5</v>
      </c>
      <c r="V23" s="45">
        <v>13.5</v>
      </c>
      <c r="W23" s="45">
        <v>13.5</v>
      </c>
      <c r="X23" s="45">
        <v>13.5</v>
      </c>
      <c r="Y23" s="45">
        <v>13.5</v>
      </c>
      <c r="Z23" s="45">
        <v>13.5</v>
      </c>
      <c r="AA23" s="45">
        <v>13.5</v>
      </c>
      <c r="AB23" s="45">
        <v>13.5</v>
      </c>
      <c r="AC23" s="45">
        <v>13.5</v>
      </c>
      <c r="AD23" s="45">
        <v>13.5</v>
      </c>
      <c r="AE23" s="45">
        <v>13.5</v>
      </c>
      <c r="AF23" s="45">
        <v>13.5</v>
      </c>
      <c r="AG23" s="51">
        <v>25</v>
      </c>
      <c r="AH23" s="48">
        <f t="shared" si="2"/>
        <v>13.5</v>
      </c>
      <c r="AI23" s="49">
        <f t="shared" si="3"/>
        <v>13.5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11.8</v>
      </c>
      <c r="C24" s="45">
        <v>11.8</v>
      </c>
      <c r="D24" s="45">
        <v>11.8</v>
      </c>
      <c r="E24" s="45">
        <v>11.8</v>
      </c>
      <c r="F24" s="45">
        <v>11.8</v>
      </c>
      <c r="G24" s="45">
        <v>11.8</v>
      </c>
      <c r="H24" s="45">
        <v>11.8</v>
      </c>
      <c r="I24" s="45">
        <v>11.8</v>
      </c>
      <c r="J24" s="45">
        <v>11.8</v>
      </c>
      <c r="K24" s="45">
        <v>11.8</v>
      </c>
      <c r="L24" s="45">
        <v>11.8</v>
      </c>
      <c r="M24" s="45">
        <v>11.8</v>
      </c>
      <c r="N24" s="45">
        <v>11.8</v>
      </c>
      <c r="O24" s="45">
        <v>11.8</v>
      </c>
      <c r="P24" s="45">
        <v>11.8</v>
      </c>
      <c r="Q24" s="45">
        <v>11.8</v>
      </c>
      <c r="R24" s="45">
        <v>11.8</v>
      </c>
      <c r="S24" s="45">
        <v>11.8</v>
      </c>
      <c r="T24" s="45">
        <v>11.8</v>
      </c>
      <c r="U24" s="45">
        <v>11.8</v>
      </c>
      <c r="V24" s="45">
        <v>11.8</v>
      </c>
      <c r="W24" s="45">
        <v>10.8</v>
      </c>
      <c r="X24" s="45">
        <v>10.8</v>
      </c>
      <c r="Y24" s="45">
        <v>10.8</v>
      </c>
      <c r="Z24" s="45">
        <v>10.8</v>
      </c>
      <c r="AA24" s="45">
        <v>10.8</v>
      </c>
      <c r="AB24" s="45">
        <v>10.8</v>
      </c>
      <c r="AC24" s="45">
        <v>10.8</v>
      </c>
      <c r="AD24" s="45">
        <v>10.8</v>
      </c>
      <c r="AE24" s="45">
        <v>10.8</v>
      </c>
      <c r="AF24" s="45">
        <v>10.8</v>
      </c>
      <c r="AG24" s="51">
        <v>23.5</v>
      </c>
      <c r="AH24" s="48">
        <f t="shared" si="2"/>
        <v>11.8</v>
      </c>
      <c r="AI24" s="49">
        <f t="shared" si="3"/>
        <v>10.8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7.0990000000000002</v>
      </c>
      <c r="C26" s="45">
        <v>7.0990000000000002</v>
      </c>
      <c r="D26" s="45">
        <v>7.0990000000000002</v>
      </c>
      <c r="E26" s="45">
        <v>7.0990000000000002</v>
      </c>
      <c r="F26" s="45">
        <v>7.0990000000000002</v>
      </c>
      <c r="G26" s="45">
        <v>7.0990000000000002</v>
      </c>
      <c r="H26" s="45">
        <v>7.0990000000000002</v>
      </c>
      <c r="I26" s="45">
        <v>7.0990000000000002</v>
      </c>
      <c r="J26" s="45">
        <v>7.0990000000000002</v>
      </c>
      <c r="K26" s="45">
        <v>7.0990000000000002</v>
      </c>
      <c r="L26" s="45">
        <v>7.0990000000000002</v>
      </c>
      <c r="M26" s="45">
        <v>7.0990000000000002</v>
      </c>
      <c r="N26" s="45">
        <v>7.0990000000000002</v>
      </c>
      <c r="O26" s="45">
        <v>7.0990000000000002</v>
      </c>
      <c r="P26" s="45">
        <v>7.0990000000000002</v>
      </c>
      <c r="Q26" s="45">
        <v>7.0990000000000002</v>
      </c>
      <c r="R26" s="45">
        <v>7.0990000000000002</v>
      </c>
      <c r="S26" s="45">
        <v>7.0990000000000002</v>
      </c>
      <c r="T26" s="45">
        <v>7.0990000000000002</v>
      </c>
      <c r="U26" s="45">
        <v>7.0990000000000002</v>
      </c>
      <c r="V26" s="45">
        <v>7.0990000000000002</v>
      </c>
      <c r="W26" s="45">
        <v>7.0990000000000002</v>
      </c>
      <c r="X26" s="45">
        <v>7.0990000000000002</v>
      </c>
      <c r="Y26" s="45">
        <v>7.0990000000000002</v>
      </c>
      <c r="Z26" s="45">
        <v>7.0990000000000002</v>
      </c>
      <c r="AA26" s="45">
        <v>7.0990000000000002</v>
      </c>
      <c r="AB26" s="45">
        <v>7.0990000000000002</v>
      </c>
      <c r="AC26" s="45">
        <v>7.0990000000000002</v>
      </c>
      <c r="AD26" s="45">
        <v>7.0990000000000002</v>
      </c>
      <c r="AE26" s="45">
        <v>7.0990000000000002</v>
      </c>
      <c r="AF26" s="45">
        <v>7.0990000000000002</v>
      </c>
      <c r="AG26" s="51">
        <v>22.1</v>
      </c>
      <c r="AH26" s="48">
        <f t="shared" si="2"/>
        <v>7.0990000000000002</v>
      </c>
      <c r="AI26" s="49">
        <f t="shared" si="3"/>
        <v>7.0990000000000002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1</v>
      </c>
      <c r="T41" s="45">
        <v>1</v>
      </c>
      <c r="U41" s="45">
        <v>1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1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220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si="2"/>
        <v>220</v>
      </c>
      <c r="AI42" s="49">
        <f t="shared" si="3"/>
        <v>200</v>
      </c>
      <c r="AK42" s="50"/>
    </row>
    <row r="43" spans="1:88" ht="15.75" thickBot="1" x14ac:dyDescent="0.3">
      <c r="A43" s="58" t="s">
        <v>51</v>
      </c>
      <c r="B43" s="59">
        <v>48.099999999999994</v>
      </c>
      <c r="C43" s="59">
        <f>36.6+14.1</f>
        <v>50.7</v>
      </c>
      <c r="D43" s="59">
        <f>36+14.1</f>
        <v>50.1</v>
      </c>
      <c r="E43" s="59">
        <f>14.4+36.6</f>
        <v>51</v>
      </c>
      <c r="F43" s="59">
        <f>14.4+36.4</f>
        <v>50.8</v>
      </c>
      <c r="G43" s="59">
        <f>14.4+36</f>
        <v>50.4</v>
      </c>
      <c r="H43" s="59">
        <f>14.1+34.8</f>
        <v>48.9</v>
      </c>
      <c r="I43" s="59">
        <f>13.7+37.5</f>
        <v>51.2</v>
      </c>
      <c r="J43" s="59">
        <f>13.6+32.4</f>
        <v>46</v>
      </c>
      <c r="K43" s="59">
        <f>13.4+30.7</f>
        <v>44.1</v>
      </c>
      <c r="L43" s="59">
        <f>13.2+31.2</f>
        <v>44.4</v>
      </c>
      <c r="M43" s="59">
        <f>31.1+12.2</f>
        <v>43.3</v>
      </c>
      <c r="N43" s="59">
        <v>42.7</v>
      </c>
      <c r="O43" s="59">
        <v>43</v>
      </c>
      <c r="P43" s="59">
        <f>31.2+13.6</f>
        <v>44.8</v>
      </c>
      <c r="Q43" s="59">
        <f>23.6+13.9</f>
        <v>37.5</v>
      </c>
      <c r="R43" s="59">
        <f>25.6+14.5</f>
        <v>40.1</v>
      </c>
      <c r="S43" s="59">
        <f>11.4+31.6</f>
        <v>43</v>
      </c>
      <c r="T43" s="57">
        <f>12.1+23.5</f>
        <v>35.6</v>
      </c>
      <c r="U43" s="57">
        <f>12.4+30.2</f>
        <v>42.6</v>
      </c>
      <c r="V43" s="57">
        <f>12.1+27.2</f>
        <v>39.299999999999997</v>
      </c>
      <c r="W43" s="57">
        <f>12.1+28.2</f>
        <v>40.299999999999997</v>
      </c>
      <c r="X43" s="57">
        <v>40</v>
      </c>
      <c r="Y43" s="57">
        <f>11.4+27.9</f>
        <v>39.299999999999997</v>
      </c>
      <c r="Z43" s="57">
        <f>11.5+28</f>
        <v>39.5</v>
      </c>
      <c r="AA43" s="57">
        <f>11.7+29</f>
        <v>40.700000000000003</v>
      </c>
      <c r="AB43" s="57">
        <f>11.9+28.4</f>
        <v>40.299999999999997</v>
      </c>
      <c r="AC43" s="57">
        <f>12.4+29.8</f>
        <v>42.2</v>
      </c>
      <c r="AD43" s="57">
        <f>13.1+31.3</f>
        <v>44.4</v>
      </c>
      <c r="AE43" s="57">
        <v>44.2</v>
      </c>
      <c r="AF43" s="57">
        <f>13.4+31.1</f>
        <v>44.5</v>
      </c>
      <c r="AG43" s="55">
        <v>240</v>
      </c>
      <c r="AH43" s="48">
        <f t="shared" si="2"/>
        <v>51.2</v>
      </c>
      <c r="AI43" s="49">
        <f t="shared" si="3"/>
        <v>35.6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556.69900000000007</v>
      </c>
      <c r="C44" s="61">
        <f t="shared" si="4"/>
        <v>556.69900000000007</v>
      </c>
      <c r="D44" s="61">
        <f t="shared" si="4"/>
        <v>556.69900000000007</v>
      </c>
      <c r="E44" s="61">
        <f t="shared" si="4"/>
        <v>556.69900000000007</v>
      </c>
      <c r="F44" s="61">
        <f>SUM(F11:F42)</f>
        <v>556.69900000000007</v>
      </c>
      <c r="G44" s="61">
        <f t="shared" si="4"/>
        <v>556.69900000000007</v>
      </c>
      <c r="H44" s="61">
        <f t="shared" si="4"/>
        <v>556.69900000000007</v>
      </c>
      <c r="I44" s="61">
        <f t="shared" si="4"/>
        <v>556.69900000000007</v>
      </c>
      <c r="J44" s="61">
        <f t="shared" si="4"/>
        <v>556.69900000000007</v>
      </c>
      <c r="K44" s="61">
        <f t="shared" si="4"/>
        <v>556.69900000000007</v>
      </c>
      <c r="L44" s="61">
        <f t="shared" si="4"/>
        <v>556.69900000000007</v>
      </c>
      <c r="M44" s="61">
        <f t="shared" si="4"/>
        <v>556.69900000000007</v>
      </c>
      <c r="N44" s="61">
        <f t="shared" si="4"/>
        <v>556.69900000000007</v>
      </c>
      <c r="O44" s="61">
        <f t="shared" si="4"/>
        <v>554.29899999999998</v>
      </c>
      <c r="P44" s="61">
        <f t="shared" si="4"/>
        <v>554.29899999999998</v>
      </c>
      <c r="Q44" s="61">
        <f t="shared" si="4"/>
        <v>554.29899999999998</v>
      </c>
      <c r="R44" s="61">
        <f>SUM(R11:R42)</f>
        <v>554.29899999999998</v>
      </c>
      <c r="S44" s="61">
        <f t="shared" si="4"/>
        <v>555.29899999999998</v>
      </c>
      <c r="T44" s="61">
        <f t="shared" si="4"/>
        <v>555.29899999999998</v>
      </c>
      <c r="U44" s="61">
        <f t="shared" si="4"/>
        <v>555.29899999999998</v>
      </c>
      <c r="V44" s="61">
        <f t="shared" si="4"/>
        <v>554.29899999999998</v>
      </c>
      <c r="W44" s="61">
        <f t="shared" si="4"/>
        <v>549.39899999999989</v>
      </c>
      <c r="X44" s="61">
        <f t="shared" si="4"/>
        <v>569.39899999999989</v>
      </c>
      <c r="Y44" s="61">
        <f t="shared" si="4"/>
        <v>549.39899999999989</v>
      </c>
      <c r="Z44" s="61">
        <f t="shared" si="4"/>
        <v>549.39899999999989</v>
      </c>
      <c r="AA44" s="61">
        <f t="shared" si="4"/>
        <v>549.39899999999989</v>
      </c>
      <c r="AB44" s="61">
        <f t="shared" si="4"/>
        <v>549.39899999999989</v>
      </c>
      <c r="AC44" s="61">
        <f t="shared" si="4"/>
        <v>553.29899999999998</v>
      </c>
      <c r="AD44" s="61">
        <f t="shared" si="4"/>
        <v>553.89899999999989</v>
      </c>
      <c r="AE44" s="61">
        <f t="shared" si="4"/>
        <v>553.89899999999989</v>
      </c>
      <c r="AF44" s="61">
        <f t="shared" si="4"/>
        <v>553.89899999999989</v>
      </c>
      <c r="AG44" s="62">
        <f t="shared" si="4"/>
        <v>814.78000000000009</v>
      </c>
      <c r="AH44" s="48">
        <f t="shared" si="2"/>
        <v>569.39899999999989</v>
      </c>
      <c r="AI44" s="49">
        <f t="shared" si="3"/>
        <v>549.39899999999989</v>
      </c>
      <c r="AK44" s="50"/>
    </row>
    <row r="45" spans="1:88" x14ac:dyDescent="0.25">
      <c r="A45" s="63" t="s">
        <v>53</v>
      </c>
      <c r="B45" s="45">
        <v>15</v>
      </c>
      <c r="C45" s="45">
        <v>15</v>
      </c>
      <c r="D45" s="45">
        <v>15</v>
      </c>
      <c r="E45" s="45">
        <v>60</v>
      </c>
      <c r="F45" s="45">
        <v>90</v>
      </c>
      <c r="G45" s="45">
        <v>115</v>
      </c>
      <c r="H45" s="45">
        <v>152</v>
      </c>
      <c r="I45" s="45">
        <v>152</v>
      </c>
      <c r="J45" s="45">
        <v>195</v>
      </c>
      <c r="K45" s="45">
        <v>250</v>
      </c>
      <c r="L45" s="45">
        <v>390</v>
      </c>
      <c r="M45" s="164">
        <v>420</v>
      </c>
      <c r="N45" s="45">
        <v>400</v>
      </c>
      <c r="O45" s="45">
        <v>120</v>
      </c>
      <c r="P45" s="45">
        <v>75</v>
      </c>
      <c r="Q45" s="45">
        <v>15</v>
      </c>
      <c r="R45" s="45">
        <v>25</v>
      </c>
      <c r="S45" s="45">
        <v>15</v>
      </c>
      <c r="T45" s="45">
        <v>15</v>
      </c>
      <c r="U45" s="45">
        <v>15</v>
      </c>
      <c r="V45" s="45">
        <v>130</v>
      </c>
      <c r="W45" s="45">
        <v>228</v>
      </c>
      <c r="X45" s="45">
        <v>430</v>
      </c>
      <c r="Y45" s="45">
        <v>420</v>
      </c>
      <c r="Z45" s="45">
        <v>350</v>
      </c>
      <c r="AA45" s="45">
        <v>310</v>
      </c>
      <c r="AB45" s="45">
        <v>160</v>
      </c>
      <c r="AC45" s="45">
        <v>110</v>
      </c>
      <c r="AD45" s="45">
        <v>60</v>
      </c>
      <c r="AE45" s="45">
        <v>30</v>
      </c>
      <c r="AF45" s="45">
        <v>15</v>
      </c>
      <c r="AG45" s="52">
        <v>456</v>
      </c>
      <c r="AH45" s="48">
        <f t="shared" si="2"/>
        <v>430</v>
      </c>
      <c r="AI45" s="49">
        <f t="shared" si="3"/>
        <v>15</v>
      </c>
      <c r="AK45" s="50"/>
    </row>
    <row r="46" spans="1:88" x14ac:dyDescent="0.25">
      <c r="A46" s="64" t="s">
        <v>54</v>
      </c>
      <c r="B46" s="65">
        <v>46</v>
      </c>
      <c r="C46" s="65">
        <v>46</v>
      </c>
      <c r="D46" s="65">
        <v>46</v>
      </c>
      <c r="E46" s="65">
        <v>46</v>
      </c>
      <c r="F46" s="65">
        <v>46</v>
      </c>
      <c r="G46" s="65">
        <v>46</v>
      </c>
      <c r="H46" s="65">
        <v>46</v>
      </c>
      <c r="I46" s="65">
        <v>46</v>
      </c>
      <c r="J46" s="65">
        <v>46</v>
      </c>
      <c r="K46" s="65">
        <v>46</v>
      </c>
      <c r="L46" s="65">
        <v>46</v>
      </c>
      <c r="M46" s="65">
        <v>46</v>
      </c>
      <c r="N46" s="65">
        <v>46</v>
      </c>
      <c r="O46" s="65">
        <v>46</v>
      </c>
      <c r="P46" s="65">
        <v>46</v>
      </c>
      <c r="Q46" s="65">
        <v>46</v>
      </c>
      <c r="R46" s="65">
        <v>46</v>
      </c>
      <c r="S46" s="65">
        <v>46</v>
      </c>
      <c r="T46" s="65">
        <v>46</v>
      </c>
      <c r="U46" s="65">
        <v>46</v>
      </c>
      <c r="V46" s="65">
        <v>46</v>
      </c>
      <c r="W46" s="65">
        <v>46</v>
      </c>
      <c r="X46" s="65">
        <v>46</v>
      </c>
      <c r="Y46" s="65">
        <v>46</v>
      </c>
      <c r="Z46" s="65">
        <v>46</v>
      </c>
      <c r="AA46" s="65">
        <v>46</v>
      </c>
      <c r="AB46" s="65">
        <v>46</v>
      </c>
      <c r="AC46" s="65">
        <v>46</v>
      </c>
      <c r="AD46" s="65">
        <v>46</v>
      </c>
      <c r="AE46" s="65">
        <v>46</v>
      </c>
      <c r="AF46" s="65">
        <v>46</v>
      </c>
      <c r="AG46" s="55">
        <v>60</v>
      </c>
      <c r="AH46" s="48">
        <f t="shared" si="2"/>
        <v>46</v>
      </c>
      <c r="AI46" s="49">
        <f t="shared" si="3"/>
        <v>46</v>
      </c>
      <c r="AK46" s="50"/>
    </row>
    <row r="47" spans="1:88" ht="15.75" thickBot="1" x14ac:dyDescent="0.3">
      <c r="A47" s="66" t="s">
        <v>55</v>
      </c>
      <c r="B47" s="67">
        <v>18</v>
      </c>
      <c r="C47" s="67">
        <v>18</v>
      </c>
      <c r="D47" s="67">
        <v>18</v>
      </c>
      <c r="E47" s="67">
        <v>18</v>
      </c>
      <c r="F47" s="67">
        <v>17.600000000000001</v>
      </c>
      <c r="G47" s="67">
        <v>17.600000000000001</v>
      </c>
      <c r="H47" s="67">
        <v>17.5</v>
      </c>
      <c r="I47" s="67">
        <v>17.5</v>
      </c>
      <c r="J47" s="67">
        <v>17.5</v>
      </c>
      <c r="K47" s="67">
        <v>17.600000000000001</v>
      </c>
      <c r="L47" s="67">
        <v>17.600000000000001</v>
      </c>
      <c r="M47" s="67">
        <v>17.5</v>
      </c>
      <c r="N47" s="67">
        <v>17.5</v>
      </c>
      <c r="O47" s="67">
        <v>15.8</v>
      </c>
      <c r="P47" s="67">
        <v>15.7</v>
      </c>
      <c r="Q47" s="67">
        <v>15.7</v>
      </c>
      <c r="R47" s="67">
        <v>14.2</v>
      </c>
      <c r="S47" s="67">
        <v>13.6</v>
      </c>
      <c r="T47" s="67">
        <v>13.6</v>
      </c>
      <c r="U47" s="67">
        <v>13.6</v>
      </c>
      <c r="V47" s="67">
        <v>13.6</v>
      </c>
      <c r="W47" s="67">
        <v>13.6</v>
      </c>
      <c r="X47" s="67">
        <v>20.6</v>
      </c>
      <c r="Y47" s="67">
        <v>20.6</v>
      </c>
      <c r="Z47" s="67">
        <v>20.6</v>
      </c>
      <c r="AA47" s="67">
        <v>20.6</v>
      </c>
      <c r="AB47" s="67">
        <v>16.100000000000001</v>
      </c>
      <c r="AC47" s="67">
        <v>16.100000000000001</v>
      </c>
      <c r="AD47" s="67">
        <v>16.100000000000001</v>
      </c>
      <c r="AE47" s="67">
        <v>16.100000000000001</v>
      </c>
      <c r="AF47" s="67">
        <v>16.100000000000001</v>
      </c>
      <c r="AG47" s="68">
        <v>22.1</v>
      </c>
      <c r="AH47" s="48">
        <f t="shared" si="2"/>
        <v>20.6</v>
      </c>
      <c r="AI47" s="49">
        <f t="shared" si="3"/>
        <v>13.6</v>
      </c>
      <c r="AK47" s="50"/>
    </row>
    <row r="48" spans="1:88" ht="15.75" thickBot="1" x14ac:dyDescent="0.3">
      <c r="A48" s="69" t="s">
        <v>56</v>
      </c>
      <c r="B48" s="61">
        <f t="shared" ref="B48:AG48" si="5">SUM(B45:B47)</f>
        <v>79</v>
      </c>
      <c r="C48" s="61">
        <f t="shared" si="5"/>
        <v>79</v>
      </c>
      <c r="D48" s="61">
        <f t="shared" si="5"/>
        <v>79</v>
      </c>
      <c r="E48" s="61">
        <f t="shared" si="5"/>
        <v>124</v>
      </c>
      <c r="F48" s="61">
        <f>SUM(F45:F47)</f>
        <v>153.6</v>
      </c>
      <c r="G48" s="61">
        <f t="shared" si="5"/>
        <v>178.6</v>
      </c>
      <c r="H48" s="61">
        <f t="shared" si="5"/>
        <v>215.5</v>
      </c>
      <c r="I48" s="61">
        <f t="shared" si="5"/>
        <v>215.5</v>
      </c>
      <c r="J48" s="61">
        <f t="shared" si="5"/>
        <v>258.5</v>
      </c>
      <c r="K48" s="61">
        <f t="shared" si="5"/>
        <v>313.60000000000002</v>
      </c>
      <c r="L48" s="61">
        <f t="shared" si="5"/>
        <v>453.6</v>
      </c>
      <c r="M48" s="61">
        <f t="shared" si="5"/>
        <v>483.5</v>
      </c>
      <c r="N48" s="61">
        <f t="shared" si="5"/>
        <v>463.5</v>
      </c>
      <c r="O48" s="61">
        <f t="shared" si="5"/>
        <v>181.8</v>
      </c>
      <c r="P48" s="61">
        <f t="shared" si="5"/>
        <v>136.69999999999999</v>
      </c>
      <c r="Q48" s="61">
        <f t="shared" si="5"/>
        <v>76.7</v>
      </c>
      <c r="R48" s="61">
        <f t="shared" si="5"/>
        <v>85.2</v>
      </c>
      <c r="S48" s="61">
        <f t="shared" si="5"/>
        <v>74.599999999999994</v>
      </c>
      <c r="T48" s="61">
        <f>SUM(T45:T47)</f>
        <v>74.599999999999994</v>
      </c>
      <c r="U48" s="61">
        <f>SUM(U45:U47)</f>
        <v>74.599999999999994</v>
      </c>
      <c r="V48" s="61">
        <f t="shared" si="5"/>
        <v>189.6</v>
      </c>
      <c r="W48" s="61">
        <f t="shared" si="5"/>
        <v>287.60000000000002</v>
      </c>
      <c r="X48" s="61">
        <f t="shared" si="5"/>
        <v>496.6</v>
      </c>
      <c r="Y48" s="61">
        <f t="shared" si="5"/>
        <v>486.6</v>
      </c>
      <c r="Z48" s="61">
        <f t="shared" si="5"/>
        <v>416.6</v>
      </c>
      <c r="AA48" s="61">
        <f t="shared" si="5"/>
        <v>376.6</v>
      </c>
      <c r="AB48" s="61">
        <f t="shared" si="5"/>
        <v>222.1</v>
      </c>
      <c r="AC48" s="61">
        <f t="shared" si="5"/>
        <v>172.1</v>
      </c>
      <c r="AD48" s="61">
        <f t="shared" si="5"/>
        <v>122.1</v>
      </c>
      <c r="AE48" s="61">
        <f t="shared" si="5"/>
        <v>92.1</v>
      </c>
      <c r="AF48" s="61">
        <f t="shared" si="5"/>
        <v>77.099999999999994</v>
      </c>
      <c r="AG48" s="62">
        <f t="shared" si="5"/>
        <v>538.1</v>
      </c>
      <c r="AH48" s="48">
        <f t="shared" si="2"/>
        <v>496.6</v>
      </c>
      <c r="AI48" s="49">
        <f t="shared" si="3"/>
        <v>74.599999999999994</v>
      </c>
      <c r="AK48" s="50"/>
    </row>
    <row r="49" spans="1:41" x14ac:dyDescent="0.25">
      <c r="A49" s="44" t="s">
        <v>57</v>
      </c>
      <c r="B49" s="45">
        <v>31</v>
      </c>
      <c r="C49" s="45">
        <v>0</v>
      </c>
      <c r="D49" s="45">
        <v>0</v>
      </c>
      <c r="E49" s="45">
        <v>0</v>
      </c>
      <c r="F49" s="45">
        <v>0</v>
      </c>
      <c r="G49" s="45">
        <v>25.5</v>
      </c>
      <c r="H49" s="45">
        <v>71</v>
      </c>
      <c r="I49" s="45">
        <v>115</v>
      </c>
      <c r="J49" s="45">
        <v>143.69999999999999</v>
      </c>
      <c r="K49" s="45">
        <v>143.4</v>
      </c>
      <c r="L49" s="45">
        <v>143.69999999999999</v>
      </c>
      <c r="M49" s="45">
        <v>143.69999999999999</v>
      </c>
      <c r="N49" s="45">
        <v>143.69999999999999</v>
      </c>
      <c r="O49" s="45">
        <v>143.69999999999999</v>
      </c>
      <c r="P49" s="45">
        <v>141.5</v>
      </c>
      <c r="Q49" s="45">
        <v>113.5</v>
      </c>
      <c r="R49" s="45">
        <v>100</v>
      </c>
      <c r="S49" s="45">
        <v>87</v>
      </c>
      <c r="T49" s="45">
        <v>61</v>
      </c>
      <c r="U49" s="45">
        <v>69.2</v>
      </c>
      <c r="V49" s="45">
        <v>121</v>
      </c>
      <c r="W49" s="45">
        <v>140</v>
      </c>
      <c r="X49" s="45">
        <v>140</v>
      </c>
      <c r="Y49" s="45">
        <v>140</v>
      </c>
      <c r="Z49" s="45">
        <v>140</v>
      </c>
      <c r="AA49" s="45">
        <v>140</v>
      </c>
      <c r="AB49" s="45">
        <v>139.80000000000001</v>
      </c>
      <c r="AC49" s="45">
        <v>139.80000000000001</v>
      </c>
      <c r="AD49" s="45">
        <v>71</v>
      </c>
      <c r="AE49" s="45">
        <v>60</v>
      </c>
      <c r="AF49" s="45">
        <v>48.7</v>
      </c>
      <c r="AG49" s="52">
        <v>144</v>
      </c>
      <c r="AH49" s="48">
        <f t="shared" si="2"/>
        <v>143.69999999999999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35</v>
      </c>
      <c r="D50" s="65">
        <v>25.8</v>
      </c>
      <c r="E50" s="65">
        <v>0</v>
      </c>
      <c r="F50" s="65">
        <v>0</v>
      </c>
      <c r="G50" s="65">
        <v>0</v>
      </c>
      <c r="H50" s="65">
        <v>0</v>
      </c>
      <c r="I50" s="65">
        <v>45</v>
      </c>
      <c r="J50" s="65">
        <v>70.7</v>
      </c>
      <c r="K50" s="65">
        <v>69</v>
      </c>
      <c r="L50" s="65">
        <v>71.2</v>
      </c>
      <c r="M50" s="65">
        <v>71.2</v>
      </c>
      <c r="N50" s="65">
        <v>71.2</v>
      </c>
      <c r="O50" s="65">
        <v>71.2</v>
      </c>
      <c r="P50" s="65">
        <v>59.3</v>
      </c>
      <c r="Q50" s="65">
        <v>51.8</v>
      </c>
      <c r="R50" s="45">
        <v>51</v>
      </c>
      <c r="S50" s="45">
        <v>51</v>
      </c>
      <c r="T50" s="45">
        <v>25.5</v>
      </c>
      <c r="U50" s="45">
        <v>26.1</v>
      </c>
      <c r="V50" s="45">
        <v>70</v>
      </c>
      <c r="W50" s="45">
        <v>70.2</v>
      </c>
      <c r="X50" s="45">
        <v>70.2</v>
      </c>
      <c r="Y50" s="45">
        <v>70.2</v>
      </c>
      <c r="Z50" s="45">
        <v>70.2</v>
      </c>
      <c r="AA50" s="45">
        <v>70.2</v>
      </c>
      <c r="AB50" s="65">
        <v>69.900000000000006</v>
      </c>
      <c r="AC50" s="65">
        <v>69.900000000000006</v>
      </c>
      <c r="AD50" s="65">
        <v>25</v>
      </c>
      <c r="AE50" s="65">
        <v>25.5</v>
      </c>
      <c r="AF50" s="65">
        <v>25.2</v>
      </c>
      <c r="AG50" s="55">
        <v>70</v>
      </c>
      <c r="AH50" s="48">
        <f t="shared" si="2"/>
        <v>71.2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57</v>
      </c>
      <c r="C51" s="65">
        <v>67</v>
      </c>
      <c r="D51" s="65">
        <v>67.099999999999994</v>
      </c>
      <c r="E51" s="65">
        <v>37.1</v>
      </c>
      <c r="F51" s="65">
        <v>17.7</v>
      </c>
      <c r="G51" s="65">
        <v>17.7</v>
      </c>
      <c r="H51" s="65">
        <v>22.7</v>
      </c>
      <c r="I51" s="65">
        <v>22.4</v>
      </c>
      <c r="J51" s="65">
        <v>22.4</v>
      </c>
      <c r="K51" s="65">
        <v>36</v>
      </c>
      <c r="L51" s="65">
        <v>54.5</v>
      </c>
      <c r="M51" s="65">
        <v>54.5</v>
      </c>
      <c r="N51" s="65">
        <v>62.3</v>
      </c>
      <c r="O51" s="65">
        <v>62.3</v>
      </c>
      <c r="P51" s="65">
        <v>61.8</v>
      </c>
      <c r="Q51" s="65">
        <v>35</v>
      </c>
      <c r="R51" s="45">
        <v>22</v>
      </c>
      <c r="S51" s="45">
        <v>18</v>
      </c>
      <c r="T51" s="45">
        <v>22</v>
      </c>
      <c r="U51" s="45">
        <v>16.399999999999999</v>
      </c>
      <c r="V51" s="45">
        <v>68.5</v>
      </c>
      <c r="W51" s="45">
        <v>68.5</v>
      </c>
      <c r="X51" s="45">
        <v>68.5</v>
      </c>
      <c r="Y51" s="45">
        <v>68.5</v>
      </c>
      <c r="Z51" s="45">
        <v>68.5</v>
      </c>
      <c r="AA51" s="45">
        <v>68.5</v>
      </c>
      <c r="AB51" s="65">
        <v>67.599999999999994</v>
      </c>
      <c r="AC51" s="65">
        <v>67.599999999999994</v>
      </c>
      <c r="AD51" s="65">
        <v>35.799999999999997</v>
      </c>
      <c r="AE51" s="65">
        <v>36</v>
      </c>
      <c r="AF51" s="65">
        <v>36.200000000000003</v>
      </c>
      <c r="AG51" s="55">
        <v>69</v>
      </c>
      <c r="AH51" s="48">
        <f t="shared" si="2"/>
        <v>68.5</v>
      </c>
      <c r="AI51" s="49">
        <f t="shared" si="3"/>
        <v>16.399999999999999</v>
      </c>
      <c r="AK51" s="50"/>
    </row>
    <row r="52" spans="1:41" x14ac:dyDescent="0.25">
      <c r="A52" s="54" t="s">
        <v>60</v>
      </c>
      <c r="B52" s="57">
        <v>60.7</v>
      </c>
      <c r="C52" s="57">
        <v>60.7</v>
      </c>
      <c r="D52" s="57">
        <v>60.7</v>
      </c>
      <c r="E52" s="57">
        <v>60.7</v>
      </c>
      <c r="F52" s="57">
        <v>61.2</v>
      </c>
      <c r="G52" s="57">
        <v>60.9</v>
      </c>
      <c r="H52" s="57">
        <v>61.2</v>
      </c>
      <c r="I52" s="57">
        <v>61.2</v>
      </c>
      <c r="J52" s="57">
        <v>60.9</v>
      </c>
      <c r="K52" s="57">
        <v>61.2</v>
      </c>
      <c r="L52" s="57">
        <v>61.2</v>
      </c>
      <c r="M52" s="57">
        <v>61.2</v>
      </c>
      <c r="N52" s="57">
        <v>60.9</v>
      </c>
      <c r="O52" s="57">
        <v>60.9</v>
      </c>
      <c r="P52" s="65">
        <v>60.9</v>
      </c>
      <c r="Q52" s="65">
        <v>60.9</v>
      </c>
      <c r="R52" s="65">
        <v>60.9</v>
      </c>
      <c r="S52" s="65">
        <v>60.9</v>
      </c>
      <c r="T52" s="65">
        <v>60.9</v>
      </c>
      <c r="U52" s="65">
        <v>60.9</v>
      </c>
      <c r="V52" s="65">
        <v>60.9</v>
      </c>
      <c r="W52" s="65">
        <v>60.9</v>
      </c>
      <c r="X52" s="65">
        <v>60.9</v>
      </c>
      <c r="Y52" s="65">
        <v>60.9</v>
      </c>
      <c r="Z52" s="65">
        <v>60.9</v>
      </c>
      <c r="AA52" s="65">
        <v>60.9</v>
      </c>
      <c r="AB52" s="65">
        <v>60.9</v>
      </c>
      <c r="AC52" s="65">
        <v>60.9</v>
      </c>
      <c r="AD52" s="65">
        <v>60.9</v>
      </c>
      <c r="AE52" s="65">
        <v>60.9</v>
      </c>
      <c r="AF52" s="65">
        <v>60.9</v>
      </c>
      <c r="AG52" s="55">
        <v>60</v>
      </c>
      <c r="AH52" s="48">
        <f t="shared" si="2"/>
        <v>61.2</v>
      </c>
      <c r="AI52" s="49">
        <f t="shared" si="3"/>
        <v>60.7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13.5</v>
      </c>
      <c r="H53" s="57">
        <v>13.4</v>
      </c>
      <c r="I53" s="57">
        <v>13.4</v>
      </c>
      <c r="J53" s="57">
        <v>30</v>
      </c>
      <c r="K53" s="57">
        <v>30</v>
      </c>
      <c r="L53" s="57">
        <v>29.4</v>
      </c>
      <c r="M53" s="57">
        <v>29.4</v>
      </c>
      <c r="N53" s="57">
        <v>26</v>
      </c>
      <c r="O53" s="57">
        <v>26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15</v>
      </c>
      <c r="W53" s="65">
        <v>15</v>
      </c>
      <c r="X53" s="65">
        <v>30</v>
      </c>
      <c r="Y53" s="65">
        <v>30</v>
      </c>
      <c r="Z53" s="65">
        <v>30</v>
      </c>
      <c r="AA53" s="65">
        <v>30</v>
      </c>
      <c r="AB53" s="65">
        <v>14.9</v>
      </c>
      <c r="AC53" s="65">
        <v>14.9</v>
      </c>
      <c r="AD53" s="65">
        <v>0</v>
      </c>
      <c r="AE53" s="65">
        <v>0</v>
      </c>
      <c r="AF53" s="65">
        <v>0</v>
      </c>
      <c r="AG53" s="55">
        <v>30</v>
      </c>
      <c r="AH53" s="48">
        <f t="shared" si="2"/>
        <v>30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8</v>
      </c>
      <c r="T54" s="65">
        <v>8</v>
      </c>
      <c r="U54" s="65">
        <v>8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8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17.100000000000001</v>
      </c>
      <c r="S55" s="65">
        <v>17.100000000000001</v>
      </c>
      <c r="T55" s="65">
        <v>17.100000000000001</v>
      </c>
      <c r="U55" s="65">
        <v>17.100000000000001</v>
      </c>
      <c r="V55" s="65">
        <v>17.100000000000001</v>
      </c>
      <c r="W55" s="65">
        <v>17.100000000000001</v>
      </c>
      <c r="X55" s="65">
        <v>17.100000000000001</v>
      </c>
      <c r="Y55" s="65">
        <v>17.100000000000001</v>
      </c>
      <c r="Z55" s="65">
        <v>17.100000000000001</v>
      </c>
      <c r="AA55" s="65">
        <v>17.100000000000001</v>
      </c>
      <c r="AB55" s="65">
        <v>17.100000000000001</v>
      </c>
      <c r="AC55" s="65">
        <v>17.100000000000001</v>
      </c>
      <c r="AD55" s="65">
        <v>17.100000000000001</v>
      </c>
      <c r="AE55" s="65">
        <v>17.100000000000001</v>
      </c>
      <c r="AF55" s="65">
        <v>17.100000000000001</v>
      </c>
      <c r="AG55" s="55">
        <v>24</v>
      </c>
      <c r="AH55" s="48">
        <f t="shared" si="2"/>
        <v>17.100000000000001</v>
      </c>
      <c r="AI55" s="49">
        <f t="shared" si="3"/>
        <v>17.100000000000001</v>
      </c>
      <c r="AK55" s="50"/>
    </row>
    <row r="56" spans="1:41" x14ac:dyDescent="0.25">
      <c r="A56" s="54" t="s">
        <v>64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13.2</v>
      </c>
      <c r="C57" s="65">
        <v>13.2</v>
      </c>
      <c r="D57" s="65">
        <v>13.2</v>
      </c>
      <c r="E57" s="65">
        <v>13.2</v>
      </c>
      <c r="F57" s="65">
        <v>13.2</v>
      </c>
      <c r="G57" s="65">
        <v>13.2</v>
      </c>
      <c r="H57" s="65">
        <v>13.2</v>
      </c>
      <c r="I57" s="65">
        <v>13.2</v>
      </c>
      <c r="J57" s="65">
        <v>13.2</v>
      </c>
      <c r="K57" s="65">
        <v>13.2</v>
      </c>
      <c r="L57" s="65">
        <v>13.2</v>
      </c>
      <c r="M57" s="65">
        <v>13.2</v>
      </c>
      <c r="N57" s="65">
        <v>13.2</v>
      </c>
      <c r="O57" s="65">
        <v>13.2</v>
      </c>
      <c r="P57" s="65">
        <v>13.2</v>
      </c>
      <c r="Q57" s="65">
        <v>13.2</v>
      </c>
      <c r="R57" s="65">
        <v>13.2</v>
      </c>
      <c r="S57" s="65">
        <v>13.2</v>
      </c>
      <c r="T57" s="65">
        <v>13.2</v>
      </c>
      <c r="U57" s="65">
        <v>13.2</v>
      </c>
      <c r="V57" s="65">
        <v>13.2</v>
      </c>
      <c r="W57" s="65">
        <v>13.2</v>
      </c>
      <c r="X57" s="65">
        <v>13.2</v>
      </c>
      <c r="Y57" s="65">
        <v>13.2</v>
      </c>
      <c r="Z57" s="65">
        <v>13.2</v>
      </c>
      <c r="AA57" s="65">
        <v>13.2</v>
      </c>
      <c r="AB57" s="65">
        <v>13.2</v>
      </c>
      <c r="AC57" s="65">
        <v>13.2</v>
      </c>
      <c r="AD57" s="65">
        <v>13.2</v>
      </c>
      <c r="AE57" s="65">
        <v>13.2</v>
      </c>
      <c r="AF57" s="65">
        <v>13.2</v>
      </c>
      <c r="AG57" s="55">
        <v>14.1</v>
      </c>
      <c r="AH57" s="48">
        <f t="shared" si="2"/>
        <v>13.2</v>
      </c>
      <c r="AI57" s="49">
        <f t="shared" si="3"/>
        <v>13.2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7</v>
      </c>
      <c r="C58" s="65">
        <v>7</v>
      </c>
      <c r="D58" s="65">
        <v>7</v>
      </c>
      <c r="E58" s="65">
        <v>7</v>
      </c>
      <c r="F58" s="65">
        <v>7</v>
      </c>
      <c r="G58" s="65">
        <v>7</v>
      </c>
      <c r="H58" s="65">
        <v>7</v>
      </c>
      <c r="I58" s="65">
        <v>7</v>
      </c>
      <c r="J58" s="65">
        <v>7</v>
      </c>
      <c r="K58" s="65">
        <v>7</v>
      </c>
      <c r="L58" s="65">
        <v>7</v>
      </c>
      <c r="M58" s="65">
        <v>7</v>
      </c>
      <c r="N58" s="65">
        <v>7</v>
      </c>
      <c r="O58" s="65">
        <v>7</v>
      </c>
      <c r="P58" s="65">
        <v>7</v>
      </c>
      <c r="Q58" s="65">
        <v>7</v>
      </c>
      <c r="R58" s="65">
        <v>7</v>
      </c>
      <c r="S58" s="65">
        <v>7</v>
      </c>
      <c r="T58" s="65">
        <v>7</v>
      </c>
      <c r="U58" s="65">
        <v>7</v>
      </c>
      <c r="V58" s="65">
        <v>7</v>
      </c>
      <c r="W58" s="65">
        <v>7</v>
      </c>
      <c r="X58" s="65">
        <v>7</v>
      </c>
      <c r="Y58" s="65">
        <v>7</v>
      </c>
      <c r="Z58" s="65">
        <v>7</v>
      </c>
      <c r="AA58" s="65">
        <v>7</v>
      </c>
      <c r="AB58" s="65">
        <v>7</v>
      </c>
      <c r="AC58" s="65">
        <v>7</v>
      </c>
      <c r="AD58" s="65">
        <v>7</v>
      </c>
      <c r="AE58" s="65">
        <v>7</v>
      </c>
      <c r="AF58" s="65">
        <v>7</v>
      </c>
      <c r="AG58" s="55">
        <v>14</v>
      </c>
      <c r="AH58" s="48">
        <f t="shared" si="2"/>
        <v>7</v>
      </c>
      <c r="AI58" s="49">
        <f t="shared" si="3"/>
        <v>7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6.2</v>
      </c>
      <c r="AH60" s="48">
        <f t="shared" si="2"/>
        <v>3.6</v>
      </c>
      <c r="AI60" s="49">
        <f t="shared" si="3"/>
        <v>0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6">SUM(B49:B61)</f>
        <v>199.63999999999996</v>
      </c>
      <c r="C62" s="61">
        <f t="shared" si="6"/>
        <v>213.63999999999996</v>
      </c>
      <c r="D62" s="61">
        <f t="shared" si="6"/>
        <v>204.53999999999996</v>
      </c>
      <c r="E62" s="61">
        <f t="shared" si="6"/>
        <v>148.73999999999998</v>
      </c>
      <c r="F62" s="61">
        <f t="shared" si="6"/>
        <v>129.84</v>
      </c>
      <c r="G62" s="61">
        <f t="shared" si="6"/>
        <v>168.53999999999996</v>
      </c>
      <c r="H62" s="61">
        <f t="shared" si="6"/>
        <v>219.23999999999998</v>
      </c>
      <c r="I62" s="61">
        <f t="shared" si="6"/>
        <v>307.94000000000005</v>
      </c>
      <c r="J62" s="61">
        <f t="shared" si="6"/>
        <v>378.64000000000004</v>
      </c>
      <c r="K62" s="61">
        <f t="shared" si="6"/>
        <v>390.54000000000008</v>
      </c>
      <c r="L62" s="61">
        <f t="shared" si="6"/>
        <v>410.94</v>
      </c>
      <c r="M62" s="61">
        <f t="shared" si="6"/>
        <v>407.34</v>
      </c>
      <c r="N62" s="61">
        <f t="shared" si="6"/>
        <v>411.44</v>
      </c>
      <c r="O62" s="61">
        <f t="shared" si="6"/>
        <v>411.44</v>
      </c>
      <c r="P62" s="61">
        <f t="shared" si="6"/>
        <v>370.84000000000003</v>
      </c>
      <c r="Q62" s="61">
        <f t="shared" si="6"/>
        <v>308.54000000000002</v>
      </c>
      <c r="R62" s="61">
        <f t="shared" si="6"/>
        <v>281.24</v>
      </c>
      <c r="S62" s="61">
        <f t="shared" si="6"/>
        <v>272.24</v>
      </c>
      <c r="T62" s="61">
        <f t="shared" si="6"/>
        <v>224.73999999999998</v>
      </c>
      <c r="U62" s="61">
        <f t="shared" si="6"/>
        <v>227.94</v>
      </c>
      <c r="V62" s="61">
        <f t="shared" si="6"/>
        <v>382.74</v>
      </c>
      <c r="W62" s="61">
        <f t="shared" si="6"/>
        <v>401.94</v>
      </c>
      <c r="X62" s="61">
        <f t="shared" si="6"/>
        <v>416.94</v>
      </c>
      <c r="Y62" s="61">
        <f t="shared" si="6"/>
        <v>416.94</v>
      </c>
      <c r="Z62" s="61">
        <f t="shared" si="6"/>
        <v>416.94</v>
      </c>
      <c r="AA62" s="61">
        <f t="shared" si="6"/>
        <v>416.94</v>
      </c>
      <c r="AB62" s="61">
        <f t="shared" si="6"/>
        <v>400.44</v>
      </c>
      <c r="AC62" s="61">
        <f t="shared" si="6"/>
        <v>400.44</v>
      </c>
      <c r="AD62" s="61">
        <f t="shared" si="6"/>
        <v>240.04</v>
      </c>
      <c r="AE62" s="61">
        <f t="shared" si="6"/>
        <v>229.73999999999998</v>
      </c>
      <c r="AF62" s="61">
        <f t="shared" si="6"/>
        <v>218.33999999999997</v>
      </c>
      <c r="AG62" s="62">
        <f t="shared" si="6"/>
        <v>489.91</v>
      </c>
      <c r="AH62" s="48">
        <f t="shared" si="2"/>
        <v>416.94</v>
      </c>
      <c r="AI62" s="49">
        <f t="shared" si="3"/>
        <v>129.84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55</v>
      </c>
      <c r="L63" s="45">
        <v>60</v>
      </c>
      <c r="M63" s="45">
        <v>60</v>
      </c>
      <c r="N63" s="45">
        <v>60</v>
      </c>
      <c r="O63" s="45">
        <v>50</v>
      </c>
      <c r="P63" s="45">
        <v>60</v>
      </c>
      <c r="Q63" s="45">
        <v>20</v>
      </c>
      <c r="R63" s="45">
        <v>10</v>
      </c>
      <c r="S63" s="45">
        <v>30</v>
      </c>
      <c r="T63" s="45">
        <v>55</v>
      </c>
      <c r="U63" s="45">
        <v>60</v>
      </c>
      <c r="V63" s="45">
        <v>60</v>
      </c>
      <c r="W63" s="45">
        <v>60</v>
      </c>
      <c r="X63" s="45">
        <v>40</v>
      </c>
      <c r="Y63" s="45">
        <v>35</v>
      </c>
      <c r="Z63" s="45">
        <v>35</v>
      </c>
      <c r="AA63" s="45">
        <v>40</v>
      </c>
      <c r="AB63" s="45">
        <v>60</v>
      </c>
      <c r="AC63" s="45">
        <v>40</v>
      </c>
      <c r="AD63" s="45">
        <v>0</v>
      </c>
      <c r="AE63" s="45">
        <v>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16.5</v>
      </c>
      <c r="L64" s="65">
        <v>24.8</v>
      </c>
      <c r="M64" s="65">
        <v>24.8</v>
      </c>
      <c r="N64" s="65">
        <v>24.8</v>
      </c>
      <c r="O64" s="65">
        <v>26.9</v>
      </c>
      <c r="P64" s="65">
        <v>26.4</v>
      </c>
      <c r="Q64" s="65">
        <v>10.1</v>
      </c>
      <c r="R64" s="65">
        <v>5</v>
      </c>
      <c r="S64" s="65">
        <v>14.9</v>
      </c>
      <c r="T64" s="65">
        <v>27.4</v>
      </c>
      <c r="U64" s="65">
        <v>28.3</v>
      </c>
      <c r="V64" s="65">
        <v>28.3</v>
      </c>
      <c r="W64" s="65">
        <v>28.3</v>
      </c>
      <c r="X64" s="65">
        <v>24</v>
      </c>
      <c r="Y64" s="65">
        <v>14.4</v>
      </c>
      <c r="Z64" s="65">
        <v>14.4</v>
      </c>
      <c r="AA64" s="65">
        <v>15.9</v>
      </c>
      <c r="AB64" s="65">
        <v>28.9</v>
      </c>
      <c r="AC64" s="65">
        <v>16.5</v>
      </c>
      <c r="AD64" s="65">
        <v>0</v>
      </c>
      <c r="AE64" s="65">
        <v>0</v>
      </c>
      <c r="AF64" s="65">
        <v>0</v>
      </c>
      <c r="AG64" s="55">
        <v>32</v>
      </c>
      <c r="AH64" s="48">
        <f t="shared" si="2"/>
        <v>28.9</v>
      </c>
      <c r="AI64" s="49">
        <f t="shared" si="3"/>
        <v>0</v>
      </c>
      <c r="AK64" s="50"/>
    </row>
    <row r="65" spans="1:37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5.7</v>
      </c>
      <c r="L65" s="67">
        <v>9.1</v>
      </c>
      <c r="M65" s="67">
        <v>9.1</v>
      </c>
      <c r="N65" s="67">
        <v>9.1</v>
      </c>
      <c r="O65" s="67">
        <v>9.8000000000000007</v>
      </c>
      <c r="P65" s="67">
        <v>9.6</v>
      </c>
      <c r="Q65" s="67">
        <v>3.7</v>
      </c>
      <c r="R65" s="67">
        <v>1.8</v>
      </c>
      <c r="S65" s="67">
        <v>5.4</v>
      </c>
      <c r="T65" s="67">
        <v>10</v>
      </c>
      <c r="U65" s="67">
        <v>10.3</v>
      </c>
      <c r="V65" s="67">
        <v>10.3</v>
      </c>
      <c r="W65" s="67">
        <v>10.3</v>
      </c>
      <c r="X65" s="67">
        <v>8.6999999999999993</v>
      </c>
      <c r="Y65" s="67">
        <v>5.3</v>
      </c>
      <c r="Z65" s="67">
        <v>5.3</v>
      </c>
      <c r="AA65" s="67">
        <v>5.8</v>
      </c>
      <c r="AB65" s="67">
        <v>10.5</v>
      </c>
      <c r="AC65" s="67">
        <v>6</v>
      </c>
      <c r="AD65" s="67">
        <v>0</v>
      </c>
      <c r="AE65" s="67">
        <v>0</v>
      </c>
      <c r="AF65" s="67">
        <v>0</v>
      </c>
      <c r="AG65" s="68">
        <v>14</v>
      </c>
      <c r="AH65" s="48">
        <f t="shared" si="2"/>
        <v>10.5</v>
      </c>
      <c r="AI65" s="49">
        <f t="shared" si="3"/>
        <v>0</v>
      </c>
      <c r="AK65" s="50"/>
    </row>
    <row r="66" spans="1:37" ht="15.75" thickBot="1" x14ac:dyDescent="0.3">
      <c r="A66" s="74" t="s">
        <v>74</v>
      </c>
      <c r="B66" s="61">
        <f t="shared" ref="B66:AG66" si="7">SUM(B63:B65)</f>
        <v>0</v>
      </c>
      <c r="C66" s="61">
        <f t="shared" si="7"/>
        <v>0</v>
      </c>
      <c r="D66" s="61">
        <f t="shared" si="7"/>
        <v>0</v>
      </c>
      <c r="E66" s="61">
        <f t="shared" si="7"/>
        <v>0</v>
      </c>
      <c r="F66" s="61">
        <f t="shared" si="7"/>
        <v>0</v>
      </c>
      <c r="G66" s="61">
        <f t="shared" si="7"/>
        <v>0</v>
      </c>
      <c r="H66" s="61">
        <f t="shared" si="7"/>
        <v>0</v>
      </c>
      <c r="I66" s="61">
        <f t="shared" si="7"/>
        <v>0</v>
      </c>
      <c r="J66" s="61">
        <f t="shared" si="7"/>
        <v>0</v>
      </c>
      <c r="K66" s="61">
        <f t="shared" si="7"/>
        <v>77.2</v>
      </c>
      <c r="L66" s="61">
        <f t="shared" si="7"/>
        <v>93.899999999999991</v>
      </c>
      <c r="M66" s="61">
        <f t="shared" si="7"/>
        <v>93.899999999999991</v>
      </c>
      <c r="N66" s="61">
        <f t="shared" si="7"/>
        <v>93.899999999999991</v>
      </c>
      <c r="O66" s="61">
        <f t="shared" si="7"/>
        <v>86.7</v>
      </c>
      <c r="P66" s="61">
        <f t="shared" si="7"/>
        <v>96</v>
      </c>
      <c r="Q66" s="61">
        <f t="shared" si="7"/>
        <v>33.800000000000004</v>
      </c>
      <c r="R66" s="61">
        <f t="shared" si="7"/>
        <v>16.8</v>
      </c>
      <c r="S66" s="61">
        <f t="shared" si="7"/>
        <v>50.3</v>
      </c>
      <c r="T66" s="61">
        <f t="shared" si="7"/>
        <v>92.4</v>
      </c>
      <c r="U66" s="61">
        <f t="shared" si="7"/>
        <v>98.6</v>
      </c>
      <c r="V66" s="61">
        <f t="shared" si="7"/>
        <v>98.6</v>
      </c>
      <c r="W66" s="61">
        <f t="shared" si="7"/>
        <v>98.6</v>
      </c>
      <c r="X66" s="61">
        <f t="shared" si="7"/>
        <v>72.7</v>
      </c>
      <c r="Y66" s="61">
        <f t="shared" si="7"/>
        <v>54.699999999999996</v>
      </c>
      <c r="Z66" s="61">
        <f t="shared" si="7"/>
        <v>54.699999999999996</v>
      </c>
      <c r="AA66" s="61">
        <f t="shared" si="7"/>
        <v>61.699999999999996</v>
      </c>
      <c r="AB66" s="61">
        <f t="shared" si="7"/>
        <v>99.4</v>
      </c>
      <c r="AC66" s="61">
        <f t="shared" si="7"/>
        <v>62.5</v>
      </c>
      <c r="AD66" s="61">
        <f t="shared" si="7"/>
        <v>0</v>
      </c>
      <c r="AE66" s="61">
        <f t="shared" si="7"/>
        <v>0</v>
      </c>
      <c r="AF66" s="61">
        <f t="shared" si="7"/>
        <v>0</v>
      </c>
      <c r="AG66" s="62">
        <f t="shared" si="7"/>
        <v>106</v>
      </c>
      <c r="AH66" s="48">
        <f t="shared" si="2"/>
        <v>99.4</v>
      </c>
      <c r="AI66" s="49">
        <f t="shared" si="3"/>
        <v>0</v>
      </c>
      <c r="AK66" s="50"/>
    </row>
    <row r="67" spans="1:37" x14ac:dyDescent="0.25">
      <c r="A67" s="44" t="s">
        <v>75</v>
      </c>
      <c r="B67" s="45">
        <v>57.2</v>
      </c>
      <c r="C67" s="45">
        <v>60.7</v>
      </c>
      <c r="D67" s="45">
        <v>60.5</v>
      </c>
      <c r="E67" s="45">
        <v>60.2</v>
      </c>
      <c r="F67" s="45">
        <v>58.5</v>
      </c>
      <c r="G67" s="45">
        <v>52.1</v>
      </c>
      <c r="H67" s="45">
        <v>61</v>
      </c>
      <c r="I67" s="45">
        <v>57.8</v>
      </c>
      <c r="J67" s="45">
        <v>64</v>
      </c>
      <c r="K67" s="45">
        <v>61.3</v>
      </c>
      <c r="L67" s="45">
        <v>40.799999999999997</v>
      </c>
      <c r="M67" s="45">
        <v>40.9</v>
      </c>
      <c r="N67" s="45">
        <v>48.7</v>
      </c>
      <c r="O67" s="45">
        <v>57.5</v>
      </c>
      <c r="P67" s="45">
        <v>63.3</v>
      </c>
      <c r="Q67" s="45">
        <v>65.7</v>
      </c>
      <c r="R67" s="45">
        <v>59</v>
      </c>
      <c r="S67" s="45">
        <v>70.2</v>
      </c>
      <c r="T67" s="45">
        <v>62.3</v>
      </c>
      <c r="U67" s="45">
        <v>70.400000000000006</v>
      </c>
      <c r="V67" s="45">
        <v>52.8</v>
      </c>
      <c r="W67" s="45">
        <v>50.4</v>
      </c>
      <c r="X67" s="45">
        <v>43.7</v>
      </c>
      <c r="Y67" s="45">
        <v>40.799999999999997</v>
      </c>
      <c r="Z67" s="45">
        <v>32.6</v>
      </c>
      <c r="AA67" s="45">
        <v>28.5</v>
      </c>
      <c r="AB67" s="45">
        <v>41.7</v>
      </c>
      <c r="AC67" s="45">
        <v>55.9</v>
      </c>
      <c r="AD67" s="45">
        <v>55.9</v>
      </c>
      <c r="AE67" s="45">
        <v>55.9</v>
      </c>
      <c r="AF67" s="45">
        <v>55.9</v>
      </c>
      <c r="AG67" s="52"/>
      <c r="AH67" s="48">
        <f t="shared" si="2"/>
        <v>70.400000000000006</v>
      </c>
      <c r="AI67" s="49">
        <f t="shared" si="3"/>
        <v>28.5</v>
      </c>
      <c r="AK67" s="50"/>
    </row>
    <row r="68" spans="1:37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65">
        <v>140</v>
      </c>
      <c r="C69" s="65">
        <v>109</v>
      </c>
      <c r="D69" s="65">
        <v>102</v>
      </c>
      <c r="E69" s="65">
        <v>97</v>
      </c>
      <c r="F69" s="65">
        <v>101</v>
      </c>
      <c r="G69" s="65">
        <v>90.7</v>
      </c>
      <c r="H69" s="65">
        <v>92</v>
      </c>
      <c r="I69" s="65">
        <v>101.9</v>
      </c>
      <c r="J69" s="65">
        <v>96</v>
      </c>
      <c r="K69" s="65">
        <v>73.400000000000006</v>
      </c>
      <c r="L69" s="65">
        <v>0</v>
      </c>
      <c r="M69" s="65">
        <v>0</v>
      </c>
      <c r="N69" s="65">
        <v>0</v>
      </c>
      <c r="O69" s="65">
        <v>95</v>
      </c>
      <c r="P69" s="65">
        <v>92.8</v>
      </c>
      <c r="Q69" s="65">
        <v>212.5</v>
      </c>
      <c r="R69" s="65">
        <v>227</v>
      </c>
      <c r="S69" s="65">
        <v>217</v>
      </c>
      <c r="T69" s="65">
        <v>234.2</v>
      </c>
      <c r="U69" s="65">
        <v>227</v>
      </c>
      <c r="V69" s="65">
        <v>78</v>
      </c>
      <c r="W69" s="65">
        <v>44</v>
      </c>
      <c r="X69" s="65">
        <v>-3.4</v>
      </c>
      <c r="Y69" s="65">
        <v>-4</v>
      </c>
      <c r="Z69" s="65">
        <v>-2</v>
      </c>
      <c r="AA69" s="65">
        <v>-5.0999999999999996</v>
      </c>
      <c r="AB69" s="65">
        <v>80.7</v>
      </c>
      <c r="AC69" s="65">
        <v>93</v>
      </c>
      <c r="AD69" s="65">
        <v>92</v>
      </c>
      <c r="AE69" s="65">
        <v>142.5</v>
      </c>
      <c r="AF69" s="65">
        <v>147.5</v>
      </c>
      <c r="AG69" s="75"/>
      <c r="AH69" s="48">
        <f t="shared" si="2"/>
        <v>234.2</v>
      </c>
      <c r="AI69" s="49">
        <f t="shared" si="3"/>
        <v>-5.0999999999999996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21</v>
      </c>
      <c r="M70" s="76">
        <v>21</v>
      </c>
      <c r="N70" s="76">
        <v>21</v>
      </c>
      <c r="O70" s="76">
        <v>44</v>
      </c>
      <c r="P70" s="76">
        <v>42.6</v>
      </c>
      <c r="Q70" s="76">
        <v>40.4</v>
      </c>
      <c r="R70" s="76">
        <v>52</v>
      </c>
      <c r="S70" s="76">
        <v>53</v>
      </c>
      <c r="T70" s="65">
        <v>54.5</v>
      </c>
      <c r="U70" s="65">
        <v>51.3</v>
      </c>
      <c r="V70" s="65">
        <v>39.1</v>
      </c>
      <c r="W70" s="65">
        <v>40.6</v>
      </c>
      <c r="X70" s="65">
        <v>47.2</v>
      </c>
      <c r="Y70" s="65">
        <v>41.4</v>
      </c>
      <c r="Z70" s="65">
        <v>46</v>
      </c>
      <c r="AA70" s="65">
        <v>42.5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75"/>
      <c r="AH70" s="48">
        <f t="shared" si="2"/>
        <v>54.5</v>
      </c>
      <c r="AI70" s="49">
        <f t="shared" si="3"/>
        <v>0</v>
      </c>
      <c r="AK70" s="50"/>
    </row>
    <row r="71" spans="1:37" x14ac:dyDescent="0.25">
      <c r="A71" s="54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30</v>
      </c>
      <c r="R71" s="45">
        <v>30</v>
      </c>
      <c r="S71" s="45">
        <v>30</v>
      </c>
      <c r="T71" s="45">
        <v>30</v>
      </c>
      <c r="U71" s="45">
        <v>30</v>
      </c>
      <c r="V71" s="45">
        <v>30</v>
      </c>
      <c r="W71" s="45">
        <v>30</v>
      </c>
      <c r="X71" s="45">
        <v>23</v>
      </c>
      <c r="Y71" s="45">
        <v>23</v>
      </c>
      <c r="Z71" s="45">
        <v>25</v>
      </c>
      <c r="AA71" s="4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75"/>
      <c r="AH71" s="48">
        <f t="shared" si="2"/>
        <v>30</v>
      </c>
      <c r="AI71" s="49">
        <f t="shared" si="3"/>
        <v>0</v>
      </c>
      <c r="AK71" s="50"/>
    </row>
    <row r="72" spans="1:37" x14ac:dyDescent="0.25">
      <c r="A72" s="54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65">
        <v>0</v>
      </c>
      <c r="AC75" s="65">
        <v>0</v>
      </c>
      <c r="AD75" s="65">
        <v>0</v>
      </c>
      <c r="AE75" s="65">
        <v>0</v>
      </c>
      <c r="AF75" s="65">
        <v>0</v>
      </c>
      <c r="AG75" s="75"/>
      <c r="AH75" s="48">
        <f t="shared" ref="AH75:AH113" si="8">MAX(B75:AF75)</f>
        <v>0</v>
      </c>
      <c r="AI75" s="49">
        <f t="shared" ref="AI75:AI113" si="9">MIN(B75:AF75)</f>
        <v>0</v>
      </c>
      <c r="AK75" s="50"/>
    </row>
    <row r="76" spans="1:37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  <c r="AG76" s="80"/>
      <c r="AH76" s="48">
        <f t="shared" si="8"/>
        <v>0</v>
      </c>
      <c r="AI76" s="49">
        <f t="shared" si="9"/>
        <v>0</v>
      </c>
      <c r="AK76" s="50"/>
    </row>
    <row r="77" spans="1:37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  <c r="AG77" s="80"/>
      <c r="AH77" s="48">
        <f t="shared" si="8"/>
        <v>0</v>
      </c>
      <c r="AI77" s="49">
        <f t="shared" si="9"/>
        <v>0</v>
      </c>
      <c r="AK77" s="50"/>
    </row>
    <row r="78" spans="1:37" ht="15.75" thickBot="1" x14ac:dyDescent="0.3">
      <c r="A78" s="74" t="s">
        <v>86</v>
      </c>
      <c r="B78" s="61">
        <f t="shared" ref="B78:P78" si="10">SUMIF(B67:B77,"&gt;0")</f>
        <v>197.2</v>
      </c>
      <c r="C78" s="61">
        <f t="shared" si="10"/>
        <v>169.7</v>
      </c>
      <c r="D78" s="61">
        <f t="shared" si="10"/>
        <v>162.5</v>
      </c>
      <c r="E78" s="61">
        <f t="shared" si="10"/>
        <v>157.19999999999999</v>
      </c>
      <c r="F78" s="61">
        <f>SUMIF(F67:F77,"&gt;0")</f>
        <v>159.5</v>
      </c>
      <c r="G78" s="61">
        <f t="shared" si="10"/>
        <v>142.80000000000001</v>
      </c>
      <c r="H78" s="61">
        <f t="shared" si="10"/>
        <v>153</v>
      </c>
      <c r="I78" s="61">
        <f t="shared" si="10"/>
        <v>159.69999999999999</v>
      </c>
      <c r="J78" s="61">
        <f t="shared" si="10"/>
        <v>160</v>
      </c>
      <c r="K78" s="61">
        <f t="shared" si="10"/>
        <v>134.69999999999999</v>
      </c>
      <c r="L78" s="61">
        <f t="shared" si="10"/>
        <v>61.8</v>
      </c>
      <c r="M78" s="61">
        <f t="shared" si="10"/>
        <v>61.9</v>
      </c>
      <c r="N78" s="61">
        <f t="shared" si="10"/>
        <v>69.7</v>
      </c>
      <c r="O78" s="61">
        <f>SUMIF(O67:O77,"&gt;0")</f>
        <v>196.5</v>
      </c>
      <c r="P78" s="61">
        <f t="shared" si="10"/>
        <v>198.7</v>
      </c>
      <c r="Q78" s="61">
        <f>SUMIF(Q67:Q77,"&gt;0")</f>
        <v>348.59999999999997</v>
      </c>
      <c r="R78" s="61">
        <f>SUMIF(R67:R77,"&gt;0")</f>
        <v>368</v>
      </c>
      <c r="S78" s="61">
        <f t="shared" ref="S78:AF78" si="11">SUMIF(S67:S77,"&gt;0")</f>
        <v>370.2</v>
      </c>
      <c r="T78" s="61">
        <f t="shared" si="11"/>
        <v>381</v>
      </c>
      <c r="U78" s="61">
        <f t="shared" si="11"/>
        <v>378.7</v>
      </c>
      <c r="V78" s="61">
        <f t="shared" si="11"/>
        <v>199.9</v>
      </c>
      <c r="W78" s="61">
        <f t="shared" si="11"/>
        <v>165</v>
      </c>
      <c r="X78" s="61">
        <f t="shared" si="11"/>
        <v>113.9</v>
      </c>
      <c r="Y78" s="61">
        <f t="shared" si="11"/>
        <v>105.19999999999999</v>
      </c>
      <c r="Z78" s="61">
        <f t="shared" si="11"/>
        <v>103.6</v>
      </c>
      <c r="AA78" s="61">
        <f t="shared" si="11"/>
        <v>71</v>
      </c>
      <c r="AB78" s="61">
        <f t="shared" si="11"/>
        <v>122.4</v>
      </c>
      <c r="AC78" s="61">
        <f t="shared" si="11"/>
        <v>148.9</v>
      </c>
      <c r="AD78" s="61">
        <f t="shared" si="11"/>
        <v>147.9</v>
      </c>
      <c r="AE78" s="61">
        <f t="shared" si="11"/>
        <v>198.4</v>
      </c>
      <c r="AF78" s="61">
        <f t="shared" si="11"/>
        <v>203.4</v>
      </c>
      <c r="AG78" s="81">
        <f>SUM(AG67:AG77)</f>
        <v>0</v>
      </c>
      <c r="AH78" s="48">
        <f t="shared" si="8"/>
        <v>381</v>
      </c>
      <c r="AI78" s="49">
        <f t="shared" si="9"/>
        <v>61.8</v>
      </c>
      <c r="AK78" s="50"/>
    </row>
    <row r="79" spans="1:37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8"/>
        <v>0</v>
      </c>
      <c r="AI79" s="49">
        <f t="shared" si="9"/>
        <v>0</v>
      </c>
      <c r="AK79" s="50"/>
    </row>
    <row r="80" spans="1:37" x14ac:dyDescent="0.25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8"/>
        <v>0</v>
      </c>
      <c r="AI80" s="49">
        <f t="shared" si="9"/>
        <v>0</v>
      </c>
      <c r="AK80" s="50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8"/>
        <v>0</v>
      </c>
      <c r="AI81" s="49">
        <f t="shared" si="9"/>
        <v>0</v>
      </c>
    </row>
    <row r="82" spans="1:37" ht="15.75" thickBot="1" x14ac:dyDescent="0.3">
      <c r="A82" s="74" t="s">
        <v>90</v>
      </c>
      <c r="B82" s="61">
        <v>0</v>
      </c>
      <c r="C82" s="61">
        <v>0</v>
      </c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8"/>
        <v>0</v>
      </c>
      <c r="AI82" s="49">
        <f t="shared" si="9"/>
        <v>0</v>
      </c>
    </row>
    <row r="83" spans="1:37" ht="15.75" thickBot="1" x14ac:dyDescent="0.3">
      <c r="A83" s="74" t="s">
        <v>91</v>
      </c>
      <c r="B83" s="83">
        <f t="shared" ref="B83:AG83" si="12">B44+B48+B66+B62+B78+B82</f>
        <v>1032.539</v>
      </c>
      <c r="C83" s="83">
        <f t="shared" si="12"/>
        <v>1019.039</v>
      </c>
      <c r="D83" s="83">
        <f t="shared" si="12"/>
        <v>1002.739</v>
      </c>
      <c r="E83" s="83">
        <f t="shared" si="12"/>
        <v>986.63900000000012</v>
      </c>
      <c r="F83" s="83">
        <f t="shared" si="12"/>
        <v>999.63900000000012</v>
      </c>
      <c r="G83" s="83">
        <f t="shared" si="12"/>
        <v>1046.6390000000001</v>
      </c>
      <c r="H83" s="83">
        <f t="shared" si="12"/>
        <v>1144.4390000000001</v>
      </c>
      <c r="I83" s="83">
        <f t="shared" si="12"/>
        <v>1239.8390000000002</v>
      </c>
      <c r="J83" s="83">
        <f t="shared" si="12"/>
        <v>1353.8390000000002</v>
      </c>
      <c r="K83" s="83">
        <f t="shared" si="12"/>
        <v>1472.7390000000003</v>
      </c>
      <c r="L83" s="83">
        <f t="shared" si="12"/>
        <v>1576.9390000000001</v>
      </c>
      <c r="M83" s="83">
        <f t="shared" si="12"/>
        <v>1603.3390000000002</v>
      </c>
      <c r="N83" s="83">
        <f t="shared" si="12"/>
        <v>1595.2390000000003</v>
      </c>
      <c r="O83" s="83">
        <f t="shared" si="12"/>
        <v>1430.739</v>
      </c>
      <c r="P83" s="83">
        <f t="shared" si="12"/>
        <v>1356.539</v>
      </c>
      <c r="Q83" s="83">
        <f t="shared" si="12"/>
        <v>1321.9389999999999</v>
      </c>
      <c r="R83" s="83">
        <f t="shared" si="12"/>
        <v>1305.539</v>
      </c>
      <c r="S83" s="83">
        <f t="shared" si="12"/>
        <v>1322.6389999999999</v>
      </c>
      <c r="T83" s="83">
        <f t="shared" si="12"/>
        <v>1328.039</v>
      </c>
      <c r="U83" s="83">
        <f t="shared" si="12"/>
        <v>1335.1390000000001</v>
      </c>
      <c r="V83" s="83">
        <f t="shared" si="12"/>
        <v>1425.1390000000001</v>
      </c>
      <c r="W83" s="83">
        <f t="shared" si="12"/>
        <v>1502.539</v>
      </c>
      <c r="X83" s="83">
        <f t="shared" si="12"/>
        <v>1669.539</v>
      </c>
      <c r="Y83" s="83">
        <f t="shared" si="12"/>
        <v>1612.8389999999999</v>
      </c>
      <c r="Z83" s="83">
        <f t="shared" si="12"/>
        <v>1541.2389999999998</v>
      </c>
      <c r="AA83" s="83">
        <f t="shared" si="12"/>
        <v>1475.6389999999999</v>
      </c>
      <c r="AB83" s="83">
        <f t="shared" si="12"/>
        <v>1393.739</v>
      </c>
      <c r="AC83" s="83">
        <f t="shared" si="12"/>
        <v>1337.239</v>
      </c>
      <c r="AD83" s="83">
        <f t="shared" si="12"/>
        <v>1063.9389999999999</v>
      </c>
      <c r="AE83" s="83">
        <f t="shared" si="12"/>
        <v>1074.1389999999999</v>
      </c>
      <c r="AF83" s="83">
        <f t="shared" si="12"/>
        <v>1052.739</v>
      </c>
      <c r="AG83" s="62">
        <f t="shared" si="12"/>
        <v>2004.1900000000003</v>
      </c>
      <c r="AH83" s="48">
        <f t="shared" si="8"/>
        <v>1669.539</v>
      </c>
      <c r="AI83" s="49">
        <f t="shared" si="9"/>
        <v>986.63900000000012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>
        <v>80</v>
      </c>
      <c r="P84" s="85">
        <v>30</v>
      </c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8"/>
        <v>80</v>
      </c>
      <c r="AI84" s="49">
        <f t="shared" si="9"/>
        <v>30</v>
      </c>
    </row>
    <row r="85" spans="1:37" ht="15.75" thickBot="1" x14ac:dyDescent="0.3">
      <c r="A85" s="74" t="s">
        <v>93</v>
      </c>
      <c r="B85" s="83">
        <f t="shared" ref="B85:O85" si="13">B83+B84</f>
        <v>1032.539</v>
      </c>
      <c r="C85" s="83">
        <f t="shared" si="13"/>
        <v>1019.039</v>
      </c>
      <c r="D85" s="83">
        <f t="shared" si="13"/>
        <v>1002.739</v>
      </c>
      <c r="E85" s="83">
        <f t="shared" si="13"/>
        <v>986.63900000000012</v>
      </c>
      <c r="F85" s="83">
        <f t="shared" si="13"/>
        <v>999.63900000000012</v>
      </c>
      <c r="G85" s="83">
        <f t="shared" si="13"/>
        <v>1046.6390000000001</v>
      </c>
      <c r="H85" s="83">
        <f t="shared" si="13"/>
        <v>1144.4390000000001</v>
      </c>
      <c r="I85" s="83">
        <f t="shared" si="13"/>
        <v>1239.8390000000002</v>
      </c>
      <c r="J85" s="83">
        <f t="shared" si="13"/>
        <v>1353.8390000000002</v>
      </c>
      <c r="K85" s="83">
        <f t="shared" si="13"/>
        <v>1472.7390000000003</v>
      </c>
      <c r="L85" s="83">
        <f t="shared" si="13"/>
        <v>1576.9390000000001</v>
      </c>
      <c r="M85" s="83">
        <f t="shared" si="13"/>
        <v>1603.3390000000002</v>
      </c>
      <c r="N85" s="83">
        <f t="shared" si="13"/>
        <v>1595.2390000000003</v>
      </c>
      <c r="O85" s="83">
        <f t="shared" si="13"/>
        <v>1510.739</v>
      </c>
      <c r="P85" s="83">
        <f>P83+P84</f>
        <v>1386.539</v>
      </c>
      <c r="Q85" s="83">
        <f>Q83+Q84</f>
        <v>1321.9389999999999</v>
      </c>
      <c r="R85" s="83">
        <f>R83+R84</f>
        <v>1305.539</v>
      </c>
      <c r="S85" s="83">
        <f t="shared" ref="S85:AF85" si="14">S83+S84</f>
        <v>1322.6389999999999</v>
      </c>
      <c r="T85" s="83">
        <f t="shared" si="14"/>
        <v>1328.039</v>
      </c>
      <c r="U85" s="83">
        <f t="shared" si="14"/>
        <v>1335.1390000000001</v>
      </c>
      <c r="V85" s="83">
        <f t="shared" si="14"/>
        <v>1425.1390000000001</v>
      </c>
      <c r="W85" s="83">
        <f t="shared" si="14"/>
        <v>1502.539</v>
      </c>
      <c r="X85" s="83">
        <f t="shared" si="14"/>
        <v>1669.539</v>
      </c>
      <c r="Y85" s="83">
        <f t="shared" si="14"/>
        <v>1612.8389999999999</v>
      </c>
      <c r="Z85" s="83">
        <f t="shared" si="14"/>
        <v>1541.2389999999998</v>
      </c>
      <c r="AA85" s="83">
        <f t="shared" si="14"/>
        <v>1475.6389999999999</v>
      </c>
      <c r="AB85" s="83">
        <f t="shared" si="14"/>
        <v>1393.739</v>
      </c>
      <c r="AC85" s="83">
        <f t="shared" si="14"/>
        <v>1337.239</v>
      </c>
      <c r="AD85" s="83">
        <f t="shared" si="14"/>
        <v>1063.9389999999999</v>
      </c>
      <c r="AE85" s="83">
        <f t="shared" si="14"/>
        <v>1074.1389999999999</v>
      </c>
      <c r="AF85" s="83">
        <f t="shared" si="14"/>
        <v>1052.739</v>
      </c>
      <c r="AG85" s="81">
        <f>AG82+AG78+AG66+AG62+AG44+AG84</f>
        <v>1466.0900000000001</v>
      </c>
      <c r="AH85" s="48">
        <f t="shared" si="8"/>
        <v>1669.539</v>
      </c>
      <c r="AI85" s="49">
        <f t="shared" si="9"/>
        <v>986.63900000000012</v>
      </c>
    </row>
    <row r="86" spans="1:37" ht="15.75" thickBot="1" x14ac:dyDescent="0.3">
      <c r="A86" s="74" t="s">
        <v>94</v>
      </c>
      <c r="B86" s="83">
        <f t="shared" ref="B86:AF86" si="15">B85-B93</f>
        <v>1032.539</v>
      </c>
      <c r="C86" s="83">
        <f t="shared" si="15"/>
        <v>1019.039</v>
      </c>
      <c r="D86" s="83">
        <f t="shared" si="15"/>
        <v>1002.739</v>
      </c>
      <c r="E86" s="83">
        <f t="shared" si="15"/>
        <v>986.63900000000012</v>
      </c>
      <c r="F86" s="83">
        <f t="shared" si="15"/>
        <v>999.63900000000012</v>
      </c>
      <c r="G86" s="83">
        <f t="shared" si="15"/>
        <v>1046.6390000000001</v>
      </c>
      <c r="H86" s="83">
        <f t="shared" si="15"/>
        <v>1144.4390000000001</v>
      </c>
      <c r="I86" s="83">
        <f t="shared" si="15"/>
        <v>1239.8390000000002</v>
      </c>
      <c r="J86" s="83">
        <f t="shared" si="15"/>
        <v>1353.8390000000002</v>
      </c>
      <c r="K86" s="83">
        <f t="shared" si="15"/>
        <v>1472.7390000000003</v>
      </c>
      <c r="L86" s="83">
        <f t="shared" si="15"/>
        <v>1576.9390000000001</v>
      </c>
      <c r="M86" s="83">
        <f t="shared" si="15"/>
        <v>1603.3390000000002</v>
      </c>
      <c r="N86" s="83">
        <f t="shared" si="15"/>
        <v>1595.2390000000003</v>
      </c>
      <c r="O86" s="83">
        <f t="shared" si="15"/>
        <v>1510.739</v>
      </c>
      <c r="P86" s="83">
        <f t="shared" si="15"/>
        <v>1386.539</v>
      </c>
      <c r="Q86" s="83">
        <f t="shared" si="15"/>
        <v>1321.9389999999999</v>
      </c>
      <c r="R86" s="83">
        <f t="shared" si="15"/>
        <v>1305.539</v>
      </c>
      <c r="S86" s="83">
        <f t="shared" si="15"/>
        <v>1322.6389999999999</v>
      </c>
      <c r="T86" s="83">
        <f t="shared" si="15"/>
        <v>1328.039</v>
      </c>
      <c r="U86" s="83">
        <f t="shared" si="15"/>
        <v>1335.1390000000001</v>
      </c>
      <c r="V86" s="83">
        <f t="shared" si="15"/>
        <v>1425.1390000000001</v>
      </c>
      <c r="W86" s="83">
        <f t="shared" si="15"/>
        <v>1502.539</v>
      </c>
      <c r="X86" s="83">
        <f t="shared" si="15"/>
        <v>1669.539</v>
      </c>
      <c r="Y86" s="83">
        <f t="shared" si="15"/>
        <v>1612.8389999999999</v>
      </c>
      <c r="Z86" s="83">
        <f t="shared" si="15"/>
        <v>1541.2389999999998</v>
      </c>
      <c r="AA86" s="83">
        <f t="shared" si="15"/>
        <v>1475.6389999999999</v>
      </c>
      <c r="AB86" s="83">
        <f t="shared" si="15"/>
        <v>1393.739</v>
      </c>
      <c r="AC86" s="83">
        <f t="shared" si="15"/>
        <v>1337.239</v>
      </c>
      <c r="AD86" s="83">
        <f t="shared" si="15"/>
        <v>1063.9389999999999</v>
      </c>
      <c r="AE86" s="83">
        <f t="shared" si="15"/>
        <v>1074.1389999999999</v>
      </c>
      <c r="AF86" s="83">
        <f t="shared" si="15"/>
        <v>1052.739</v>
      </c>
      <c r="AG86" s="81"/>
      <c r="AH86" s="48">
        <f t="shared" si="8"/>
        <v>1669.539</v>
      </c>
      <c r="AI86" s="49">
        <f t="shared" si="9"/>
        <v>986.63900000000012</v>
      </c>
    </row>
    <row r="87" spans="1:37" x14ac:dyDescent="0.25">
      <c r="A87" s="44" t="s">
        <v>78</v>
      </c>
      <c r="B87" s="76">
        <f t="shared" ref="B87:K87" si="16">IF(B70&lt;0,B70*-1,0)</f>
        <v>0</v>
      </c>
      <c r="C87" s="76">
        <f t="shared" si="16"/>
        <v>0</v>
      </c>
      <c r="D87" s="76">
        <f t="shared" si="16"/>
        <v>0</v>
      </c>
      <c r="E87" s="76">
        <f t="shared" si="16"/>
        <v>0</v>
      </c>
      <c r="F87" s="76">
        <f t="shared" si="16"/>
        <v>0</v>
      </c>
      <c r="G87" s="76">
        <f t="shared" si="16"/>
        <v>0</v>
      </c>
      <c r="H87" s="76">
        <f t="shared" si="16"/>
        <v>0</v>
      </c>
      <c r="I87" s="76">
        <f t="shared" si="16"/>
        <v>0</v>
      </c>
      <c r="J87" s="76">
        <f t="shared" si="16"/>
        <v>0</v>
      </c>
      <c r="K87" s="76">
        <f t="shared" si="16"/>
        <v>0</v>
      </c>
      <c r="L87" s="76">
        <f t="shared" ref="L87:Q87" si="17">IF(L70&lt;0,L70*-1,0)</f>
        <v>0</v>
      </c>
      <c r="M87" s="76">
        <f t="shared" si="17"/>
        <v>0</v>
      </c>
      <c r="N87" s="76">
        <f t="shared" si="17"/>
        <v>0</v>
      </c>
      <c r="O87" s="76">
        <f t="shared" si="17"/>
        <v>0</v>
      </c>
      <c r="P87" s="76">
        <f t="shared" si="17"/>
        <v>0</v>
      </c>
      <c r="Q87" s="76">
        <f t="shared" si="17"/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8"/>
        <v>0</v>
      </c>
      <c r="AI87" s="49">
        <f t="shared" si="9"/>
        <v>0</v>
      </c>
    </row>
    <row r="88" spans="1:37" x14ac:dyDescent="0.25">
      <c r="A88" s="54" t="s">
        <v>76</v>
      </c>
      <c r="B88" s="76">
        <f t="shared" ref="B88:K88" si="18">IF(B68&lt;0,B68*-1,0)</f>
        <v>0</v>
      </c>
      <c r="C88" s="76">
        <f t="shared" si="18"/>
        <v>0</v>
      </c>
      <c r="D88" s="76">
        <f t="shared" si="18"/>
        <v>0</v>
      </c>
      <c r="E88" s="76">
        <f t="shared" si="18"/>
        <v>0</v>
      </c>
      <c r="F88" s="76">
        <f t="shared" si="18"/>
        <v>0</v>
      </c>
      <c r="G88" s="76">
        <f t="shared" si="18"/>
        <v>0</v>
      </c>
      <c r="H88" s="76">
        <f t="shared" si="18"/>
        <v>0</v>
      </c>
      <c r="I88" s="76">
        <f t="shared" si="18"/>
        <v>0</v>
      </c>
      <c r="J88" s="76">
        <f t="shared" si="18"/>
        <v>0</v>
      </c>
      <c r="K88" s="76">
        <f t="shared" si="18"/>
        <v>0</v>
      </c>
      <c r="L88" s="76">
        <f t="shared" ref="L88:Q88" si="19">IF(L68&lt;0,L68*-1,0)</f>
        <v>0</v>
      </c>
      <c r="M88" s="76">
        <f t="shared" si="19"/>
        <v>0</v>
      </c>
      <c r="N88" s="76">
        <f t="shared" si="19"/>
        <v>0</v>
      </c>
      <c r="O88" s="76">
        <f t="shared" si="19"/>
        <v>0</v>
      </c>
      <c r="P88" s="76">
        <f t="shared" si="19"/>
        <v>0</v>
      </c>
      <c r="Q88" s="76">
        <f t="shared" si="19"/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8"/>
        <v>0</v>
      </c>
      <c r="AI88" s="49">
        <f t="shared" si="9"/>
        <v>0</v>
      </c>
    </row>
    <row r="89" spans="1:37" x14ac:dyDescent="0.25">
      <c r="A89" s="78" t="s">
        <v>95</v>
      </c>
      <c r="B89" s="76">
        <f t="shared" ref="B89:K89" si="20">IF(B71&lt;0,B71*-1,0)</f>
        <v>0</v>
      </c>
      <c r="C89" s="76">
        <f t="shared" si="20"/>
        <v>0</v>
      </c>
      <c r="D89" s="76">
        <f t="shared" si="20"/>
        <v>0</v>
      </c>
      <c r="E89" s="76">
        <f t="shared" si="20"/>
        <v>0</v>
      </c>
      <c r="F89" s="76">
        <f t="shared" si="20"/>
        <v>0</v>
      </c>
      <c r="G89" s="76">
        <f t="shared" si="20"/>
        <v>0</v>
      </c>
      <c r="H89" s="76">
        <f t="shared" si="20"/>
        <v>0</v>
      </c>
      <c r="I89" s="76">
        <f t="shared" si="20"/>
        <v>0</v>
      </c>
      <c r="J89" s="76">
        <f t="shared" si="20"/>
        <v>0</v>
      </c>
      <c r="K89" s="76">
        <f t="shared" si="20"/>
        <v>0</v>
      </c>
      <c r="L89" s="76">
        <f t="shared" ref="L89:Q89" si="21">IF(L71&lt;0,L71*-1,0)</f>
        <v>0</v>
      </c>
      <c r="M89" s="76">
        <f t="shared" si="21"/>
        <v>0</v>
      </c>
      <c r="N89" s="76">
        <f t="shared" si="21"/>
        <v>0</v>
      </c>
      <c r="O89" s="76">
        <f t="shared" si="21"/>
        <v>0</v>
      </c>
      <c r="P89" s="76">
        <f t="shared" si="21"/>
        <v>0</v>
      </c>
      <c r="Q89" s="76">
        <f t="shared" si="21"/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8"/>
        <v>0</v>
      </c>
      <c r="AI89" s="49">
        <f t="shared" si="9"/>
        <v>0</v>
      </c>
    </row>
    <row r="90" spans="1:37" x14ac:dyDescent="0.25">
      <c r="A90" s="78" t="s">
        <v>96</v>
      </c>
      <c r="B90" s="76">
        <f t="shared" ref="B90:K90" si="22">IF(B69&lt;0,B69*-1,0)</f>
        <v>0</v>
      </c>
      <c r="C90" s="76">
        <f t="shared" si="22"/>
        <v>0</v>
      </c>
      <c r="D90" s="76">
        <f t="shared" si="22"/>
        <v>0</v>
      </c>
      <c r="E90" s="76">
        <f t="shared" si="22"/>
        <v>0</v>
      </c>
      <c r="F90" s="76">
        <f t="shared" si="22"/>
        <v>0</v>
      </c>
      <c r="G90" s="76">
        <f t="shared" si="22"/>
        <v>0</v>
      </c>
      <c r="H90" s="76">
        <f t="shared" si="22"/>
        <v>0</v>
      </c>
      <c r="I90" s="76">
        <f t="shared" si="22"/>
        <v>0</v>
      </c>
      <c r="J90" s="76">
        <f t="shared" si="22"/>
        <v>0</v>
      </c>
      <c r="K90" s="76">
        <f t="shared" si="22"/>
        <v>0</v>
      </c>
      <c r="L90" s="76">
        <f t="shared" ref="L90:Q90" si="23">IF(L69&lt;0,L69*-1,0)</f>
        <v>0</v>
      </c>
      <c r="M90" s="76">
        <f t="shared" si="23"/>
        <v>0</v>
      </c>
      <c r="N90" s="76">
        <f t="shared" si="23"/>
        <v>0</v>
      </c>
      <c r="O90" s="76">
        <f t="shared" si="23"/>
        <v>0</v>
      </c>
      <c r="P90" s="76">
        <f t="shared" si="23"/>
        <v>0</v>
      </c>
      <c r="Q90" s="76">
        <f t="shared" si="23"/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8"/>
        <v>0</v>
      </c>
      <c r="AI90" s="49">
        <f t="shared" si="9"/>
        <v>0</v>
      </c>
    </row>
    <row r="91" spans="1:37" x14ac:dyDescent="0.25">
      <c r="A91" s="78" t="s">
        <v>75</v>
      </c>
      <c r="B91" s="76">
        <f t="shared" ref="B91:K91" si="24">IF(B67&lt;0,B67*-1,0)</f>
        <v>0</v>
      </c>
      <c r="C91" s="76">
        <f t="shared" si="24"/>
        <v>0</v>
      </c>
      <c r="D91" s="76">
        <f t="shared" si="24"/>
        <v>0</v>
      </c>
      <c r="E91" s="76">
        <f t="shared" si="24"/>
        <v>0</v>
      </c>
      <c r="F91" s="76">
        <f t="shared" si="24"/>
        <v>0</v>
      </c>
      <c r="G91" s="76">
        <f t="shared" si="24"/>
        <v>0</v>
      </c>
      <c r="H91" s="76">
        <f t="shared" si="24"/>
        <v>0</v>
      </c>
      <c r="I91" s="76">
        <f t="shared" si="24"/>
        <v>0</v>
      </c>
      <c r="J91" s="76">
        <f t="shared" si="24"/>
        <v>0</v>
      </c>
      <c r="K91" s="76">
        <f t="shared" si="24"/>
        <v>0</v>
      </c>
      <c r="L91" s="76">
        <f t="shared" ref="L91:Q91" si="25">IF(L67&lt;0,L67*-1,0)</f>
        <v>0</v>
      </c>
      <c r="M91" s="76">
        <f t="shared" si="25"/>
        <v>0</v>
      </c>
      <c r="N91" s="76">
        <f t="shared" si="25"/>
        <v>0</v>
      </c>
      <c r="O91" s="76">
        <f t="shared" si="25"/>
        <v>0</v>
      </c>
      <c r="P91" s="76">
        <f t="shared" si="25"/>
        <v>0</v>
      </c>
      <c r="Q91" s="76">
        <f t="shared" si="25"/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8"/>
        <v>0</v>
      </c>
      <c r="AI91" s="49">
        <f t="shared" si="9"/>
        <v>0</v>
      </c>
    </row>
    <row r="92" spans="1:37" ht="15.75" thickBot="1" x14ac:dyDescent="0.3">
      <c r="A92" s="78" t="s">
        <v>97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8"/>
        <v>0</v>
      </c>
      <c r="AI92" s="49">
        <f t="shared" si="9"/>
        <v>0</v>
      </c>
    </row>
    <row r="93" spans="1:37" ht="15.75" thickBot="1" x14ac:dyDescent="0.3">
      <c r="A93" s="87" t="s">
        <v>98</v>
      </c>
      <c r="B93" s="61">
        <f t="shared" ref="B93" si="26">SUM(B87:B92)</f>
        <v>0</v>
      </c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81"/>
      <c r="AH93" s="48">
        <f t="shared" si="8"/>
        <v>0</v>
      </c>
      <c r="AI93" s="49">
        <f t="shared" si="9"/>
        <v>0</v>
      </c>
      <c r="AK93" s="50"/>
    </row>
    <row r="94" spans="1:37" ht="15.75" thickBot="1" x14ac:dyDescent="0.3">
      <c r="A94" s="74" t="s">
        <v>99</v>
      </c>
      <c r="B94" s="61">
        <f t="shared" ref="B94:S94" si="27">B78-B93</f>
        <v>197.2</v>
      </c>
      <c r="C94" s="61">
        <f t="shared" si="27"/>
        <v>169.7</v>
      </c>
      <c r="D94" s="61">
        <f t="shared" si="27"/>
        <v>162.5</v>
      </c>
      <c r="E94" s="61">
        <f t="shared" si="27"/>
        <v>157.19999999999999</v>
      </c>
      <c r="F94" s="61">
        <f t="shared" si="27"/>
        <v>159.5</v>
      </c>
      <c r="G94" s="61">
        <f t="shared" si="27"/>
        <v>142.80000000000001</v>
      </c>
      <c r="H94" s="61">
        <f t="shared" si="27"/>
        <v>153</v>
      </c>
      <c r="I94" s="61">
        <f t="shared" si="27"/>
        <v>159.69999999999999</v>
      </c>
      <c r="J94" s="61">
        <f t="shared" si="27"/>
        <v>160</v>
      </c>
      <c r="K94" s="61">
        <f t="shared" si="27"/>
        <v>134.69999999999999</v>
      </c>
      <c r="L94" s="61">
        <f t="shared" si="27"/>
        <v>61.8</v>
      </c>
      <c r="M94" s="61">
        <f t="shared" si="27"/>
        <v>61.9</v>
      </c>
      <c r="N94" s="61">
        <f t="shared" si="27"/>
        <v>69.7</v>
      </c>
      <c r="O94" s="61">
        <f t="shared" si="27"/>
        <v>196.5</v>
      </c>
      <c r="P94" s="61">
        <f t="shared" si="27"/>
        <v>198.7</v>
      </c>
      <c r="Q94" s="61">
        <f t="shared" si="27"/>
        <v>348.59999999999997</v>
      </c>
      <c r="R94" s="61">
        <f t="shared" si="27"/>
        <v>368</v>
      </c>
      <c r="S94" s="61">
        <f t="shared" si="27"/>
        <v>370.2</v>
      </c>
      <c r="T94" s="61">
        <f>T78-T93</f>
        <v>381</v>
      </c>
      <c r="U94" s="61">
        <f t="shared" ref="U94:AF94" si="28">U78-U93</f>
        <v>378.7</v>
      </c>
      <c r="V94" s="61">
        <f t="shared" si="28"/>
        <v>199.9</v>
      </c>
      <c r="W94" s="61">
        <f t="shared" si="28"/>
        <v>165</v>
      </c>
      <c r="X94" s="61">
        <f t="shared" si="28"/>
        <v>113.9</v>
      </c>
      <c r="Y94" s="61">
        <f t="shared" si="28"/>
        <v>105.19999999999999</v>
      </c>
      <c r="Z94" s="61">
        <f t="shared" si="28"/>
        <v>103.6</v>
      </c>
      <c r="AA94" s="61">
        <f t="shared" si="28"/>
        <v>71</v>
      </c>
      <c r="AB94" s="61">
        <f t="shared" si="28"/>
        <v>122.4</v>
      </c>
      <c r="AC94" s="61">
        <f t="shared" si="28"/>
        <v>148.9</v>
      </c>
      <c r="AD94" s="61">
        <f t="shared" si="28"/>
        <v>147.9</v>
      </c>
      <c r="AE94" s="61">
        <f t="shared" si="28"/>
        <v>198.4</v>
      </c>
      <c r="AF94" s="61">
        <f t="shared" si="28"/>
        <v>203.4</v>
      </c>
      <c r="AG94" s="81"/>
      <c r="AH94" s="48">
        <f t="shared" si="8"/>
        <v>381</v>
      </c>
      <c r="AI94" s="49">
        <f t="shared" si="9"/>
        <v>61.8</v>
      </c>
    </row>
    <row r="95" spans="1:37" x14ac:dyDescent="0.25">
      <c r="A95" s="88" t="s">
        <v>100</v>
      </c>
      <c r="B95" s="89">
        <v>49.966000000000001</v>
      </c>
      <c r="C95" s="89">
        <v>50.014000000000003</v>
      </c>
      <c r="D95" s="89">
        <v>49.893999999999998</v>
      </c>
      <c r="E95" s="89">
        <v>49.969000000000001</v>
      </c>
      <c r="F95" s="89">
        <v>49.963000000000001</v>
      </c>
      <c r="G95" s="89">
        <v>49.976999999999997</v>
      </c>
      <c r="H95" s="89">
        <v>50.018000000000001</v>
      </c>
      <c r="I95" s="89">
        <v>49.92</v>
      </c>
      <c r="J95" s="89">
        <v>50.018000000000001</v>
      </c>
      <c r="K95" s="89">
        <v>50.018000000000001</v>
      </c>
      <c r="L95" s="89">
        <v>49.94</v>
      </c>
      <c r="M95" s="89">
        <v>50.067999999999998</v>
      </c>
      <c r="N95" s="89">
        <v>49.823999999999998</v>
      </c>
      <c r="O95" s="89">
        <v>49.975999999999999</v>
      </c>
      <c r="P95" s="89">
        <v>50.078000000000003</v>
      </c>
      <c r="Q95" s="89">
        <v>50.015000000000001</v>
      </c>
      <c r="R95" s="89">
        <v>50.091000000000001</v>
      </c>
      <c r="S95" s="89">
        <v>50.353000000000002</v>
      </c>
      <c r="T95" s="89">
        <v>50.003</v>
      </c>
      <c r="U95" s="89">
        <v>49.917000000000002</v>
      </c>
      <c r="V95" s="89">
        <v>49.987000000000002</v>
      </c>
      <c r="W95" s="89">
        <v>49.945999999999998</v>
      </c>
      <c r="X95" s="89">
        <v>50.09</v>
      </c>
      <c r="Y95" s="89">
        <v>50.015999999999998</v>
      </c>
      <c r="Z95" s="89">
        <v>50.173000000000002</v>
      </c>
      <c r="AA95" s="89">
        <v>49.963000000000001</v>
      </c>
      <c r="AB95" s="89">
        <v>49.966000000000001</v>
      </c>
      <c r="AC95" s="89">
        <v>49.966000000000001</v>
      </c>
      <c r="AD95" s="89">
        <v>50.014000000000003</v>
      </c>
      <c r="AE95" s="89">
        <v>49.98</v>
      </c>
      <c r="AF95" s="89">
        <v>50.015000000000001</v>
      </c>
      <c r="AG95" s="90"/>
      <c r="AH95" s="48">
        <f t="shared" si="8"/>
        <v>50.353000000000002</v>
      </c>
      <c r="AI95" s="49">
        <f t="shared" si="9"/>
        <v>49.823999999999998</v>
      </c>
    </row>
    <row r="96" spans="1:37" x14ac:dyDescent="0.25">
      <c r="A96" s="91" t="s">
        <v>101</v>
      </c>
      <c r="B96" s="65">
        <v>128</v>
      </c>
      <c r="C96" s="65">
        <v>127.6</v>
      </c>
      <c r="D96" s="65">
        <v>128.19999999999999</v>
      </c>
      <c r="E96" s="65">
        <v>127.7</v>
      </c>
      <c r="F96" s="65">
        <v>128</v>
      </c>
      <c r="G96" s="65">
        <v>128.19999999999999</v>
      </c>
      <c r="H96" s="65">
        <v>127.5</v>
      </c>
      <c r="I96" s="65">
        <v>125.7</v>
      </c>
      <c r="J96" s="65">
        <v>124.1</v>
      </c>
      <c r="K96" s="65">
        <v>124.1</v>
      </c>
      <c r="L96" s="65">
        <v>124.7</v>
      </c>
      <c r="M96" s="65">
        <v>124.7</v>
      </c>
      <c r="N96" s="65">
        <v>127.2</v>
      </c>
      <c r="O96" s="65">
        <v>125.5</v>
      </c>
      <c r="P96" s="65">
        <v>126.5</v>
      </c>
      <c r="Q96" s="65">
        <v>125.4</v>
      </c>
      <c r="R96" s="65">
        <v>124.8</v>
      </c>
      <c r="S96" s="65">
        <v>126.8</v>
      </c>
      <c r="T96" s="65">
        <v>126.5</v>
      </c>
      <c r="U96" s="65">
        <v>128.4</v>
      </c>
      <c r="V96" s="65">
        <v>127.3</v>
      </c>
      <c r="W96" s="65">
        <v>126</v>
      </c>
      <c r="X96" s="65">
        <v>125.5</v>
      </c>
      <c r="Y96" s="65">
        <v>126</v>
      </c>
      <c r="Z96" s="65">
        <v>127.3</v>
      </c>
      <c r="AA96" s="65">
        <v>128.19999999999999</v>
      </c>
      <c r="AB96" s="65">
        <v>128.5</v>
      </c>
      <c r="AC96" s="65">
        <v>129.4</v>
      </c>
      <c r="AD96" s="65">
        <v>129.19999999999999</v>
      </c>
      <c r="AE96" s="65">
        <v>129.19999999999999</v>
      </c>
      <c r="AF96" s="65">
        <v>129.6</v>
      </c>
      <c r="AG96" s="92"/>
      <c r="AH96" s="48">
        <f t="shared" si="8"/>
        <v>129.6</v>
      </c>
      <c r="AI96" s="49">
        <f t="shared" si="9"/>
        <v>124.1</v>
      </c>
    </row>
    <row r="97" spans="1:35" x14ac:dyDescent="0.25">
      <c r="A97" s="91" t="s">
        <v>102</v>
      </c>
      <c r="B97" s="65">
        <v>132</v>
      </c>
      <c r="C97" s="65">
        <v>131.9</v>
      </c>
      <c r="D97" s="65">
        <v>132.19999999999999</v>
      </c>
      <c r="E97" s="65">
        <v>132.19999999999999</v>
      </c>
      <c r="F97" s="65">
        <v>132.30000000000001</v>
      </c>
      <c r="G97" s="65">
        <v>132.19999999999999</v>
      </c>
      <c r="H97" s="65">
        <v>131.5</v>
      </c>
      <c r="I97" s="65">
        <v>129.69999999999999</v>
      </c>
      <c r="J97" s="65">
        <v>128</v>
      </c>
      <c r="K97" s="65">
        <v>128</v>
      </c>
      <c r="L97" s="65">
        <v>127.5</v>
      </c>
      <c r="M97" s="65">
        <v>127.4</v>
      </c>
      <c r="N97" s="65">
        <v>128.9</v>
      </c>
      <c r="O97" s="65">
        <v>127.8</v>
      </c>
      <c r="P97" s="65">
        <v>128.9</v>
      </c>
      <c r="Q97" s="65">
        <v>128</v>
      </c>
      <c r="R97" s="65">
        <v>127.5</v>
      </c>
      <c r="S97" s="65">
        <v>129</v>
      </c>
      <c r="T97" s="65">
        <v>129.19999999999999</v>
      </c>
      <c r="U97" s="65">
        <v>130.6</v>
      </c>
      <c r="V97" s="65">
        <v>130</v>
      </c>
      <c r="W97" s="65">
        <v>128.30000000000001</v>
      </c>
      <c r="X97" s="65">
        <v>127.8</v>
      </c>
      <c r="Y97" s="65">
        <v>128.1</v>
      </c>
      <c r="Z97" s="65">
        <v>129.1</v>
      </c>
      <c r="AA97" s="65">
        <v>130.1</v>
      </c>
      <c r="AB97" s="65">
        <v>130.30000000000001</v>
      </c>
      <c r="AC97" s="65">
        <v>131.4</v>
      </c>
      <c r="AD97" s="65">
        <v>131.9</v>
      </c>
      <c r="AE97" s="65">
        <v>131.9</v>
      </c>
      <c r="AF97" s="65">
        <v>132.80000000000001</v>
      </c>
      <c r="AG97" s="92"/>
      <c r="AH97" s="48">
        <f t="shared" si="8"/>
        <v>132.80000000000001</v>
      </c>
      <c r="AI97" s="49">
        <f t="shared" si="9"/>
        <v>127.4</v>
      </c>
    </row>
    <row r="98" spans="1:35" x14ac:dyDescent="0.25">
      <c r="A98" s="91" t="s">
        <v>103</v>
      </c>
      <c r="B98" s="65">
        <v>131</v>
      </c>
      <c r="C98" s="65">
        <v>131.69999999999999</v>
      </c>
      <c r="D98" s="65">
        <v>132</v>
      </c>
      <c r="E98" s="65">
        <v>131.4</v>
      </c>
      <c r="F98" s="65">
        <v>131.69999999999999</v>
      </c>
      <c r="G98" s="65">
        <v>131.69999999999999</v>
      </c>
      <c r="H98" s="65">
        <v>130.5</v>
      </c>
      <c r="I98" s="65">
        <v>129.4</v>
      </c>
      <c r="J98" s="65">
        <v>131.1</v>
      </c>
      <c r="K98" s="65">
        <v>131.1</v>
      </c>
      <c r="L98" s="65">
        <v>127.5</v>
      </c>
      <c r="M98" s="65">
        <v>126.4</v>
      </c>
      <c r="N98" s="65">
        <v>130.74</v>
      </c>
      <c r="O98" s="65">
        <v>129.30000000000001</v>
      </c>
      <c r="P98" s="65">
        <v>128.6</v>
      </c>
      <c r="Q98" s="65">
        <v>131.1</v>
      </c>
      <c r="R98" s="65">
        <v>130</v>
      </c>
      <c r="S98" s="65">
        <v>130.1</v>
      </c>
      <c r="T98" s="65">
        <v>128.5</v>
      </c>
      <c r="U98" s="65">
        <v>129.4</v>
      </c>
      <c r="V98" s="65">
        <v>130</v>
      </c>
      <c r="W98" s="65">
        <v>125.2</v>
      </c>
      <c r="X98" s="65">
        <v>129.19999999999999</v>
      </c>
      <c r="Y98" s="65">
        <v>131</v>
      </c>
      <c r="Z98" s="65">
        <v>132.4</v>
      </c>
      <c r="AA98" s="65">
        <v>131.4</v>
      </c>
      <c r="AB98" s="65">
        <v>131.30000000000001</v>
      </c>
      <c r="AC98" s="65">
        <v>133.30000000000001</v>
      </c>
      <c r="AD98" s="65">
        <v>132.30000000000001</v>
      </c>
      <c r="AE98" s="65">
        <v>132.30000000000001</v>
      </c>
      <c r="AF98" s="65">
        <v>129.5</v>
      </c>
      <c r="AG98" s="92"/>
      <c r="AH98" s="48">
        <f t="shared" si="8"/>
        <v>133.30000000000001</v>
      </c>
      <c r="AI98" s="49">
        <f t="shared" si="9"/>
        <v>125.2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8"/>
        <v>0</v>
      </c>
      <c r="AI99" s="49">
        <f t="shared" si="9"/>
        <v>0</v>
      </c>
    </row>
    <row r="100" spans="1:35" x14ac:dyDescent="0.25">
      <c r="A100" s="93" t="s">
        <v>105</v>
      </c>
      <c r="B100" s="94">
        <v>131</v>
      </c>
      <c r="C100" s="94">
        <v>132.80000000000001</v>
      </c>
      <c r="D100" s="94">
        <v>133.6</v>
      </c>
      <c r="E100" s="94">
        <v>131.6</v>
      </c>
      <c r="F100" s="94">
        <v>133.30000000000001</v>
      </c>
      <c r="G100" s="94">
        <v>132.6</v>
      </c>
      <c r="H100" s="94">
        <v>134.69999999999999</v>
      </c>
      <c r="I100" s="94">
        <v>134</v>
      </c>
      <c r="J100" s="94">
        <v>134.1</v>
      </c>
      <c r="K100" s="94">
        <v>134.1</v>
      </c>
      <c r="L100" s="94">
        <v>133.19999999999999</v>
      </c>
      <c r="M100" s="94">
        <v>133.9</v>
      </c>
      <c r="N100" s="94">
        <v>134.19999999999999</v>
      </c>
      <c r="O100" s="94">
        <v>132.69999999999999</v>
      </c>
      <c r="P100" s="94">
        <v>134.1</v>
      </c>
      <c r="Q100" s="94">
        <v>134.9</v>
      </c>
      <c r="R100" s="94">
        <v>133.30000000000001</v>
      </c>
      <c r="S100" s="94">
        <v>134</v>
      </c>
      <c r="T100" s="94">
        <v>134.5</v>
      </c>
      <c r="U100" s="94">
        <v>135.4</v>
      </c>
      <c r="V100" s="94">
        <v>134</v>
      </c>
      <c r="W100" s="94">
        <v>132.5</v>
      </c>
      <c r="X100" s="94">
        <v>132</v>
      </c>
      <c r="Y100" s="94">
        <v>134.4</v>
      </c>
      <c r="Z100" s="94">
        <v>131.30000000000001</v>
      </c>
      <c r="AA100" s="94">
        <v>136.19999999999999</v>
      </c>
      <c r="AB100" s="94">
        <v>133.4</v>
      </c>
      <c r="AC100" s="94">
        <v>135.4</v>
      </c>
      <c r="AD100" s="94">
        <v>133.80000000000001</v>
      </c>
      <c r="AE100" s="94">
        <v>133.80000000000001</v>
      </c>
      <c r="AF100" s="94">
        <v>132</v>
      </c>
      <c r="AG100" s="95"/>
      <c r="AH100" s="48">
        <f t="shared" si="8"/>
        <v>136.19999999999999</v>
      </c>
      <c r="AI100" s="49">
        <f t="shared" si="9"/>
        <v>131</v>
      </c>
    </row>
    <row r="101" spans="1:35" x14ac:dyDescent="0.25">
      <c r="A101" s="91" t="s">
        <v>106</v>
      </c>
      <c r="B101" s="65">
        <v>131</v>
      </c>
      <c r="C101" s="65">
        <v>130</v>
      </c>
      <c r="D101" s="65">
        <v>134.19999999999999</v>
      </c>
      <c r="E101" s="65">
        <v>130.4</v>
      </c>
      <c r="F101" s="65">
        <v>133.6</v>
      </c>
      <c r="G101" s="65">
        <v>130.5</v>
      </c>
      <c r="H101" s="65">
        <v>127.7</v>
      </c>
      <c r="I101" s="65">
        <v>128.1</v>
      </c>
      <c r="J101" s="65">
        <v>129.1</v>
      </c>
      <c r="K101" s="65">
        <v>129.1</v>
      </c>
      <c r="L101" s="65">
        <v>128.80000000000001</v>
      </c>
      <c r="M101" s="65">
        <v>129</v>
      </c>
      <c r="N101" s="65">
        <v>125.8</v>
      </c>
      <c r="O101" s="65">
        <v>127.7</v>
      </c>
      <c r="P101" s="65">
        <v>130.19999999999999</v>
      </c>
      <c r="Q101" s="65">
        <v>129.1</v>
      </c>
      <c r="R101" s="65">
        <v>128.30000000000001</v>
      </c>
      <c r="S101" s="65">
        <v>128.69999999999999</v>
      </c>
      <c r="T101" s="65">
        <v>134.9</v>
      </c>
      <c r="U101" s="65">
        <v>135.19999999999999</v>
      </c>
      <c r="V101" s="65"/>
      <c r="W101" s="65">
        <v>132.30000000000001</v>
      </c>
      <c r="X101" s="65">
        <v>128.6</v>
      </c>
      <c r="Y101" s="65">
        <v>132.1</v>
      </c>
      <c r="Z101" s="65">
        <v>129</v>
      </c>
      <c r="AA101" s="65">
        <v>134</v>
      </c>
      <c r="AB101" s="65">
        <v>131.4</v>
      </c>
      <c r="AC101" s="65">
        <v>137.4</v>
      </c>
      <c r="AD101" s="65">
        <v>130.69999999999999</v>
      </c>
      <c r="AE101" s="65">
        <v>130.69999999999999</v>
      </c>
      <c r="AF101" s="65">
        <v>129.9</v>
      </c>
      <c r="AG101" s="92"/>
      <c r="AH101" s="48">
        <f t="shared" si="8"/>
        <v>137.4</v>
      </c>
      <c r="AI101" s="49">
        <f t="shared" si="9"/>
        <v>125.8</v>
      </c>
    </row>
    <row r="102" spans="1:35" ht="15.75" thickBot="1" x14ac:dyDescent="0.3">
      <c r="A102" s="91" t="s">
        <v>107</v>
      </c>
      <c r="B102" s="96">
        <v>67</v>
      </c>
      <c r="C102" s="96">
        <v>66.400000000000006</v>
      </c>
      <c r="D102" s="96">
        <v>66.599999999999994</v>
      </c>
      <c r="E102" s="96">
        <v>66.5</v>
      </c>
      <c r="F102" s="96">
        <v>66.8</v>
      </c>
      <c r="G102" s="96">
        <v>66.7</v>
      </c>
      <c r="H102" s="96">
        <v>66.2</v>
      </c>
      <c r="I102" s="96">
        <v>65</v>
      </c>
      <c r="J102" s="96">
        <v>64.2</v>
      </c>
      <c r="K102" s="96">
        <v>64.2</v>
      </c>
      <c r="L102" s="96">
        <v>63.6</v>
      </c>
      <c r="M102" s="96">
        <v>63.3</v>
      </c>
      <c r="N102" s="96">
        <v>64.2</v>
      </c>
      <c r="O102" s="96">
        <v>63.6</v>
      </c>
      <c r="P102" s="96">
        <v>64.3</v>
      </c>
      <c r="Q102" s="96">
        <v>64</v>
      </c>
      <c r="R102" s="96">
        <v>63.5</v>
      </c>
      <c r="S102" s="96">
        <v>64.3</v>
      </c>
      <c r="T102" s="96">
        <v>64.3</v>
      </c>
      <c r="U102" s="96">
        <v>65</v>
      </c>
      <c r="V102" s="96">
        <v>65</v>
      </c>
      <c r="W102" s="96">
        <v>64.099999999999994</v>
      </c>
      <c r="X102" s="96">
        <v>63.8</v>
      </c>
      <c r="Y102" s="96">
        <v>64.099999999999994</v>
      </c>
      <c r="Z102" s="96">
        <v>64.599999999999994</v>
      </c>
      <c r="AA102" s="96">
        <v>65.099999999999994</v>
      </c>
      <c r="AB102" s="96">
        <v>65.2</v>
      </c>
      <c r="AC102" s="96">
        <v>65.599999999999994</v>
      </c>
      <c r="AD102" s="96">
        <v>66.099999999999994</v>
      </c>
      <c r="AE102" s="96">
        <v>66.099999999999994</v>
      </c>
      <c r="AF102" s="96">
        <v>66.3</v>
      </c>
      <c r="AG102" s="97"/>
      <c r="AH102" s="48">
        <f t="shared" si="8"/>
        <v>67</v>
      </c>
      <c r="AI102" s="49">
        <f t="shared" si="9"/>
        <v>63.3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8"/>
        <v>0</v>
      </c>
      <c r="AI103" s="49">
        <f t="shared" si="9"/>
        <v>0</v>
      </c>
    </row>
    <row r="104" spans="1:35" ht="15.75" thickBot="1" x14ac:dyDescent="0.3">
      <c r="A104" s="99" t="s">
        <v>108</v>
      </c>
      <c r="B104" s="100">
        <f t="shared" ref="B104:AF104" si="29">SUM(B16,B22,B25:B26,B52,B54:B55,B57,B59,B105:B109,B131,B137,B143,B152,B154,B166,B173,B176:B177,B184,B186,B188,B192:B194,B196:B198,B203,B209:B210,B212:B214,B222,B227)</f>
        <v>120.59899999999999</v>
      </c>
      <c r="C104" s="100">
        <f t="shared" si="29"/>
        <v>104.63899999999998</v>
      </c>
      <c r="D104" s="100">
        <f t="shared" si="29"/>
        <v>96.138999999999982</v>
      </c>
      <c r="E104" s="100">
        <f t="shared" si="29"/>
        <v>96.73899999999999</v>
      </c>
      <c r="F104" s="100">
        <f t="shared" si="29"/>
        <v>105.03899999999996</v>
      </c>
      <c r="G104" s="100">
        <f t="shared" si="29"/>
        <v>129.03899999999999</v>
      </c>
      <c r="H104" s="100">
        <f t="shared" si="29"/>
        <v>166.33899999999997</v>
      </c>
      <c r="I104" s="100">
        <f t="shared" si="29"/>
        <v>183.63899999999998</v>
      </c>
      <c r="J104" s="100">
        <f t="shared" si="29"/>
        <v>254.03899999999999</v>
      </c>
      <c r="K104" s="100">
        <f t="shared" si="29"/>
        <v>254.339</v>
      </c>
      <c r="L104" s="100">
        <f t="shared" si="29"/>
        <v>358.43900000000002</v>
      </c>
      <c r="M104" s="100">
        <f t="shared" si="29"/>
        <v>373.63899999999995</v>
      </c>
      <c r="N104" s="100">
        <f t="shared" si="29"/>
        <v>320.339</v>
      </c>
      <c r="O104" s="100">
        <f t="shared" si="29"/>
        <v>317.53900000000004</v>
      </c>
      <c r="P104" s="100">
        <f t="shared" si="29"/>
        <v>302.03899999999999</v>
      </c>
      <c r="Q104" s="100">
        <f t="shared" si="29"/>
        <v>282.399</v>
      </c>
      <c r="R104" s="100">
        <f t="shared" si="29"/>
        <v>263.49900000000002</v>
      </c>
      <c r="S104" s="100">
        <f t="shared" si="29"/>
        <v>272.09899999999999</v>
      </c>
      <c r="T104" s="100">
        <f t="shared" si="29"/>
        <v>274.99899999999997</v>
      </c>
      <c r="U104" s="100">
        <f t="shared" si="29"/>
        <v>291.29899999999998</v>
      </c>
      <c r="V104" s="100">
        <f t="shared" si="29"/>
        <v>342.399</v>
      </c>
      <c r="W104" s="100">
        <f t="shared" si="29"/>
        <v>362.99899999999997</v>
      </c>
      <c r="X104" s="100">
        <f t="shared" si="29"/>
        <v>401.399</v>
      </c>
      <c r="Y104" s="100">
        <f t="shared" si="29"/>
        <v>396.69899999999996</v>
      </c>
      <c r="Z104" s="100">
        <f t="shared" si="29"/>
        <v>388.59899999999993</v>
      </c>
      <c r="AA104" s="100">
        <f t="shared" si="29"/>
        <v>378.69900000000001</v>
      </c>
      <c r="AB104" s="100">
        <f t="shared" si="29"/>
        <v>316.79899999999998</v>
      </c>
      <c r="AC104" s="100">
        <f t="shared" si="29"/>
        <v>275.79899999999998</v>
      </c>
      <c r="AD104" s="100">
        <f t="shared" si="29"/>
        <v>212.399</v>
      </c>
      <c r="AE104" s="100">
        <f t="shared" si="29"/>
        <v>212.399</v>
      </c>
      <c r="AF104" s="100">
        <f t="shared" si="29"/>
        <v>155.39899999999997</v>
      </c>
      <c r="AG104" s="101"/>
      <c r="AH104" s="48">
        <f t="shared" si="8"/>
        <v>401.399</v>
      </c>
      <c r="AI104" s="49">
        <f t="shared" si="9"/>
        <v>96.138999999999982</v>
      </c>
    </row>
    <row r="105" spans="1:35" x14ac:dyDescent="0.25">
      <c r="A105" s="88" t="s">
        <v>109</v>
      </c>
      <c r="B105" s="102">
        <v>6</v>
      </c>
      <c r="C105" s="102">
        <v>11</v>
      </c>
      <c r="D105" s="102">
        <v>10.3</v>
      </c>
      <c r="E105" s="102">
        <v>2.2999999999999998</v>
      </c>
      <c r="F105" s="102">
        <v>-3.8</v>
      </c>
      <c r="G105" s="102">
        <v>-6.2</v>
      </c>
      <c r="H105" s="102">
        <v>7.1</v>
      </c>
      <c r="I105" s="102">
        <v>16.600000000000001</v>
      </c>
      <c r="J105" s="102">
        <v>26.2</v>
      </c>
      <c r="K105" s="102">
        <v>26.2</v>
      </c>
      <c r="L105" s="102">
        <v>29.9</v>
      </c>
      <c r="M105" s="102">
        <v>25.7</v>
      </c>
      <c r="N105" s="102">
        <v>49.9</v>
      </c>
      <c r="O105" s="102">
        <v>47.8</v>
      </c>
      <c r="P105" s="102">
        <v>50.3</v>
      </c>
      <c r="Q105" s="102">
        <v>41.5</v>
      </c>
      <c r="R105" s="102">
        <v>37.299999999999997</v>
      </c>
      <c r="S105" s="102">
        <v>33.6</v>
      </c>
      <c r="T105" s="102">
        <v>20.6</v>
      </c>
      <c r="U105" s="102">
        <v>20.100000000000001</v>
      </c>
      <c r="V105" s="102">
        <v>46.1</v>
      </c>
      <c r="W105" s="102">
        <v>47.2</v>
      </c>
      <c r="X105" s="102">
        <v>34.6</v>
      </c>
      <c r="Y105" s="102">
        <v>38.200000000000003</v>
      </c>
      <c r="Z105" s="102">
        <v>41.3</v>
      </c>
      <c r="AA105" s="102">
        <v>45</v>
      </c>
      <c r="AB105" s="102">
        <v>39.6</v>
      </c>
      <c r="AC105" s="102">
        <v>33.299999999999997</v>
      </c>
      <c r="AD105" s="102">
        <v>19</v>
      </c>
      <c r="AE105" s="102">
        <v>19</v>
      </c>
      <c r="AF105" s="102">
        <v>12.6</v>
      </c>
      <c r="AG105" s="103">
        <v>75</v>
      </c>
      <c r="AH105" s="48">
        <f t="shared" si="8"/>
        <v>50.3</v>
      </c>
      <c r="AI105" s="49">
        <f t="shared" si="9"/>
        <v>-6.2</v>
      </c>
    </row>
    <row r="106" spans="1:35" x14ac:dyDescent="0.25">
      <c r="A106" s="91" t="s">
        <v>110</v>
      </c>
      <c r="B106" s="104">
        <v>13</v>
      </c>
      <c r="C106" s="104">
        <v>21</v>
      </c>
      <c r="D106" s="104">
        <v>19.2</v>
      </c>
      <c r="E106" s="104">
        <v>7.2</v>
      </c>
      <c r="F106" s="104">
        <v>0</v>
      </c>
      <c r="G106" s="104">
        <v>-2.1</v>
      </c>
      <c r="H106" s="104">
        <v>16.600000000000001</v>
      </c>
      <c r="I106" s="104">
        <v>29</v>
      </c>
      <c r="J106" s="104">
        <v>43.9</v>
      </c>
      <c r="K106" s="104">
        <v>43.9</v>
      </c>
      <c r="L106" s="104">
        <v>44.2</v>
      </c>
      <c r="M106" s="104">
        <v>38</v>
      </c>
      <c r="N106" s="104">
        <v>74.900000000000006</v>
      </c>
      <c r="O106" s="104">
        <v>71.8</v>
      </c>
      <c r="P106" s="104">
        <v>76.2</v>
      </c>
      <c r="Q106" s="104">
        <v>62.3</v>
      </c>
      <c r="R106" s="104">
        <v>57</v>
      </c>
      <c r="S106" s="104">
        <v>52.3</v>
      </c>
      <c r="T106" s="104">
        <v>32.299999999999997</v>
      </c>
      <c r="U106" s="104">
        <v>32.1</v>
      </c>
      <c r="V106" s="104">
        <v>68</v>
      </c>
      <c r="W106" s="104">
        <v>70.099999999999994</v>
      </c>
      <c r="X106" s="104">
        <v>49.4</v>
      </c>
      <c r="Y106" s="104">
        <v>54.2</v>
      </c>
      <c r="Z106" s="104">
        <v>60</v>
      </c>
      <c r="AA106" s="104">
        <v>66</v>
      </c>
      <c r="AB106" s="104">
        <v>59.5</v>
      </c>
      <c r="AC106" s="104">
        <v>49</v>
      </c>
      <c r="AD106" s="104">
        <v>29.8</v>
      </c>
      <c r="AE106" s="104">
        <v>29.8</v>
      </c>
      <c r="AF106" s="104">
        <v>22.9</v>
      </c>
      <c r="AG106" s="103">
        <v>240</v>
      </c>
      <c r="AH106" s="48">
        <f t="shared" si="8"/>
        <v>76.2</v>
      </c>
      <c r="AI106" s="49">
        <f t="shared" si="9"/>
        <v>-2.1</v>
      </c>
    </row>
    <row r="107" spans="1:35" x14ac:dyDescent="0.25">
      <c r="A107" s="91" t="s">
        <v>111</v>
      </c>
      <c r="B107" s="104">
        <f>-38-42</f>
        <v>-80</v>
      </c>
      <c r="C107" s="104">
        <v>-90</v>
      </c>
      <c r="D107" s="104">
        <v>-95</v>
      </c>
      <c r="E107" s="104">
        <f>-42.9-45.9</f>
        <v>-88.8</v>
      </c>
      <c r="F107" s="104">
        <f>-38.6-41.2</f>
        <v>-79.800000000000011</v>
      </c>
      <c r="G107" s="104">
        <f>-31.9-34.3</f>
        <v>-66.199999999999989</v>
      </c>
      <c r="H107" s="104">
        <f>-31.9-34</f>
        <v>-65.900000000000006</v>
      </c>
      <c r="I107" s="104">
        <f>-31.4-33.5</f>
        <v>-64.900000000000006</v>
      </c>
      <c r="J107" s="104">
        <f>-22.9-25.1</f>
        <v>-48</v>
      </c>
      <c r="K107" s="104">
        <f>-22.9-25.1</f>
        <v>-48</v>
      </c>
      <c r="L107" s="104">
        <f>-0.2-8.7</f>
        <v>-8.8999999999999986</v>
      </c>
      <c r="M107" s="104">
        <f>6.2-2.8</f>
        <v>3.4000000000000004</v>
      </c>
      <c r="N107" s="104">
        <f>-18-26.2</f>
        <v>-44.2</v>
      </c>
      <c r="O107" s="104">
        <f>-18.8-29.1</f>
        <v>-47.900000000000006</v>
      </c>
      <c r="P107" s="104">
        <f>-22.1-31.6</f>
        <v>-53.7</v>
      </c>
      <c r="Q107" s="104">
        <f>-8-13.6</f>
        <v>-21.6</v>
      </c>
      <c r="R107" s="104">
        <v>-18</v>
      </c>
      <c r="S107" s="104">
        <f>-5.2-11</f>
        <v>-16.2</v>
      </c>
      <c r="T107" s="104">
        <f>2.9-5.1</f>
        <v>-2.1999999999999997</v>
      </c>
      <c r="U107" s="104">
        <f>3-5</f>
        <v>-2</v>
      </c>
      <c r="V107" s="104">
        <f>-9-19</f>
        <v>-28</v>
      </c>
      <c r="W107" s="104">
        <f>-7-17</f>
        <v>-24</v>
      </c>
      <c r="X107" s="104">
        <f>16+11</f>
        <v>27</v>
      </c>
      <c r="Y107" s="104">
        <f>12+10</f>
        <v>22</v>
      </c>
      <c r="Z107" s="104">
        <v>7</v>
      </c>
      <c r="AA107" s="104">
        <f>-7</f>
        <v>-7</v>
      </c>
      <c r="AB107" s="104">
        <v>-57.4</v>
      </c>
      <c r="AC107" s="104">
        <v>-43</v>
      </c>
      <c r="AD107" s="104">
        <v>-40.799999999999997</v>
      </c>
      <c r="AE107" s="104">
        <v>-40.799999999999997</v>
      </c>
      <c r="AF107" s="104">
        <v>-65</v>
      </c>
      <c r="AG107" s="103">
        <v>240</v>
      </c>
      <c r="AH107" s="48">
        <f t="shared" si="8"/>
        <v>27</v>
      </c>
      <c r="AI107" s="49">
        <f t="shared" si="9"/>
        <v>-95</v>
      </c>
    </row>
    <row r="108" spans="1:35" x14ac:dyDescent="0.25">
      <c r="A108" s="91" t="s">
        <v>112</v>
      </c>
      <c r="B108" s="104">
        <v>-0.5</v>
      </c>
      <c r="C108" s="104">
        <v>-6.4</v>
      </c>
      <c r="D108" s="104">
        <v>-5.9</v>
      </c>
      <c r="E108" s="104">
        <v>-6.5</v>
      </c>
      <c r="F108" s="104">
        <v>-5.2</v>
      </c>
      <c r="G108" s="104">
        <v>-2.5</v>
      </c>
      <c r="H108" s="104">
        <v>-1.2</v>
      </c>
      <c r="I108" s="104">
        <v>-4</v>
      </c>
      <c r="J108" s="104">
        <v>4</v>
      </c>
      <c r="K108" s="104">
        <v>4</v>
      </c>
      <c r="L108" s="104">
        <v>47.1</v>
      </c>
      <c r="M108" s="104">
        <v>48.1</v>
      </c>
      <c r="N108" s="104">
        <v>38.299999999999997</v>
      </c>
      <c r="O108" s="104">
        <v>48</v>
      </c>
      <c r="P108" s="104">
        <v>41.8</v>
      </c>
      <c r="Q108" s="104">
        <v>21.9</v>
      </c>
      <c r="R108" s="104">
        <v>16.899999999999999</v>
      </c>
      <c r="S108" s="104">
        <v>25.5</v>
      </c>
      <c r="T108" s="104">
        <v>43.5</v>
      </c>
      <c r="U108" s="104">
        <v>52.6</v>
      </c>
      <c r="V108" s="104">
        <v>52</v>
      </c>
      <c r="W108" s="104">
        <v>54.4</v>
      </c>
      <c r="X108" s="104">
        <v>51</v>
      </c>
      <c r="Y108" s="104">
        <v>48</v>
      </c>
      <c r="Z108" s="104">
        <v>49.4</v>
      </c>
      <c r="AA108" s="104">
        <v>48.1</v>
      </c>
      <c r="AB108" s="104">
        <v>57.3</v>
      </c>
      <c r="AC108" s="104">
        <v>42.2</v>
      </c>
      <c r="AD108" s="104">
        <v>9.1999999999999993</v>
      </c>
      <c r="AE108" s="104">
        <v>9.1999999999999993</v>
      </c>
      <c r="AF108" s="104">
        <v>2.9</v>
      </c>
      <c r="AG108" s="103">
        <v>60</v>
      </c>
      <c r="AH108" s="48">
        <f t="shared" si="8"/>
        <v>57.3</v>
      </c>
      <c r="AI108" s="49">
        <f t="shared" si="9"/>
        <v>-6.5</v>
      </c>
    </row>
    <row r="109" spans="1:35" x14ac:dyDescent="0.25">
      <c r="A109" s="105" t="s">
        <v>113</v>
      </c>
      <c r="B109" s="106">
        <v>45</v>
      </c>
      <c r="C109" s="106">
        <v>31</v>
      </c>
      <c r="D109" s="106">
        <v>29.5</v>
      </c>
      <c r="E109" s="106">
        <v>44.5</v>
      </c>
      <c r="F109" s="106">
        <v>55.3</v>
      </c>
      <c r="G109" s="106">
        <v>67.8</v>
      </c>
      <c r="H109" s="106">
        <v>71.2</v>
      </c>
      <c r="I109" s="106">
        <v>68.400000000000006</v>
      </c>
      <c r="J109" s="106">
        <v>89.7</v>
      </c>
      <c r="K109" s="106">
        <v>89.7</v>
      </c>
      <c r="L109" s="106">
        <v>107.6</v>
      </c>
      <c r="M109" s="106">
        <v>119.9</v>
      </c>
      <c r="N109" s="106">
        <v>63.2</v>
      </c>
      <c r="O109" s="106">
        <v>59.6</v>
      </c>
      <c r="P109" s="106">
        <v>49.2</v>
      </c>
      <c r="Q109" s="106">
        <v>41</v>
      </c>
      <c r="R109" s="106">
        <v>33</v>
      </c>
      <c r="S109" s="106">
        <v>31.6</v>
      </c>
      <c r="T109" s="106">
        <v>35.5</v>
      </c>
      <c r="U109" s="106">
        <v>43.2</v>
      </c>
      <c r="V109" s="106">
        <v>67</v>
      </c>
      <c r="W109" s="106">
        <v>80</v>
      </c>
      <c r="X109" s="106">
        <v>104.1</v>
      </c>
      <c r="Y109" s="106">
        <v>99</v>
      </c>
      <c r="Z109" s="106">
        <v>95.6</v>
      </c>
      <c r="AA109" s="106">
        <v>91.3</v>
      </c>
      <c r="AB109" s="106">
        <v>82.5</v>
      </c>
      <c r="AC109" s="106">
        <v>59</v>
      </c>
      <c r="AD109" s="106">
        <v>59.3</v>
      </c>
      <c r="AE109" s="106">
        <v>59.3</v>
      </c>
      <c r="AF109" s="106">
        <v>46.1</v>
      </c>
      <c r="AG109" s="107">
        <v>120</v>
      </c>
      <c r="AH109" s="48">
        <f t="shared" si="8"/>
        <v>119.9</v>
      </c>
      <c r="AI109" s="49">
        <f t="shared" si="9"/>
        <v>29.5</v>
      </c>
    </row>
    <row r="110" spans="1:35" x14ac:dyDescent="0.25">
      <c r="A110" s="105" t="s">
        <v>115</v>
      </c>
      <c r="B110" s="106">
        <v>56</v>
      </c>
      <c r="C110" s="106">
        <v>45</v>
      </c>
      <c r="D110" s="106">
        <v>42</v>
      </c>
      <c r="E110" s="106">
        <v>58.4</v>
      </c>
      <c r="F110" s="106">
        <v>61.8</v>
      </c>
      <c r="G110" s="106">
        <v>68.8</v>
      </c>
      <c r="H110" s="106">
        <v>68.7</v>
      </c>
      <c r="I110" s="106">
        <v>66.400000000000006</v>
      </c>
      <c r="J110" s="106">
        <v>76.900000000000006</v>
      </c>
      <c r="K110" s="106">
        <v>76.900000000000006</v>
      </c>
      <c r="L110" s="106">
        <v>81.8</v>
      </c>
      <c r="M110" s="106">
        <v>97.2</v>
      </c>
      <c r="N110" s="106">
        <v>1.1000000000000001</v>
      </c>
      <c r="O110" s="106">
        <v>22.7</v>
      </c>
      <c r="P110" s="106">
        <v>9.5</v>
      </c>
      <c r="Q110" s="106">
        <v>63.2</v>
      </c>
      <c r="R110" s="106">
        <v>72.599999999999994</v>
      </c>
      <c r="S110" s="106">
        <v>70</v>
      </c>
      <c r="T110" s="106">
        <v>70.599999999999994</v>
      </c>
      <c r="U110" s="106">
        <v>58</v>
      </c>
      <c r="V110" s="106">
        <v>22</v>
      </c>
      <c r="W110" s="106">
        <v>30</v>
      </c>
      <c r="X110" s="106">
        <v>86</v>
      </c>
      <c r="Y110" s="106">
        <v>82</v>
      </c>
      <c r="Z110" s="106">
        <v>60.1</v>
      </c>
      <c r="AA110" s="106">
        <v>48</v>
      </c>
      <c r="AB110" s="106">
        <v>35.5</v>
      </c>
      <c r="AC110" s="106">
        <v>40.4</v>
      </c>
      <c r="AD110" s="106">
        <v>51</v>
      </c>
      <c r="AE110" s="106">
        <v>51</v>
      </c>
      <c r="AF110" s="106">
        <v>54.5</v>
      </c>
      <c r="AG110" s="107"/>
      <c r="AH110" s="48">
        <f t="shared" si="8"/>
        <v>97.2</v>
      </c>
      <c r="AI110" s="49">
        <f t="shared" si="9"/>
        <v>1.1000000000000001</v>
      </c>
    </row>
    <row r="111" spans="1:35" x14ac:dyDescent="0.25">
      <c r="A111" s="105" t="s">
        <v>116</v>
      </c>
      <c r="B111" s="106">
        <v>51</v>
      </c>
      <c r="C111" s="106">
        <v>53</v>
      </c>
      <c r="D111" s="106">
        <v>56.7</v>
      </c>
      <c r="E111" s="106">
        <v>50.1</v>
      </c>
      <c r="F111" s="106">
        <v>46.5</v>
      </c>
      <c r="G111" s="106">
        <v>47.8</v>
      </c>
      <c r="H111" s="106">
        <v>37.700000000000003</v>
      </c>
      <c r="I111" s="106">
        <v>30</v>
      </c>
      <c r="J111" s="106">
        <v>27.2</v>
      </c>
      <c r="K111" s="106">
        <v>27.2</v>
      </c>
      <c r="L111" s="106">
        <v>31.4</v>
      </c>
      <c r="M111" s="106">
        <v>31.7</v>
      </c>
      <c r="N111" s="106">
        <v>1.4</v>
      </c>
      <c r="O111" s="106">
        <v>4.3</v>
      </c>
      <c r="P111" s="106">
        <v>0.1</v>
      </c>
      <c r="Q111" s="106">
        <v>3.9</v>
      </c>
      <c r="R111" s="106">
        <v>4.9000000000000004</v>
      </c>
      <c r="S111" s="106">
        <v>9</v>
      </c>
      <c r="T111" s="106">
        <v>19.2</v>
      </c>
      <c r="U111" s="106">
        <v>16.2</v>
      </c>
      <c r="V111" s="106">
        <v>8.5</v>
      </c>
      <c r="W111" s="106">
        <v>9.1999999999999993</v>
      </c>
      <c r="X111" s="106">
        <v>25.4</v>
      </c>
      <c r="Y111" s="106">
        <v>24</v>
      </c>
      <c r="Z111" s="106">
        <v>19</v>
      </c>
      <c r="AA111" s="106">
        <v>16.2</v>
      </c>
      <c r="AB111" s="106">
        <v>27.8</v>
      </c>
      <c r="AC111" s="106">
        <v>30.1</v>
      </c>
      <c r="AD111" s="106">
        <v>34.700000000000003</v>
      </c>
      <c r="AE111" s="106">
        <v>34.700000000000003</v>
      </c>
      <c r="AF111" s="106">
        <v>41.7</v>
      </c>
      <c r="AG111" s="108"/>
      <c r="AH111" s="48">
        <f t="shared" si="8"/>
        <v>56.7</v>
      </c>
      <c r="AI111" s="49">
        <f t="shared" si="9"/>
        <v>0.1</v>
      </c>
    </row>
    <row r="112" spans="1:35" x14ac:dyDescent="0.25">
      <c r="A112" s="109" t="s">
        <v>117</v>
      </c>
      <c r="B112" s="94">
        <v>42</v>
      </c>
      <c r="C112" s="94">
        <v>44.5</v>
      </c>
      <c r="D112" s="94">
        <v>46.4</v>
      </c>
      <c r="E112" s="94">
        <v>48.8</v>
      </c>
      <c r="F112" s="94">
        <v>47.3</v>
      </c>
      <c r="G112" s="94">
        <v>41.1</v>
      </c>
      <c r="H112" s="94">
        <v>31.2</v>
      </c>
      <c r="I112" s="94">
        <v>28</v>
      </c>
      <c r="J112" s="94">
        <v>5.0999999999999996</v>
      </c>
      <c r="K112" s="94">
        <v>5.0999999999999996</v>
      </c>
      <c r="L112" s="94">
        <v>-5.39</v>
      </c>
      <c r="M112" s="94">
        <v>-17.5</v>
      </c>
      <c r="N112" s="94">
        <v>0.9</v>
      </c>
      <c r="O112" s="94">
        <v>2.6</v>
      </c>
      <c r="P112" s="94">
        <v>12.4</v>
      </c>
      <c r="Q112" s="94">
        <v>7.3</v>
      </c>
      <c r="R112" s="94">
        <v>1.4</v>
      </c>
      <c r="S112" s="94">
        <v>0.8</v>
      </c>
      <c r="T112" s="94">
        <v>-14</v>
      </c>
      <c r="U112" s="94">
        <v>-10.3</v>
      </c>
      <c r="V112" s="94">
        <v>-28</v>
      </c>
      <c r="W112" s="94">
        <v>-39</v>
      </c>
      <c r="X112" s="94">
        <v>-44</v>
      </c>
      <c r="Y112" s="94">
        <v>-31</v>
      </c>
      <c r="Z112" s="94">
        <v>-21.8</v>
      </c>
      <c r="AA112" s="94">
        <v>-15</v>
      </c>
      <c r="AB112" s="94">
        <v>-4.3</v>
      </c>
      <c r="AC112" s="94">
        <v>11.5</v>
      </c>
      <c r="AD112" s="94">
        <v>27.5</v>
      </c>
      <c r="AE112" s="94">
        <v>27.5</v>
      </c>
      <c r="AF112" s="94">
        <v>30.1</v>
      </c>
      <c r="AG112" s="108"/>
      <c r="AH112" s="48">
        <f t="shared" si="8"/>
        <v>48.8</v>
      </c>
      <c r="AI112" s="49">
        <f t="shared" si="9"/>
        <v>-44</v>
      </c>
    </row>
    <row r="113" spans="1:37" ht="15.75" thickBot="1" x14ac:dyDescent="0.3">
      <c r="A113" s="109" t="s">
        <v>118</v>
      </c>
      <c r="B113" s="94">
        <v>45</v>
      </c>
      <c r="C113" s="94">
        <v>53.6</v>
      </c>
      <c r="D113" s="94">
        <v>57.8</v>
      </c>
      <c r="E113" s="94">
        <v>50.8</v>
      </c>
      <c r="F113" s="94">
        <v>42.3</v>
      </c>
      <c r="G113" s="94">
        <v>32.5</v>
      </c>
      <c r="H113" s="94">
        <v>38.299999999999997</v>
      </c>
      <c r="I113" s="94">
        <v>40.799999999999997</v>
      </c>
      <c r="J113" s="94">
        <v>34.4</v>
      </c>
      <c r="K113" s="94">
        <v>34.4</v>
      </c>
      <c r="L113" s="94">
        <v>26.4</v>
      </c>
      <c r="M113" s="94">
        <v>19.3</v>
      </c>
      <c r="N113" s="94">
        <v>54.3</v>
      </c>
      <c r="O113" s="94">
        <v>66.2</v>
      </c>
      <c r="P113" s="94">
        <v>68.099999999999994</v>
      </c>
      <c r="Q113" s="94">
        <v>23.7</v>
      </c>
      <c r="R113" s="94">
        <v>19.5</v>
      </c>
      <c r="S113" s="94">
        <v>21.7</v>
      </c>
      <c r="T113" s="94">
        <v>24.2</v>
      </c>
      <c r="U113" s="94">
        <v>27.4</v>
      </c>
      <c r="V113" s="94">
        <v>53</v>
      </c>
      <c r="W113" s="94">
        <v>49.5</v>
      </c>
      <c r="X113" s="94">
        <v>1.2</v>
      </c>
      <c r="Y113" s="94">
        <v>1.8</v>
      </c>
      <c r="Z113" s="94">
        <v>16</v>
      </c>
      <c r="AA113" s="94">
        <v>29</v>
      </c>
      <c r="AB113" s="94">
        <v>46.7</v>
      </c>
      <c r="AC113" s="94">
        <v>34.299999999999997</v>
      </c>
      <c r="AD113" s="94">
        <v>25.4</v>
      </c>
      <c r="AE113" s="94">
        <v>25.4</v>
      </c>
      <c r="AF113" s="94">
        <v>37.6</v>
      </c>
      <c r="AG113" s="108"/>
      <c r="AH113" s="48">
        <f t="shared" si="8"/>
        <v>68.099999999999994</v>
      </c>
      <c r="AI113" s="49">
        <f t="shared" si="9"/>
        <v>1.2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30">SUM(B115:B219)</f>
        <v>0</v>
      </c>
      <c r="C220" s="125">
        <f t="shared" si="30"/>
        <v>0</v>
      </c>
      <c r="D220" s="125">
        <f t="shared" si="30"/>
        <v>0</v>
      </c>
      <c r="E220" s="125">
        <f t="shared" si="30"/>
        <v>0</v>
      </c>
      <c r="F220" s="125">
        <f t="shared" si="30"/>
        <v>0</v>
      </c>
      <c r="G220" s="125">
        <f t="shared" si="30"/>
        <v>0</v>
      </c>
      <c r="H220" s="125">
        <f t="shared" si="30"/>
        <v>0</v>
      </c>
      <c r="I220" s="125">
        <f t="shared" si="30"/>
        <v>0</v>
      </c>
      <c r="J220" s="125">
        <f t="shared" si="30"/>
        <v>0</v>
      </c>
      <c r="K220" s="125">
        <f t="shared" si="30"/>
        <v>0</v>
      </c>
      <c r="L220" s="125">
        <f t="shared" si="30"/>
        <v>0</v>
      </c>
      <c r="M220" s="125">
        <f t="shared" si="30"/>
        <v>0</v>
      </c>
      <c r="N220" s="125">
        <f t="shared" si="30"/>
        <v>0</v>
      </c>
      <c r="O220" s="125">
        <f t="shared" si="30"/>
        <v>0</v>
      </c>
      <c r="P220" s="125">
        <f t="shared" si="30"/>
        <v>0</v>
      </c>
      <c r="Q220" s="125">
        <f t="shared" si="30"/>
        <v>0</v>
      </c>
      <c r="R220" s="125">
        <f t="shared" si="30"/>
        <v>0</v>
      </c>
      <c r="S220" s="125">
        <f t="shared" si="30"/>
        <v>0</v>
      </c>
      <c r="T220" s="125">
        <f t="shared" si="30"/>
        <v>0</v>
      </c>
      <c r="U220" s="125">
        <f t="shared" si="30"/>
        <v>0</v>
      </c>
      <c r="V220" s="125">
        <f t="shared" si="30"/>
        <v>0</v>
      </c>
      <c r="W220" s="125">
        <f t="shared" si="30"/>
        <v>0</v>
      </c>
      <c r="X220" s="125">
        <f t="shared" si="30"/>
        <v>0</v>
      </c>
      <c r="Y220" s="125">
        <f t="shared" si="30"/>
        <v>0</v>
      </c>
      <c r="Z220" s="125">
        <f t="shared" si="30"/>
        <v>0</v>
      </c>
      <c r="AA220" s="125">
        <f t="shared" si="30"/>
        <v>0</v>
      </c>
      <c r="AB220" s="125">
        <f t="shared" si="30"/>
        <v>0</v>
      </c>
      <c r="AC220" s="125">
        <f t="shared" si="30"/>
        <v>0</v>
      </c>
      <c r="AD220" s="125">
        <f t="shared" si="30"/>
        <v>0</v>
      </c>
      <c r="AE220" s="125">
        <f t="shared" si="30"/>
        <v>0</v>
      </c>
      <c r="AF220" s="126">
        <f t="shared" si="30"/>
        <v>0</v>
      </c>
      <c r="AG220" s="127">
        <f t="shared" si="30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31">AF222</f>
        <v>0</v>
      </c>
      <c r="C222" s="129">
        <v>0.3</v>
      </c>
      <c r="D222" s="129">
        <f t="shared" ref="D222:P227" si="32">C222</f>
        <v>0.3</v>
      </c>
      <c r="E222" s="129">
        <f t="shared" si="32"/>
        <v>0.3</v>
      </c>
      <c r="F222" s="129">
        <f t="shared" si="32"/>
        <v>0.3</v>
      </c>
      <c r="G222" s="129">
        <f t="shared" si="32"/>
        <v>0.3</v>
      </c>
      <c r="H222" s="129">
        <f t="shared" si="32"/>
        <v>0.3</v>
      </c>
      <c r="I222" s="129">
        <f t="shared" si="32"/>
        <v>0.3</v>
      </c>
      <c r="J222" s="129">
        <f t="shared" si="32"/>
        <v>0.3</v>
      </c>
      <c r="K222" s="129">
        <f t="shared" si="32"/>
        <v>0.3</v>
      </c>
      <c r="L222" s="129">
        <f t="shared" si="32"/>
        <v>0.3</v>
      </c>
      <c r="M222" s="129">
        <f t="shared" si="32"/>
        <v>0.3</v>
      </c>
      <c r="N222" s="129">
        <f t="shared" si="32"/>
        <v>0.3</v>
      </c>
      <c r="O222" s="129">
        <f t="shared" si="32"/>
        <v>0.3</v>
      </c>
      <c r="P222" s="129">
        <f t="shared" si="32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31"/>
        <v>0</v>
      </c>
      <c r="C223" s="117">
        <v>0.4</v>
      </c>
      <c r="D223" s="117">
        <f t="shared" si="32"/>
        <v>0.4</v>
      </c>
      <c r="E223" s="117">
        <f t="shared" si="32"/>
        <v>0.4</v>
      </c>
      <c r="F223" s="117">
        <f t="shared" si="32"/>
        <v>0.4</v>
      </c>
      <c r="G223" s="117">
        <f t="shared" si="32"/>
        <v>0.4</v>
      </c>
      <c r="H223" s="117">
        <f t="shared" si="32"/>
        <v>0.4</v>
      </c>
      <c r="I223" s="117">
        <f t="shared" si="32"/>
        <v>0.4</v>
      </c>
      <c r="J223" s="117">
        <f t="shared" si="32"/>
        <v>0.4</v>
      </c>
      <c r="K223" s="117">
        <f t="shared" si="32"/>
        <v>0.4</v>
      </c>
      <c r="L223" s="117">
        <f t="shared" si="32"/>
        <v>0.4</v>
      </c>
      <c r="M223" s="117">
        <f t="shared" si="32"/>
        <v>0.4</v>
      </c>
      <c r="N223" s="117">
        <f t="shared" si="32"/>
        <v>0.4</v>
      </c>
      <c r="O223" s="117">
        <f t="shared" si="32"/>
        <v>0.4</v>
      </c>
      <c r="P223" s="117">
        <f t="shared" si="32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31"/>
        <v>0</v>
      </c>
      <c r="C224" s="117">
        <v>1.5</v>
      </c>
      <c r="D224" s="117">
        <f t="shared" si="32"/>
        <v>1.5</v>
      </c>
      <c r="E224" s="117">
        <f t="shared" si="32"/>
        <v>1.5</v>
      </c>
      <c r="F224" s="117">
        <f t="shared" si="32"/>
        <v>1.5</v>
      </c>
      <c r="G224" s="117">
        <f t="shared" si="32"/>
        <v>1.5</v>
      </c>
      <c r="H224" s="117">
        <f t="shared" si="32"/>
        <v>1.5</v>
      </c>
      <c r="I224" s="100">
        <f t="shared" ref="I224" ca="1" si="33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32"/>
        <v>1.5</v>
      </c>
      <c r="K224" s="117">
        <f t="shared" ca="1" si="32"/>
        <v>1.5</v>
      </c>
      <c r="L224" s="117">
        <f t="shared" ca="1" si="32"/>
        <v>1.5</v>
      </c>
      <c r="M224" s="117">
        <f t="shared" ca="1" si="32"/>
        <v>1.5</v>
      </c>
      <c r="N224" s="117">
        <f t="shared" ca="1" si="32"/>
        <v>1.5</v>
      </c>
      <c r="O224" s="117">
        <f t="shared" ca="1" si="32"/>
        <v>1.5</v>
      </c>
      <c r="P224" s="117">
        <f t="shared" ca="1" si="32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31"/>
        <v>0</v>
      </c>
      <c r="C225" s="117">
        <v>0.3</v>
      </c>
      <c r="D225" s="117">
        <f t="shared" si="32"/>
        <v>0.3</v>
      </c>
      <c r="E225" s="117">
        <f t="shared" si="32"/>
        <v>0.3</v>
      </c>
      <c r="F225" s="117">
        <f t="shared" si="32"/>
        <v>0.3</v>
      </c>
      <c r="G225" s="117">
        <f t="shared" si="32"/>
        <v>0.3</v>
      </c>
      <c r="H225" s="117">
        <f t="shared" si="32"/>
        <v>0.3</v>
      </c>
      <c r="I225" s="117">
        <f t="shared" si="32"/>
        <v>0.3</v>
      </c>
      <c r="J225" s="117">
        <f t="shared" si="32"/>
        <v>0.3</v>
      </c>
      <c r="K225" s="117">
        <f t="shared" si="32"/>
        <v>0.3</v>
      </c>
      <c r="L225" s="117">
        <f t="shared" si="32"/>
        <v>0.3</v>
      </c>
      <c r="M225" s="117">
        <f t="shared" si="32"/>
        <v>0.3</v>
      </c>
      <c r="N225" s="117">
        <f t="shared" si="32"/>
        <v>0.3</v>
      </c>
      <c r="O225" s="117">
        <f t="shared" si="32"/>
        <v>0.3</v>
      </c>
      <c r="P225" s="117">
        <f t="shared" si="32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31"/>
        <v>0</v>
      </c>
      <c r="C226" s="117">
        <v>0.4</v>
      </c>
      <c r="D226" s="117">
        <f t="shared" si="32"/>
        <v>0.4</v>
      </c>
      <c r="E226" s="117">
        <f t="shared" si="32"/>
        <v>0.4</v>
      </c>
      <c r="F226" s="117">
        <f t="shared" si="32"/>
        <v>0.4</v>
      </c>
      <c r="G226" s="117">
        <f t="shared" si="32"/>
        <v>0.4</v>
      </c>
      <c r="H226" s="117">
        <f t="shared" si="32"/>
        <v>0.4</v>
      </c>
      <c r="I226" s="117">
        <f t="shared" si="32"/>
        <v>0.4</v>
      </c>
      <c r="J226" s="117">
        <f t="shared" si="32"/>
        <v>0.4</v>
      </c>
      <c r="K226" s="117">
        <f t="shared" si="32"/>
        <v>0.4</v>
      </c>
      <c r="L226" s="117">
        <f t="shared" si="32"/>
        <v>0.4</v>
      </c>
      <c r="M226" s="117">
        <f t="shared" si="32"/>
        <v>0.4</v>
      </c>
      <c r="N226" s="117">
        <f t="shared" si="32"/>
        <v>0.4</v>
      </c>
      <c r="O226" s="117">
        <f t="shared" si="32"/>
        <v>0.4</v>
      </c>
      <c r="P226" s="117">
        <f t="shared" si="32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31"/>
        <v>0</v>
      </c>
      <c r="C227" s="121">
        <v>0.64</v>
      </c>
      <c r="D227" s="121">
        <f t="shared" si="32"/>
        <v>0.64</v>
      </c>
      <c r="E227" s="121">
        <f t="shared" si="32"/>
        <v>0.64</v>
      </c>
      <c r="F227" s="121">
        <f t="shared" si="32"/>
        <v>0.64</v>
      </c>
      <c r="G227" s="121">
        <f t="shared" si="32"/>
        <v>0.64</v>
      </c>
      <c r="H227" s="121">
        <f t="shared" si="32"/>
        <v>0.64</v>
      </c>
      <c r="I227" s="121">
        <f t="shared" si="32"/>
        <v>0.64</v>
      </c>
      <c r="J227" s="121">
        <f t="shared" si="32"/>
        <v>0.64</v>
      </c>
      <c r="K227" s="121">
        <f t="shared" si="32"/>
        <v>0.64</v>
      </c>
      <c r="L227" s="121">
        <f t="shared" si="32"/>
        <v>0.64</v>
      </c>
      <c r="M227" s="121">
        <f t="shared" si="32"/>
        <v>0.64</v>
      </c>
      <c r="N227" s="121">
        <f t="shared" si="32"/>
        <v>0.64</v>
      </c>
      <c r="O227" s="121">
        <f t="shared" si="32"/>
        <v>0.64</v>
      </c>
      <c r="P227" s="121">
        <f t="shared" si="32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34">SUM(B222:B227)</f>
        <v>0</v>
      </c>
      <c r="C228" s="125">
        <f t="shared" si="34"/>
        <v>3.54</v>
      </c>
      <c r="D228" s="125">
        <f t="shared" si="34"/>
        <v>3.54</v>
      </c>
      <c r="E228" s="125">
        <f t="shared" si="34"/>
        <v>3.54</v>
      </c>
      <c r="F228" s="125">
        <f t="shared" si="34"/>
        <v>3.54</v>
      </c>
      <c r="G228" s="125">
        <f t="shared" si="34"/>
        <v>3.54</v>
      </c>
      <c r="H228" s="125">
        <f t="shared" si="34"/>
        <v>3.54</v>
      </c>
      <c r="I228" s="125">
        <f t="shared" ca="1" si="34"/>
        <v>3.54</v>
      </c>
      <c r="J228" s="125">
        <f t="shared" ca="1" si="34"/>
        <v>3.54</v>
      </c>
      <c r="K228" s="125">
        <f t="shared" ca="1" si="34"/>
        <v>3.54</v>
      </c>
      <c r="L228" s="125">
        <f t="shared" ca="1" si="34"/>
        <v>3.54</v>
      </c>
      <c r="M228" s="125">
        <f t="shared" ca="1" si="34"/>
        <v>3.54</v>
      </c>
      <c r="N228" s="125">
        <f t="shared" ca="1" si="34"/>
        <v>3.54</v>
      </c>
      <c r="O228" s="125">
        <f t="shared" ca="1" si="34"/>
        <v>3.54</v>
      </c>
      <c r="P228" s="125">
        <f t="shared" ca="1" si="34"/>
        <v>3.54</v>
      </c>
      <c r="Q228" s="125">
        <f t="shared" si="34"/>
        <v>0</v>
      </c>
      <c r="R228" s="125">
        <f t="shared" si="34"/>
        <v>0</v>
      </c>
      <c r="S228" s="125">
        <f t="shared" si="34"/>
        <v>0</v>
      </c>
      <c r="T228" s="125">
        <f t="shared" si="34"/>
        <v>0</v>
      </c>
      <c r="U228" s="125">
        <f t="shared" si="34"/>
        <v>0</v>
      </c>
      <c r="V228" s="125">
        <f t="shared" si="34"/>
        <v>0</v>
      </c>
      <c r="W228" s="125">
        <f t="shared" si="34"/>
        <v>0</v>
      </c>
      <c r="X228" s="125">
        <f t="shared" si="34"/>
        <v>0</v>
      </c>
      <c r="Y228" s="125">
        <f t="shared" si="34"/>
        <v>0</v>
      </c>
      <c r="Z228" s="125">
        <f t="shared" si="34"/>
        <v>0</v>
      </c>
      <c r="AA228" s="125">
        <f t="shared" si="34"/>
        <v>0</v>
      </c>
      <c r="AB228" s="125">
        <f t="shared" si="34"/>
        <v>0</v>
      </c>
      <c r="AC228" s="125">
        <f t="shared" si="34"/>
        <v>0</v>
      </c>
      <c r="AD228" s="125">
        <f t="shared" si="34"/>
        <v>0</v>
      </c>
      <c r="AE228" s="125">
        <f t="shared" si="34"/>
        <v>0</v>
      </c>
      <c r="AF228" s="125">
        <f t="shared" si="34"/>
        <v>0</v>
      </c>
      <c r="AG228" s="134">
        <f t="shared" si="34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1603.3390000000002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8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2079/09/8)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2079/09/8)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35">B85</f>
        <v>1032.539</v>
      </c>
      <c r="U242" s="159">
        <f t="shared" si="35"/>
        <v>1019.039</v>
      </c>
      <c r="V242" s="159">
        <f t="shared" si="35"/>
        <v>1002.739</v>
      </c>
      <c r="W242" s="159">
        <f t="shared" si="35"/>
        <v>986.63900000000012</v>
      </c>
      <c r="X242" s="159">
        <f t="shared" si="35"/>
        <v>999.63900000000012</v>
      </c>
      <c r="Y242" s="159">
        <f t="shared" si="35"/>
        <v>1046.6390000000001</v>
      </c>
      <c r="Z242" s="159">
        <f t="shared" si="35"/>
        <v>1144.4390000000001</v>
      </c>
      <c r="AA242" s="159">
        <f t="shared" si="35"/>
        <v>1239.8390000000002</v>
      </c>
      <c r="AB242" s="159">
        <f t="shared" si="35"/>
        <v>1353.8390000000002</v>
      </c>
      <c r="AC242" s="159">
        <f t="shared" si="35"/>
        <v>1472.7390000000003</v>
      </c>
      <c r="AD242" s="159">
        <f t="shared" si="35"/>
        <v>1576.9390000000001</v>
      </c>
      <c r="AE242" s="159">
        <f t="shared" si="35"/>
        <v>1603.3390000000002</v>
      </c>
      <c r="AF242" s="159">
        <f t="shared" si="35"/>
        <v>1595.2390000000003</v>
      </c>
      <c r="AG242" s="159">
        <f t="shared" si="35"/>
        <v>1510.739</v>
      </c>
      <c r="AH242" s="159">
        <f t="shared" si="35"/>
        <v>1386.539</v>
      </c>
      <c r="AI242" s="159">
        <f t="shared" si="35"/>
        <v>1321.9389999999999</v>
      </c>
      <c r="AJ242" s="159">
        <f t="shared" si="35"/>
        <v>1305.539</v>
      </c>
      <c r="AK242" s="159">
        <f t="shared" si="35"/>
        <v>1322.6389999999999</v>
      </c>
      <c r="AL242" s="159">
        <f t="shared" si="35"/>
        <v>1328.039</v>
      </c>
      <c r="AM242" s="159">
        <f t="shared" si="35"/>
        <v>1335.1390000000001</v>
      </c>
      <c r="AN242" s="159">
        <f t="shared" si="35"/>
        <v>1425.1390000000001</v>
      </c>
      <c r="AO242" s="159">
        <f t="shared" si="35"/>
        <v>1502.539</v>
      </c>
      <c r="AP242" s="159">
        <f t="shared" si="35"/>
        <v>1669.539</v>
      </c>
      <c r="AQ242" s="159">
        <f t="shared" si="35"/>
        <v>1612.8389999999999</v>
      </c>
      <c r="AR242" s="159">
        <f t="shared" si="35"/>
        <v>1541.2389999999998</v>
      </c>
      <c r="AS242" s="159">
        <f t="shared" si="35"/>
        <v>1475.6389999999999</v>
      </c>
      <c r="AT242" s="159">
        <f t="shared" si="35"/>
        <v>1393.739</v>
      </c>
      <c r="AU242" s="159">
        <f t="shared" si="35"/>
        <v>1337.239</v>
      </c>
      <c r="AV242" s="159">
        <f t="shared" si="35"/>
        <v>1063.9389999999999</v>
      </c>
      <c r="AW242" s="159">
        <f t="shared" si="35"/>
        <v>1074.1389999999999</v>
      </c>
      <c r="AX242" s="159">
        <f t="shared" si="35"/>
        <v>1052.739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36">C227</f>
        <v>0.64</v>
      </c>
      <c r="C263" s="162">
        <f t="shared" si="36"/>
        <v>0.64</v>
      </c>
      <c r="D263" s="162">
        <f t="shared" si="36"/>
        <v>0.64</v>
      </c>
      <c r="E263" s="162">
        <f t="shared" si="36"/>
        <v>0.64</v>
      </c>
      <c r="F263" s="162">
        <f t="shared" si="36"/>
        <v>0.64</v>
      </c>
      <c r="G263" s="162">
        <f t="shared" si="36"/>
        <v>0.64</v>
      </c>
      <c r="H263" s="162">
        <f t="shared" si="36"/>
        <v>0.64</v>
      </c>
      <c r="I263" s="162">
        <f t="shared" si="36"/>
        <v>0.64</v>
      </c>
      <c r="J263" s="162">
        <f t="shared" si="36"/>
        <v>0.64</v>
      </c>
      <c r="K263" s="162">
        <f t="shared" si="36"/>
        <v>0.64</v>
      </c>
      <c r="L263" s="162">
        <f t="shared" si="36"/>
        <v>0.64</v>
      </c>
      <c r="M263" s="162">
        <f t="shared" si="36"/>
        <v>0.64</v>
      </c>
      <c r="N263" s="162">
        <f t="shared" si="36"/>
        <v>0.64</v>
      </c>
      <c r="O263" s="162">
        <f t="shared" si="36"/>
        <v>0.64</v>
      </c>
      <c r="P263" s="162">
        <f t="shared" si="36"/>
        <v>0</v>
      </c>
      <c r="Q263" s="162">
        <f t="shared" si="36"/>
        <v>0</v>
      </c>
      <c r="R263" s="162">
        <f t="shared" si="36"/>
        <v>0</v>
      </c>
      <c r="S263" s="162">
        <f t="shared" si="36"/>
        <v>0</v>
      </c>
      <c r="T263" s="162">
        <f t="shared" si="36"/>
        <v>0</v>
      </c>
      <c r="U263" s="162">
        <f t="shared" si="36"/>
        <v>0</v>
      </c>
      <c r="V263" s="162">
        <f t="shared" si="36"/>
        <v>0</v>
      </c>
      <c r="W263" s="162">
        <f t="shared" si="36"/>
        <v>0</v>
      </c>
      <c r="X263" s="162">
        <f t="shared" si="36"/>
        <v>0</v>
      </c>
      <c r="Y263" s="162">
        <f t="shared" si="36"/>
        <v>0</v>
      </c>
      <c r="Z263" s="162">
        <f t="shared" si="36"/>
        <v>0</v>
      </c>
      <c r="AA263" s="162">
        <f t="shared" si="36"/>
        <v>0</v>
      </c>
      <c r="AB263" s="162">
        <f t="shared" si="36"/>
        <v>0</v>
      </c>
      <c r="AC263" s="162">
        <f t="shared" si="36"/>
        <v>0</v>
      </c>
      <c r="AD263" s="162">
        <f t="shared" si="36"/>
        <v>0</v>
      </c>
      <c r="AE263" s="162">
        <f t="shared" si="36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37">IF(B231&lt;100,"",B231-520)</f>
        <v/>
      </c>
      <c r="C264" s="163" t="str">
        <f t="shared" si="37"/>
        <v/>
      </c>
      <c r="D264" s="163" t="str">
        <f t="shared" si="37"/>
        <v/>
      </c>
      <c r="E264" s="163" t="str">
        <f t="shared" si="37"/>
        <v/>
      </c>
      <c r="F264" s="163" t="str">
        <f t="shared" si="37"/>
        <v/>
      </c>
      <c r="G264" s="163" t="str">
        <f t="shared" si="37"/>
        <v/>
      </c>
      <c r="H264" s="163" t="str">
        <f t="shared" si="37"/>
        <v/>
      </c>
      <c r="I264" s="163" t="str">
        <f t="shared" si="37"/>
        <v/>
      </c>
      <c r="J264" s="163" t="str">
        <f t="shared" si="37"/>
        <v/>
      </c>
      <c r="K264" s="163" t="str">
        <f t="shared" si="37"/>
        <v/>
      </c>
      <c r="L264" s="163" t="str">
        <f t="shared" si="37"/>
        <v/>
      </c>
      <c r="M264" s="163" t="str">
        <f t="shared" si="37"/>
        <v/>
      </c>
      <c r="N264" s="163" t="str">
        <f t="shared" si="37"/>
        <v/>
      </c>
      <c r="O264" s="163" t="str">
        <f t="shared" si="37"/>
        <v/>
      </c>
      <c r="P264" s="163" t="str">
        <f t="shared" si="37"/>
        <v/>
      </c>
      <c r="Q264" s="163" t="str">
        <f t="shared" si="37"/>
        <v/>
      </c>
      <c r="R264" s="163" t="str">
        <f t="shared" si="37"/>
        <v/>
      </c>
      <c r="S264" s="163" t="str">
        <f t="shared" si="37"/>
        <v/>
      </c>
      <c r="T264" s="163" t="str">
        <f t="shared" si="37"/>
        <v/>
      </c>
      <c r="U264" s="163" t="str">
        <f t="shared" si="37"/>
        <v/>
      </c>
      <c r="V264" s="163" t="str">
        <f t="shared" si="37"/>
        <v/>
      </c>
      <c r="W264" s="163" t="str">
        <f t="shared" si="37"/>
        <v/>
      </c>
      <c r="X264" s="163" t="str">
        <f t="shared" si="37"/>
        <v/>
      </c>
      <c r="Y264" s="163" t="str">
        <f t="shared" si="37"/>
        <v/>
      </c>
      <c r="Z264" s="163" t="str">
        <f t="shared" si="37"/>
        <v/>
      </c>
      <c r="AA264" s="163" t="str">
        <f t="shared" si="37"/>
        <v/>
      </c>
      <c r="AB264" s="163" t="str">
        <f t="shared" si="37"/>
        <v/>
      </c>
      <c r="AC264" s="163" t="str">
        <f t="shared" si="37"/>
        <v/>
      </c>
      <c r="AD264" s="163" t="str">
        <f t="shared" si="37"/>
        <v/>
      </c>
      <c r="AE264" s="163" t="str">
        <f t="shared" si="37"/>
        <v/>
      </c>
      <c r="AF264" s="163" t="str">
        <f t="shared" si="37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8">IF(B232&lt;100,"",B232-620)</f>
        <v/>
      </c>
      <c r="C265" s="163" t="str">
        <f t="shared" si="38"/>
        <v/>
      </c>
      <c r="D265" s="163" t="str">
        <f t="shared" si="38"/>
        <v/>
      </c>
      <c r="E265" s="163" t="str">
        <f t="shared" si="38"/>
        <v/>
      </c>
      <c r="F265" s="163" t="str">
        <f t="shared" si="38"/>
        <v/>
      </c>
      <c r="G265" s="163" t="str">
        <f t="shared" si="38"/>
        <v/>
      </c>
      <c r="H265" s="163" t="str">
        <f t="shared" si="38"/>
        <v/>
      </c>
      <c r="I265" s="163" t="str">
        <f t="shared" si="38"/>
        <v/>
      </c>
      <c r="J265" s="163" t="str">
        <f t="shared" si="38"/>
        <v/>
      </c>
      <c r="K265" s="163" t="str">
        <f t="shared" si="38"/>
        <v/>
      </c>
      <c r="L265" s="163" t="str">
        <f t="shared" si="38"/>
        <v/>
      </c>
      <c r="M265" s="163" t="str">
        <f t="shared" si="38"/>
        <v/>
      </c>
      <c r="N265" s="163" t="str">
        <f t="shared" si="38"/>
        <v/>
      </c>
      <c r="O265" s="163" t="str">
        <f t="shared" si="38"/>
        <v/>
      </c>
      <c r="P265" s="163" t="str">
        <f t="shared" si="38"/>
        <v/>
      </c>
      <c r="Q265" s="163" t="str">
        <f t="shared" si="38"/>
        <v/>
      </c>
      <c r="R265" s="163" t="str">
        <f t="shared" si="38"/>
        <v/>
      </c>
      <c r="S265" s="163" t="str">
        <f t="shared" si="38"/>
        <v/>
      </c>
      <c r="T265" s="163" t="str">
        <f t="shared" si="38"/>
        <v/>
      </c>
      <c r="U265" s="163" t="str">
        <f t="shared" si="38"/>
        <v/>
      </c>
      <c r="V265" s="163" t="str">
        <f t="shared" si="38"/>
        <v/>
      </c>
      <c r="W265" s="163" t="str">
        <f t="shared" si="38"/>
        <v/>
      </c>
      <c r="X265" s="163" t="str">
        <f t="shared" si="38"/>
        <v/>
      </c>
      <c r="Y265" s="163" t="str">
        <f t="shared" si="38"/>
        <v/>
      </c>
      <c r="Z265" s="163" t="str">
        <f t="shared" si="38"/>
        <v/>
      </c>
      <c r="AA265" s="163" t="str">
        <f t="shared" si="38"/>
        <v/>
      </c>
      <c r="AB265" s="163" t="str">
        <f t="shared" si="38"/>
        <v/>
      </c>
      <c r="AC265" s="163" t="str">
        <f t="shared" si="38"/>
        <v/>
      </c>
      <c r="AD265" s="163" t="str">
        <f t="shared" si="38"/>
        <v/>
      </c>
      <c r="AE265" s="163" t="str">
        <f t="shared" si="38"/>
        <v/>
      </c>
      <c r="AF265" s="163" t="str">
        <f t="shared" si="38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9">IF(B233&lt;100,"",B233-330)</f>
        <v/>
      </c>
      <c r="C266" s="163" t="str">
        <f t="shared" si="39"/>
        <v/>
      </c>
      <c r="D266" s="163" t="str">
        <f t="shared" si="39"/>
        <v/>
      </c>
      <c r="E266" s="163" t="str">
        <f t="shared" si="39"/>
        <v/>
      </c>
      <c r="F266" s="163" t="str">
        <f t="shared" si="39"/>
        <v/>
      </c>
      <c r="G266" s="163" t="str">
        <f t="shared" si="39"/>
        <v/>
      </c>
      <c r="H266" s="163" t="str">
        <f t="shared" si="39"/>
        <v/>
      </c>
      <c r="I266" s="163" t="str">
        <f t="shared" si="39"/>
        <v/>
      </c>
      <c r="J266" s="163" t="str">
        <f t="shared" si="39"/>
        <v/>
      </c>
      <c r="K266" s="163" t="str">
        <f t="shared" si="39"/>
        <v/>
      </c>
      <c r="L266" s="163" t="str">
        <f t="shared" si="39"/>
        <v/>
      </c>
      <c r="M266" s="163" t="str">
        <f t="shared" si="39"/>
        <v/>
      </c>
      <c r="N266" s="163" t="str">
        <f t="shared" si="39"/>
        <v/>
      </c>
      <c r="O266" s="163" t="str">
        <f t="shared" si="39"/>
        <v/>
      </c>
      <c r="P266" s="163" t="str">
        <f t="shared" si="39"/>
        <v/>
      </c>
      <c r="Q266" s="163" t="str">
        <f t="shared" si="39"/>
        <v/>
      </c>
      <c r="R266" s="163" t="str">
        <f t="shared" si="39"/>
        <v/>
      </c>
      <c r="S266" s="163" t="str">
        <f t="shared" si="39"/>
        <v/>
      </c>
      <c r="T266" s="163" t="str">
        <f t="shared" si="39"/>
        <v/>
      </c>
      <c r="U266" s="163" t="str">
        <f t="shared" si="39"/>
        <v/>
      </c>
      <c r="V266" s="163" t="str">
        <f t="shared" si="39"/>
        <v/>
      </c>
      <c r="W266" s="163" t="str">
        <f t="shared" si="39"/>
        <v/>
      </c>
      <c r="X266" s="163" t="str">
        <f t="shared" si="39"/>
        <v/>
      </c>
      <c r="Y266" s="163" t="str">
        <f t="shared" si="39"/>
        <v/>
      </c>
      <c r="Z266" s="163" t="str">
        <f t="shared" si="39"/>
        <v/>
      </c>
      <c r="AA266" s="163" t="str">
        <f t="shared" si="39"/>
        <v/>
      </c>
      <c r="AB266" s="163" t="str">
        <f t="shared" si="39"/>
        <v/>
      </c>
      <c r="AC266" s="163" t="str">
        <f t="shared" si="39"/>
        <v/>
      </c>
      <c r="AD266" s="163" t="str">
        <f t="shared" si="39"/>
        <v/>
      </c>
      <c r="AE266" s="163" t="str">
        <f t="shared" si="39"/>
        <v/>
      </c>
      <c r="AF266" s="163" t="str">
        <f t="shared" si="39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40">IF(B234&lt;100,"",B234-1500)</f>
        <v/>
      </c>
      <c r="C267" s="163" t="str">
        <f t="shared" si="40"/>
        <v/>
      </c>
      <c r="D267" s="163" t="str">
        <f t="shared" si="40"/>
        <v/>
      </c>
      <c r="E267" s="163" t="str">
        <f t="shared" si="40"/>
        <v/>
      </c>
      <c r="F267" s="163" t="str">
        <f t="shared" si="40"/>
        <v/>
      </c>
      <c r="G267" s="163" t="str">
        <f t="shared" si="40"/>
        <v/>
      </c>
      <c r="H267" s="163" t="str">
        <f t="shared" si="40"/>
        <v/>
      </c>
      <c r="I267" s="163" t="str">
        <f t="shared" si="40"/>
        <v/>
      </c>
      <c r="J267" s="163" t="str">
        <f t="shared" si="40"/>
        <v/>
      </c>
      <c r="K267" s="163" t="str">
        <f t="shared" si="40"/>
        <v/>
      </c>
      <c r="L267" s="163" t="str">
        <f t="shared" si="40"/>
        <v/>
      </c>
      <c r="M267" s="163" t="str">
        <f t="shared" si="40"/>
        <v/>
      </c>
      <c r="N267" s="163" t="str">
        <f t="shared" si="40"/>
        <v/>
      </c>
      <c r="O267" s="163" t="str">
        <f t="shared" si="40"/>
        <v/>
      </c>
      <c r="P267" s="163" t="str">
        <f t="shared" si="40"/>
        <v/>
      </c>
      <c r="Q267" s="163" t="str">
        <f t="shared" si="40"/>
        <v/>
      </c>
      <c r="R267" s="163" t="str">
        <f t="shared" si="40"/>
        <v/>
      </c>
      <c r="S267" s="163" t="str">
        <f t="shared" si="40"/>
        <v/>
      </c>
      <c r="T267" s="163" t="str">
        <f t="shared" si="40"/>
        <v/>
      </c>
      <c r="U267" s="163" t="str">
        <f t="shared" si="40"/>
        <v/>
      </c>
      <c r="V267" s="163" t="str">
        <f t="shared" si="40"/>
        <v/>
      </c>
      <c r="W267" s="163" t="str">
        <f t="shared" si="40"/>
        <v/>
      </c>
      <c r="X267" s="163" t="str">
        <f t="shared" si="40"/>
        <v/>
      </c>
      <c r="Y267" s="163" t="str">
        <f t="shared" si="40"/>
        <v/>
      </c>
      <c r="Z267" s="163" t="str">
        <f t="shared" si="40"/>
        <v/>
      </c>
      <c r="AA267" s="163" t="str">
        <f t="shared" si="40"/>
        <v/>
      </c>
      <c r="AB267" s="163" t="str">
        <f t="shared" si="40"/>
        <v/>
      </c>
      <c r="AC267" s="163" t="str">
        <f t="shared" si="40"/>
        <v/>
      </c>
      <c r="AD267" s="163" t="str">
        <f t="shared" si="40"/>
        <v/>
      </c>
      <c r="AE267" s="163" t="str">
        <f t="shared" si="40"/>
        <v/>
      </c>
      <c r="AF267" s="163" t="str">
        <f t="shared" si="40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1060" priority="112">
      <formula>$AH11=0</formula>
    </cfRule>
  </conditionalFormatting>
  <conditionalFormatting sqref="B8 M8 S8 AB8">
    <cfRule type="expression" dxfId="1059" priority="235">
      <formula>C$9&lt;8/24</formula>
    </cfRule>
    <cfRule type="expression" dxfId="1058" priority="234">
      <formula>AND(C$9&gt;=8/24,C$9&lt;14/24)</formula>
    </cfRule>
    <cfRule type="expression" dxfId="1057" priority="233">
      <formula>AND(C$9&gt;=14/24,C$9&lt;20/24)</formula>
    </cfRule>
  </conditionalFormatting>
  <conditionalFormatting sqref="B67:D72 E68:AA72">
    <cfRule type="expression" dxfId="1052" priority="81">
      <formula>B$9&lt;8/24</formula>
    </cfRule>
  </conditionalFormatting>
  <conditionalFormatting sqref="B49:J51">
    <cfRule type="expression" dxfId="1051" priority="85">
      <formula>AND(B$9&gt;=8/24,B$9&lt;14/24)</formula>
    </cfRule>
    <cfRule type="expression" dxfId="1050" priority="84">
      <formula>AND(B$9&gt;=14/24,B$9&lt;20/24)</formula>
    </cfRule>
    <cfRule type="expression" dxfId="1049" priority="83">
      <formula>B$9&gt;=20/24</formula>
    </cfRule>
    <cfRule type="expression" dxfId="1048" priority="86">
      <formula>B$9&lt;8/24</formula>
    </cfRule>
  </conditionalFormatting>
  <conditionalFormatting sqref="B11:W11">
    <cfRule type="expression" dxfId="1047" priority="17">
      <formula>B$9&lt;8/24</formula>
    </cfRule>
    <cfRule type="expression" dxfId="1046" priority="14">
      <formula>B$9&gt;=20/24</formula>
    </cfRule>
    <cfRule type="expression" dxfId="1045" priority="15">
      <formula>AND(B$9&gt;=14/24,B$9&lt;20/24)</formula>
    </cfRule>
    <cfRule type="expression" dxfId="1044" priority="16">
      <formula>AND(B$9&gt;=8/24,B$9&lt;14/24)</formula>
    </cfRule>
  </conditionalFormatting>
  <conditionalFormatting sqref="B12:W14">
    <cfRule type="expression" dxfId="1043" priority="11">
      <formula>AND(B$9&gt;=8/24,B$9&lt;14/24)</formula>
    </cfRule>
    <cfRule type="expression" dxfId="1042" priority="12">
      <formula>B$9&lt;8/24</formula>
    </cfRule>
    <cfRule type="expression" dxfId="1041" priority="9">
      <formula>B$9&gt;=20/24</formula>
    </cfRule>
    <cfRule type="expression" dxfId="1040" priority="10">
      <formula>AND(B$9&gt;=14/24,B$9&lt;20/24)</formula>
    </cfRule>
  </conditionalFormatting>
  <conditionalFormatting sqref="B15:W40">
    <cfRule type="expression" dxfId="1039" priority="102">
      <formula>AND(B$9&gt;=8/24,B$9&lt;14/24)</formula>
    </cfRule>
    <cfRule type="expression" dxfId="1038" priority="101">
      <formula>AND(B$9&gt;=14/24,B$9&lt;20/24)</formula>
    </cfRule>
    <cfRule type="expression" dxfId="1037" priority="100">
      <formula>B$9&gt;=20/24</formula>
    </cfRule>
    <cfRule type="expression" dxfId="1036" priority="103">
      <formula>B$9&lt;8/24</formula>
    </cfRule>
  </conditionalFormatting>
  <conditionalFormatting sqref="B41:W41">
    <cfRule type="expression" dxfId="1035" priority="8">
      <formula>B$9&lt;8/24</formula>
    </cfRule>
    <cfRule type="expression" dxfId="1034" priority="5">
      <formula>B$9&gt;=20/24</formula>
    </cfRule>
    <cfRule type="expression" dxfId="1033" priority="6">
      <formula>AND(B$9&gt;=14/24,B$9&lt;20/24)</formula>
    </cfRule>
    <cfRule type="expression" dxfId="1032" priority="7">
      <formula>AND(B$9&gt;=8/24,B$9&lt;14/24)</formula>
    </cfRule>
  </conditionalFormatting>
  <conditionalFormatting sqref="B42:W42">
    <cfRule type="expression" dxfId="1031" priority="67">
      <formula>B$9&lt;8/24</formula>
    </cfRule>
    <cfRule type="expression" dxfId="1030" priority="66">
      <formula>AND(B$9&gt;=8/24,B$9&lt;14/24)</formula>
    </cfRule>
    <cfRule type="expression" dxfId="1029" priority="65">
      <formula>AND(B$9&gt;=14/24,B$9&lt;20/24)</formula>
    </cfRule>
    <cfRule type="expression" dxfId="1028" priority="64">
      <formula>B$9&gt;=20/24</formula>
    </cfRule>
  </conditionalFormatting>
  <conditionalFormatting sqref="B73:AA77">
    <cfRule type="expression" dxfId="1027" priority="4">
      <formula>B$9&lt;8/24</formula>
    </cfRule>
  </conditionalFormatting>
  <conditionalFormatting sqref="B9:AF10 B220:AF220 D222:AF223 B222:B228 D224:H224 J224:AF224 D225:AF228 U241:AF241">
    <cfRule type="expression" dxfId="1026" priority="227">
      <formula>AND(B$9&gt;=14/24,B$9&lt;20/24)</formula>
    </cfRule>
    <cfRule type="expression" dxfId="1025" priority="229">
      <formula>B$9&lt;8/24</formula>
    </cfRule>
    <cfRule type="expression" dxfId="1024" priority="228">
      <formula>AND(B$9&gt;=8/24,B$9&lt;14/24)</formula>
    </cfRule>
    <cfRule type="expression" dxfId="1023" priority="226">
      <formula>B$9&gt;=20/24</formula>
    </cfRule>
  </conditionalFormatting>
  <conditionalFormatting sqref="B11:AF66">
    <cfRule type="expression" dxfId="1022" priority="13">
      <formula>B11&gt;$AG11</formula>
    </cfRule>
  </conditionalFormatting>
  <conditionalFormatting sqref="B43:AF43">
    <cfRule type="expression" dxfId="1021" priority="99">
      <formula>B$9&lt;8/24</formula>
    </cfRule>
    <cfRule type="expression" dxfId="1020" priority="98">
      <formula>AND(B$9&gt;=8/24,B$9&lt;14/24)</formula>
    </cfRule>
    <cfRule type="expression" dxfId="1019" priority="97">
      <formula>AND(B$9&gt;=14/24,B$9&lt;20/24)</formula>
    </cfRule>
    <cfRule type="expression" dxfId="1018" priority="96">
      <formula>B$9&gt;=20/24</formula>
    </cfRule>
  </conditionalFormatting>
  <conditionalFormatting sqref="B45:AF48">
    <cfRule type="expression" dxfId="1017" priority="41">
      <formula>B$9&gt;=20/24</formula>
    </cfRule>
    <cfRule type="expression" dxfId="1016" priority="42">
      <formula>AND(B$9&gt;=14/24,B$9&lt;20/24)</formula>
    </cfRule>
    <cfRule type="expression" dxfId="1015" priority="43">
      <formula>AND(B$9&gt;=8/24,B$9&lt;14/24)</formula>
    </cfRule>
    <cfRule type="expression" dxfId="1014" priority="44">
      <formula>B$9&lt;8/24</formula>
    </cfRule>
  </conditionalFormatting>
  <conditionalFormatting sqref="B54:AF60">
    <cfRule type="expression" dxfId="1013" priority="22">
      <formula>AND(B$9&gt;=8/24,B$9&lt;14/24)</formula>
    </cfRule>
    <cfRule type="expression" dxfId="1012" priority="23">
      <formula>B$9&lt;8/24</formula>
    </cfRule>
    <cfRule type="expression" dxfId="1011" priority="21">
      <formula>AND(B$9&gt;=14/24,B$9&lt;20/24)</formula>
    </cfRule>
    <cfRule type="expression" dxfId="1010" priority="20">
      <formula>B$9&gt;=20/24</formula>
    </cfRule>
  </conditionalFormatting>
  <conditionalFormatting sqref="B63:AF66">
    <cfRule type="expression" dxfId="1009" priority="62">
      <formula>B$9&lt;8/24</formula>
    </cfRule>
  </conditionalFormatting>
  <conditionalFormatting sqref="B63:AF67">
    <cfRule type="expression" dxfId="1008" priority="61">
      <formula>AND(B$9&gt;=8/24,B$9&lt;14/24)</formula>
    </cfRule>
    <cfRule type="expression" dxfId="1007" priority="59">
      <formula>B$9&gt;=20/24</formula>
    </cfRule>
    <cfRule type="expression" dxfId="1006" priority="60">
      <formula>AND(B$9&gt;=14/24,B$9&lt;20/24)</formula>
    </cfRule>
  </conditionalFormatting>
  <conditionalFormatting sqref="B68:AF85">
    <cfRule type="expression" dxfId="1005" priority="2">
      <formula>AND(B$9&gt;=14/24,B$9&lt;20/24)</formula>
    </cfRule>
    <cfRule type="expression" dxfId="1004" priority="1">
      <formula>B$9&gt;=20/24</formula>
    </cfRule>
    <cfRule type="expression" dxfId="1003" priority="3">
      <formula>AND(B$9&gt;=8/24,B$9&lt;14/24)</formula>
    </cfRule>
  </conditionalFormatting>
  <conditionalFormatting sqref="B78:AF85">
    <cfRule type="expression" dxfId="1002" priority="57">
      <formula>B$9&lt;8/24</formula>
    </cfRule>
  </conditionalFormatting>
  <conditionalFormatting sqref="B87:AF103">
    <cfRule type="expression" dxfId="997" priority="38">
      <formula>AND(B$9&gt;=8/24,B$9&lt;14/24)</formula>
    </cfRule>
    <cfRule type="expression" dxfId="996" priority="37">
      <formula>AND(B$9&gt;=14/24,B$9&lt;20/24)</formula>
    </cfRule>
    <cfRule type="expression" dxfId="995" priority="36">
      <formula>B$9&gt;=20/24</formula>
    </cfRule>
    <cfRule type="expression" dxfId="994" priority="39">
      <formula>B$9&lt;8/24</formula>
    </cfRule>
  </conditionalFormatting>
  <conditionalFormatting sqref="B105:AF112">
    <cfRule type="expression" dxfId="993" priority="25">
      <formula>AND(B$9&gt;=14/24,B$9&lt;20/24)</formula>
    </cfRule>
    <cfRule type="expression" dxfId="992" priority="24">
      <formula>B$9&gt;=20/24</formula>
    </cfRule>
    <cfRule type="expression" dxfId="991" priority="27">
      <formula>B$9&lt;8/24</formula>
    </cfRule>
    <cfRule type="expression" dxfId="990" priority="26">
      <formula>AND(B$9&gt;=8/24,B$9&lt;14/24)</formula>
    </cfRule>
  </conditionalFormatting>
  <conditionalFormatting sqref="K50:O51 Q50:Q51 P50:P53 Q52:AA53 E67:AF67">
    <cfRule type="expression" dxfId="985" priority="199">
      <formula>E$9&lt;8/24</formula>
    </cfRule>
  </conditionalFormatting>
  <conditionalFormatting sqref="K50:O51 Q50:Q51 P50:P53 Q52:AA53">
    <cfRule type="expression" dxfId="984" priority="196">
      <formula>K$9&gt;=20/24</formula>
    </cfRule>
    <cfRule type="expression" dxfId="983" priority="197">
      <formula>AND(K$9&gt;=14/24,K$9&lt;20/24)</formula>
    </cfRule>
    <cfRule type="expression" dxfId="982" priority="198">
      <formula>AND(K$9&gt;=8/24,K$9&lt;14/24)</formula>
    </cfRule>
  </conditionalFormatting>
  <conditionalFormatting sqref="K49:Q49 AB49:AF53">
    <cfRule type="expression" dxfId="981" priority="192">
      <formula>K$9&gt;=20/24</formula>
    </cfRule>
    <cfRule type="expression" dxfId="980" priority="193">
      <formula>AND(K$9&gt;=14/24,K$9&lt;20/24)</formula>
    </cfRule>
    <cfRule type="expression" dxfId="979" priority="194">
      <formula>AND(K$9&gt;=8/24,K$9&lt;14/24)</formula>
    </cfRule>
    <cfRule type="expression" dxfId="978" priority="195">
      <formula>K$9&lt;8/24</formula>
    </cfRule>
  </conditionalFormatting>
  <conditionalFormatting sqref="O3:P3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R49:AA51">
    <cfRule type="expression" dxfId="977" priority="182">
      <formula>R$9&gt;=20/24</formula>
    </cfRule>
    <cfRule type="expression" dxfId="976" priority="183">
      <formula>AND(R$9&gt;=14/24,R$9&lt;20/24)</formula>
    </cfRule>
    <cfRule type="expression" dxfId="975" priority="184">
      <formula>AND(R$9&gt;=8/24,R$9&lt;14/24)</formula>
    </cfRule>
    <cfRule type="expression" dxfId="974" priority="185">
      <formula>R$9&lt;8/24</formula>
    </cfRule>
  </conditionalFormatting>
  <conditionalFormatting sqref="S8 AB8 B8 M8">
    <cfRule type="expression" dxfId="973" priority="232">
      <formula>C$9&gt;=20/24</formula>
    </cfRule>
  </conditionalFormatting>
  <conditionalFormatting sqref="S8">
    <cfRule type="expression" dxfId="972" priority="208">
      <formula>U$9&lt;8/24</formula>
    </cfRule>
    <cfRule type="expression" dxfId="971" priority="206">
      <formula>AND(U$9&gt;=14/24,U$9&lt;20/24)</formula>
    </cfRule>
    <cfRule type="expression" dxfId="970" priority="207">
      <formula>AND(U$9&gt;=8/24,U$9&lt;14/24)</formula>
    </cfRule>
    <cfRule type="expression" dxfId="969" priority="205">
      <formula>U$9&gt;=20/24</formula>
    </cfRule>
  </conditionalFormatting>
  <conditionalFormatting sqref="T241">
    <cfRule type="expression" dxfId="968" priority="245">
      <formula>AX$9&gt;=20/24</formula>
    </cfRule>
    <cfRule type="expression" dxfId="967" priority="246">
      <formula>AND(AX$9&gt;=14/24,AX$9&lt;20/24)</formula>
    </cfRule>
    <cfRule type="expression" dxfId="966" priority="247">
      <formula>AND(AX$9&gt;=8/24,AX$9&lt;14/24)</formula>
    </cfRule>
    <cfRule type="expression" dxfId="965" priority="248">
      <formula>AX$9&lt;8/24</formula>
    </cfRule>
  </conditionalFormatting>
  <conditionalFormatting sqref="V3 AB3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X11:AF42">
    <cfRule type="expression" dxfId="964" priority="169">
      <formula>AND(X$9&gt;=14/24,X$9&lt;20/24)</formula>
    </cfRule>
    <cfRule type="expression" dxfId="963" priority="168">
      <formula>X$9&gt;=20/24</formula>
    </cfRule>
    <cfRule type="expression" dxfId="962" priority="170">
      <formula>AND(X$9&gt;=8/24,X$9&lt;14/24)</formula>
    </cfRule>
    <cfRule type="expression" dxfId="961" priority="171">
      <formula>X$9&lt;8/24</formula>
    </cfRule>
  </conditionalFormatting>
  <conditionalFormatting sqref="AB8">
    <cfRule type="expression" dxfId="960" priority="202">
      <formula>AND(AD$9&gt;=14/24,AD$9&lt;20/24)</formula>
    </cfRule>
    <cfRule type="expression" dxfId="959" priority="201">
      <formula>AD$9&gt;=20/24</formula>
    </cfRule>
    <cfRule type="expression" dxfId="958" priority="203">
      <formula>AND(AD$9&gt;=8/24,AD$9&lt;14/24)</formula>
    </cfRule>
    <cfRule type="expression" dxfId="957" priority="204">
      <formula>AD$9&lt;8/24</formula>
    </cfRule>
  </conditionalFormatting>
  <conditionalFormatting sqref="AB68:AF77">
    <cfRule type="expression" dxfId="956" priority="190">
      <formula>AB$9&lt;8/24</formula>
    </cfRule>
  </conditionalFormatting>
  <conditionalFormatting sqref="AG44 AG61:AG62 AG66">
    <cfRule type="expression" dxfId="955" priority="158">
      <formula>AG44&gt;$AG44</formula>
    </cfRule>
  </conditionalFormatting>
  <conditionalFormatting sqref="AG48">
    <cfRule type="expression" dxfId="954" priority="138">
      <formula>AG48&gt;$AG48</formula>
    </cfRule>
    <cfRule type="expression" dxfId="953" priority="139">
      <formula>AG$9&gt;=20/24</formula>
    </cfRule>
    <cfRule type="expression" dxfId="952" priority="140">
      <formula>AND(AG$9&gt;=14/24,AG$9&lt;20/24)</formula>
    </cfRule>
    <cfRule type="expression" dxfId="951" priority="141">
      <formula>AND(AG$9&gt;=8/24,AG$9&lt;14/24)</formula>
    </cfRule>
    <cfRule type="expression" dxfId="950" priority="142">
      <formula>AG$9&lt;8/24</formula>
    </cfRule>
  </conditionalFormatting>
  <conditionalFormatting sqref="AG66 AG83">
    <cfRule type="expression" dxfId="949" priority="161">
      <formula>AND(AG$9&gt;=8/24,AG$9&lt;14/24)</formula>
    </cfRule>
    <cfRule type="expression" dxfId="948" priority="160">
      <formula>AND(AG$9&gt;=14/24,AG$9&lt;20/24)</formula>
    </cfRule>
    <cfRule type="expression" dxfId="947" priority="159">
      <formula>AG$9&gt;=20/24</formula>
    </cfRule>
    <cfRule type="expression" dxfId="946" priority="162">
      <formula>AG$9&lt;8/24</formula>
    </cfRule>
  </conditionalFormatting>
  <conditionalFormatting sqref="AG241">
    <cfRule type="expression" dxfId="945" priority="237">
      <formula>B$9&gt;=20/24</formula>
    </cfRule>
    <cfRule type="expression" dxfId="944" priority="238">
      <formula>AND(B$9&gt;=14/24,B$9&lt;20/24)</formula>
    </cfRule>
    <cfRule type="expression" dxfId="943" priority="239">
      <formula>AND(B$9&gt;=8/24,B$9&lt;14/24)</formula>
    </cfRule>
    <cfRule type="expression" dxfId="942" priority="240">
      <formula>B$9&lt;8/24</formula>
    </cfRule>
  </conditionalFormatting>
  <conditionalFormatting sqref="AH241:AX241">
    <cfRule type="expression" dxfId="941" priority="241">
      <formula>AG$9&gt;=20/24</formula>
    </cfRule>
    <cfRule type="expression" dxfId="940" priority="242">
      <formula>AND(AG$9&gt;=14/24,AG$9&lt;20/24)</formula>
    </cfRule>
    <cfRule type="expression" dxfId="939" priority="243">
      <formula>AND(AG$9&gt;=8/24,AG$9&lt;14/24)</formula>
    </cfRule>
    <cfRule type="expression" dxfId="938" priority="244">
      <formula>AG$9&lt;8/24</formula>
    </cfRule>
  </conditionalFormatting>
  <conditionalFormatting sqref="AL4:AL6">
    <cfRule type="iconSet" priority="225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49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8" id="{08F86D29-9A18-4B43-A7E7-A261459D05C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9" id="{E4EA79F1-AFE6-4E21-A5CA-8FCD60D2B2D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0" id="{6AB0D08E-7CF7-4569-82AD-BDC8C6DD8CC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1" id="{EA5828F9-F1E2-481E-B9EF-488D5E2E01B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35" id="{419D2DE9-EB35-4A35-AF2E-EF23B9789A3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4" id="{11B8C9F8-EC9B-4822-A799-81320F89433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3" id="{EC871C2F-7217-41A1-8E13-311EB4A8FC2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2" id="{48C94A9D-9CC3-4E02-B833-8A2CD3F1077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27" id="{715EFC0E-A5D3-4720-ABF0-0DA80A5ABFB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8" id="{D1AFABBA-5C6F-4D47-8E82-72971934A4C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9" id="{48ABEDD2-E668-4E5D-8DC5-F61A2AD904D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6" id="{B68005C1-31FF-4C7A-876E-766B864F3B6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J274"/>
  <sheetViews>
    <sheetView topLeftCell="A53" zoomScale="115" zoomScaleNormal="115" workbookViewId="0">
      <selection activeCell="B69" sqref="B6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2079/09/9</v>
      </c>
      <c r="C4" s="197"/>
      <c r="D4" s="197"/>
      <c r="E4" s="198" t="str">
        <f ca="1">"2079/"&amp;"09/"&amp;INT(MID(CELL("filename",G6),FIND("]",CELL("filename",G6))+1,200))</f>
        <v>2079/09/9</v>
      </c>
      <c r="F4" s="198"/>
      <c r="G4" s="198"/>
      <c r="H4" s="198" t="str">
        <f ca="1">TEXT(E4,"dddd")</f>
        <v>Saturday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190.5</v>
      </c>
      <c r="C5" s="30">
        <f t="shared" si="0"/>
        <v>185.5</v>
      </c>
      <c r="D5" s="30">
        <f t="shared" si="0"/>
        <v>176.7</v>
      </c>
      <c r="E5" s="30">
        <f t="shared" si="0"/>
        <v>182.1</v>
      </c>
      <c r="F5" s="30">
        <f t="shared" si="0"/>
        <v>173</v>
      </c>
      <c r="G5" s="30">
        <f t="shared" si="0"/>
        <v>179</v>
      </c>
      <c r="H5" s="30">
        <f t="shared" si="0"/>
        <v>173</v>
      </c>
      <c r="I5" s="30">
        <f t="shared" si="0"/>
        <v>175</v>
      </c>
      <c r="J5" s="30">
        <f t="shared" si="0"/>
        <v>29</v>
      </c>
      <c r="K5" s="30">
        <f t="shared" si="0"/>
        <v>35</v>
      </c>
      <c r="L5" s="30">
        <f t="shared" si="0"/>
        <v>35.4</v>
      </c>
      <c r="M5" s="30">
        <f t="shared" si="0"/>
        <v>97</v>
      </c>
      <c r="N5" s="30">
        <f t="shared" si="0"/>
        <v>160</v>
      </c>
      <c r="O5" s="30">
        <f t="shared" si="0"/>
        <v>204</v>
      </c>
      <c r="P5" s="30">
        <f t="shared" si="0"/>
        <v>197</v>
      </c>
      <c r="Q5" s="30">
        <f t="shared" si="0"/>
        <v>188</v>
      </c>
      <c r="R5" s="30">
        <f t="shared" si="0"/>
        <v>163.69999999999999</v>
      </c>
      <c r="S5" s="30">
        <f t="shared" si="0"/>
        <v>293</v>
      </c>
      <c r="T5" s="30">
        <f t="shared" si="0"/>
        <v>246</v>
      </c>
      <c r="U5" s="30">
        <f t="shared" si="0"/>
        <v>133.1</v>
      </c>
      <c r="V5" s="30">
        <f t="shared" si="0"/>
        <v>50.5</v>
      </c>
      <c r="W5" s="30">
        <f t="shared" si="0"/>
        <v>61.3</v>
      </c>
      <c r="X5" s="30">
        <f t="shared" si="0"/>
        <v>77.300000000000011</v>
      </c>
      <c r="Y5" s="30">
        <f t="shared" si="0"/>
        <v>90.7</v>
      </c>
      <c r="Z5" s="30">
        <f t="shared" si="0"/>
        <v>48</v>
      </c>
      <c r="AA5" s="30">
        <f t="shared" si="0"/>
        <v>150.6</v>
      </c>
      <c r="AB5" s="30">
        <f t="shared" si="0"/>
        <v>143.69999999999999</v>
      </c>
      <c r="AC5" s="30">
        <f t="shared" si="0"/>
        <v>151.9</v>
      </c>
      <c r="AD5" s="30">
        <f t="shared" si="0"/>
        <v>177.4</v>
      </c>
      <c r="AE5" s="30">
        <f t="shared" si="0"/>
        <v>162.30000000000001</v>
      </c>
      <c r="AF5" s="30">
        <f>B78</f>
        <v>156.6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1514MW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Load=960</v>
      </c>
      <c r="B7" s="35">
        <f t="shared" ref="B7:AF7" si="1">B85</f>
        <v>1035.9389999999999</v>
      </c>
      <c r="C7" s="35">
        <f t="shared" si="1"/>
        <v>1046.6389999999999</v>
      </c>
      <c r="D7" s="35">
        <f t="shared" si="1"/>
        <v>994.53899999999999</v>
      </c>
      <c r="E7" s="35">
        <f t="shared" si="1"/>
        <v>960.04</v>
      </c>
      <c r="F7" s="35">
        <f t="shared" si="1"/>
        <v>990.24</v>
      </c>
      <c r="G7" s="35">
        <f t="shared" si="1"/>
        <v>1035.1399999999999</v>
      </c>
      <c r="H7" s="35">
        <f t="shared" si="1"/>
        <v>1087.3400000000001</v>
      </c>
      <c r="I7" s="35">
        <f t="shared" si="1"/>
        <v>1290.3400000000001</v>
      </c>
      <c r="J7" s="35">
        <f t="shared" si="1"/>
        <v>1347.3400000000001</v>
      </c>
      <c r="K7" s="35">
        <f t="shared" si="1"/>
        <v>1345.3400000000001</v>
      </c>
      <c r="L7" s="35">
        <f t="shared" si="1"/>
        <v>1206.3400000000001</v>
      </c>
      <c r="M7" s="35">
        <f t="shared" si="1"/>
        <v>1474.0400000000002</v>
      </c>
      <c r="N7" s="35">
        <f>N85</f>
        <v>1513.94</v>
      </c>
      <c r="O7" s="35">
        <f t="shared" si="1"/>
        <v>1408.4</v>
      </c>
      <c r="P7" s="35">
        <f t="shared" si="1"/>
        <v>1377.64</v>
      </c>
      <c r="Q7" s="35">
        <f t="shared" si="1"/>
        <v>1296.3400000000001</v>
      </c>
      <c r="R7" s="35">
        <f t="shared" si="1"/>
        <v>1215.2400000000002</v>
      </c>
      <c r="S7" s="35">
        <f t="shared" si="1"/>
        <v>1146.0800000000002</v>
      </c>
      <c r="T7" s="35">
        <f t="shared" si="1"/>
        <v>1142.8399999999999</v>
      </c>
      <c r="U7" s="35">
        <f t="shared" si="1"/>
        <v>1144.8399999999999</v>
      </c>
      <c r="V7" s="35">
        <f t="shared" si="1"/>
        <v>1223.3399999999999</v>
      </c>
      <c r="W7" s="35">
        <f t="shared" si="1"/>
        <v>1396.74</v>
      </c>
      <c r="X7" s="35">
        <f t="shared" si="1"/>
        <v>1529.24</v>
      </c>
      <c r="Y7" s="35">
        <f t="shared" si="1"/>
        <v>1499.84</v>
      </c>
      <c r="Z7" s="35">
        <f t="shared" si="1"/>
        <v>1453.24</v>
      </c>
      <c r="AA7" s="35">
        <f t="shared" si="1"/>
        <v>1350.54</v>
      </c>
      <c r="AB7" s="35">
        <f t="shared" si="1"/>
        <v>1278.24</v>
      </c>
      <c r="AC7" s="35">
        <f t="shared" si="1"/>
        <v>1253.3400000000001</v>
      </c>
      <c r="AD7" s="35">
        <f t="shared" si="1"/>
        <v>1209.2400000000002</v>
      </c>
      <c r="AE7" s="35">
        <f t="shared" si="1"/>
        <v>1081.3400000000001</v>
      </c>
      <c r="AF7" s="35">
        <f t="shared" si="1"/>
        <v>1005.8399999999999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27.4</v>
      </c>
      <c r="C11" s="45">
        <v>25.6</v>
      </c>
      <c r="D11" s="45">
        <v>25.6</v>
      </c>
      <c r="E11" s="45">
        <v>24.8</v>
      </c>
      <c r="F11" s="45">
        <v>24.8</v>
      </c>
      <c r="G11" s="45">
        <v>24.8</v>
      </c>
      <c r="H11" s="45">
        <v>24.8</v>
      </c>
      <c r="I11" s="45">
        <v>24.8</v>
      </c>
      <c r="J11" s="45">
        <v>24.8</v>
      </c>
      <c r="K11" s="45">
        <v>24.8</v>
      </c>
      <c r="L11" s="45">
        <v>24.8</v>
      </c>
      <c r="M11" s="45">
        <v>24.8</v>
      </c>
      <c r="N11" s="45">
        <v>24.8</v>
      </c>
      <c r="O11" s="45">
        <v>24.8</v>
      </c>
      <c r="P11" s="45">
        <v>24.8</v>
      </c>
      <c r="Q11" s="45">
        <v>24.8</v>
      </c>
      <c r="R11" s="45">
        <v>24.8</v>
      </c>
      <c r="S11" s="45">
        <v>24.54</v>
      </c>
      <c r="T11" s="45">
        <v>22.9</v>
      </c>
      <c r="U11" s="45">
        <v>22.9</v>
      </c>
      <c r="V11" s="45">
        <v>22.9</v>
      </c>
      <c r="W11" s="45">
        <v>22.9</v>
      </c>
      <c r="X11" s="45">
        <v>23.7</v>
      </c>
      <c r="Y11" s="45">
        <v>23.7</v>
      </c>
      <c r="Z11" s="45">
        <v>23.7</v>
      </c>
      <c r="AA11" s="45">
        <v>23.7</v>
      </c>
      <c r="AB11" s="45">
        <v>23.7</v>
      </c>
      <c r="AC11" s="45">
        <v>23.7</v>
      </c>
      <c r="AD11" s="45">
        <v>23.7</v>
      </c>
      <c r="AE11" s="45">
        <v>23.7</v>
      </c>
      <c r="AF11" s="45">
        <v>23.7</v>
      </c>
      <c r="AG11" s="47">
        <v>52.4</v>
      </c>
      <c r="AH11" s="48">
        <f t="shared" ref="AH11:AH74" si="2">MAX(B11:AF11)</f>
        <v>27.4</v>
      </c>
      <c r="AI11" s="49">
        <f t="shared" ref="AI11:AI74" si="3">MIN(B11:AF11)</f>
        <v>22.9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46.8</v>
      </c>
      <c r="C12" s="45">
        <v>47</v>
      </c>
      <c r="D12" s="45">
        <v>48</v>
      </c>
      <c r="E12" s="45">
        <v>47.6</v>
      </c>
      <c r="F12" s="45">
        <v>47.6</v>
      </c>
      <c r="G12" s="45">
        <v>47.6</v>
      </c>
      <c r="H12" s="45">
        <v>47.6</v>
      </c>
      <c r="I12" s="45">
        <v>47.6</v>
      </c>
      <c r="J12" s="45">
        <v>47.6</v>
      </c>
      <c r="K12" s="45">
        <v>47.6</v>
      </c>
      <c r="L12" s="45">
        <v>47.6</v>
      </c>
      <c r="M12" s="45">
        <v>47.6</v>
      </c>
      <c r="N12" s="45">
        <v>47.6</v>
      </c>
      <c r="O12" s="45">
        <v>47.6</v>
      </c>
      <c r="P12" s="45">
        <v>47.6</v>
      </c>
      <c r="Q12" s="45">
        <v>47.6</v>
      </c>
      <c r="R12" s="45">
        <v>48.3</v>
      </c>
      <c r="S12" s="45">
        <v>47.4</v>
      </c>
      <c r="T12" s="45">
        <v>47.4</v>
      </c>
      <c r="U12" s="45">
        <v>47.4</v>
      </c>
      <c r="V12" s="45">
        <v>47.4</v>
      </c>
      <c r="W12" s="45">
        <v>47.4</v>
      </c>
      <c r="X12" s="45">
        <v>45.7</v>
      </c>
      <c r="Y12" s="45">
        <v>45.7</v>
      </c>
      <c r="Z12" s="45">
        <v>45.7</v>
      </c>
      <c r="AA12" s="45">
        <v>45.7</v>
      </c>
      <c r="AB12" s="45">
        <v>45.7</v>
      </c>
      <c r="AC12" s="45">
        <v>45.7</v>
      </c>
      <c r="AD12" s="45">
        <v>45.7</v>
      </c>
      <c r="AE12" s="45">
        <v>45.7</v>
      </c>
      <c r="AF12" s="45">
        <v>45.7</v>
      </c>
      <c r="AG12" s="51">
        <v>50</v>
      </c>
      <c r="AH12" s="48">
        <f t="shared" si="2"/>
        <v>48.3</v>
      </c>
      <c r="AI12" s="49">
        <f t="shared" si="3"/>
        <v>45.7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24.7</v>
      </c>
      <c r="C13" s="45">
        <v>24.2</v>
      </c>
      <c r="D13" s="45">
        <v>24.2</v>
      </c>
      <c r="E13" s="45">
        <v>24.8</v>
      </c>
      <c r="F13" s="45">
        <v>24.8</v>
      </c>
      <c r="G13" s="45">
        <v>24.8</v>
      </c>
      <c r="H13" s="45">
        <v>24.8</v>
      </c>
      <c r="I13" s="45">
        <v>24.8</v>
      </c>
      <c r="J13" s="45">
        <v>24.8</v>
      </c>
      <c r="K13" s="45">
        <v>24.8</v>
      </c>
      <c r="L13" s="45">
        <v>24.8</v>
      </c>
      <c r="M13" s="45">
        <v>24.8</v>
      </c>
      <c r="N13" s="45">
        <v>24.8</v>
      </c>
      <c r="O13" s="45">
        <v>24.8</v>
      </c>
      <c r="P13" s="45">
        <v>24.8</v>
      </c>
      <c r="Q13" s="45">
        <v>24.8</v>
      </c>
      <c r="R13" s="45">
        <v>24.8</v>
      </c>
      <c r="S13" s="45">
        <v>24.8</v>
      </c>
      <c r="T13" s="45">
        <v>22.2</v>
      </c>
      <c r="U13" s="45">
        <v>22.2</v>
      </c>
      <c r="V13" s="45">
        <v>22.2</v>
      </c>
      <c r="W13" s="45">
        <v>22.2</v>
      </c>
      <c r="X13" s="45">
        <v>24.8</v>
      </c>
      <c r="Y13" s="45">
        <v>24.8</v>
      </c>
      <c r="Z13" s="45">
        <v>24.8</v>
      </c>
      <c r="AA13" s="45">
        <v>24.8</v>
      </c>
      <c r="AB13" s="45">
        <v>24.8</v>
      </c>
      <c r="AC13" s="45">
        <v>24.8</v>
      </c>
      <c r="AD13" s="45">
        <v>24.8</v>
      </c>
      <c r="AE13" s="45">
        <v>24.8</v>
      </c>
      <c r="AF13" s="45">
        <v>24.8</v>
      </c>
      <c r="AG13" s="51">
        <v>45</v>
      </c>
      <c r="AH13" s="48">
        <f t="shared" si="2"/>
        <v>24.8</v>
      </c>
      <c r="AI13" s="49">
        <f t="shared" si="3"/>
        <v>22.2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21</v>
      </c>
      <c r="C15" s="45">
        <v>21</v>
      </c>
      <c r="D15" s="45">
        <v>21</v>
      </c>
      <c r="E15" s="45">
        <v>21</v>
      </c>
      <c r="F15" s="45">
        <v>21</v>
      </c>
      <c r="G15" s="45">
        <v>21</v>
      </c>
      <c r="H15" s="45">
        <v>21</v>
      </c>
      <c r="I15" s="45">
        <v>21</v>
      </c>
      <c r="J15" s="45">
        <v>21</v>
      </c>
      <c r="K15" s="45">
        <v>21</v>
      </c>
      <c r="L15" s="45">
        <v>21</v>
      </c>
      <c r="M15" s="45">
        <v>21</v>
      </c>
      <c r="N15" s="45">
        <v>21</v>
      </c>
      <c r="O15" s="45">
        <v>21</v>
      </c>
      <c r="P15" s="45">
        <v>21</v>
      </c>
      <c r="Q15" s="45">
        <v>21</v>
      </c>
      <c r="R15" s="45">
        <v>21</v>
      </c>
      <c r="S15" s="45">
        <v>21</v>
      </c>
      <c r="T15" s="45">
        <v>21</v>
      </c>
      <c r="U15" s="45">
        <v>21</v>
      </c>
      <c r="V15" s="45">
        <v>21</v>
      </c>
      <c r="W15" s="45">
        <v>21</v>
      </c>
      <c r="X15" s="45">
        <v>21</v>
      </c>
      <c r="Y15" s="45">
        <v>21</v>
      </c>
      <c r="Z15" s="45">
        <v>21</v>
      </c>
      <c r="AA15" s="45">
        <v>21</v>
      </c>
      <c r="AB15" s="45">
        <v>21</v>
      </c>
      <c r="AC15" s="45">
        <v>21</v>
      </c>
      <c r="AD15" s="45">
        <v>21</v>
      </c>
      <c r="AE15" s="45">
        <v>21</v>
      </c>
      <c r="AF15" s="45">
        <v>21</v>
      </c>
      <c r="AG15" s="51">
        <v>36</v>
      </c>
      <c r="AH15" s="48">
        <f t="shared" si="2"/>
        <v>21</v>
      </c>
      <c r="AI15" s="49">
        <f t="shared" si="3"/>
        <v>21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12.6</v>
      </c>
      <c r="C16" s="45">
        <v>14</v>
      </c>
      <c r="D16" s="45">
        <v>14</v>
      </c>
      <c r="E16" s="45">
        <v>12</v>
      </c>
      <c r="F16" s="45">
        <v>12</v>
      </c>
      <c r="G16" s="45">
        <v>12</v>
      </c>
      <c r="H16" s="45">
        <v>12</v>
      </c>
      <c r="I16" s="45">
        <v>12</v>
      </c>
      <c r="J16" s="45">
        <v>12</v>
      </c>
      <c r="K16" s="45">
        <v>12</v>
      </c>
      <c r="L16" s="45">
        <v>12</v>
      </c>
      <c r="M16" s="45">
        <v>12</v>
      </c>
      <c r="N16" s="45">
        <v>12</v>
      </c>
      <c r="O16" s="45">
        <v>12</v>
      </c>
      <c r="P16" s="45">
        <v>12</v>
      </c>
      <c r="Q16" s="45">
        <v>12</v>
      </c>
      <c r="R16" s="45">
        <v>12</v>
      </c>
      <c r="S16" s="45">
        <v>12</v>
      </c>
      <c r="T16" s="45">
        <v>12</v>
      </c>
      <c r="U16" s="45">
        <v>12</v>
      </c>
      <c r="V16" s="45">
        <v>12</v>
      </c>
      <c r="W16" s="45">
        <v>12</v>
      </c>
      <c r="X16" s="45">
        <v>12</v>
      </c>
      <c r="Y16" s="45">
        <v>12</v>
      </c>
      <c r="Z16" s="45">
        <v>12</v>
      </c>
      <c r="AA16" s="45">
        <v>12</v>
      </c>
      <c r="AB16" s="45">
        <v>12</v>
      </c>
      <c r="AC16" s="45">
        <v>12</v>
      </c>
      <c r="AD16" s="45">
        <v>12</v>
      </c>
      <c r="AE16" s="45">
        <v>12</v>
      </c>
      <c r="AF16" s="45">
        <v>12</v>
      </c>
      <c r="AG16" s="52">
        <v>30</v>
      </c>
      <c r="AH16" s="48">
        <f t="shared" si="2"/>
        <v>14</v>
      </c>
      <c r="AI16" s="49">
        <f t="shared" si="3"/>
        <v>12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11.7</v>
      </c>
      <c r="C17" s="45">
        <v>11.8</v>
      </c>
      <c r="D17" s="45">
        <v>11.8</v>
      </c>
      <c r="E17" s="45">
        <v>11.1</v>
      </c>
      <c r="F17" s="45">
        <v>11.1</v>
      </c>
      <c r="G17" s="45">
        <v>11.1</v>
      </c>
      <c r="H17" s="45">
        <v>11.1</v>
      </c>
      <c r="I17" s="45">
        <v>11.1</v>
      </c>
      <c r="J17" s="45">
        <v>11.1</v>
      </c>
      <c r="K17" s="45">
        <v>11.1</v>
      </c>
      <c r="L17" s="45">
        <v>11.1</v>
      </c>
      <c r="M17" s="45">
        <v>11.1</v>
      </c>
      <c r="N17" s="45">
        <v>11.1</v>
      </c>
      <c r="O17" s="45">
        <v>11.1</v>
      </c>
      <c r="P17" s="45">
        <v>11.1</v>
      </c>
      <c r="Q17" s="45">
        <v>11.1</v>
      </c>
      <c r="R17" s="45">
        <v>11.1</v>
      </c>
      <c r="S17" s="45">
        <v>11.1</v>
      </c>
      <c r="T17" s="45">
        <v>11.1</v>
      </c>
      <c r="U17" s="45">
        <v>11.1</v>
      </c>
      <c r="V17" s="45">
        <v>11.1</v>
      </c>
      <c r="W17" s="45">
        <v>11.1</v>
      </c>
      <c r="X17" s="45">
        <v>11.1</v>
      </c>
      <c r="Y17" s="45">
        <v>11.1</v>
      </c>
      <c r="Z17" s="45">
        <v>11.1</v>
      </c>
      <c r="AA17" s="45">
        <v>11.1</v>
      </c>
      <c r="AB17" s="45">
        <v>11.1</v>
      </c>
      <c r="AC17" s="45">
        <v>11.1</v>
      </c>
      <c r="AD17" s="45">
        <v>11.1</v>
      </c>
      <c r="AE17" s="45">
        <v>11.1</v>
      </c>
      <c r="AF17" s="45">
        <v>11.1</v>
      </c>
      <c r="AG17" s="51">
        <v>24.2</v>
      </c>
      <c r="AH17" s="48">
        <f t="shared" si="2"/>
        <v>11.8</v>
      </c>
      <c r="AI17" s="49">
        <f t="shared" si="3"/>
        <v>11.1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13.2</v>
      </c>
      <c r="C18" s="45">
        <v>13.2</v>
      </c>
      <c r="D18" s="45">
        <v>13.2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13.2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13.4</v>
      </c>
      <c r="C20" s="45">
        <v>13.4</v>
      </c>
      <c r="D20" s="45">
        <v>13.4</v>
      </c>
      <c r="E20" s="45">
        <v>13</v>
      </c>
      <c r="F20" s="45">
        <v>13</v>
      </c>
      <c r="G20" s="45">
        <v>13</v>
      </c>
      <c r="H20" s="45">
        <v>13</v>
      </c>
      <c r="I20" s="45">
        <v>13</v>
      </c>
      <c r="J20" s="45">
        <v>13</v>
      </c>
      <c r="K20" s="45">
        <v>13</v>
      </c>
      <c r="L20" s="45">
        <v>13</v>
      </c>
      <c r="M20" s="45">
        <v>13</v>
      </c>
      <c r="N20" s="45">
        <v>13</v>
      </c>
      <c r="O20" s="45">
        <v>13</v>
      </c>
      <c r="P20" s="45">
        <v>13</v>
      </c>
      <c r="Q20" s="45">
        <v>13</v>
      </c>
      <c r="R20" s="45">
        <v>13</v>
      </c>
      <c r="S20" s="45">
        <v>13</v>
      </c>
      <c r="T20" s="45">
        <v>13</v>
      </c>
      <c r="U20" s="45">
        <v>13</v>
      </c>
      <c r="V20" s="45">
        <v>13</v>
      </c>
      <c r="W20" s="45">
        <v>13</v>
      </c>
      <c r="X20" s="45">
        <v>13</v>
      </c>
      <c r="Y20" s="45">
        <v>13</v>
      </c>
      <c r="Z20" s="45">
        <v>13</v>
      </c>
      <c r="AA20" s="45">
        <v>13</v>
      </c>
      <c r="AB20" s="45">
        <v>13</v>
      </c>
      <c r="AC20" s="45">
        <v>13</v>
      </c>
      <c r="AD20" s="45">
        <v>13</v>
      </c>
      <c r="AE20" s="45">
        <v>13</v>
      </c>
      <c r="AF20" s="45">
        <v>13</v>
      </c>
      <c r="AG20" s="51">
        <v>25</v>
      </c>
      <c r="AH20" s="48">
        <f t="shared" si="2"/>
        <v>13.4</v>
      </c>
      <c r="AI20" s="49">
        <f t="shared" si="3"/>
        <v>13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13.5</v>
      </c>
      <c r="C23" s="45">
        <v>13.5</v>
      </c>
      <c r="D23" s="45">
        <v>13.5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13.5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10.8</v>
      </c>
      <c r="C24" s="45">
        <v>11.8</v>
      </c>
      <c r="D24" s="45">
        <v>11.8</v>
      </c>
      <c r="E24" s="45">
        <v>11</v>
      </c>
      <c r="F24" s="45">
        <v>11</v>
      </c>
      <c r="G24" s="45">
        <v>11</v>
      </c>
      <c r="H24" s="45">
        <v>11</v>
      </c>
      <c r="I24" s="45">
        <v>11</v>
      </c>
      <c r="J24" s="45">
        <v>11</v>
      </c>
      <c r="K24" s="45">
        <v>11</v>
      </c>
      <c r="L24" s="45">
        <v>11</v>
      </c>
      <c r="M24" s="45">
        <v>11</v>
      </c>
      <c r="N24" s="45">
        <v>11</v>
      </c>
      <c r="O24" s="45">
        <v>11</v>
      </c>
      <c r="P24" s="45">
        <v>11</v>
      </c>
      <c r="Q24" s="45">
        <v>11</v>
      </c>
      <c r="R24" s="45">
        <v>11</v>
      </c>
      <c r="S24" s="45">
        <v>11</v>
      </c>
      <c r="T24" s="45">
        <v>11</v>
      </c>
      <c r="U24" s="45">
        <v>11</v>
      </c>
      <c r="V24" s="45">
        <v>11</v>
      </c>
      <c r="W24" s="45">
        <v>11</v>
      </c>
      <c r="X24" s="45">
        <v>11</v>
      </c>
      <c r="Y24" s="45">
        <v>11</v>
      </c>
      <c r="Z24" s="45">
        <v>11</v>
      </c>
      <c r="AA24" s="45">
        <v>11</v>
      </c>
      <c r="AB24" s="45">
        <v>11</v>
      </c>
      <c r="AC24" s="45">
        <v>11</v>
      </c>
      <c r="AD24" s="45">
        <v>11</v>
      </c>
      <c r="AE24" s="45">
        <v>11</v>
      </c>
      <c r="AF24" s="45">
        <v>11</v>
      </c>
      <c r="AG24" s="51">
        <v>23.5</v>
      </c>
      <c r="AH24" s="48">
        <f t="shared" si="2"/>
        <v>11.8</v>
      </c>
      <c r="AI24" s="49">
        <f t="shared" si="3"/>
        <v>10.8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7.5</v>
      </c>
      <c r="C25" s="45">
        <v>7.5</v>
      </c>
      <c r="D25" s="45">
        <v>7.5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7.5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7.0990000000000002</v>
      </c>
      <c r="C26" s="45">
        <v>7.0990000000000002</v>
      </c>
      <c r="D26" s="45">
        <v>7.0990000000000002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7.0990000000000002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200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si="2"/>
        <v>200</v>
      </c>
      <c r="AI42" s="49">
        <f t="shared" si="3"/>
        <v>200</v>
      </c>
      <c r="AK42" s="50"/>
    </row>
    <row r="43" spans="1:88" ht="15.75" thickBot="1" x14ac:dyDescent="0.3">
      <c r="A43" s="58" t="s">
        <v>51</v>
      </c>
      <c r="B43" s="59">
        <f>20.2+32.5</f>
        <v>52.7</v>
      </c>
      <c r="C43" s="59">
        <f>36.6+14.1</f>
        <v>50.7</v>
      </c>
      <c r="D43" s="59">
        <f>22.7+32.1</f>
        <v>54.8</v>
      </c>
      <c r="E43" s="59">
        <v>55.9</v>
      </c>
      <c r="F43" s="59">
        <v>55.9</v>
      </c>
      <c r="G43" s="59">
        <v>55.9</v>
      </c>
      <c r="H43" s="59">
        <v>55.9</v>
      </c>
      <c r="I43" s="59">
        <v>55.9</v>
      </c>
      <c r="J43" s="59">
        <v>55.9</v>
      </c>
      <c r="K43" s="59">
        <v>55.9</v>
      </c>
      <c r="L43" s="59">
        <v>55.9</v>
      </c>
      <c r="M43" s="59">
        <f>31.9+25</f>
        <v>56.9</v>
      </c>
      <c r="N43" s="59">
        <f>28.5+26.8</f>
        <v>55.3</v>
      </c>
      <c r="O43" s="59">
        <f>29+27</f>
        <v>56</v>
      </c>
      <c r="P43" s="59">
        <f>31.1+27.6</f>
        <v>58.7</v>
      </c>
      <c r="Q43" s="59">
        <f>31.3+27.3</f>
        <v>58.6</v>
      </c>
      <c r="R43" s="59">
        <f>30.3+26.7</f>
        <v>57</v>
      </c>
      <c r="S43" s="59">
        <f>25.2+31.7</f>
        <v>56.9</v>
      </c>
      <c r="T43" s="59">
        <f>25.3+32.6</f>
        <v>57.900000000000006</v>
      </c>
      <c r="U43" s="59">
        <f>25.3+32.6</f>
        <v>57.900000000000006</v>
      </c>
      <c r="V43" s="57">
        <f>12.1+27.2</f>
        <v>39.299999999999997</v>
      </c>
      <c r="W43" s="57">
        <f>24.5+25.2</f>
        <v>49.7</v>
      </c>
      <c r="X43" s="57">
        <v>47.900000000000006</v>
      </c>
      <c r="Y43" s="57">
        <v>47.900000000000006</v>
      </c>
      <c r="Z43" s="57">
        <v>47.900000000000006</v>
      </c>
      <c r="AA43" s="57">
        <v>47.900000000000006</v>
      </c>
      <c r="AB43" s="57">
        <f>28.1+25.6</f>
        <v>53.7</v>
      </c>
      <c r="AC43" s="57">
        <f>25.9+28.1</f>
        <v>54</v>
      </c>
      <c r="AD43" s="57">
        <f>28.6+26.9</f>
        <v>55.5</v>
      </c>
      <c r="AE43" s="57">
        <f>29.5+26.5</f>
        <v>56</v>
      </c>
      <c r="AF43" s="57">
        <f>27.2+26.9</f>
        <v>54.099999999999994</v>
      </c>
      <c r="AG43" s="55">
        <v>240</v>
      </c>
      <c r="AH43" s="48">
        <f t="shared" si="2"/>
        <v>58.7</v>
      </c>
      <c r="AI43" s="49">
        <f t="shared" si="3"/>
        <v>39.299999999999997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563.89899999999989</v>
      </c>
      <c r="C44" s="61">
        <f t="shared" si="4"/>
        <v>554.29899999999998</v>
      </c>
      <c r="D44" s="61">
        <f t="shared" si="4"/>
        <v>555.29899999999998</v>
      </c>
      <c r="E44" s="61">
        <f t="shared" si="4"/>
        <v>549.5</v>
      </c>
      <c r="F44" s="61">
        <f>SUM(F11:F42)</f>
        <v>549.5</v>
      </c>
      <c r="G44" s="61">
        <f t="shared" si="4"/>
        <v>549.5</v>
      </c>
      <c r="H44" s="61">
        <f t="shared" si="4"/>
        <v>549.5</v>
      </c>
      <c r="I44" s="61">
        <f t="shared" si="4"/>
        <v>549.5</v>
      </c>
      <c r="J44" s="61">
        <f t="shared" si="4"/>
        <v>549.5</v>
      </c>
      <c r="K44" s="61">
        <f t="shared" si="4"/>
        <v>549.5</v>
      </c>
      <c r="L44" s="61">
        <f t="shared" si="4"/>
        <v>549.5</v>
      </c>
      <c r="M44" s="61">
        <f t="shared" si="4"/>
        <v>549.5</v>
      </c>
      <c r="N44" s="61">
        <f t="shared" si="4"/>
        <v>549.5</v>
      </c>
      <c r="O44" s="61">
        <f t="shared" si="4"/>
        <v>549.5</v>
      </c>
      <c r="P44" s="61">
        <f t="shared" si="4"/>
        <v>549.5</v>
      </c>
      <c r="Q44" s="61">
        <f t="shared" si="4"/>
        <v>549.5</v>
      </c>
      <c r="R44" s="61">
        <f>SUM(R11:R42)</f>
        <v>550.20000000000005</v>
      </c>
      <c r="S44" s="61">
        <f t="shared" si="4"/>
        <v>549.04</v>
      </c>
      <c r="T44" s="61">
        <f t="shared" si="4"/>
        <v>544.79999999999995</v>
      </c>
      <c r="U44" s="61">
        <f t="shared" ref="U44" si="5">SUM(U11:U42)</f>
        <v>544.79999999999995</v>
      </c>
      <c r="V44" s="61">
        <f t="shared" si="4"/>
        <v>544.79999999999995</v>
      </c>
      <c r="W44" s="61">
        <f t="shared" si="4"/>
        <v>544.79999999999995</v>
      </c>
      <c r="X44" s="61">
        <v>546.5</v>
      </c>
      <c r="Y44" s="61">
        <f t="shared" si="4"/>
        <v>546.5</v>
      </c>
      <c r="Z44" s="61">
        <f t="shared" si="4"/>
        <v>546.5</v>
      </c>
      <c r="AA44" s="61">
        <f t="shared" si="4"/>
        <v>546.5</v>
      </c>
      <c r="AB44" s="61">
        <f t="shared" si="4"/>
        <v>556.5</v>
      </c>
      <c r="AC44" s="61">
        <f t="shared" si="4"/>
        <v>556.5</v>
      </c>
      <c r="AD44" s="61">
        <f t="shared" si="4"/>
        <v>556.5</v>
      </c>
      <c r="AE44" s="61">
        <f t="shared" si="4"/>
        <v>556.5</v>
      </c>
      <c r="AF44" s="61">
        <f t="shared" si="4"/>
        <v>556.5</v>
      </c>
      <c r="AG44" s="62">
        <f t="shared" si="4"/>
        <v>814.78000000000009</v>
      </c>
      <c r="AH44" s="48">
        <f t="shared" si="2"/>
        <v>563.89899999999989</v>
      </c>
      <c r="AI44" s="49">
        <f t="shared" si="3"/>
        <v>544.79999999999995</v>
      </c>
      <c r="AK44" s="50"/>
    </row>
    <row r="45" spans="1:88" x14ac:dyDescent="0.25">
      <c r="A45" s="63" t="s">
        <v>53</v>
      </c>
      <c r="B45" s="45">
        <v>15</v>
      </c>
      <c r="C45" s="45">
        <v>15</v>
      </c>
      <c r="D45" s="45">
        <v>15</v>
      </c>
      <c r="E45" s="45">
        <v>15</v>
      </c>
      <c r="F45" s="45">
        <v>15</v>
      </c>
      <c r="G45" s="45">
        <v>30</v>
      </c>
      <c r="H45" s="45">
        <v>25</v>
      </c>
      <c r="I45" s="45">
        <v>130</v>
      </c>
      <c r="J45" s="45">
        <v>185</v>
      </c>
      <c r="K45" s="45">
        <v>285</v>
      </c>
      <c r="L45" s="45">
        <v>140</v>
      </c>
      <c r="M45" s="164">
        <v>370</v>
      </c>
      <c r="N45" s="45">
        <v>355</v>
      </c>
      <c r="O45" s="45">
        <v>125</v>
      </c>
      <c r="P45" s="45">
        <v>120</v>
      </c>
      <c r="Q45" s="45">
        <v>120</v>
      </c>
      <c r="R45" s="45">
        <v>124</v>
      </c>
      <c r="S45" s="45">
        <v>80</v>
      </c>
      <c r="T45" s="45">
        <v>12</v>
      </c>
      <c r="U45" s="45">
        <v>43</v>
      </c>
      <c r="V45" s="45">
        <v>150</v>
      </c>
      <c r="W45" s="45">
        <v>250</v>
      </c>
      <c r="X45" s="45">
        <v>370</v>
      </c>
      <c r="Y45" s="45">
        <v>320</v>
      </c>
      <c r="Z45" s="45">
        <v>260</v>
      </c>
      <c r="AA45" s="45">
        <v>140</v>
      </c>
      <c r="AB45" s="45">
        <v>90</v>
      </c>
      <c r="AC45" s="45">
        <v>105</v>
      </c>
      <c r="AD45" s="45">
        <v>95</v>
      </c>
      <c r="AE45" s="45">
        <v>50</v>
      </c>
      <c r="AF45" s="45">
        <v>15</v>
      </c>
      <c r="AG45" s="52">
        <v>456</v>
      </c>
      <c r="AH45" s="48">
        <f t="shared" si="2"/>
        <v>370</v>
      </c>
      <c r="AI45" s="49">
        <f t="shared" si="3"/>
        <v>12</v>
      </c>
      <c r="AK45" s="50"/>
    </row>
    <row r="46" spans="1:88" x14ac:dyDescent="0.25">
      <c r="A46" s="64" t="s">
        <v>54</v>
      </c>
      <c r="B46" s="65">
        <v>46</v>
      </c>
      <c r="C46" s="65">
        <v>46</v>
      </c>
      <c r="D46" s="65">
        <v>46</v>
      </c>
      <c r="E46" s="65">
        <v>46</v>
      </c>
      <c r="F46" s="65">
        <v>46</v>
      </c>
      <c r="G46" s="65">
        <v>46</v>
      </c>
      <c r="H46" s="65">
        <v>46</v>
      </c>
      <c r="I46" s="65">
        <v>46</v>
      </c>
      <c r="J46" s="65">
        <v>46</v>
      </c>
      <c r="K46" s="65">
        <v>46</v>
      </c>
      <c r="L46" s="65">
        <v>46</v>
      </c>
      <c r="M46" s="65">
        <v>46</v>
      </c>
      <c r="N46" s="65">
        <v>46</v>
      </c>
      <c r="O46" s="65">
        <v>46</v>
      </c>
      <c r="P46" s="65">
        <v>46</v>
      </c>
      <c r="Q46" s="65">
        <v>120</v>
      </c>
      <c r="R46" s="65">
        <v>47</v>
      </c>
      <c r="S46" s="65">
        <v>47</v>
      </c>
      <c r="T46" s="65">
        <v>47</v>
      </c>
      <c r="U46" s="65">
        <v>47</v>
      </c>
      <c r="V46" s="65">
        <v>47</v>
      </c>
      <c r="W46" s="65">
        <v>47</v>
      </c>
      <c r="X46" s="65">
        <v>47</v>
      </c>
      <c r="Y46" s="65">
        <v>47</v>
      </c>
      <c r="Z46" s="65">
        <v>47</v>
      </c>
      <c r="AA46" s="65">
        <v>47</v>
      </c>
      <c r="AB46" s="65">
        <v>47</v>
      </c>
      <c r="AC46" s="65">
        <v>47</v>
      </c>
      <c r="AD46" s="65">
        <v>47</v>
      </c>
      <c r="AE46" s="65">
        <v>47</v>
      </c>
      <c r="AF46" s="65">
        <v>47</v>
      </c>
      <c r="AG46" s="55">
        <v>60</v>
      </c>
      <c r="AH46" s="48">
        <f t="shared" si="2"/>
        <v>120</v>
      </c>
      <c r="AI46" s="49">
        <f t="shared" si="3"/>
        <v>46</v>
      </c>
      <c r="AK46" s="50"/>
    </row>
    <row r="47" spans="1:88" ht="15.75" thickBot="1" x14ac:dyDescent="0.3">
      <c r="A47" s="66" t="s">
        <v>55</v>
      </c>
      <c r="B47" s="67">
        <v>18</v>
      </c>
      <c r="C47" s="67">
        <v>18</v>
      </c>
      <c r="D47" s="67">
        <v>16.100000000000001</v>
      </c>
      <c r="E47" s="67">
        <v>16</v>
      </c>
      <c r="F47" s="67">
        <v>16</v>
      </c>
      <c r="G47" s="67">
        <v>16</v>
      </c>
      <c r="H47" s="67">
        <v>16</v>
      </c>
      <c r="I47" s="67">
        <v>16</v>
      </c>
      <c r="J47" s="67">
        <v>16</v>
      </c>
      <c r="K47" s="67">
        <v>16</v>
      </c>
      <c r="L47" s="67">
        <v>16</v>
      </c>
      <c r="M47" s="67">
        <v>16.2</v>
      </c>
      <c r="N47" s="67">
        <v>16.2</v>
      </c>
      <c r="O47" s="67">
        <v>13.2</v>
      </c>
      <c r="P47" s="67">
        <v>13.2</v>
      </c>
      <c r="Q47" s="67">
        <v>16</v>
      </c>
      <c r="R47" s="67">
        <v>14.2</v>
      </c>
      <c r="S47" s="67">
        <v>14.2</v>
      </c>
      <c r="T47" s="67">
        <v>14.2</v>
      </c>
      <c r="U47" s="67">
        <v>14.2</v>
      </c>
      <c r="V47" s="67">
        <v>14.2</v>
      </c>
      <c r="W47" s="67">
        <v>14.2</v>
      </c>
      <c r="X47" s="67">
        <v>14.2</v>
      </c>
      <c r="Y47" s="67">
        <v>18</v>
      </c>
      <c r="Z47" s="67">
        <v>18</v>
      </c>
      <c r="AA47" s="67">
        <v>18</v>
      </c>
      <c r="AB47" s="67">
        <v>21</v>
      </c>
      <c r="AC47" s="67">
        <v>21</v>
      </c>
      <c r="AD47" s="67">
        <v>21</v>
      </c>
      <c r="AE47" s="67">
        <v>16</v>
      </c>
      <c r="AF47" s="67">
        <v>16</v>
      </c>
      <c r="AG47" s="68">
        <v>22.1</v>
      </c>
      <c r="AH47" s="48">
        <f t="shared" si="2"/>
        <v>21</v>
      </c>
      <c r="AI47" s="49">
        <f t="shared" si="3"/>
        <v>13.2</v>
      </c>
      <c r="AK47" s="50"/>
    </row>
    <row r="48" spans="1:88" ht="15.75" thickBot="1" x14ac:dyDescent="0.3">
      <c r="A48" s="69" t="s">
        <v>56</v>
      </c>
      <c r="B48" s="61">
        <f t="shared" ref="B48:AG48" si="6">SUM(B45:B47)</f>
        <v>79</v>
      </c>
      <c r="C48" s="61">
        <f t="shared" si="6"/>
        <v>79</v>
      </c>
      <c r="D48" s="61">
        <f t="shared" si="6"/>
        <v>77.099999999999994</v>
      </c>
      <c r="E48" s="61">
        <f t="shared" si="6"/>
        <v>77</v>
      </c>
      <c r="F48" s="61">
        <f>SUM(F45:F47)</f>
        <v>77</v>
      </c>
      <c r="G48" s="61">
        <f t="shared" si="6"/>
        <v>92</v>
      </c>
      <c r="H48" s="61">
        <f t="shared" si="6"/>
        <v>87</v>
      </c>
      <c r="I48" s="61">
        <f t="shared" si="6"/>
        <v>192</v>
      </c>
      <c r="J48" s="61">
        <f t="shared" si="6"/>
        <v>247</v>
      </c>
      <c r="K48" s="61">
        <f t="shared" si="6"/>
        <v>347</v>
      </c>
      <c r="L48" s="61">
        <f t="shared" ref="L48" si="7">SUM(L45:L47)</f>
        <v>202</v>
      </c>
      <c r="M48" s="61">
        <f t="shared" si="6"/>
        <v>432.2</v>
      </c>
      <c r="N48" s="61">
        <f t="shared" si="6"/>
        <v>417.2</v>
      </c>
      <c r="O48" s="61">
        <f t="shared" si="6"/>
        <v>184.2</v>
      </c>
      <c r="P48" s="61">
        <f t="shared" si="6"/>
        <v>179.2</v>
      </c>
      <c r="Q48" s="61">
        <f t="shared" si="6"/>
        <v>256</v>
      </c>
      <c r="R48" s="61">
        <f t="shared" si="6"/>
        <v>185.2</v>
      </c>
      <c r="S48" s="61">
        <f t="shared" si="6"/>
        <v>141.19999999999999</v>
      </c>
      <c r="T48" s="61">
        <f>SUM(T45:T47)</f>
        <v>73.2</v>
      </c>
      <c r="U48" s="61">
        <f>SUM(U45:U47)</f>
        <v>104.2</v>
      </c>
      <c r="V48" s="61">
        <f t="shared" si="6"/>
        <v>211.2</v>
      </c>
      <c r="W48" s="61">
        <f t="shared" si="6"/>
        <v>311.2</v>
      </c>
      <c r="X48" s="61">
        <v>431.2</v>
      </c>
      <c r="Y48" s="61">
        <f t="shared" si="6"/>
        <v>385</v>
      </c>
      <c r="Z48" s="61">
        <f t="shared" si="6"/>
        <v>325</v>
      </c>
      <c r="AA48" s="61">
        <f t="shared" si="6"/>
        <v>205</v>
      </c>
      <c r="AB48" s="61">
        <f t="shared" si="6"/>
        <v>158</v>
      </c>
      <c r="AC48" s="61">
        <f t="shared" si="6"/>
        <v>173</v>
      </c>
      <c r="AD48" s="61">
        <f t="shared" si="6"/>
        <v>163</v>
      </c>
      <c r="AE48" s="61">
        <f t="shared" si="6"/>
        <v>113</v>
      </c>
      <c r="AF48" s="61">
        <f t="shared" si="6"/>
        <v>78</v>
      </c>
      <c r="AG48" s="62">
        <f t="shared" si="6"/>
        <v>538.1</v>
      </c>
      <c r="AH48" s="48">
        <f t="shared" si="2"/>
        <v>432.2</v>
      </c>
      <c r="AI48" s="49">
        <f t="shared" si="3"/>
        <v>73.2</v>
      </c>
      <c r="AK48" s="50"/>
    </row>
    <row r="49" spans="1:41" x14ac:dyDescent="0.25">
      <c r="A49" s="44" t="s">
        <v>57</v>
      </c>
      <c r="B49" s="45">
        <v>48.6</v>
      </c>
      <c r="C49" s="45">
        <v>35</v>
      </c>
      <c r="D49" s="45">
        <v>30</v>
      </c>
      <c r="E49" s="45">
        <v>0</v>
      </c>
      <c r="F49" s="45">
        <v>0</v>
      </c>
      <c r="G49" s="45">
        <v>25.3</v>
      </c>
      <c r="H49" s="45">
        <v>66.900000000000006</v>
      </c>
      <c r="I49" s="45">
        <v>138</v>
      </c>
      <c r="J49" s="45">
        <v>138</v>
      </c>
      <c r="K49" s="45">
        <v>142</v>
      </c>
      <c r="L49" s="45">
        <v>142</v>
      </c>
      <c r="M49" s="45">
        <v>136</v>
      </c>
      <c r="N49" s="45">
        <v>141</v>
      </c>
      <c r="O49" s="45">
        <v>141.30000000000001</v>
      </c>
      <c r="P49" s="45">
        <v>121</v>
      </c>
      <c r="Q49" s="45">
        <v>97</v>
      </c>
      <c r="R49" s="45">
        <v>92</v>
      </c>
      <c r="S49" s="45">
        <v>70</v>
      </c>
      <c r="T49" s="45">
        <v>48.7</v>
      </c>
      <c r="U49" s="45">
        <v>60</v>
      </c>
      <c r="V49" s="45">
        <v>50.7</v>
      </c>
      <c r="W49" s="45">
        <v>141</v>
      </c>
      <c r="X49" s="45">
        <v>141.19999999999999</v>
      </c>
      <c r="Y49" s="45">
        <v>140.9</v>
      </c>
      <c r="Z49" s="45">
        <v>140.9</v>
      </c>
      <c r="AA49" s="45">
        <v>140.9</v>
      </c>
      <c r="AB49" s="45">
        <v>131.19999999999999</v>
      </c>
      <c r="AC49" s="45">
        <v>113.6</v>
      </c>
      <c r="AD49" s="45">
        <v>105</v>
      </c>
      <c r="AE49" s="45">
        <v>60</v>
      </c>
      <c r="AF49" s="45">
        <v>30</v>
      </c>
      <c r="AG49" s="52">
        <v>144</v>
      </c>
      <c r="AH49" s="48">
        <f t="shared" si="2"/>
        <v>142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29.7</v>
      </c>
      <c r="C50" s="65">
        <v>29.7</v>
      </c>
      <c r="D50" s="65">
        <v>0</v>
      </c>
      <c r="E50" s="65">
        <v>0</v>
      </c>
      <c r="F50" s="65">
        <v>0</v>
      </c>
      <c r="G50" s="65">
        <v>27.5</v>
      </c>
      <c r="H50" s="65">
        <v>33.700000000000003</v>
      </c>
      <c r="I50" s="65">
        <v>67.400000000000006</v>
      </c>
      <c r="J50" s="65">
        <v>67.400000000000006</v>
      </c>
      <c r="K50" s="65">
        <v>69.599999999999994</v>
      </c>
      <c r="L50" s="65">
        <v>69.599999999999994</v>
      </c>
      <c r="M50" s="65">
        <v>70.8</v>
      </c>
      <c r="N50" s="65">
        <v>70.400000000000006</v>
      </c>
      <c r="O50" s="65">
        <v>71.400000000000006</v>
      </c>
      <c r="P50" s="65">
        <v>70.099999999999994</v>
      </c>
      <c r="Q50" s="65">
        <v>51</v>
      </c>
      <c r="R50" s="45">
        <v>54</v>
      </c>
      <c r="S50" s="45">
        <v>56.3</v>
      </c>
      <c r="T50" s="45">
        <v>41.3</v>
      </c>
      <c r="U50" s="45">
        <v>24</v>
      </c>
      <c r="V50" s="45">
        <v>24.2</v>
      </c>
      <c r="W50" s="45">
        <v>70.099999999999994</v>
      </c>
      <c r="X50" s="45">
        <v>71.099999999999994</v>
      </c>
      <c r="Y50" s="45">
        <v>71.5</v>
      </c>
      <c r="Z50" s="45">
        <v>71.5</v>
      </c>
      <c r="AA50" s="45">
        <v>71.5</v>
      </c>
      <c r="AB50" s="65">
        <v>49.2</v>
      </c>
      <c r="AC50" s="65">
        <v>50</v>
      </c>
      <c r="AD50" s="65">
        <v>45</v>
      </c>
      <c r="AE50" s="65">
        <v>26.4</v>
      </c>
      <c r="AF50" s="65">
        <v>26</v>
      </c>
      <c r="AG50" s="55">
        <v>70</v>
      </c>
      <c r="AH50" s="48">
        <f t="shared" si="2"/>
        <v>71.5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46.5</v>
      </c>
      <c r="C51" s="65">
        <v>46.5</v>
      </c>
      <c r="D51" s="65">
        <v>35</v>
      </c>
      <c r="E51" s="65">
        <v>45</v>
      </c>
      <c r="F51" s="65">
        <v>69.5</v>
      </c>
      <c r="G51" s="65">
        <v>43</v>
      </c>
      <c r="H51" s="65">
        <v>44.4</v>
      </c>
      <c r="I51" s="65">
        <v>43.6</v>
      </c>
      <c r="J51" s="65">
        <v>43.6</v>
      </c>
      <c r="K51" s="65">
        <v>67</v>
      </c>
      <c r="L51" s="65">
        <v>67</v>
      </c>
      <c r="M51" s="65">
        <v>66.900000000000006</v>
      </c>
      <c r="N51" s="65">
        <v>66.599999999999994</v>
      </c>
      <c r="O51" s="65">
        <v>65.900000000000006</v>
      </c>
      <c r="P51" s="65">
        <v>32</v>
      </c>
      <c r="Q51" s="65">
        <v>34</v>
      </c>
      <c r="R51" s="45">
        <v>34</v>
      </c>
      <c r="S51" s="45">
        <v>46</v>
      </c>
      <c r="T51" s="45">
        <v>22</v>
      </c>
      <c r="U51" s="45">
        <v>46</v>
      </c>
      <c r="V51" s="45">
        <v>67.400000000000006</v>
      </c>
      <c r="W51" s="45">
        <v>67.7</v>
      </c>
      <c r="X51" s="45">
        <v>67</v>
      </c>
      <c r="Y51" s="45">
        <v>67.3</v>
      </c>
      <c r="Z51" s="45">
        <v>67.3</v>
      </c>
      <c r="AA51" s="45">
        <v>67.3</v>
      </c>
      <c r="AB51" s="65">
        <v>55.8</v>
      </c>
      <c r="AC51" s="65">
        <v>55.8</v>
      </c>
      <c r="AD51" s="65">
        <v>48.3</v>
      </c>
      <c r="AE51" s="65">
        <v>35</v>
      </c>
      <c r="AF51" s="65">
        <v>40</v>
      </c>
      <c r="AG51" s="55">
        <v>69</v>
      </c>
      <c r="AH51" s="48">
        <f t="shared" si="2"/>
        <v>69.5</v>
      </c>
      <c r="AI51" s="49">
        <f t="shared" si="3"/>
        <v>22</v>
      </c>
      <c r="AK51" s="50"/>
    </row>
    <row r="52" spans="1:41" x14ac:dyDescent="0.25">
      <c r="A52" s="54" t="s">
        <v>60</v>
      </c>
      <c r="B52" s="57">
        <v>60.7</v>
      </c>
      <c r="C52" s="57">
        <v>60.7</v>
      </c>
      <c r="D52" s="57">
        <v>60.7</v>
      </c>
      <c r="E52" s="57">
        <v>60.9</v>
      </c>
      <c r="F52" s="57">
        <v>61.2</v>
      </c>
      <c r="G52" s="57">
        <v>60.9</v>
      </c>
      <c r="H52" s="57">
        <v>60.9</v>
      </c>
      <c r="I52" s="57">
        <v>60.9</v>
      </c>
      <c r="J52" s="57">
        <v>60.9</v>
      </c>
      <c r="K52" s="57">
        <v>60.9</v>
      </c>
      <c r="L52" s="57">
        <v>60.9</v>
      </c>
      <c r="M52" s="57">
        <v>60.9</v>
      </c>
      <c r="N52" s="65">
        <v>60.9</v>
      </c>
      <c r="O52" s="65">
        <v>60.9</v>
      </c>
      <c r="P52" s="65">
        <v>60.9</v>
      </c>
      <c r="Q52" s="65">
        <v>60.9</v>
      </c>
      <c r="R52" s="65">
        <v>60.9</v>
      </c>
      <c r="S52" s="65">
        <v>60.9</v>
      </c>
      <c r="T52" s="65">
        <v>60.9</v>
      </c>
      <c r="U52" s="65">
        <v>60.9</v>
      </c>
      <c r="V52" s="65">
        <v>60.9</v>
      </c>
      <c r="W52" s="65">
        <v>60.7</v>
      </c>
      <c r="X52" s="65">
        <v>60.7</v>
      </c>
      <c r="Y52" s="65">
        <v>60.7</v>
      </c>
      <c r="Z52" s="65">
        <v>60.7</v>
      </c>
      <c r="AA52" s="65">
        <v>60.7</v>
      </c>
      <c r="AB52" s="65">
        <v>60.9</v>
      </c>
      <c r="AC52" s="65">
        <v>60.9</v>
      </c>
      <c r="AD52" s="65">
        <v>60.9</v>
      </c>
      <c r="AE52" s="65">
        <v>61.2</v>
      </c>
      <c r="AF52" s="65">
        <v>61.2</v>
      </c>
      <c r="AG52" s="55">
        <v>60</v>
      </c>
      <c r="AH52" s="48">
        <f t="shared" si="2"/>
        <v>61.2</v>
      </c>
      <c r="AI52" s="49">
        <f t="shared" si="3"/>
        <v>60.7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13</v>
      </c>
      <c r="H53" s="57">
        <v>15</v>
      </c>
      <c r="I53" s="57">
        <v>15</v>
      </c>
      <c r="J53" s="57">
        <v>15</v>
      </c>
      <c r="K53" s="57">
        <v>29.4</v>
      </c>
      <c r="L53" s="57">
        <v>29.4</v>
      </c>
      <c r="M53" s="57">
        <v>29.4</v>
      </c>
      <c r="N53" s="57">
        <v>29.4</v>
      </c>
      <c r="O53" s="57">
        <v>29.4</v>
      </c>
      <c r="P53" s="57">
        <v>29.4</v>
      </c>
      <c r="Q53" s="57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55">
        <v>30</v>
      </c>
      <c r="AH53" s="48">
        <f t="shared" si="2"/>
        <v>29.4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8</v>
      </c>
      <c r="T54" s="45">
        <v>8</v>
      </c>
      <c r="U54" s="45">
        <v>8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8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17.100000000000001</v>
      </c>
      <c r="S55" s="65">
        <v>17.100000000000001</v>
      </c>
      <c r="T55" s="65">
        <v>17.100000000000001</v>
      </c>
      <c r="U55" s="65">
        <v>17.100000000000001</v>
      </c>
      <c r="V55" s="65">
        <v>17.100000000000001</v>
      </c>
      <c r="W55" s="65">
        <v>17.100000000000001</v>
      </c>
      <c r="X55" s="65">
        <v>17.100000000000001</v>
      </c>
      <c r="Y55" s="65">
        <v>17.100000000000001</v>
      </c>
      <c r="Z55" s="65">
        <v>17.100000000000001</v>
      </c>
      <c r="AA55" s="65">
        <v>17.100000000000001</v>
      </c>
      <c r="AB55" s="65">
        <v>17.100000000000001</v>
      </c>
      <c r="AC55" s="65">
        <v>17.100000000000001</v>
      </c>
      <c r="AD55" s="65">
        <v>17.100000000000001</v>
      </c>
      <c r="AE55" s="65">
        <v>17.100000000000001</v>
      </c>
      <c r="AF55" s="65">
        <v>17.100000000000001</v>
      </c>
      <c r="AG55" s="55">
        <v>24</v>
      </c>
      <c r="AH55" s="48">
        <f t="shared" si="2"/>
        <v>17.100000000000001</v>
      </c>
      <c r="AI55" s="49">
        <f t="shared" si="3"/>
        <v>17.100000000000001</v>
      </c>
      <c r="AK55" s="50"/>
    </row>
    <row r="56" spans="1:41" x14ac:dyDescent="0.25">
      <c r="A56" s="54" t="s">
        <v>64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13.2</v>
      </c>
      <c r="C57" s="65">
        <v>13.2</v>
      </c>
      <c r="D57" s="65">
        <v>13.2</v>
      </c>
      <c r="E57" s="65">
        <v>13.2</v>
      </c>
      <c r="F57" s="65">
        <v>13.2</v>
      </c>
      <c r="G57" s="65">
        <v>13.2</v>
      </c>
      <c r="H57" s="65">
        <v>13.2</v>
      </c>
      <c r="I57" s="65">
        <v>13.2</v>
      </c>
      <c r="J57" s="65">
        <v>13.2</v>
      </c>
      <c r="K57" s="65">
        <v>13.2</v>
      </c>
      <c r="L57" s="65">
        <v>13.2</v>
      </c>
      <c r="M57" s="65">
        <v>13.2</v>
      </c>
      <c r="N57" s="65">
        <v>13.2</v>
      </c>
      <c r="O57" s="65">
        <v>13.2</v>
      </c>
      <c r="P57" s="65">
        <v>13.2</v>
      </c>
      <c r="Q57" s="65">
        <v>13.2</v>
      </c>
      <c r="R57" s="65">
        <v>13.2</v>
      </c>
      <c r="S57" s="65">
        <v>13.2</v>
      </c>
      <c r="T57" s="65">
        <v>13.2</v>
      </c>
      <c r="U57" s="65">
        <v>13.2</v>
      </c>
      <c r="V57" s="65">
        <v>13.2</v>
      </c>
      <c r="W57" s="65">
        <v>14.1</v>
      </c>
      <c r="X57" s="65">
        <v>14.1</v>
      </c>
      <c r="Y57" s="65">
        <v>14.1</v>
      </c>
      <c r="Z57" s="65">
        <v>14.1</v>
      </c>
      <c r="AA57" s="65">
        <v>14.1</v>
      </c>
      <c r="AB57" s="65">
        <v>14.1</v>
      </c>
      <c r="AC57" s="65">
        <v>14.1</v>
      </c>
      <c r="AD57" s="65">
        <v>14.1</v>
      </c>
      <c r="AE57" s="65">
        <v>14.1</v>
      </c>
      <c r="AF57" s="65">
        <v>14.1</v>
      </c>
      <c r="AG57" s="55">
        <v>14.1</v>
      </c>
      <c r="AH57" s="48">
        <f t="shared" si="2"/>
        <v>14.1</v>
      </c>
      <c r="AI57" s="49">
        <f t="shared" si="3"/>
        <v>13.2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7</v>
      </c>
      <c r="C58" s="65">
        <v>7</v>
      </c>
      <c r="D58" s="65">
        <v>7</v>
      </c>
      <c r="E58" s="65">
        <v>7</v>
      </c>
      <c r="F58" s="65">
        <v>7</v>
      </c>
      <c r="G58" s="65">
        <v>7</v>
      </c>
      <c r="H58" s="65">
        <v>7</v>
      </c>
      <c r="I58" s="65">
        <v>7</v>
      </c>
      <c r="J58" s="65">
        <v>7</v>
      </c>
      <c r="K58" s="65">
        <v>7</v>
      </c>
      <c r="L58" s="65">
        <v>7</v>
      </c>
      <c r="M58" s="65">
        <v>7</v>
      </c>
      <c r="N58" s="65">
        <v>7</v>
      </c>
      <c r="O58" s="65">
        <v>7</v>
      </c>
      <c r="P58" s="65">
        <v>7</v>
      </c>
      <c r="Q58" s="65">
        <v>7</v>
      </c>
      <c r="R58" s="65">
        <v>7</v>
      </c>
      <c r="S58" s="65">
        <v>7</v>
      </c>
      <c r="T58" s="65">
        <v>7</v>
      </c>
      <c r="U58" s="65">
        <v>7</v>
      </c>
      <c r="V58" s="65">
        <v>7</v>
      </c>
      <c r="W58" s="65">
        <v>7</v>
      </c>
      <c r="X58" s="65">
        <v>7</v>
      </c>
      <c r="Y58" s="65">
        <v>7</v>
      </c>
      <c r="Z58" s="65">
        <v>7</v>
      </c>
      <c r="AA58" s="65">
        <v>7</v>
      </c>
      <c r="AB58" s="65">
        <v>7</v>
      </c>
      <c r="AC58" s="65">
        <v>7</v>
      </c>
      <c r="AD58" s="65">
        <v>7</v>
      </c>
      <c r="AE58" s="65">
        <v>7</v>
      </c>
      <c r="AF58" s="65">
        <v>7</v>
      </c>
      <c r="AG58" s="55">
        <v>14</v>
      </c>
      <c r="AH58" s="48">
        <f t="shared" si="2"/>
        <v>7</v>
      </c>
      <c r="AI58" s="49">
        <f t="shared" si="3"/>
        <v>7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>
        <v>3.6</v>
      </c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8">SUM(B49:B61)</f>
        <v>236.43999999999997</v>
      </c>
      <c r="C62" s="61">
        <f t="shared" si="8"/>
        <v>222.83999999999997</v>
      </c>
      <c r="D62" s="61">
        <f t="shared" si="8"/>
        <v>176.64</v>
      </c>
      <c r="E62" s="61">
        <f t="shared" si="8"/>
        <v>156.83999999999997</v>
      </c>
      <c r="F62" s="61">
        <f t="shared" si="8"/>
        <v>181.63999999999996</v>
      </c>
      <c r="G62" s="61">
        <f t="shared" si="8"/>
        <v>220.63999999999996</v>
      </c>
      <c r="H62" s="61">
        <f t="shared" si="8"/>
        <v>271.84000000000003</v>
      </c>
      <c r="I62" s="61">
        <f t="shared" si="8"/>
        <v>375.84000000000003</v>
      </c>
      <c r="J62" s="61">
        <f t="shared" si="8"/>
        <v>375.84000000000003</v>
      </c>
      <c r="K62" s="61">
        <f t="shared" si="8"/>
        <v>419.84000000000003</v>
      </c>
      <c r="L62" s="61">
        <f t="shared" si="8"/>
        <v>419.84000000000003</v>
      </c>
      <c r="M62" s="61">
        <f t="shared" si="8"/>
        <v>414.94000000000005</v>
      </c>
      <c r="N62" s="61">
        <f t="shared" si="8"/>
        <v>419.24</v>
      </c>
      <c r="O62" s="61">
        <f t="shared" si="8"/>
        <v>419.84000000000003</v>
      </c>
      <c r="P62" s="61">
        <f t="shared" si="8"/>
        <v>364.34000000000003</v>
      </c>
      <c r="Q62" s="61">
        <f t="shared" si="8"/>
        <v>293.84000000000003</v>
      </c>
      <c r="R62" s="61">
        <f t="shared" si="8"/>
        <v>291.84000000000003</v>
      </c>
      <c r="S62" s="61">
        <f t="shared" si="8"/>
        <v>292.14000000000004</v>
      </c>
      <c r="T62" s="61">
        <f t="shared" si="8"/>
        <v>231.83999999999997</v>
      </c>
      <c r="U62" s="61">
        <f t="shared" ref="U62" si="9">SUM(U49:U61)</f>
        <v>249.83999999999997</v>
      </c>
      <c r="V62" s="61">
        <f t="shared" si="8"/>
        <v>254.14</v>
      </c>
      <c r="W62" s="61">
        <f t="shared" si="8"/>
        <v>391.34000000000009</v>
      </c>
      <c r="X62" s="61">
        <v>391.84000000000003</v>
      </c>
      <c r="Y62" s="61">
        <f t="shared" si="8"/>
        <v>392.24000000000007</v>
      </c>
      <c r="Z62" s="61">
        <f t="shared" si="8"/>
        <v>392.24000000000007</v>
      </c>
      <c r="AA62" s="61">
        <f t="shared" si="8"/>
        <v>392.24000000000007</v>
      </c>
      <c r="AB62" s="61">
        <f t="shared" si="8"/>
        <v>348.94000000000005</v>
      </c>
      <c r="AC62" s="61">
        <f t="shared" si="8"/>
        <v>332.14000000000004</v>
      </c>
      <c r="AD62" s="61">
        <f t="shared" si="8"/>
        <v>311.04000000000008</v>
      </c>
      <c r="AE62" s="61">
        <f t="shared" si="8"/>
        <v>234.44</v>
      </c>
      <c r="AF62" s="61">
        <f t="shared" si="8"/>
        <v>209.03999999999996</v>
      </c>
      <c r="AG62" s="62">
        <f t="shared" si="8"/>
        <v>489.91</v>
      </c>
      <c r="AH62" s="48">
        <f t="shared" si="2"/>
        <v>419.84000000000003</v>
      </c>
      <c r="AI62" s="49">
        <f t="shared" si="3"/>
        <v>156.83999999999997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30</v>
      </c>
      <c r="N63" s="45">
        <v>20</v>
      </c>
      <c r="O63" s="45">
        <v>60</v>
      </c>
      <c r="P63" s="45">
        <v>55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60</v>
      </c>
      <c r="W63" s="45">
        <v>60</v>
      </c>
      <c r="X63" s="45">
        <v>60</v>
      </c>
      <c r="Y63" s="45">
        <v>60</v>
      </c>
      <c r="Z63" s="45">
        <v>60</v>
      </c>
      <c r="AA63" s="45">
        <v>60</v>
      </c>
      <c r="AB63" s="45">
        <v>40</v>
      </c>
      <c r="AC63" s="45">
        <v>30</v>
      </c>
      <c r="AD63" s="45">
        <v>14</v>
      </c>
      <c r="AE63" s="45">
        <v>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9</v>
      </c>
      <c r="N64" s="65">
        <v>8</v>
      </c>
      <c r="O64" s="65">
        <v>25</v>
      </c>
      <c r="P64" s="65">
        <v>20</v>
      </c>
      <c r="Q64" s="45">
        <v>0</v>
      </c>
      <c r="R64" s="45">
        <v>0</v>
      </c>
      <c r="S64" s="65">
        <v>0</v>
      </c>
      <c r="T64" s="65">
        <v>0</v>
      </c>
      <c r="U64" s="65">
        <v>0</v>
      </c>
      <c r="V64" s="65">
        <v>14.7</v>
      </c>
      <c r="W64" s="65">
        <v>28.5</v>
      </c>
      <c r="X64" s="65">
        <v>28.1</v>
      </c>
      <c r="Y64" s="65">
        <v>28.5</v>
      </c>
      <c r="Z64" s="65">
        <v>28.5</v>
      </c>
      <c r="AA64" s="65">
        <v>28.5</v>
      </c>
      <c r="AB64" s="65">
        <v>17.7</v>
      </c>
      <c r="AC64" s="65">
        <v>13.2</v>
      </c>
      <c r="AD64" s="65">
        <v>9.4</v>
      </c>
      <c r="AE64" s="65">
        <v>0</v>
      </c>
      <c r="AF64" s="65">
        <v>0</v>
      </c>
      <c r="AG64" s="55">
        <v>32</v>
      </c>
      <c r="AH64" s="48">
        <f t="shared" si="2"/>
        <v>28.5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3</v>
      </c>
      <c r="N65" s="67">
        <v>3</v>
      </c>
      <c r="O65" s="67">
        <v>9.86</v>
      </c>
      <c r="P65" s="67">
        <v>5.6</v>
      </c>
      <c r="Q65" s="45">
        <v>0</v>
      </c>
      <c r="R65" s="45">
        <v>0</v>
      </c>
      <c r="S65" s="67">
        <v>0</v>
      </c>
      <c r="T65" s="67">
        <v>0</v>
      </c>
      <c r="U65" s="67">
        <v>0</v>
      </c>
      <c r="V65" s="67">
        <v>5.4</v>
      </c>
      <c r="W65" s="67">
        <v>10.4</v>
      </c>
      <c r="X65" s="67">
        <v>10.3</v>
      </c>
      <c r="Y65" s="67">
        <v>10.3</v>
      </c>
      <c r="Z65" s="67">
        <v>10.3</v>
      </c>
      <c r="AA65" s="67">
        <v>10.3</v>
      </c>
      <c r="AB65" s="67">
        <v>6.5</v>
      </c>
      <c r="AC65" s="67">
        <v>4.8</v>
      </c>
      <c r="AD65" s="67">
        <v>3.4</v>
      </c>
      <c r="AE65" s="67">
        <v>0</v>
      </c>
      <c r="AF65" s="67">
        <v>0</v>
      </c>
      <c r="AG65" s="68">
        <v>14</v>
      </c>
      <c r="AH65" s="48">
        <f t="shared" si="2"/>
        <v>10.4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f t="shared" ref="B66:AG66" si="10">SUM(B63:B65)</f>
        <v>0</v>
      </c>
      <c r="C66" s="61">
        <f t="shared" si="10"/>
        <v>0</v>
      </c>
      <c r="D66" s="61">
        <f t="shared" si="10"/>
        <v>0</v>
      </c>
      <c r="E66" s="61">
        <f t="shared" si="10"/>
        <v>0</v>
      </c>
      <c r="F66" s="61">
        <f t="shared" si="10"/>
        <v>0</v>
      </c>
      <c r="G66" s="61">
        <f t="shared" si="10"/>
        <v>0</v>
      </c>
      <c r="H66" s="61">
        <f t="shared" si="10"/>
        <v>0</v>
      </c>
      <c r="I66" s="61">
        <f t="shared" si="10"/>
        <v>0</v>
      </c>
      <c r="J66" s="61">
        <f t="shared" si="10"/>
        <v>0</v>
      </c>
      <c r="K66" s="61">
        <f t="shared" si="10"/>
        <v>0</v>
      </c>
      <c r="L66" s="61">
        <f t="shared" si="10"/>
        <v>0</v>
      </c>
      <c r="M66" s="61">
        <f t="shared" si="10"/>
        <v>42</v>
      </c>
      <c r="N66" s="61">
        <f t="shared" si="10"/>
        <v>31</v>
      </c>
      <c r="O66" s="61">
        <f t="shared" si="10"/>
        <v>94.86</v>
      </c>
      <c r="P66" s="61">
        <f t="shared" si="10"/>
        <v>80.599999999999994</v>
      </c>
      <c r="Q66" s="61">
        <f t="shared" si="10"/>
        <v>0</v>
      </c>
      <c r="R66" s="61">
        <f t="shared" si="10"/>
        <v>0</v>
      </c>
      <c r="S66" s="61">
        <f t="shared" si="10"/>
        <v>0</v>
      </c>
      <c r="T66" s="61">
        <f t="shared" si="10"/>
        <v>0</v>
      </c>
      <c r="U66" s="61">
        <f t="shared" ref="U66" si="11">SUM(U63:U65)</f>
        <v>0</v>
      </c>
      <c r="V66" s="61">
        <f t="shared" si="10"/>
        <v>80.100000000000009</v>
      </c>
      <c r="W66" s="61">
        <f t="shared" si="10"/>
        <v>98.9</v>
      </c>
      <c r="X66" s="61">
        <v>98.399999999999991</v>
      </c>
      <c r="Y66" s="61">
        <f t="shared" si="10"/>
        <v>98.8</v>
      </c>
      <c r="Z66" s="61">
        <f t="shared" si="10"/>
        <v>98.8</v>
      </c>
      <c r="AA66" s="61">
        <f t="shared" si="10"/>
        <v>98.8</v>
      </c>
      <c r="AB66" s="61">
        <f t="shared" si="10"/>
        <v>64.2</v>
      </c>
      <c r="AC66" s="61">
        <f t="shared" si="10"/>
        <v>48</v>
      </c>
      <c r="AD66" s="61">
        <f t="shared" si="10"/>
        <v>26.799999999999997</v>
      </c>
      <c r="AE66" s="61">
        <f t="shared" si="10"/>
        <v>0</v>
      </c>
      <c r="AF66" s="61">
        <f t="shared" si="10"/>
        <v>0</v>
      </c>
      <c r="AG66" s="62">
        <f t="shared" si="10"/>
        <v>106</v>
      </c>
      <c r="AH66" s="48">
        <f t="shared" si="2"/>
        <v>98.9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41.6</v>
      </c>
      <c r="C67" s="45">
        <v>68.5</v>
      </c>
      <c r="D67" s="45">
        <v>69.5</v>
      </c>
      <c r="E67" s="45">
        <v>55.7</v>
      </c>
      <c r="F67" s="45">
        <v>60.4</v>
      </c>
      <c r="G67" s="45">
        <v>58</v>
      </c>
      <c r="H67" s="45">
        <v>62</v>
      </c>
      <c r="I67" s="45">
        <v>60</v>
      </c>
      <c r="J67" s="45">
        <v>60</v>
      </c>
      <c r="K67" s="45">
        <v>29</v>
      </c>
      <c r="L67" s="45">
        <v>27</v>
      </c>
      <c r="M67" s="45">
        <v>27.4</v>
      </c>
      <c r="N67" s="45">
        <v>57</v>
      </c>
      <c r="O67" s="45">
        <v>63</v>
      </c>
      <c r="P67" s="45">
        <v>63</v>
      </c>
      <c r="Q67" s="45">
        <v>67</v>
      </c>
      <c r="R67" s="45">
        <v>60</v>
      </c>
      <c r="S67" s="45">
        <v>59.3</v>
      </c>
      <c r="T67" s="45">
        <v>62</v>
      </c>
      <c r="U67" s="45">
        <v>67</v>
      </c>
      <c r="V67" s="45">
        <v>63.9</v>
      </c>
      <c r="W67" s="45">
        <v>40.5</v>
      </c>
      <c r="X67" s="45">
        <v>48.8</v>
      </c>
      <c r="Y67" s="45">
        <v>45.7</v>
      </c>
      <c r="Z67" s="45">
        <v>45.7</v>
      </c>
      <c r="AA67" s="45">
        <v>38</v>
      </c>
      <c r="AB67" s="45">
        <v>48.5</v>
      </c>
      <c r="AC67" s="45">
        <v>59.8</v>
      </c>
      <c r="AD67" s="45">
        <v>58</v>
      </c>
      <c r="AE67" s="45">
        <v>62.4</v>
      </c>
      <c r="AF67" s="45">
        <v>48.3</v>
      </c>
      <c r="AG67" s="52"/>
      <c r="AH67" s="48">
        <f t="shared" si="2"/>
        <v>69.5</v>
      </c>
      <c r="AI67" s="49">
        <f t="shared" si="3"/>
        <v>27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115</v>
      </c>
      <c r="C69" s="65">
        <v>122</v>
      </c>
      <c r="D69" s="65">
        <v>116</v>
      </c>
      <c r="E69" s="65">
        <v>121</v>
      </c>
      <c r="F69" s="65">
        <v>121.7</v>
      </c>
      <c r="G69" s="65">
        <v>115</v>
      </c>
      <c r="H69" s="65">
        <v>117</v>
      </c>
      <c r="I69" s="65">
        <v>113</v>
      </c>
      <c r="J69" s="65">
        <v>115</v>
      </c>
      <c r="K69" s="65">
        <v>0</v>
      </c>
      <c r="L69" s="65">
        <v>8</v>
      </c>
      <c r="M69" s="65">
        <v>8</v>
      </c>
      <c r="N69" s="65">
        <v>40</v>
      </c>
      <c r="O69" s="65">
        <v>97</v>
      </c>
      <c r="P69" s="65">
        <v>128</v>
      </c>
      <c r="Q69" s="65">
        <v>117</v>
      </c>
      <c r="R69" s="65">
        <v>115</v>
      </c>
      <c r="S69" s="65">
        <v>91.4</v>
      </c>
      <c r="T69" s="65">
        <v>218</v>
      </c>
      <c r="U69" s="65">
        <v>166</v>
      </c>
      <c r="V69" s="65">
        <v>59.2</v>
      </c>
      <c r="W69" s="65">
        <v>0</v>
      </c>
      <c r="X69" s="65">
        <v>2.5</v>
      </c>
      <c r="Y69" s="65">
        <v>21.6</v>
      </c>
      <c r="Z69" s="65">
        <v>35</v>
      </c>
      <c r="AA69" s="65" t="s">
        <v>257</v>
      </c>
      <c r="AB69" s="65">
        <v>92.1</v>
      </c>
      <c r="AC69" s="65">
        <v>83.9</v>
      </c>
      <c r="AD69" s="65">
        <v>93.9</v>
      </c>
      <c r="AE69" s="65">
        <v>115</v>
      </c>
      <c r="AF69" s="65">
        <v>114</v>
      </c>
      <c r="AG69" s="75"/>
      <c r="AH69" s="48">
        <f t="shared" si="2"/>
        <v>218</v>
      </c>
      <c r="AI69" s="49">
        <f t="shared" si="3"/>
        <v>0</v>
      </c>
      <c r="AK69" s="50"/>
    </row>
    <row r="70" spans="1:40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13</v>
      </c>
      <c r="Q70" s="76">
        <v>13</v>
      </c>
      <c r="R70" s="76">
        <v>13</v>
      </c>
      <c r="S70" s="76">
        <v>13</v>
      </c>
      <c r="T70" s="65">
        <v>13</v>
      </c>
      <c r="U70" s="65">
        <v>13</v>
      </c>
      <c r="V70" s="65">
        <v>10</v>
      </c>
      <c r="W70" s="65">
        <v>10</v>
      </c>
      <c r="X70" s="65">
        <v>10</v>
      </c>
      <c r="Y70" s="65">
        <v>10</v>
      </c>
      <c r="Z70" s="65">
        <v>10</v>
      </c>
      <c r="AA70" s="65">
        <v>10</v>
      </c>
      <c r="AB70" s="65">
        <v>10</v>
      </c>
      <c r="AC70" s="65">
        <v>0</v>
      </c>
      <c r="AD70" s="65">
        <v>0</v>
      </c>
      <c r="AE70" s="65">
        <v>0</v>
      </c>
      <c r="AF70" s="65">
        <v>0</v>
      </c>
      <c r="AG70" s="75"/>
      <c r="AH70" s="48">
        <f t="shared" si="2"/>
        <v>13</v>
      </c>
      <c r="AI70" s="49">
        <f t="shared" si="3"/>
        <v>0</v>
      </c>
      <c r="AK70" s="50"/>
    </row>
    <row r="71" spans="1:40" x14ac:dyDescent="0.25">
      <c r="A71" s="54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40" x14ac:dyDescent="0.25">
      <c r="A72" s="54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12">MAX(B75:AF75)</f>
        <v>0</v>
      </c>
      <c r="AI75" s="49">
        <f t="shared" ref="AI75:AI113" si="13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12"/>
        <v>0</v>
      </c>
      <c r="AI76" s="49">
        <f t="shared" si="13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12"/>
        <v>0</v>
      </c>
      <c r="AI77" s="49">
        <f t="shared" si="13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P78" si="14">SUMIF(B67:B77,"&gt;0")</f>
        <v>156.6</v>
      </c>
      <c r="C78" s="61">
        <f t="shared" si="14"/>
        <v>190.5</v>
      </c>
      <c r="D78" s="61">
        <f t="shared" si="14"/>
        <v>185.5</v>
      </c>
      <c r="E78" s="61">
        <f t="shared" si="14"/>
        <v>176.7</v>
      </c>
      <c r="F78" s="61">
        <f>SUMIF(F67:F77,"&gt;0")</f>
        <v>182.1</v>
      </c>
      <c r="G78" s="61">
        <f t="shared" si="14"/>
        <v>173</v>
      </c>
      <c r="H78" s="61">
        <f t="shared" si="14"/>
        <v>179</v>
      </c>
      <c r="I78" s="61">
        <f t="shared" si="14"/>
        <v>173</v>
      </c>
      <c r="J78" s="61">
        <f t="shared" si="14"/>
        <v>175</v>
      </c>
      <c r="K78" s="61">
        <f t="shared" si="14"/>
        <v>29</v>
      </c>
      <c r="L78" s="61">
        <f t="shared" si="14"/>
        <v>35</v>
      </c>
      <c r="M78" s="61">
        <f t="shared" si="14"/>
        <v>35.4</v>
      </c>
      <c r="N78" s="61">
        <f t="shared" si="14"/>
        <v>97</v>
      </c>
      <c r="O78" s="61">
        <f>SUMIF(O67:O77,"&gt;0")</f>
        <v>160</v>
      </c>
      <c r="P78" s="61">
        <f t="shared" si="14"/>
        <v>204</v>
      </c>
      <c r="Q78" s="61">
        <f>SUMIF(Q67:Q77,"&gt;0")</f>
        <v>197</v>
      </c>
      <c r="R78" s="61">
        <f>SUMIF(R67:R77,"&gt;0")</f>
        <v>188</v>
      </c>
      <c r="S78" s="61">
        <f>SUMIF(S67:S77,"&gt;0")</f>
        <v>163.69999999999999</v>
      </c>
      <c r="T78" s="61">
        <f t="shared" ref="T78:AF78" si="15">SUMIF(T67:T77,"&gt;0")</f>
        <v>293</v>
      </c>
      <c r="U78" s="61">
        <f t="shared" si="15"/>
        <v>246</v>
      </c>
      <c r="V78" s="61">
        <f t="shared" si="15"/>
        <v>133.1</v>
      </c>
      <c r="W78" s="61">
        <f t="shared" si="15"/>
        <v>50.5</v>
      </c>
      <c r="X78" s="61">
        <v>61.3</v>
      </c>
      <c r="Y78" s="61">
        <f t="shared" si="15"/>
        <v>77.300000000000011</v>
      </c>
      <c r="Z78" s="61">
        <f t="shared" si="15"/>
        <v>90.7</v>
      </c>
      <c r="AA78" s="61">
        <f t="shared" si="15"/>
        <v>48</v>
      </c>
      <c r="AB78" s="61">
        <f t="shared" si="15"/>
        <v>150.6</v>
      </c>
      <c r="AC78" s="61">
        <f t="shared" si="15"/>
        <v>143.69999999999999</v>
      </c>
      <c r="AD78" s="61">
        <f t="shared" si="15"/>
        <v>151.9</v>
      </c>
      <c r="AE78" s="61">
        <f t="shared" si="15"/>
        <v>177.4</v>
      </c>
      <c r="AF78" s="61">
        <f t="shared" si="15"/>
        <v>162.30000000000001</v>
      </c>
      <c r="AG78" s="81">
        <f>SUM(AG67:AG77)</f>
        <v>0</v>
      </c>
      <c r="AH78" s="48">
        <f t="shared" si="12"/>
        <v>293</v>
      </c>
      <c r="AI78" s="49">
        <f t="shared" si="13"/>
        <v>29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12"/>
        <v>0</v>
      </c>
      <c r="AI79" s="49">
        <f t="shared" si="13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12"/>
        <v>0</v>
      </c>
      <c r="AI80" s="49">
        <f t="shared" si="13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2"/>
        <v>0</v>
      </c>
      <c r="AI81" s="49">
        <f t="shared" si="13"/>
        <v>0</v>
      </c>
    </row>
    <row r="82" spans="1:37" ht="15.75" thickBot="1" x14ac:dyDescent="0.3">
      <c r="A82" s="74" t="s">
        <v>90</v>
      </c>
      <c r="B82" s="61">
        <v>0</v>
      </c>
      <c r="C82" s="61">
        <v>0</v>
      </c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12"/>
        <v>0</v>
      </c>
      <c r="AI82" s="49">
        <f t="shared" si="13"/>
        <v>0</v>
      </c>
    </row>
    <row r="83" spans="1:37" ht="15.75" thickBot="1" x14ac:dyDescent="0.3">
      <c r="A83" s="74" t="s">
        <v>91</v>
      </c>
      <c r="B83" s="83">
        <f t="shared" ref="B83:AG83" si="16">B44+B48+B66+B62+B78+B82</f>
        <v>1035.9389999999999</v>
      </c>
      <c r="C83" s="83">
        <f t="shared" si="16"/>
        <v>1046.6389999999999</v>
      </c>
      <c r="D83" s="83">
        <f t="shared" si="16"/>
        <v>994.53899999999999</v>
      </c>
      <c r="E83" s="83">
        <f t="shared" si="16"/>
        <v>960.04</v>
      </c>
      <c r="F83" s="83">
        <f t="shared" si="16"/>
        <v>990.24</v>
      </c>
      <c r="G83" s="83">
        <f t="shared" si="16"/>
        <v>1035.1399999999999</v>
      </c>
      <c r="H83" s="83">
        <f t="shared" si="16"/>
        <v>1087.3400000000001</v>
      </c>
      <c r="I83" s="83">
        <f t="shared" si="16"/>
        <v>1290.3400000000001</v>
      </c>
      <c r="J83" s="83">
        <f t="shared" si="16"/>
        <v>1347.3400000000001</v>
      </c>
      <c r="K83" s="83">
        <f t="shared" si="16"/>
        <v>1345.3400000000001</v>
      </c>
      <c r="L83" s="83">
        <f t="shared" si="16"/>
        <v>1206.3400000000001</v>
      </c>
      <c r="M83" s="83">
        <f t="shared" si="16"/>
        <v>1474.0400000000002</v>
      </c>
      <c r="N83" s="83">
        <f t="shared" si="16"/>
        <v>1513.94</v>
      </c>
      <c r="O83" s="83">
        <f t="shared" si="16"/>
        <v>1408.4</v>
      </c>
      <c r="P83" s="83">
        <f t="shared" si="16"/>
        <v>1377.64</v>
      </c>
      <c r="Q83" s="83">
        <f t="shared" si="16"/>
        <v>1296.3400000000001</v>
      </c>
      <c r="R83" s="83">
        <f t="shared" si="16"/>
        <v>1215.2400000000002</v>
      </c>
      <c r="S83" s="83">
        <f t="shared" si="16"/>
        <v>1146.0800000000002</v>
      </c>
      <c r="T83" s="83">
        <f t="shared" si="16"/>
        <v>1142.8399999999999</v>
      </c>
      <c r="U83" s="83">
        <f t="shared" ref="U83" si="17">U44+U48+U66+U62+U78+U82</f>
        <v>1144.8399999999999</v>
      </c>
      <c r="V83" s="83">
        <f t="shared" si="16"/>
        <v>1223.3399999999999</v>
      </c>
      <c r="W83" s="83">
        <f t="shared" si="16"/>
        <v>1396.74</v>
      </c>
      <c r="X83" s="83">
        <v>1529.24</v>
      </c>
      <c r="Y83" s="83">
        <f t="shared" si="16"/>
        <v>1499.84</v>
      </c>
      <c r="Z83" s="83">
        <f t="shared" si="16"/>
        <v>1453.24</v>
      </c>
      <c r="AA83" s="83">
        <f t="shared" si="16"/>
        <v>1290.54</v>
      </c>
      <c r="AB83" s="83">
        <f t="shared" si="16"/>
        <v>1278.24</v>
      </c>
      <c r="AC83" s="83">
        <f t="shared" si="16"/>
        <v>1253.3400000000001</v>
      </c>
      <c r="AD83" s="83">
        <f t="shared" si="16"/>
        <v>1209.2400000000002</v>
      </c>
      <c r="AE83" s="83">
        <f t="shared" si="16"/>
        <v>1081.3400000000001</v>
      </c>
      <c r="AF83" s="83">
        <f t="shared" si="16"/>
        <v>1005.8399999999999</v>
      </c>
      <c r="AG83" s="62">
        <f t="shared" si="16"/>
        <v>2004.1900000000003</v>
      </c>
      <c r="AH83" s="48">
        <f t="shared" si="12"/>
        <v>1529.24</v>
      </c>
      <c r="AI83" s="49">
        <f t="shared" si="13"/>
        <v>960.04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>
        <v>60</v>
      </c>
      <c r="AB84" s="85"/>
      <c r="AC84" s="85"/>
      <c r="AD84" s="85"/>
      <c r="AE84" s="85"/>
      <c r="AF84" s="85"/>
      <c r="AG84" s="81"/>
      <c r="AH84" s="48">
        <f t="shared" si="12"/>
        <v>60</v>
      </c>
      <c r="AI84" s="49">
        <f t="shared" si="13"/>
        <v>60</v>
      </c>
    </row>
    <row r="85" spans="1:37" ht="15.75" thickBot="1" x14ac:dyDescent="0.3">
      <c r="A85" s="74" t="s">
        <v>93</v>
      </c>
      <c r="B85" s="83">
        <f t="shared" ref="B85:O85" si="18">B83+B84</f>
        <v>1035.9389999999999</v>
      </c>
      <c r="C85" s="83">
        <f t="shared" si="18"/>
        <v>1046.6389999999999</v>
      </c>
      <c r="D85" s="83">
        <f t="shared" si="18"/>
        <v>994.53899999999999</v>
      </c>
      <c r="E85" s="83">
        <f t="shared" si="18"/>
        <v>960.04</v>
      </c>
      <c r="F85" s="83">
        <f t="shared" si="18"/>
        <v>990.24</v>
      </c>
      <c r="G85" s="83">
        <f t="shared" si="18"/>
        <v>1035.1399999999999</v>
      </c>
      <c r="H85" s="83">
        <f t="shared" si="18"/>
        <v>1087.3400000000001</v>
      </c>
      <c r="I85" s="83">
        <f t="shared" si="18"/>
        <v>1290.3400000000001</v>
      </c>
      <c r="J85" s="83">
        <f t="shared" si="18"/>
        <v>1347.3400000000001</v>
      </c>
      <c r="K85" s="83">
        <f t="shared" si="18"/>
        <v>1345.3400000000001</v>
      </c>
      <c r="L85" s="83">
        <f t="shared" si="18"/>
        <v>1206.3400000000001</v>
      </c>
      <c r="M85" s="83">
        <f t="shared" si="18"/>
        <v>1474.0400000000002</v>
      </c>
      <c r="N85" s="83">
        <f t="shared" si="18"/>
        <v>1513.94</v>
      </c>
      <c r="O85" s="83">
        <f t="shared" si="18"/>
        <v>1408.4</v>
      </c>
      <c r="P85" s="83">
        <f>P83+P84</f>
        <v>1377.64</v>
      </c>
      <c r="Q85" s="83">
        <f>Q83+Q84</f>
        <v>1296.3400000000001</v>
      </c>
      <c r="R85" s="83">
        <f>R83+R84</f>
        <v>1215.2400000000002</v>
      </c>
      <c r="S85" s="83">
        <f t="shared" ref="S85:AF85" si="19">S83+S84</f>
        <v>1146.0800000000002</v>
      </c>
      <c r="T85" s="83">
        <f t="shared" si="19"/>
        <v>1142.8399999999999</v>
      </c>
      <c r="U85" s="83">
        <f t="shared" si="19"/>
        <v>1144.8399999999999</v>
      </c>
      <c r="V85" s="83">
        <f t="shared" si="19"/>
        <v>1223.3399999999999</v>
      </c>
      <c r="W85" s="83">
        <f t="shared" si="19"/>
        <v>1396.74</v>
      </c>
      <c r="X85" s="83">
        <v>1529.24</v>
      </c>
      <c r="Y85" s="83">
        <f t="shared" si="19"/>
        <v>1499.84</v>
      </c>
      <c r="Z85" s="83">
        <f t="shared" si="19"/>
        <v>1453.24</v>
      </c>
      <c r="AA85" s="83">
        <f t="shared" si="19"/>
        <v>1350.54</v>
      </c>
      <c r="AB85" s="83">
        <f t="shared" si="19"/>
        <v>1278.24</v>
      </c>
      <c r="AC85" s="83">
        <f t="shared" si="19"/>
        <v>1253.3400000000001</v>
      </c>
      <c r="AD85" s="83">
        <f t="shared" si="19"/>
        <v>1209.2400000000002</v>
      </c>
      <c r="AE85" s="83">
        <f t="shared" si="19"/>
        <v>1081.3400000000001</v>
      </c>
      <c r="AF85" s="83">
        <f t="shared" si="19"/>
        <v>1005.8399999999999</v>
      </c>
      <c r="AG85" s="81">
        <f>AG82+AG78+AG66+AG62+AG44+AG84</f>
        <v>1466.0900000000001</v>
      </c>
      <c r="AH85" s="48">
        <f t="shared" si="12"/>
        <v>1529.24</v>
      </c>
      <c r="AI85" s="49">
        <f t="shared" si="13"/>
        <v>960.04</v>
      </c>
    </row>
    <row r="86" spans="1:37" ht="15.75" thickBot="1" x14ac:dyDescent="0.3">
      <c r="A86" s="74" t="s">
        <v>94</v>
      </c>
      <c r="B86" s="83">
        <f t="shared" ref="B86:AF86" si="20">B85-B93</f>
        <v>1035.9389999999999</v>
      </c>
      <c r="C86" s="83">
        <f t="shared" si="20"/>
        <v>1046.6389999999999</v>
      </c>
      <c r="D86" s="83">
        <f t="shared" si="20"/>
        <v>994.53899999999999</v>
      </c>
      <c r="E86" s="83">
        <f t="shared" si="20"/>
        <v>960.04</v>
      </c>
      <c r="F86" s="83">
        <f t="shared" si="20"/>
        <v>990.24</v>
      </c>
      <c r="G86" s="83">
        <f t="shared" si="20"/>
        <v>1035.1399999999999</v>
      </c>
      <c r="H86" s="83">
        <f t="shared" si="20"/>
        <v>1087.3400000000001</v>
      </c>
      <c r="I86" s="83">
        <f t="shared" si="20"/>
        <v>1290.3400000000001</v>
      </c>
      <c r="J86" s="83">
        <f t="shared" si="20"/>
        <v>1347.3400000000001</v>
      </c>
      <c r="K86" s="83">
        <f t="shared" si="20"/>
        <v>1345.3400000000001</v>
      </c>
      <c r="L86" s="83">
        <f t="shared" si="20"/>
        <v>1206.3400000000001</v>
      </c>
      <c r="M86" s="83">
        <f t="shared" si="20"/>
        <v>1474.0400000000002</v>
      </c>
      <c r="N86" s="83">
        <f t="shared" si="20"/>
        <v>1513.94</v>
      </c>
      <c r="O86" s="83">
        <f t="shared" si="20"/>
        <v>1408.4</v>
      </c>
      <c r="P86" s="83">
        <f t="shared" si="20"/>
        <v>1377.64</v>
      </c>
      <c r="Q86" s="83">
        <f t="shared" si="20"/>
        <v>1296.3400000000001</v>
      </c>
      <c r="R86" s="83">
        <f t="shared" si="20"/>
        <v>1215.2400000000002</v>
      </c>
      <c r="S86" s="83">
        <f t="shared" si="20"/>
        <v>1146.0800000000002</v>
      </c>
      <c r="T86" s="83">
        <f t="shared" si="20"/>
        <v>1142.8399999999999</v>
      </c>
      <c r="U86" s="83">
        <f t="shared" ref="U86" si="21">U85-U93</f>
        <v>1144.8399999999999</v>
      </c>
      <c r="V86" s="83">
        <f t="shared" si="20"/>
        <v>1223.3399999999999</v>
      </c>
      <c r="W86" s="83">
        <f t="shared" si="20"/>
        <v>1396.74</v>
      </c>
      <c r="X86" s="83">
        <v>1529.24</v>
      </c>
      <c r="Y86" s="83">
        <f t="shared" si="20"/>
        <v>1499.84</v>
      </c>
      <c r="Z86" s="83">
        <f t="shared" si="20"/>
        <v>1453.24</v>
      </c>
      <c r="AA86" s="83">
        <f t="shared" si="20"/>
        <v>1350.54</v>
      </c>
      <c r="AB86" s="83">
        <f t="shared" si="20"/>
        <v>1278.24</v>
      </c>
      <c r="AC86" s="83">
        <f t="shared" si="20"/>
        <v>1253.3400000000001</v>
      </c>
      <c r="AD86" s="83">
        <f t="shared" si="20"/>
        <v>1209.2400000000002</v>
      </c>
      <c r="AE86" s="83">
        <f t="shared" si="20"/>
        <v>1081.3400000000001</v>
      </c>
      <c r="AF86" s="83">
        <f t="shared" si="20"/>
        <v>1005.8399999999999</v>
      </c>
      <c r="AG86" s="81"/>
      <c r="AH86" s="48">
        <f t="shared" si="12"/>
        <v>1529.24</v>
      </c>
      <c r="AI86" s="49">
        <f t="shared" si="13"/>
        <v>960.04</v>
      </c>
    </row>
    <row r="87" spans="1:37" x14ac:dyDescent="0.25">
      <c r="A87" s="44" t="s">
        <v>78</v>
      </c>
      <c r="B87" s="76">
        <f t="shared" ref="B87:K87" si="22">IF(B70&lt;0,B70*-1,0)</f>
        <v>0</v>
      </c>
      <c r="C87" s="76">
        <f t="shared" si="22"/>
        <v>0</v>
      </c>
      <c r="D87" s="76">
        <f t="shared" si="22"/>
        <v>0</v>
      </c>
      <c r="E87" s="76">
        <f t="shared" si="22"/>
        <v>0</v>
      </c>
      <c r="F87" s="76">
        <f t="shared" si="22"/>
        <v>0</v>
      </c>
      <c r="G87" s="76">
        <f t="shared" si="22"/>
        <v>0</v>
      </c>
      <c r="H87" s="76">
        <f t="shared" si="22"/>
        <v>0</v>
      </c>
      <c r="I87" s="76">
        <f t="shared" si="22"/>
        <v>0</v>
      </c>
      <c r="J87" s="76">
        <f t="shared" si="22"/>
        <v>0</v>
      </c>
      <c r="K87" s="76">
        <f t="shared" si="22"/>
        <v>0</v>
      </c>
      <c r="L87" s="76">
        <f t="shared" ref="L87:Q87" si="23">IF(L70&lt;0,L70*-1,0)</f>
        <v>0</v>
      </c>
      <c r="M87" s="76">
        <f t="shared" si="23"/>
        <v>0</v>
      </c>
      <c r="N87" s="76">
        <f t="shared" si="23"/>
        <v>0</v>
      </c>
      <c r="O87" s="76">
        <f t="shared" si="23"/>
        <v>0</v>
      </c>
      <c r="P87" s="76">
        <f t="shared" si="23"/>
        <v>0</v>
      </c>
      <c r="Q87" s="76">
        <f t="shared" si="23"/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12"/>
        <v>0</v>
      </c>
      <c r="AI87" s="49">
        <f t="shared" si="13"/>
        <v>0</v>
      </c>
    </row>
    <row r="88" spans="1:37" x14ac:dyDescent="0.25">
      <c r="A88" s="54" t="s">
        <v>76</v>
      </c>
      <c r="B88" s="76">
        <f t="shared" ref="B88:K88" si="24">IF(B68&lt;0,B68*-1,0)</f>
        <v>0</v>
      </c>
      <c r="C88" s="76">
        <f t="shared" si="24"/>
        <v>0</v>
      </c>
      <c r="D88" s="76">
        <f t="shared" si="24"/>
        <v>0</v>
      </c>
      <c r="E88" s="76">
        <f t="shared" si="24"/>
        <v>0</v>
      </c>
      <c r="F88" s="76">
        <f t="shared" si="24"/>
        <v>0</v>
      </c>
      <c r="G88" s="76">
        <f t="shared" si="24"/>
        <v>0</v>
      </c>
      <c r="H88" s="76">
        <f t="shared" si="24"/>
        <v>0</v>
      </c>
      <c r="I88" s="76">
        <f t="shared" si="24"/>
        <v>0</v>
      </c>
      <c r="J88" s="76">
        <f t="shared" si="24"/>
        <v>0</v>
      </c>
      <c r="K88" s="76">
        <f t="shared" si="24"/>
        <v>0</v>
      </c>
      <c r="L88" s="76">
        <f t="shared" ref="L88:Q88" si="25">IF(L68&lt;0,L68*-1,0)</f>
        <v>0</v>
      </c>
      <c r="M88" s="76">
        <f t="shared" si="25"/>
        <v>0</v>
      </c>
      <c r="N88" s="76">
        <f t="shared" si="25"/>
        <v>0</v>
      </c>
      <c r="O88" s="76">
        <f t="shared" si="25"/>
        <v>0</v>
      </c>
      <c r="P88" s="76">
        <f t="shared" si="25"/>
        <v>0</v>
      </c>
      <c r="Q88" s="76">
        <f t="shared" si="25"/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12"/>
        <v>0</v>
      </c>
      <c r="AI88" s="49">
        <f t="shared" si="13"/>
        <v>0</v>
      </c>
    </row>
    <row r="89" spans="1:37" x14ac:dyDescent="0.25">
      <c r="A89" s="78" t="s">
        <v>95</v>
      </c>
      <c r="B89" s="76">
        <f t="shared" ref="B89:K89" si="26">IF(B71&lt;0,B71*-1,0)</f>
        <v>0</v>
      </c>
      <c r="C89" s="76">
        <f t="shared" si="26"/>
        <v>0</v>
      </c>
      <c r="D89" s="76">
        <f t="shared" si="26"/>
        <v>0</v>
      </c>
      <c r="E89" s="76">
        <f t="shared" si="26"/>
        <v>0</v>
      </c>
      <c r="F89" s="76">
        <f t="shared" si="26"/>
        <v>0</v>
      </c>
      <c r="G89" s="76">
        <f t="shared" si="26"/>
        <v>0</v>
      </c>
      <c r="H89" s="76">
        <f t="shared" si="26"/>
        <v>0</v>
      </c>
      <c r="I89" s="76">
        <f t="shared" si="26"/>
        <v>0</v>
      </c>
      <c r="J89" s="76">
        <f t="shared" si="26"/>
        <v>0</v>
      </c>
      <c r="K89" s="76">
        <f t="shared" si="26"/>
        <v>0</v>
      </c>
      <c r="L89" s="76">
        <f t="shared" ref="L89:Q89" si="27">IF(L71&lt;0,L71*-1,0)</f>
        <v>0</v>
      </c>
      <c r="M89" s="76">
        <f t="shared" si="27"/>
        <v>0</v>
      </c>
      <c r="N89" s="76">
        <f t="shared" si="27"/>
        <v>0</v>
      </c>
      <c r="O89" s="76">
        <f t="shared" si="27"/>
        <v>0</v>
      </c>
      <c r="P89" s="76">
        <f t="shared" si="27"/>
        <v>0</v>
      </c>
      <c r="Q89" s="76">
        <f t="shared" si="27"/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12"/>
        <v>0</v>
      </c>
      <c r="AI89" s="49">
        <f t="shared" si="13"/>
        <v>0</v>
      </c>
    </row>
    <row r="90" spans="1:37" x14ac:dyDescent="0.25">
      <c r="A90" s="78" t="s">
        <v>96</v>
      </c>
      <c r="B90" s="76">
        <f t="shared" ref="B90:K90" si="28">IF(B69&lt;0,B69*-1,0)</f>
        <v>0</v>
      </c>
      <c r="C90" s="76">
        <f t="shared" si="28"/>
        <v>0</v>
      </c>
      <c r="D90" s="76">
        <f t="shared" si="28"/>
        <v>0</v>
      </c>
      <c r="E90" s="76">
        <f t="shared" si="28"/>
        <v>0</v>
      </c>
      <c r="F90" s="76">
        <f t="shared" si="28"/>
        <v>0</v>
      </c>
      <c r="G90" s="76">
        <f t="shared" si="28"/>
        <v>0</v>
      </c>
      <c r="H90" s="76">
        <f t="shared" si="28"/>
        <v>0</v>
      </c>
      <c r="I90" s="76">
        <f t="shared" si="28"/>
        <v>0</v>
      </c>
      <c r="J90" s="76">
        <f t="shared" si="28"/>
        <v>0</v>
      </c>
      <c r="K90" s="76">
        <f t="shared" si="28"/>
        <v>0</v>
      </c>
      <c r="L90" s="76">
        <f t="shared" ref="L90:Q90" si="29">IF(L69&lt;0,L69*-1,0)</f>
        <v>0</v>
      </c>
      <c r="M90" s="76">
        <f t="shared" si="29"/>
        <v>0</v>
      </c>
      <c r="N90" s="76">
        <f t="shared" si="29"/>
        <v>0</v>
      </c>
      <c r="O90" s="76">
        <f t="shared" si="29"/>
        <v>0</v>
      </c>
      <c r="P90" s="76">
        <f t="shared" si="29"/>
        <v>0</v>
      </c>
      <c r="Q90" s="76">
        <f t="shared" si="29"/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12"/>
        <v>0</v>
      </c>
      <c r="AI90" s="49">
        <f t="shared" si="13"/>
        <v>0</v>
      </c>
    </row>
    <row r="91" spans="1:37" x14ac:dyDescent="0.25">
      <c r="A91" s="78" t="s">
        <v>75</v>
      </c>
      <c r="B91" s="76">
        <f t="shared" ref="B91:K91" si="30">IF(B67&lt;0,B67*-1,0)</f>
        <v>0</v>
      </c>
      <c r="C91" s="76">
        <f t="shared" si="30"/>
        <v>0</v>
      </c>
      <c r="D91" s="76">
        <f t="shared" si="30"/>
        <v>0</v>
      </c>
      <c r="E91" s="76">
        <f t="shared" si="30"/>
        <v>0</v>
      </c>
      <c r="F91" s="76">
        <f t="shared" si="30"/>
        <v>0</v>
      </c>
      <c r="G91" s="76">
        <f t="shared" si="30"/>
        <v>0</v>
      </c>
      <c r="H91" s="76">
        <f t="shared" si="30"/>
        <v>0</v>
      </c>
      <c r="I91" s="76">
        <f t="shared" si="30"/>
        <v>0</v>
      </c>
      <c r="J91" s="76">
        <f t="shared" si="30"/>
        <v>0</v>
      </c>
      <c r="K91" s="76">
        <f t="shared" si="30"/>
        <v>0</v>
      </c>
      <c r="L91" s="76">
        <f t="shared" ref="L91:Q91" si="31">IF(L67&lt;0,L67*-1,0)</f>
        <v>0</v>
      </c>
      <c r="M91" s="76">
        <f t="shared" si="31"/>
        <v>0</v>
      </c>
      <c r="N91" s="76">
        <f t="shared" si="31"/>
        <v>0</v>
      </c>
      <c r="O91" s="76">
        <f t="shared" si="31"/>
        <v>0</v>
      </c>
      <c r="P91" s="76">
        <f t="shared" si="31"/>
        <v>0</v>
      </c>
      <c r="Q91" s="76">
        <f t="shared" si="31"/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12"/>
        <v>0</v>
      </c>
      <c r="AI91" s="49">
        <f t="shared" si="13"/>
        <v>0</v>
      </c>
    </row>
    <row r="92" spans="1:37" ht="15.75" thickBot="1" x14ac:dyDescent="0.3">
      <c r="A92" s="78" t="s">
        <v>97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12"/>
        <v>0</v>
      </c>
      <c r="AI92" s="49">
        <f t="shared" si="13"/>
        <v>0</v>
      </c>
    </row>
    <row r="93" spans="1:37" ht="15.75" thickBot="1" x14ac:dyDescent="0.3">
      <c r="A93" s="87" t="s">
        <v>98</v>
      </c>
      <c r="B93" s="61">
        <f t="shared" ref="B93" si="32">SUM(B87:B92)</f>
        <v>0</v>
      </c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/>
      <c r="Z93" s="61"/>
      <c r="AA93" s="61"/>
      <c r="AB93" s="61"/>
      <c r="AC93" s="61"/>
      <c r="AD93" s="61"/>
      <c r="AE93" s="61"/>
      <c r="AF93" s="61"/>
      <c r="AG93" s="81"/>
      <c r="AH93" s="48">
        <f t="shared" si="12"/>
        <v>0</v>
      </c>
      <c r="AI93" s="49">
        <f t="shared" si="13"/>
        <v>0</v>
      </c>
      <c r="AK93" s="50"/>
    </row>
    <row r="94" spans="1:37" ht="15.75" thickBot="1" x14ac:dyDescent="0.3">
      <c r="A94" s="74" t="s">
        <v>99</v>
      </c>
      <c r="B94" s="61">
        <f t="shared" ref="B94:S94" si="33">B78-B93</f>
        <v>156.6</v>
      </c>
      <c r="C94" s="61">
        <f t="shared" si="33"/>
        <v>190.5</v>
      </c>
      <c r="D94" s="61">
        <f t="shared" si="33"/>
        <v>185.5</v>
      </c>
      <c r="E94" s="61">
        <f t="shared" si="33"/>
        <v>176.7</v>
      </c>
      <c r="F94" s="61">
        <f t="shared" si="33"/>
        <v>182.1</v>
      </c>
      <c r="G94" s="61">
        <f t="shared" si="33"/>
        <v>173</v>
      </c>
      <c r="H94" s="61">
        <f t="shared" si="33"/>
        <v>179</v>
      </c>
      <c r="I94" s="61">
        <f t="shared" si="33"/>
        <v>173</v>
      </c>
      <c r="J94" s="61">
        <f t="shared" si="33"/>
        <v>175</v>
      </c>
      <c r="K94" s="61">
        <f t="shared" si="33"/>
        <v>29</v>
      </c>
      <c r="L94" s="61">
        <f t="shared" si="33"/>
        <v>35</v>
      </c>
      <c r="M94" s="61">
        <f t="shared" si="33"/>
        <v>35.4</v>
      </c>
      <c r="N94" s="61">
        <f t="shared" si="33"/>
        <v>97</v>
      </c>
      <c r="O94" s="61">
        <f t="shared" si="33"/>
        <v>160</v>
      </c>
      <c r="P94" s="61">
        <f t="shared" si="33"/>
        <v>204</v>
      </c>
      <c r="Q94" s="61">
        <f t="shared" si="33"/>
        <v>197</v>
      </c>
      <c r="R94" s="61">
        <f t="shared" si="33"/>
        <v>188</v>
      </c>
      <c r="S94" s="61">
        <f t="shared" si="33"/>
        <v>163.69999999999999</v>
      </c>
      <c r="T94" s="61">
        <f>T78-T93</f>
        <v>293</v>
      </c>
      <c r="U94" s="61">
        <f>U78-U93</f>
        <v>246</v>
      </c>
      <c r="V94" s="61">
        <f t="shared" ref="V94:AF94" si="34">V78-V93</f>
        <v>133.1</v>
      </c>
      <c r="W94" s="61">
        <f t="shared" si="34"/>
        <v>50.5</v>
      </c>
      <c r="X94" s="61">
        <v>61.3</v>
      </c>
      <c r="Y94" s="61">
        <f t="shared" si="34"/>
        <v>77.300000000000011</v>
      </c>
      <c r="Z94" s="61">
        <f t="shared" si="34"/>
        <v>90.7</v>
      </c>
      <c r="AA94" s="61">
        <f t="shared" si="34"/>
        <v>48</v>
      </c>
      <c r="AB94" s="61">
        <f t="shared" si="34"/>
        <v>150.6</v>
      </c>
      <c r="AC94" s="61">
        <f t="shared" si="34"/>
        <v>143.69999999999999</v>
      </c>
      <c r="AD94" s="61">
        <f t="shared" si="34"/>
        <v>151.9</v>
      </c>
      <c r="AE94" s="61">
        <f t="shared" si="34"/>
        <v>177.4</v>
      </c>
      <c r="AF94" s="61">
        <f t="shared" si="34"/>
        <v>162.30000000000001</v>
      </c>
      <c r="AG94" s="81"/>
      <c r="AH94" s="48">
        <f t="shared" si="12"/>
        <v>293</v>
      </c>
      <c r="AI94" s="49">
        <f t="shared" si="13"/>
        <v>29</v>
      </c>
    </row>
    <row r="95" spans="1:37" x14ac:dyDescent="0.25">
      <c r="A95" s="88" t="s">
        <v>100</v>
      </c>
      <c r="B95" s="89">
        <v>50.067999999999998</v>
      </c>
      <c r="C95" s="89">
        <v>49.856000000000002</v>
      </c>
      <c r="D95" s="89">
        <v>49.817999999999998</v>
      </c>
      <c r="E95" s="89">
        <v>50.05</v>
      </c>
      <c r="F95" s="89">
        <v>50</v>
      </c>
      <c r="G95" s="89">
        <v>50</v>
      </c>
      <c r="H95" s="89">
        <v>50.127000000000002</v>
      </c>
      <c r="I95" s="89">
        <v>50.14</v>
      </c>
      <c r="J95" s="89">
        <v>50</v>
      </c>
      <c r="K95" s="89">
        <v>50.073</v>
      </c>
      <c r="L95" s="89">
        <v>50.2</v>
      </c>
      <c r="M95" s="89">
        <v>49.875999999999998</v>
      </c>
      <c r="N95" s="89">
        <v>49.94</v>
      </c>
      <c r="O95" s="89">
        <v>49.848999999999997</v>
      </c>
      <c r="P95" s="89">
        <v>50.055999999999997</v>
      </c>
      <c r="Q95" s="89">
        <v>49.984000000000002</v>
      </c>
      <c r="R95" s="89">
        <v>49.926000000000002</v>
      </c>
      <c r="S95" s="89">
        <v>49.85</v>
      </c>
      <c r="T95" s="89">
        <v>49.762</v>
      </c>
      <c r="U95" s="89">
        <v>49.762</v>
      </c>
      <c r="V95" s="89">
        <v>49.828000000000003</v>
      </c>
      <c r="W95" s="89">
        <v>50.06</v>
      </c>
      <c r="X95" s="89">
        <v>50.1</v>
      </c>
      <c r="Y95" s="89">
        <v>49.97</v>
      </c>
      <c r="Z95" s="89">
        <v>50</v>
      </c>
      <c r="AA95" s="89">
        <v>50</v>
      </c>
      <c r="AB95" s="89">
        <v>50.06</v>
      </c>
      <c r="AC95" s="89">
        <v>50.052999999999997</v>
      </c>
      <c r="AD95" s="89">
        <v>49.941000000000003</v>
      </c>
      <c r="AE95" s="89">
        <v>49.954999999999998</v>
      </c>
      <c r="AF95" s="89">
        <v>49.988</v>
      </c>
      <c r="AG95" s="90"/>
      <c r="AH95" s="48">
        <f t="shared" si="12"/>
        <v>50.2</v>
      </c>
      <c r="AI95" s="49">
        <f t="shared" si="13"/>
        <v>49.762</v>
      </c>
    </row>
    <row r="96" spans="1:37" x14ac:dyDescent="0.25">
      <c r="A96" s="91" t="s">
        <v>101</v>
      </c>
      <c r="B96" s="65">
        <v>128.19999999999999</v>
      </c>
      <c r="C96" s="65">
        <v>128.30000000000001</v>
      </c>
      <c r="D96" s="65">
        <v>128.5</v>
      </c>
      <c r="E96" s="65">
        <v>130</v>
      </c>
      <c r="F96" s="65">
        <v>128</v>
      </c>
      <c r="G96" s="65">
        <v>128</v>
      </c>
      <c r="H96" s="65">
        <v>128</v>
      </c>
      <c r="I96" s="65">
        <v>125.6</v>
      </c>
      <c r="J96" s="65">
        <v>125.6</v>
      </c>
      <c r="K96" s="65">
        <v>125.6</v>
      </c>
      <c r="L96" s="65">
        <v>125.6</v>
      </c>
      <c r="M96" s="65">
        <v>124.1</v>
      </c>
      <c r="N96" s="65">
        <v>122.9</v>
      </c>
      <c r="O96" s="65">
        <v>126.5</v>
      </c>
      <c r="P96" s="65">
        <v>124.8</v>
      </c>
      <c r="Q96" s="65">
        <v>123.4</v>
      </c>
      <c r="R96" s="65">
        <v>126.2</v>
      </c>
      <c r="S96" s="65">
        <v>126.2</v>
      </c>
      <c r="T96" s="65">
        <v>126.2</v>
      </c>
      <c r="U96" s="65">
        <v>126.2</v>
      </c>
      <c r="V96" s="65">
        <v>128.1</v>
      </c>
      <c r="W96" s="65">
        <v>128</v>
      </c>
      <c r="X96" s="65">
        <v>127.5</v>
      </c>
      <c r="Y96" s="65">
        <v>127.3</v>
      </c>
      <c r="Z96" s="65">
        <v>128.80000000000001</v>
      </c>
      <c r="AA96" s="65">
        <v>130</v>
      </c>
      <c r="AB96" s="65">
        <v>129.5</v>
      </c>
      <c r="AC96" s="65">
        <v>130</v>
      </c>
      <c r="AD96" s="65">
        <v>130</v>
      </c>
      <c r="AE96" s="65">
        <v>130.1</v>
      </c>
      <c r="AF96" s="65">
        <v>130.19999999999999</v>
      </c>
      <c r="AG96" s="92"/>
      <c r="AH96" s="48">
        <f t="shared" si="12"/>
        <v>130.19999999999999</v>
      </c>
      <c r="AI96" s="49">
        <f t="shared" si="13"/>
        <v>122.9</v>
      </c>
    </row>
    <row r="97" spans="1:35" x14ac:dyDescent="0.25">
      <c r="A97" s="91" t="s">
        <v>102</v>
      </c>
      <c r="B97" s="65">
        <v>132.1</v>
      </c>
      <c r="C97" s="65">
        <v>132.1</v>
      </c>
      <c r="D97" s="65">
        <v>132.1</v>
      </c>
      <c r="E97" s="65">
        <v>133</v>
      </c>
      <c r="F97" s="65">
        <v>132</v>
      </c>
      <c r="G97" s="65">
        <v>132</v>
      </c>
      <c r="H97" s="65">
        <v>132</v>
      </c>
      <c r="I97" s="65">
        <v>129</v>
      </c>
      <c r="J97" s="65">
        <v>129</v>
      </c>
      <c r="K97" s="65">
        <v>129</v>
      </c>
      <c r="L97" s="65">
        <v>129</v>
      </c>
      <c r="M97" s="65">
        <v>127.5</v>
      </c>
      <c r="N97" s="65">
        <v>126.3</v>
      </c>
      <c r="O97" s="65">
        <v>128.5</v>
      </c>
      <c r="P97" s="65">
        <v>128</v>
      </c>
      <c r="Q97" s="65">
        <v>126.9</v>
      </c>
      <c r="R97" s="65">
        <v>128.9</v>
      </c>
      <c r="S97" s="65">
        <v>128.9</v>
      </c>
      <c r="T97" s="65">
        <v>128.9</v>
      </c>
      <c r="U97" s="65">
        <v>128.9</v>
      </c>
      <c r="V97" s="65">
        <v>130.9</v>
      </c>
      <c r="W97" s="65">
        <v>130.1</v>
      </c>
      <c r="X97" s="65"/>
      <c r="Y97" s="65"/>
      <c r="Z97" s="65"/>
      <c r="AA97" s="65"/>
      <c r="AB97" s="65">
        <v>130.80000000000001</v>
      </c>
      <c r="AC97" s="65">
        <v>131.5</v>
      </c>
      <c r="AD97" s="65">
        <v>131.69999999999999</v>
      </c>
      <c r="AE97" s="65">
        <v>132.69999999999999</v>
      </c>
      <c r="AF97" s="65">
        <v>133.1</v>
      </c>
      <c r="AG97" s="92"/>
      <c r="AH97" s="48">
        <f t="shared" si="12"/>
        <v>133.1</v>
      </c>
      <c r="AI97" s="49">
        <f t="shared" si="13"/>
        <v>126.3</v>
      </c>
    </row>
    <row r="98" spans="1:35" x14ac:dyDescent="0.25">
      <c r="A98" s="91" t="s">
        <v>103</v>
      </c>
      <c r="B98" s="65">
        <v>129.6</v>
      </c>
      <c r="C98" s="65">
        <v>129.4</v>
      </c>
      <c r="D98" s="65">
        <v>129.4</v>
      </c>
      <c r="E98" s="65">
        <v>130</v>
      </c>
      <c r="F98" s="65">
        <v>130.69999999999999</v>
      </c>
      <c r="G98" s="65">
        <v>130.69999999999999</v>
      </c>
      <c r="H98" s="65">
        <v>130.69999999999999</v>
      </c>
      <c r="I98" s="65">
        <v>129</v>
      </c>
      <c r="J98" s="65">
        <v>129</v>
      </c>
      <c r="K98" s="65">
        <v>129</v>
      </c>
      <c r="L98" s="65">
        <v>129</v>
      </c>
      <c r="M98" s="65">
        <v>125.9</v>
      </c>
      <c r="N98" s="65">
        <v>129.69999999999999</v>
      </c>
      <c r="O98" s="65">
        <v>131.69999999999999</v>
      </c>
      <c r="P98" s="65">
        <v>130.1</v>
      </c>
      <c r="Q98" s="65">
        <v>129.5</v>
      </c>
      <c r="R98" s="65">
        <v>129</v>
      </c>
      <c r="S98" s="65">
        <v>129</v>
      </c>
      <c r="T98" s="65">
        <v>129</v>
      </c>
      <c r="U98" s="65">
        <v>129</v>
      </c>
      <c r="V98" s="65">
        <v>127</v>
      </c>
      <c r="W98" s="65">
        <v>127.1</v>
      </c>
      <c r="X98" s="65">
        <v>130.6</v>
      </c>
      <c r="Y98" s="65">
        <v>131.5</v>
      </c>
      <c r="Z98" s="65">
        <v>133.69999999999999</v>
      </c>
      <c r="AA98" s="65">
        <v>130</v>
      </c>
      <c r="AB98" s="65">
        <v>132.1</v>
      </c>
      <c r="AC98" s="65">
        <v>132</v>
      </c>
      <c r="AD98" s="65">
        <v>131.1</v>
      </c>
      <c r="AE98" s="65">
        <v>130.80000000000001</v>
      </c>
      <c r="AF98" s="65">
        <v>130.4</v>
      </c>
      <c r="AG98" s="92"/>
      <c r="AH98" s="48">
        <f t="shared" si="12"/>
        <v>133.69999999999999</v>
      </c>
      <c r="AI98" s="49">
        <f t="shared" si="13"/>
        <v>125.9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2"/>
        <v>0</v>
      </c>
      <c r="AI99" s="49">
        <f t="shared" si="13"/>
        <v>0</v>
      </c>
    </row>
    <row r="100" spans="1:35" x14ac:dyDescent="0.25">
      <c r="A100" s="93" t="s">
        <v>105</v>
      </c>
      <c r="B100" s="94">
        <v>130.6</v>
      </c>
      <c r="C100" s="94">
        <v>132.30000000000001</v>
      </c>
      <c r="D100" s="94">
        <v>132.30000000000001</v>
      </c>
      <c r="E100" s="94">
        <v>130.37</v>
      </c>
      <c r="F100" s="94">
        <v>130.5</v>
      </c>
      <c r="G100" s="94">
        <v>130.5</v>
      </c>
      <c r="H100" s="94">
        <v>130.5</v>
      </c>
      <c r="I100" s="94">
        <v>1341</v>
      </c>
      <c r="J100" s="94">
        <v>1341</v>
      </c>
      <c r="K100" s="94">
        <v>1341</v>
      </c>
      <c r="L100" s="94">
        <v>1341</v>
      </c>
      <c r="M100" s="94">
        <v>141.1</v>
      </c>
      <c r="N100" s="94">
        <v>135.5</v>
      </c>
      <c r="O100" s="94">
        <v>135.19999999999999</v>
      </c>
      <c r="P100" s="94">
        <v>133.80000000000001</v>
      </c>
      <c r="Q100" s="94">
        <v>132.80000000000001</v>
      </c>
      <c r="R100" s="94">
        <v>134.69999999999999</v>
      </c>
      <c r="S100" s="94">
        <v>134.69999999999999</v>
      </c>
      <c r="T100" s="94">
        <v>134.69999999999999</v>
      </c>
      <c r="U100" s="94">
        <v>134.69999999999999</v>
      </c>
      <c r="V100" s="94">
        <v>132.19999999999999</v>
      </c>
      <c r="W100" s="94">
        <v>133.6</v>
      </c>
      <c r="X100" s="94">
        <v>136.4</v>
      </c>
      <c r="Y100" s="94">
        <v>134.30000000000001</v>
      </c>
      <c r="Z100" s="94">
        <v>134.30000000000001</v>
      </c>
      <c r="AA100" s="94">
        <v>132.9</v>
      </c>
      <c r="AB100" s="94">
        <v>133.19999999999999</v>
      </c>
      <c r="AC100" s="94">
        <v>134.69999999999999</v>
      </c>
      <c r="AD100" s="94">
        <v>134</v>
      </c>
      <c r="AE100" s="94">
        <v>135.80000000000001</v>
      </c>
      <c r="AF100" s="94">
        <v>135.4</v>
      </c>
      <c r="AG100" s="95"/>
      <c r="AH100" s="48">
        <f t="shared" si="12"/>
        <v>1341</v>
      </c>
      <c r="AI100" s="49">
        <f t="shared" si="13"/>
        <v>130.37</v>
      </c>
    </row>
    <row r="101" spans="1:35" x14ac:dyDescent="0.25">
      <c r="A101" s="91" t="s">
        <v>106</v>
      </c>
      <c r="B101" s="65">
        <v>129</v>
      </c>
      <c r="C101" s="65">
        <v>129.80000000000001</v>
      </c>
      <c r="D101" s="65">
        <v>129.80000000000001</v>
      </c>
      <c r="E101" s="65">
        <v>139</v>
      </c>
      <c r="F101" s="65">
        <v>134</v>
      </c>
      <c r="G101" s="65">
        <v>134</v>
      </c>
      <c r="H101" s="65">
        <v>134</v>
      </c>
      <c r="I101" s="65">
        <v>132</v>
      </c>
      <c r="J101" s="65">
        <v>132</v>
      </c>
      <c r="K101" s="65">
        <v>132</v>
      </c>
      <c r="L101" s="65">
        <v>132</v>
      </c>
      <c r="M101" s="65">
        <v>130.69999999999999</v>
      </c>
      <c r="N101" s="65">
        <v>128.19999999999999</v>
      </c>
      <c r="O101" s="65">
        <v>122.6</v>
      </c>
      <c r="P101" s="65">
        <v>125.4</v>
      </c>
      <c r="Q101" s="65">
        <v>127.8</v>
      </c>
      <c r="R101" s="65">
        <v>126.6</v>
      </c>
      <c r="S101" s="65">
        <v>126.6</v>
      </c>
      <c r="T101" s="65">
        <v>126.6</v>
      </c>
      <c r="U101" s="65">
        <v>126.6</v>
      </c>
      <c r="V101" s="65">
        <v>127.3</v>
      </c>
      <c r="W101" s="65">
        <v>129.4</v>
      </c>
      <c r="X101" s="65">
        <v>134.1</v>
      </c>
      <c r="Y101" s="65">
        <v>131.9</v>
      </c>
      <c r="Z101" s="65">
        <v>131.9</v>
      </c>
      <c r="AA101" s="65">
        <v>131.9</v>
      </c>
      <c r="AB101" s="65">
        <v>130.30000000000001</v>
      </c>
      <c r="AC101" s="65">
        <v>128.6</v>
      </c>
      <c r="AD101" s="65">
        <v>129.5</v>
      </c>
      <c r="AE101" s="65">
        <v>132.69999999999999</v>
      </c>
      <c r="AF101" s="65">
        <v>128</v>
      </c>
      <c r="AG101" s="92"/>
      <c r="AH101" s="48">
        <f t="shared" si="12"/>
        <v>139</v>
      </c>
      <c r="AI101" s="49">
        <f t="shared" si="13"/>
        <v>122.6</v>
      </c>
    </row>
    <row r="102" spans="1:35" ht="15.75" thickBot="1" x14ac:dyDescent="0.3">
      <c r="A102" s="91" t="s">
        <v>107</v>
      </c>
      <c r="B102" s="96">
        <v>66.099999999999994</v>
      </c>
      <c r="C102" s="96">
        <v>66.400000000000006</v>
      </c>
      <c r="D102" s="96">
        <v>66.400000000000006</v>
      </c>
      <c r="E102" s="96">
        <v>66</v>
      </c>
      <c r="F102" s="96">
        <v>66</v>
      </c>
      <c r="G102" s="96">
        <v>66</v>
      </c>
      <c r="H102" s="96">
        <v>66</v>
      </c>
      <c r="I102" s="96">
        <v>64.599999999999994</v>
      </c>
      <c r="J102" s="96">
        <v>64.599999999999994</v>
      </c>
      <c r="K102" s="96">
        <v>64.599999999999994</v>
      </c>
      <c r="L102" s="96">
        <v>64.599999999999994</v>
      </c>
      <c r="M102" s="96">
        <v>63.3</v>
      </c>
      <c r="N102" s="96">
        <v>63.1</v>
      </c>
      <c r="O102" s="96">
        <v>64.3</v>
      </c>
      <c r="P102" s="96">
        <v>64.34</v>
      </c>
      <c r="Q102" s="96">
        <v>63.6</v>
      </c>
      <c r="R102" s="96">
        <v>64.8</v>
      </c>
      <c r="S102" s="96">
        <v>64.8</v>
      </c>
      <c r="T102" s="96">
        <v>64.8</v>
      </c>
      <c r="U102" s="96">
        <v>64.8</v>
      </c>
      <c r="V102" s="96">
        <v>65.7</v>
      </c>
      <c r="W102" s="96">
        <v>65.400000000000006</v>
      </c>
      <c r="X102" s="96"/>
      <c r="Y102" s="96"/>
      <c r="Z102" s="96"/>
      <c r="AA102" s="96"/>
      <c r="AB102" s="96">
        <v>65.599999999999994</v>
      </c>
      <c r="AC102" s="96">
        <v>65.900000000000006</v>
      </c>
      <c r="AD102" s="96">
        <v>66.099999999999994</v>
      </c>
      <c r="AE102" s="96">
        <v>66.400000000000006</v>
      </c>
      <c r="AF102" s="96">
        <v>66.8</v>
      </c>
      <c r="AG102" s="97"/>
      <c r="AH102" s="48">
        <f t="shared" si="12"/>
        <v>66.8</v>
      </c>
      <c r="AI102" s="49">
        <f t="shared" si="13"/>
        <v>63.1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2"/>
        <v>0</v>
      </c>
      <c r="AI103" s="49">
        <f t="shared" si="13"/>
        <v>0</v>
      </c>
    </row>
    <row r="104" spans="1:35" ht="15.75" thickBot="1" x14ac:dyDescent="0.3">
      <c r="A104" s="99" t="s">
        <v>108</v>
      </c>
      <c r="B104" s="100">
        <f t="shared" ref="B104:AF104" si="35">SUM(B16,B22,B25:B26,B52,B54:B55,B57,B59,B105:B109,B131,B137,B143,B152,B154,B166,B173,B176:B177,B184,B186,B188,B192:B194,B196:B198,B203,B209:B210,B212:B214,B222,B227)</f>
        <v>114.09899999999998</v>
      </c>
      <c r="C104" s="100">
        <f t="shared" si="35"/>
        <v>102.03900000000002</v>
      </c>
      <c r="D104" s="100">
        <f t="shared" si="35"/>
        <v>95.439000000000007</v>
      </c>
      <c r="E104" s="100">
        <f t="shared" si="35"/>
        <v>93.839999999999989</v>
      </c>
      <c r="F104" s="100">
        <f t="shared" si="35"/>
        <v>99.53</v>
      </c>
      <c r="G104" s="100">
        <f t="shared" si="35"/>
        <v>118.03999999999996</v>
      </c>
      <c r="H104" s="100">
        <f t="shared" si="35"/>
        <v>148.73999999999998</v>
      </c>
      <c r="I104" s="100">
        <f t="shared" si="35"/>
        <v>204.44</v>
      </c>
      <c r="J104" s="100">
        <f t="shared" si="35"/>
        <v>224.83999999999997</v>
      </c>
      <c r="K104" s="100">
        <f t="shared" si="35"/>
        <v>260.14</v>
      </c>
      <c r="L104" s="100">
        <f t="shared" si="35"/>
        <v>383.64</v>
      </c>
      <c r="M104" s="100">
        <f t="shared" si="35"/>
        <v>332.54</v>
      </c>
      <c r="N104" s="100">
        <f t="shared" si="35"/>
        <v>323.64</v>
      </c>
      <c r="O104" s="100">
        <f t="shared" si="35"/>
        <v>304.14</v>
      </c>
      <c r="P104" s="100">
        <f t="shared" si="35"/>
        <v>274.84000000000003</v>
      </c>
      <c r="Q104" s="100">
        <f t="shared" si="35"/>
        <v>235.29999999999998</v>
      </c>
      <c r="R104" s="100">
        <f t="shared" si="35"/>
        <v>228.39999999999998</v>
      </c>
      <c r="S104" s="100">
        <f t="shared" si="35"/>
        <v>562.70000000000005</v>
      </c>
      <c r="T104" s="100">
        <f t="shared" si="35"/>
        <v>205.39999999999998</v>
      </c>
      <c r="U104" s="100">
        <f t="shared" ref="U104" si="36">SUM(U16,U22,U25:U26,U52,U54:U55,U57,U59,U105:U109,U131,U137,U143,U152,U154,U166,U173,U176:U177,U184,U186,U188,U192:U194,U196:U198,U203,U209:U210,U212:U214,U222,U227)</f>
        <v>205.39999999999998</v>
      </c>
      <c r="V104" s="100">
        <f t="shared" si="35"/>
        <v>204.39999999999998</v>
      </c>
      <c r="W104" s="100">
        <f t="shared" si="35"/>
        <v>216.3</v>
      </c>
      <c r="X104" s="100">
        <v>400.19708333333335</v>
      </c>
      <c r="Y104" s="100">
        <f t="shared" si="35"/>
        <v>258</v>
      </c>
      <c r="Z104" s="100">
        <f t="shared" si="35"/>
        <v>209</v>
      </c>
      <c r="AA104" s="100">
        <f t="shared" si="35"/>
        <v>172.79999999999998</v>
      </c>
      <c r="AB104" s="100">
        <f t="shared" si="35"/>
        <v>311.10000000000002</v>
      </c>
      <c r="AC104" s="100">
        <f t="shared" si="35"/>
        <v>305.3</v>
      </c>
      <c r="AD104" s="100">
        <f t="shared" si="35"/>
        <v>276.8</v>
      </c>
      <c r="AE104" s="100">
        <f t="shared" si="35"/>
        <v>201.89999999999998</v>
      </c>
      <c r="AF104" s="100">
        <f t="shared" si="35"/>
        <v>140.79999999999998</v>
      </c>
      <c r="AG104" s="101"/>
      <c r="AH104" s="48">
        <f t="shared" si="12"/>
        <v>562.70000000000005</v>
      </c>
      <c r="AI104" s="49">
        <f t="shared" si="13"/>
        <v>93.839999999999989</v>
      </c>
    </row>
    <row r="105" spans="1:35" x14ac:dyDescent="0.25">
      <c r="A105" s="88" t="s">
        <v>109</v>
      </c>
      <c r="B105" s="102">
        <v>15.4</v>
      </c>
      <c r="C105" s="102">
        <v>6.3</v>
      </c>
      <c r="D105" s="102">
        <v>7.3</v>
      </c>
      <c r="E105" s="102">
        <v>2.1</v>
      </c>
      <c r="F105" s="102">
        <v>10</v>
      </c>
      <c r="G105" s="102">
        <v>10.199999999999999</v>
      </c>
      <c r="H105" s="102">
        <v>17.5</v>
      </c>
      <c r="I105" s="102">
        <v>31.5</v>
      </c>
      <c r="J105" s="102">
        <v>32</v>
      </c>
      <c r="K105" s="102">
        <v>35.200000000000003</v>
      </c>
      <c r="L105" s="102">
        <v>125</v>
      </c>
      <c r="M105" s="102">
        <v>28.7</v>
      </c>
      <c r="N105" s="102">
        <v>37</v>
      </c>
      <c r="O105" s="102">
        <v>46.8</v>
      </c>
      <c r="P105" s="102">
        <v>34.799999999999997</v>
      </c>
      <c r="Q105" s="102">
        <v>33.6</v>
      </c>
      <c r="R105" s="102">
        <v>32.9</v>
      </c>
      <c r="S105" s="102">
        <v>20</v>
      </c>
      <c r="T105" s="102">
        <v>16.7</v>
      </c>
      <c r="U105" s="102">
        <v>16.7</v>
      </c>
      <c r="V105" s="102">
        <v>24</v>
      </c>
      <c r="W105" s="102">
        <v>35.1</v>
      </c>
      <c r="X105" s="102">
        <v>75.900000000000006</v>
      </c>
      <c r="Y105" s="102">
        <v>57.9</v>
      </c>
      <c r="Z105" s="102">
        <v>-44</v>
      </c>
      <c r="AA105" s="102">
        <v>-27.7</v>
      </c>
      <c r="AB105" s="102">
        <v>34.5</v>
      </c>
      <c r="AC105" s="102">
        <v>30.7</v>
      </c>
      <c r="AD105" s="102">
        <v>29.8</v>
      </c>
      <c r="AE105" s="102">
        <v>16.5</v>
      </c>
      <c r="AF105" s="102">
        <v>12.6</v>
      </c>
      <c r="AG105" s="103">
        <v>75</v>
      </c>
      <c r="AH105" s="48">
        <f t="shared" si="12"/>
        <v>125</v>
      </c>
      <c r="AI105" s="49">
        <f t="shared" si="13"/>
        <v>-44</v>
      </c>
    </row>
    <row r="106" spans="1:35" x14ac:dyDescent="0.25">
      <c r="A106" s="91" t="s">
        <v>110</v>
      </c>
      <c r="B106" s="104">
        <v>26.7</v>
      </c>
      <c r="C106" s="104">
        <v>14.3</v>
      </c>
      <c r="D106" s="104">
        <v>14.3</v>
      </c>
      <c r="E106" s="104">
        <v>7.4</v>
      </c>
      <c r="F106" s="104">
        <v>17.5</v>
      </c>
      <c r="G106" s="104">
        <v>19.7</v>
      </c>
      <c r="H106" s="104">
        <v>30.9</v>
      </c>
      <c r="I106" s="104">
        <v>49</v>
      </c>
      <c r="J106" s="104">
        <v>50</v>
      </c>
      <c r="K106" s="104">
        <v>53.6</v>
      </c>
      <c r="L106" s="104">
        <v>39.299999999999997</v>
      </c>
      <c r="M106" s="104">
        <v>42.9</v>
      </c>
      <c r="N106" s="104">
        <v>54</v>
      </c>
      <c r="O106" s="104">
        <v>65.7</v>
      </c>
      <c r="P106" s="104">
        <v>51.4</v>
      </c>
      <c r="Q106" s="104">
        <v>51.1</v>
      </c>
      <c r="R106" s="104">
        <v>48.5</v>
      </c>
      <c r="S106" s="104">
        <v>385</v>
      </c>
      <c r="T106" s="104">
        <v>27.8</v>
      </c>
      <c r="U106" s="104">
        <v>27.8</v>
      </c>
      <c r="V106" s="104">
        <v>38</v>
      </c>
      <c r="W106" s="104">
        <v>52.1</v>
      </c>
      <c r="X106" s="104">
        <v>31</v>
      </c>
      <c r="Y106" s="104">
        <v>45</v>
      </c>
      <c r="Z106" s="104">
        <v>49.8</v>
      </c>
      <c r="AA106" s="104">
        <v>59.5</v>
      </c>
      <c r="AB106" s="104">
        <v>50.1</v>
      </c>
      <c r="AC106" s="104">
        <v>45.1</v>
      </c>
      <c r="AD106" s="104">
        <v>44.3</v>
      </c>
      <c r="AE106" s="104">
        <v>26.6</v>
      </c>
      <c r="AF106" s="104">
        <v>21.7</v>
      </c>
      <c r="AG106" s="103">
        <v>240</v>
      </c>
      <c r="AH106" s="48">
        <f t="shared" si="12"/>
        <v>385</v>
      </c>
      <c r="AI106" s="49">
        <f t="shared" si="13"/>
        <v>7.4</v>
      </c>
    </row>
    <row r="107" spans="1:35" x14ac:dyDescent="0.25">
      <c r="A107" s="91" t="s">
        <v>111</v>
      </c>
      <c r="B107" s="104">
        <v>-90</v>
      </c>
      <c r="C107" s="104">
        <v>-83.8</v>
      </c>
      <c r="D107" s="104">
        <v>-88</v>
      </c>
      <c r="E107" s="104">
        <v>-83.1</v>
      </c>
      <c r="F107" s="104">
        <v>-92</v>
      </c>
      <c r="G107" s="104">
        <v>-85</v>
      </c>
      <c r="H107" s="104">
        <v>-75.7</v>
      </c>
      <c r="I107" s="104">
        <v>-74.599999999999994</v>
      </c>
      <c r="J107" s="104">
        <v>-65</v>
      </c>
      <c r="K107" s="104">
        <v>-55</v>
      </c>
      <c r="L107" s="104">
        <v>-40</v>
      </c>
      <c r="M107" s="104">
        <v>-5.5</v>
      </c>
      <c r="N107" s="104">
        <v>-16</v>
      </c>
      <c r="O107" s="104">
        <v>13</v>
      </c>
      <c r="P107" s="104">
        <v>15.9</v>
      </c>
      <c r="Q107" s="104">
        <v>4</v>
      </c>
      <c r="R107" s="104">
        <v>1.1000000000000001</v>
      </c>
      <c r="S107" s="104">
        <v>5</v>
      </c>
      <c r="T107" s="104">
        <v>6</v>
      </c>
      <c r="U107" s="104">
        <v>6</v>
      </c>
      <c r="V107" s="104">
        <f>-18-25</f>
        <v>-43</v>
      </c>
      <c r="W107" s="104">
        <f>-46.5-16.6</f>
        <v>-63.1</v>
      </c>
      <c r="X107" s="104">
        <v>-30.5</v>
      </c>
      <c r="Y107" s="104">
        <f>-35.1-4.9</f>
        <v>-40</v>
      </c>
      <c r="Z107" s="104">
        <v>-8.1999999999999993</v>
      </c>
      <c r="AA107" s="104">
        <f>-42.9-14</f>
        <v>-56.9</v>
      </c>
      <c r="AB107" s="104">
        <f>-2-6.6</f>
        <v>-8.6</v>
      </c>
      <c r="AC107" s="104">
        <f>-3.6-7.1</f>
        <v>-10.7</v>
      </c>
      <c r="AD107" s="104">
        <f>-9-12.7</f>
        <v>-21.7</v>
      </c>
      <c r="AE107" s="104">
        <f>-21-23.3</f>
        <v>-44.3</v>
      </c>
      <c r="AF107" s="104">
        <f>-33-36</f>
        <v>-69</v>
      </c>
      <c r="AG107" s="103">
        <v>240</v>
      </c>
      <c r="AH107" s="48">
        <f t="shared" si="12"/>
        <v>15.9</v>
      </c>
      <c r="AI107" s="49">
        <f t="shared" si="13"/>
        <v>-92</v>
      </c>
    </row>
    <row r="108" spans="1:35" x14ac:dyDescent="0.25">
      <c r="A108" s="91" t="s">
        <v>112</v>
      </c>
      <c r="B108" s="104">
        <v>-2.5</v>
      </c>
      <c r="C108" s="104">
        <v>-5</v>
      </c>
      <c r="D108" s="104">
        <v>-6.5</v>
      </c>
      <c r="E108" s="104">
        <v>-2.5</v>
      </c>
      <c r="F108" s="104">
        <v>-5.41</v>
      </c>
      <c r="G108" s="104">
        <v>-1</v>
      </c>
      <c r="H108" s="104">
        <v>0</v>
      </c>
      <c r="I108" s="104">
        <v>1.7</v>
      </c>
      <c r="J108" s="104">
        <v>2</v>
      </c>
      <c r="K108" s="104">
        <v>5.5</v>
      </c>
      <c r="L108" s="104">
        <v>26.4</v>
      </c>
      <c r="M108" s="104">
        <v>30.9</v>
      </c>
      <c r="N108" s="104">
        <v>21</v>
      </c>
      <c r="O108" s="104">
        <v>43</v>
      </c>
      <c r="P108" s="104">
        <v>37.1</v>
      </c>
      <c r="Q108" s="104">
        <v>11.9</v>
      </c>
      <c r="R108" s="104">
        <v>11.2</v>
      </c>
      <c r="S108" s="104">
        <v>10</v>
      </c>
      <c r="T108" s="104">
        <v>12.2</v>
      </c>
      <c r="U108" s="104">
        <v>12.2</v>
      </c>
      <c r="V108" s="104">
        <v>50.7</v>
      </c>
      <c r="W108" s="104">
        <v>56.8</v>
      </c>
      <c r="X108" s="104"/>
      <c r="Y108" s="104"/>
      <c r="Z108" s="104"/>
      <c r="AA108" s="104"/>
      <c r="AB108" s="104">
        <v>38.200000000000003</v>
      </c>
      <c r="AC108" s="104">
        <v>43.4</v>
      </c>
      <c r="AD108" s="104">
        <v>28.2</v>
      </c>
      <c r="AE108" s="104">
        <v>12.7</v>
      </c>
      <c r="AF108" s="104">
        <v>6.6</v>
      </c>
      <c r="AG108" s="103">
        <v>60</v>
      </c>
      <c r="AH108" s="48">
        <f t="shared" si="12"/>
        <v>56.8</v>
      </c>
      <c r="AI108" s="49">
        <f t="shared" si="13"/>
        <v>-6.5</v>
      </c>
    </row>
    <row r="109" spans="1:35" x14ac:dyDescent="0.25">
      <c r="A109" s="105" t="s">
        <v>113</v>
      </c>
      <c r="B109" s="106">
        <v>28.8</v>
      </c>
      <c r="C109" s="106">
        <v>32.200000000000003</v>
      </c>
      <c r="D109" s="106">
        <v>30.3</v>
      </c>
      <c r="E109" s="106">
        <v>34.299999999999997</v>
      </c>
      <c r="F109" s="106">
        <v>33.5</v>
      </c>
      <c r="G109" s="106">
        <v>38.5</v>
      </c>
      <c r="H109" s="106">
        <v>40.4</v>
      </c>
      <c r="I109" s="106">
        <v>61.2</v>
      </c>
      <c r="J109" s="106">
        <v>70.2</v>
      </c>
      <c r="K109" s="106">
        <v>85.2</v>
      </c>
      <c r="L109" s="106">
        <v>97.3</v>
      </c>
      <c r="M109" s="106">
        <v>99.9</v>
      </c>
      <c r="N109" s="106">
        <v>92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0</v>
      </c>
      <c r="W109" s="106">
        <v>0</v>
      </c>
      <c r="X109" s="106">
        <v>110</v>
      </c>
      <c r="Y109" s="106">
        <v>59.7</v>
      </c>
      <c r="Z109" s="106">
        <v>76</v>
      </c>
      <c r="AA109" s="106">
        <v>62.5</v>
      </c>
      <c r="AB109" s="106">
        <v>61.3</v>
      </c>
      <c r="AC109" s="106">
        <v>61.2</v>
      </c>
      <c r="AD109" s="106">
        <v>60.6</v>
      </c>
      <c r="AE109" s="106">
        <v>54.5</v>
      </c>
      <c r="AF109" s="106">
        <v>33</v>
      </c>
      <c r="AG109" s="107">
        <v>120</v>
      </c>
      <c r="AH109" s="48">
        <f t="shared" si="12"/>
        <v>110</v>
      </c>
      <c r="AI109" s="49">
        <f t="shared" si="13"/>
        <v>0</v>
      </c>
    </row>
    <row r="110" spans="1:35" x14ac:dyDescent="0.25">
      <c r="A110" s="105" t="s">
        <v>115</v>
      </c>
      <c r="B110" s="106">
        <v>44</v>
      </c>
      <c r="C110" s="106">
        <v>41.3</v>
      </c>
      <c r="D110" s="106">
        <v>44.1</v>
      </c>
      <c r="E110" s="106">
        <v>48</v>
      </c>
      <c r="F110" s="106">
        <v>50.4</v>
      </c>
      <c r="G110" s="106">
        <v>45</v>
      </c>
      <c r="H110" s="106">
        <v>43.1</v>
      </c>
      <c r="I110" s="106">
        <v>61.7</v>
      </c>
      <c r="J110" s="106">
        <v>65</v>
      </c>
      <c r="K110" s="106">
        <v>68.400000000000006</v>
      </c>
      <c r="L110" s="106">
        <v>93</v>
      </c>
      <c r="M110" s="106">
        <v>111</v>
      </c>
      <c r="N110" s="106">
        <v>103</v>
      </c>
      <c r="O110" s="106">
        <v>82</v>
      </c>
      <c r="P110" s="106">
        <v>103</v>
      </c>
      <c r="Q110" s="106">
        <v>99.9</v>
      </c>
      <c r="R110" s="106">
        <v>94.1</v>
      </c>
      <c r="S110" s="106">
        <v>98</v>
      </c>
      <c r="T110" s="106">
        <v>105</v>
      </c>
      <c r="U110" s="106">
        <v>105</v>
      </c>
      <c r="V110" s="106">
        <v>34.1</v>
      </c>
      <c r="W110" s="106">
        <v>38.700000000000003</v>
      </c>
      <c r="X110" s="106">
        <v>77.8</v>
      </c>
      <c r="Y110" s="106">
        <v>58.3</v>
      </c>
      <c r="Z110" s="106">
        <v>31</v>
      </c>
      <c r="AA110" s="106">
        <v>15.3</v>
      </c>
      <c r="AB110" s="106">
        <v>45.2</v>
      </c>
      <c r="AC110" s="106">
        <v>44.2</v>
      </c>
      <c r="AD110" s="106">
        <v>43.6</v>
      </c>
      <c r="AE110" s="106">
        <v>49.6</v>
      </c>
      <c r="AF110" s="106">
        <v>38.5</v>
      </c>
      <c r="AG110" s="107"/>
      <c r="AH110" s="48">
        <f t="shared" si="12"/>
        <v>111</v>
      </c>
      <c r="AI110" s="49">
        <f t="shared" si="13"/>
        <v>15.3</v>
      </c>
    </row>
    <row r="111" spans="1:35" x14ac:dyDescent="0.25">
      <c r="A111" s="105" t="s">
        <v>116</v>
      </c>
      <c r="B111" s="106">
        <v>43.4</v>
      </c>
      <c r="C111" s="106">
        <v>41</v>
      </c>
      <c r="D111" s="106">
        <v>41.6</v>
      </c>
      <c r="E111" s="106">
        <v>49.8</v>
      </c>
      <c r="F111" s="106">
        <v>47.2</v>
      </c>
      <c r="G111" s="106">
        <v>40.299999999999997</v>
      </c>
      <c r="H111" s="106">
        <v>37</v>
      </c>
      <c r="I111" s="106">
        <v>19.899999999999999</v>
      </c>
      <c r="J111" s="106">
        <v>19.899999999999999</v>
      </c>
      <c r="K111" s="106">
        <v>26.3</v>
      </c>
      <c r="L111" s="106">
        <v>46.2</v>
      </c>
      <c r="M111" s="106">
        <v>42.4</v>
      </c>
      <c r="N111" s="106">
        <v>21.7</v>
      </c>
      <c r="O111" s="106">
        <v>4.2</v>
      </c>
      <c r="P111" s="106">
        <v>18.7</v>
      </c>
      <c r="Q111" s="106">
        <v>11.2</v>
      </c>
      <c r="R111" s="106">
        <v>8.3000000000000007</v>
      </c>
      <c r="S111" s="106">
        <v>25</v>
      </c>
      <c r="T111" s="106">
        <v>33</v>
      </c>
      <c r="U111" s="106">
        <v>33</v>
      </c>
      <c r="V111" s="106">
        <v>40.4</v>
      </c>
      <c r="W111" s="106">
        <v>21.9</v>
      </c>
      <c r="X111" s="106">
        <v>54</v>
      </c>
      <c r="Y111" s="106">
        <v>38.700000000000003</v>
      </c>
      <c r="Z111" s="106">
        <v>38.700000000000003</v>
      </c>
      <c r="AA111" s="106">
        <v>18.100000000000001</v>
      </c>
      <c r="AB111" s="106">
        <v>18.3</v>
      </c>
      <c r="AC111" s="106">
        <v>25.5</v>
      </c>
      <c r="AD111" s="106">
        <v>22.5</v>
      </c>
      <c r="AE111" s="106">
        <v>34</v>
      </c>
      <c r="AF111" s="106">
        <v>46.3</v>
      </c>
      <c r="AG111" s="108"/>
      <c r="AH111" s="48">
        <f t="shared" si="12"/>
        <v>54</v>
      </c>
      <c r="AI111" s="49">
        <f t="shared" si="13"/>
        <v>4.2</v>
      </c>
    </row>
    <row r="112" spans="1:35" x14ac:dyDescent="0.25">
      <c r="A112" s="109" t="s">
        <v>117</v>
      </c>
      <c r="B112" s="94">
        <v>46.4</v>
      </c>
      <c r="C112" s="94">
        <v>58.2</v>
      </c>
      <c r="D112" s="94">
        <v>56.6</v>
      </c>
      <c r="E112" s="94">
        <v>57.5</v>
      </c>
      <c r="F112" s="94">
        <v>56.3</v>
      </c>
      <c r="G112" s="94">
        <v>53.9</v>
      </c>
      <c r="H112" s="94">
        <v>46</v>
      </c>
      <c r="I112" s="94">
        <v>21</v>
      </c>
      <c r="J112" s="94">
        <v>21</v>
      </c>
      <c r="K112" s="94">
        <v>23.3</v>
      </c>
      <c r="L112" s="94">
        <v>21.3</v>
      </c>
      <c r="M112" s="94">
        <v>22.4</v>
      </c>
      <c r="N112" s="94">
        <v>13.4</v>
      </c>
      <c r="O112" s="94">
        <v>25</v>
      </c>
      <c r="P112" s="94">
        <v>35</v>
      </c>
      <c r="Q112" s="94">
        <v>49.2</v>
      </c>
      <c r="R112" s="94">
        <v>51.3</v>
      </c>
      <c r="S112" s="94">
        <v>45</v>
      </c>
      <c r="T112" s="94">
        <v>41</v>
      </c>
      <c r="U112" s="94">
        <v>41</v>
      </c>
      <c r="V112" s="94">
        <v>8.4</v>
      </c>
      <c r="W112" s="94">
        <v>-15.8</v>
      </c>
      <c r="X112" s="94">
        <v>74.5</v>
      </c>
      <c r="Y112" s="94">
        <v>0</v>
      </c>
      <c r="Z112" s="94">
        <v>0</v>
      </c>
      <c r="AA112" s="94">
        <v>16</v>
      </c>
      <c r="AB112" s="94">
        <v>33.200000000000003</v>
      </c>
      <c r="AC112" s="94">
        <v>34.200000000000003</v>
      </c>
      <c r="AD112" s="94">
        <v>45.6</v>
      </c>
      <c r="AE112" s="94">
        <v>55.5</v>
      </c>
      <c r="AF112" s="94">
        <v>54.8</v>
      </c>
      <c r="AG112" s="108"/>
      <c r="AH112" s="48">
        <f t="shared" si="12"/>
        <v>74.5</v>
      </c>
      <c r="AI112" s="49">
        <f t="shared" si="13"/>
        <v>-15.8</v>
      </c>
    </row>
    <row r="113" spans="1:37" ht="15.75" thickBot="1" x14ac:dyDescent="0.3">
      <c r="A113" s="109" t="s">
        <v>118</v>
      </c>
      <c r="B113" s="94">
        <v>54.9</v>
      </c>
      <c r="C113" s="94">
        <v>46.5</v>
      </c>
      <c r="D113" s="94">
        <v>52.4</v>
      </c>
      <c r="E113" s="94">
        <v>44.3</v>
      </c>
      <c r="F113" s="94">
        <v>52.3</v>
      </c>
      <c r="G113" s="94">
        <v>48.6</v>
      </c>
      <c r="H113" s="94">
        <v>44.7</v>
      </c>
      <c r="I113" s="94">
        <v>48.6</v>
      </c>
      <c r="J113" s="94">
        <v>48.6</v>
      </c>
      <c r="K113" s="94">
        <v>24.1</v>
      </c>
      <c r="L113" s="94">
        <v>21.9</v>
      </c>
      <c r="M113" s="94">
        <v>7.9</v>
      </c>
      <c r="N113" s="94">
        <v>20.5</v>
      </c>
      <c r="O113" s="94">
        <v>21.5</v>
      </c>
      <c r="P113" s="94">
        <v>7.6</v>
      </c>
      <c r="Q113" s="94">
        <v>1.6</v>
      </c>
      <c r="R113" s="94">
        <v>4.2</v>
      </c>
      <c r="S113" s="94">
        <v>3</v>
      </c>
      <c r="T113" s="94">
        <v>-7.8</v>
      </c>
      <c r="U113" s="94">
        <v>-7.8</v>
      </c>
      <c r="V113" s="94">
        <v>47.6</v>
      </c>
      <c r="W113" s="94">
        <v>49.2</v>
      </c>
      <c r="X113" s="94">
        <v>10</v>
      </c>
      <c r="Y113" s="94">
        <v>29.2</v>
      </c>
      <c r="Z113" s="94">
        <v>36.299999999999997</v>
      </c>
      <c r="AA113" s="94">
        <v>45.2</v>
      </c>
      <c r="AB113" s="94">
        <v>19.399999999999999</v>
      </c>
      <c r="AC113" s="94">
        <v>22.9</v>
      </c>
      <c r="AD113" s="94">
        <v>24.8</v>
      </c>
      <c r="AE113" s="94">
        <v>24.9</v>
      </c>
      <c r="AF113" s="94">
        <v>40.5</v>
      </c>
      <c r="AG113" s="108"/>
      <c r="AH113" s="48">
        <f t="shared" si="12"/>
        <v>54.9</v>
      </c>
      <c r="AI113" s="49">
        <f t="shared" si="13"/>
        <v>-7.8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37">SUM(B115:B219)</f>
        <v>0</v>
      </c>
      <c r="C220" s="125">
        <f t="shared" si="37"/>
        <v>0</v>
      </c>
      <c r="D220" s="125">
        <f t="shared" si="37"/>
        <v>0</v>
      </c>
      <c r="E220" s="125">
        <f t="shared" si="37"/>
        <v>0</v>
      </c>
      <c r="F220" s="125">
        <f t="shared" si="37"/>
        <v>0</v>
      </c>
      <c r="G220" s="125">
        <f t="shared" si="37"/>
        <v>0</v>
      </c>
      <c r="H220" s="125">
        <f t="shared" si="37"/>
        <v>0</v>
      </c>
      <c r="I220" s="125">
        <f t="shared" si="37"/>
        <v>0</v>
      </c>
      <c r="J220" s="125">
        <f t="shared" si="37"/>
        <v>0</v>
      </c>
      <c r="K220" s="125">
        <f t="shared" si="37"/>
        <v>0</v>
      </c>
      <c r="L220" s="125">
        <f t="shared" si="37"/>
        <v>0</v>
      </c>
      <c r="M220" s="125">
        <f t="shared" si="37"/>
        <v>0</v>
      </c>
      <c r="N220" s="125">
        <f t="shared" si="37"/>
        <v>0</v>
      </c>
      <c r="O220" s="125">
        <f t="shared" si="37"/>
        <v>0</v>
      </c>
      <c r="P220" s="125">
        <f t="shared" si="37"/>
        <v>0</v>
      </c>
      <c r="Q220" s="125">
        <f t="shared" si="37"/>
        <v>0</v>
      </c>
      <c r="R220" s="125">
        <f t="shared" si="37"/>
        <v>0</v>
      </c>
      <c r="S220" s="125">
        <f t="shared" si="37"/>
        <v>0</v>
      </c>
      <c r="T220" s="125">
        <f t="shared" si="37"/>
        <v>0</v>
      </c>
      <c r="U220" s="125">
        <f t="shared" si="37"/>
        <v>0</v>
      </c>
      <c r="V220" s="125">
        <f t="shared" si="37"/>
        <v>0</v>
      </c>
      <c r="W220" s="125">
        <f t="shared" si="37"/>
        <v>0</v>
      </c>
      <c r="X220" s="125">
        <f t="shared" si="37"/>
        <v>0</v>
      </c>
      <c r="Y220" s="125">
        <f t="shared" si="37"/>
        <v>0</v>
      </c>
      <c r="Z220" s="125">
        <f t="shared" si="37"/>
        <v>0</v>
      </c>
      <c r="AA220" s="125">
        <f t="shared" si="37"/>
        <v>0</v>
      </c>
      <c r="AB220" s="125">
        <f t="shared" si="37"/>
        <v>0</v>
      </c>
      <c r="AC220" s="125">
        <f t="shared" si="37"/>
        <v>0</v>
      </c>
      <c r="AD220" s="125">
        <f t="shared" si="37"/>
        <v>0</v>
      </c>
      <c r="AE220" s="125">
        <f t="shared" si="37"/>
        <v>0</v>
      </c>
      <c r="AF220" s="126">
        <f t="shared" si="37"/>
        <v>0</v>
      </c>
      <c r="AG220" s="127">
        <f t="shared" si="37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38">AF222</f>
        <v>0</v>
      </c>
      <c r="C222" s="129">
        <v>0.3</v>
      </c>
      <c r="D222" s="129">
        <f t="shared" ref="D222:P227" si="39">C222</f>
        <v>0.3</v>
      </c>
      <c r="E222" s="129">
        <f t="shared" si="39"/>
        <v>0.3</v>
      </c>
      <c r="F222" s="129">
        <f t="shared" si="39"/>
        <v>0.3</v>
      </c>
      <c r="G222" s="129">
        <f t="shared" si="39"/>
        <v>0.3</v>
      </c>
      <c r="H222" s="129">
        <f t="shared" si="39"/>
        <v>0.3</v>
      </c>
      <c r="I222" s="129">
        <f t="shared" si="39"/>
        <v>0.3</v>
      </c>
      <c r="J222" s="129">
        <f t="shared" si="39"/>
        <v>0.3</v>
      </c>
      <c r="K222" s="129">
        <f t="shared" si="39"/>
        <v>0.3</v>
      </c>
      <c r="L222" s="129">
        <f t="shared" si="39"/>
        <v>0.3</v>
      </c>
      <c r="M222" s="129">
        <f t="shared" si="39"/>
        <v>0.3</v>
      </c>
      <c r="N222" s="129">
        <f t="shared" si="39"/>
        <v>0.3</v>
      </c>
      <c r="O222" s="129">
        <f t="shared" si="39"/>
        <v>0.3</v>
      </c>
      <c r="P222" s="129">
        <f t="shared" si="39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38"/>
        <v>0</v>
      </c>
      <c r="C223" s="117">
        <v>0.4</v>
      </c>
      <c r="D223" s="117">
        <f t="shared" si="39"/>
        <v>0.4</v>
      </c>
      <c r="E223" s="117">
        <f t="shared" si="39"/>
        <v>0.4</v>
      </c>
      <c r="F223" s="117">
        <f t="shared" si="39"/>
        <v>0.4</v>
      </c>
      <c r="G223" s="117">
        <f t="shared" si="39"/>
        <v>0.4</v>
      </c>
      <c r="H223" s="117">
        <f t="shared" si="39"/>
        <v>0.4</v>
      </c>
      <c r="I223" s="117">
        <f t="shared" si="39"/>
        <v>0.4</v>
      </c>
      <c r="J223" s="117">
        <f t="shared" si="39"/>
        <v>0.4</v>
      </c>
      <c r="K223" s="117">
        <f t="shared" si="39"/>
        <v>0.4</v>
      </c>
      <c r="L223" s="117">
        <f t="shared" si="39"/>
        <v>0.4</v>
      </c>
      <c r="M223" s="117">
        <f t="shared" si="39"/>
        <v>0.4</v>
      </c>
      <c r="N223" s="117">
        <f t="shared" si="39"/>
        <v>0.4</v>
      </c>
      <c r="O223" s="117">
        <f t="shared" si="39"/>
        <v>0.4</v>
      </c>
      <c r="P223" s="117">
        <f t="shared" si="39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38"/>
        <v>0</v>
      </c>
      <c r="C224" s="117">
        <v>1.5</v>
      </c>
      <c r="D224" s="117">
        <f t="shared" si="39"/>
        <v>1.5</v>
      </c>
      <c r="E224" s="117">
        <f t="shared" si="39"/>
        <v>1.5</v>
      </c>
      <c r="F224" s="117">
        <f t="shared" si="39"/>
        <v>1.5</v>
      </c>
      <c r="G224" s="117">
        <f t="shared" si="39"/>
        <v>1.5</v>
      </c>
      <c r="H224" s="117">
        <f t="shared" si="39"/>
        <v>1.5</v>
      </c>
      <c r="I224" s="100">
        <f t="shared" ref="I224" ca="1" si="40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39"/>
        <v>1.5</v>
      </c>
      <c r="K224" s="117">
        <f t="shared" ca="1" si="39"/>
        <v>1.5</v>
      </c>
      <c r="L224" s="117">
        <f t="shared" ca="1" si="39"/>
        <v>1.5</v>
      </c>
      <c r="M224" s="117">
        <f t="shared" ca="1" si="39"/>
        <v>1.5</v>
      </c>
      <c r="N224" s="117">
        <f t="shared" ca="1" si="39"/>
        <v>1.5</v>
      </c>
      <c r="O224" s="117">
        <f t="shared" ca="1" si="39"/>
        <v>1.5</v>
      </c>
      <c r="P224" s="117">
        <f t="shared" ca="1" si="39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38"/>
        <v>0</v>
      </c>
      <c r="C225" s="117">
        <v>0.3</v>
      </c>
      <c r="D225" s="117">
        <f t="shared" si="39"/>
        <v>0.3</v>
      </c>
      <c r="E225" s="117">
        <f t="shared" si="39"/>
        <v>0.3</v>
      </c>
      <c r="F225" s="117">
        <f t="shared" si="39"/>
        <v>0.3</v>
      </c>
      <c r="G225" s="117">
        <f t="shared" si="39"/>
        <v>0.3</v>
      </c>
      <c r="H225" s="117">
        <f t="shared" si="39"/>
        <v>0.3</v>
      </c>
      <c r="I225" s="117">
        <f t="shared" si="39"/>
        <v>0.3</v>
      </c>
      <c r="J225" s="117">
        <f t="shared" si="39"/>
        <v>0.3</v>
      </c>
      <c r="K225" s="117">
        <f t="shared" si="39"/>
        <v>0.3</v>
      </c>
      <c r="L225" s="117">
        <f t="shared" si="39"/>
        <v>0.3</v>
      </c>
      <c r="M225" s="117">
        <f t="shared" si="39"/>
        <v>0.3</v>
      </c>
      <c r="N225" s="117">
        <f t="shared" si="39"/>
        <v>0.3</v>
      </c>
      <c r="O225" s="117">
        <f t="shared" si="39"/>
        <v>0.3</v>
      </c>
      <c r="P225" s="117">
        <f t="shared" si="39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38"/>
        <v>0</v>
      </c>
      <c r="C226" s="117">
        <v>0.4</v>
      </c>
      <c r="D226" s="117">
        <f t="shared" si="39"/>
        <v>0.4</v>
      </c>
      <c r="E226" s="117">
        <f t="shared" si="39"/>
        <v>0.4</v>
      </c>
      <c r="F226" s="117">
        <f t="shared" si="39"/>
        <v>0.4</v>
      </c>
      <c r="G226" s="117">
        <f t="shared" si="39"/>
        <v>0.4</v>
      </c>
      <c r="H226" s="117">
        <f t="shared" si="39"/>
        <v>0.4</v>
      </c>
      <c r="I226" s="117">
        <f t="shared" si="39"/>
        <v>0.4</v>
      </c>
      <c r="J226" s="117">
        <f t="shared" si="39"/>
        <v>0.4</v>
      </c>
      <c r="K226" s="117">
        <f t="shared" si="39"/>
        <v>0.4</v>
      </c>
      <c r="L226" s="117">
        <f t="shared" si="39"/>
        <v>0.4</v>
      </c>
      <c r="M226" s="117">
        <f t="shared" si="39"/>
        <v>0.4</v>
      </c>
      <c r="N226" s="117">
        <f t="shared" si="39"/>
        <v>0.4</v>
      </c>
      <c r="O226" s="117">
        <f t="shared" si="39"/>
        <v>0.4</v>
      </c>
      <c r="P226" s="117">
        <f t="shared" si="39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38"/>
        <v>0</v>
      </c>
      <c r="C227" s="121">
        <v>0.64</v>
      </c>
      <c r="D227" s="121">
        <f t="shared" si="39"/>
        <v>0.64</v>
      </c>
      <c r="E227" s="121">
        <f t="shared" si="39"/>
        <v>0.64</v>
      </c>
      <c r="F227" s="121">
        <f t="shared" si="39"/>
        <v>0.64</v>
      </c>
      <c r="G227" s="121">
        <f t="shared" si="39"/>
        <v>0.64</v>
      </c>
      <c r="H227" s="121">
        <f t="shared" si="39"/>
        <v>0.64</v>
      </c>
      <c r="I227" s="121">
        <f t="shared" si="39"/>
        <v>0.64</v>
      </c>
      <c r="J227" s="121">
        <f t="shared" si="39"/>
        <v>0.64</v>
      </c>
      <c r="K227" s="121">
        <f t="shared" si="39"/>
        <v>0.64</v>
      </c>
      <c r="L227" s="121">
        <f t="shared" si="39"/>
        <v>0.64</v>
      </c>
      <c r="M227" s="121">
        <f t="shared" si="39"/>
        <v>0.64</v>
      </c>
      <c r="N227" s="121">
        <f t="shared" si="39"/>
        <v>0.64</v>
      </c>
      <c r="O227" s="121">
        <f t="shared" si="39"/>
        <v>0.64</v>
      </c>
      <c r="P227" s="121">
        <f t="shared" si="39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41">SUM(B222:B227)</f>
        <v>0</v>
      </c>
      <c r="C228" s="125">
        <f t="shared" si="41"/>
        <v>3.54</v>
      </c>
      <c r="D228" s="125">
        <f t="shared" si="41"/>
        <v>3.54</v>
      </c>
      <c r="E228" s="125">
        <f t="shared" si="41"/>
        <v>3.54</v>
      </c>
      <c r="F228" s="125">
        <f t="shared" si="41"/>
        <v>3.54</v>
      </c>
      <c r="G228" s="125">
        <f t="shared" si="41"/>
        <v>3.54</v>
      </c>
      <c r="H228" s="125">
        <f t="shared" si="41"/>
        <v>3.54</v>
      </c>
      <c r="I228" s="125">
        <f t="shared" ca="1" si="41"/>
        <v>3.54</v>
      </c>
      <c r="J228" s="125">
        <f t="shared" ca="1" si="41"/>
        <v>3.54</v>
      </c>
      <c r="K228" s="125">
        <f t="shared" ca="1" si="41"/>
        <v>3.54</v>
      </c>
      <c r="L228" s="125">
        <f t="shared" ca="1" si="41"/>
        <v>3.54</v>
      </c>
      <c r="M228" s="125">
        <f t="shared" ca="1" si="41"/>
        <v>3.54</v>
      </c>
      <c r="N228" s="125">
        <f t="shared" ca="1" si="41"/>
        <v>3.54</v>
      </c>
      <c r="O228" s="125">
        <f t="shared" ca="1" si="41"/>
        <v>3.54</v>
      </c>
      <c r="P228" s="125">
        <f t="shared" ca="1" si="41"/>
        <v>3.54</v>
      </c>
      <c r="Q228" s="125">
        <f t="shared" si="41"/>
        <v>0</v>
      </c>
      <c r="R228" s="125">
        <f t="shared" si="41"/>
        <v>0</v>
      </c>
      <c r="S228" s="125">
        <f t="shared" si="41"/>
        <v>0</v>
      </c>
      <c r="T228" s="125">
        <f t="shared" si="41"/>
        <v>0</v>
      </c>
      <c r="U228" s="125">
        <f t="shared" si="41"/>
        <v>0</v>
      </c>
      <c r="V228" s="125">
        <f t="shared" si="41"/>
        <v>0</v>
      </c>
      <c r="W228" s="125">
        <f t="shared" si="41"/>
        <v>0</v>
      </c>
      <c r="X228" s="125">
        <f t="shared" si="41"/>
        <v>0</v>
      </c>
      <c r="Y228" s="125">
        <f t="shared" si="41"/>
        <v>0</v>
      </c>
      <c r="Z228" s="125">
        <f t="shared" si="41"/>
        <v>0</v>
      </c>
      <c r="AA228" s="125">
        <f t="shared" si="41"/>
        <v>0</v>
      </c>
      <c r="AB228" s="125">
        <f t="shared" si="41"/>
        <v>0</v>
      </c>
      <c r="AC228" s="125">
        <f t="shared" si="41"/>
        <v>0</v>
      </c>
      <c r="AD228" s="125">
        <f t="shared" si="41"/>
        <v>0</v>
      </c>
      <c r="AE228" s="125">
        <f t="shared" si="41"/>
        <v>0</v>
      </c>
      <c r="AF228" s="125">
        <f t="shared" si="41"/>
        <v>0</v>
      </c>
      <c r="AG228" s="134">
        <f t="shared" si="41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1513.94</v>
      </c>
      <c r="C237" s="150">
        <f>INDEX(G9:N9,1,MATCH(MAX(G85:N85),G85:N85,0))</f>
        <v>0.375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9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2079/09/9)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2079/09/9)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42">B85</f>
        <v>1035.9389999999999</v>
      </c>
      <c r="U242" s="159">
        <f t="shared" si="42"/>
        <v>1046.6389999999999</v>
      </c>
      <c r="V242" s="159">
        <f t="shared" si="42"/>
        <v>994.53899999999999</v>
      </c>
      <c r="W242" s="159">
        <f t="shared" si="42"/>
        <v>960.04</v>
      </c>
      <c r="X242" s="159">
        <f t="shared" si="42"/>
        <v>990.24</v>
      </c>
      <c r="Y242" s="159">
        <f t="shared" si="42"/>
        <v>1035.1399999999999</v>
      </c>
      <c r="Z242" s="159">
        <f t="shared" si="42"/>
        <v>1087.3400000000001</v>
      </c>
      <c r="AA242" s="159">
        <f t="shared" si="42"/>
        <v>1290.3400000000001</v>
      </c>
      <c r="AB242" s="159">
        <f t="shared" si="42"/>
        <v>1347.3400000000001</v>
      </c>
      <c r="AC242" s="159">
        <f t="shared" si="42"/>
        <v>1345.3400000000001</v>
      </c>
      <c r="AD242" s="159">
        <f t="shared" si="42"/>
        <v>1206.3400000000001</v>
      </c>
      <c r="AE242" s="159">
        <f t="shared" si="42"/>
        <v>1474.0400000000002</v>
      </c>
      <c r="AF242" s="159">
        <f t="shared" si="42"/>
        <v>1513.94</v>
      </c>
      <c r="AG242" s="159">
        <f t="shared" si="42"/>
        <v>1408.4</v>
      </c>
      <c r="AH242" s="159">
        <f t="shared" si="42"/>
        <v>1377.64</v>
      </c>
      <c r="AI242" s="159">
        <f t="shared" si="42"/>
        <v>1296.3400000000001</v>
      </c>
      <c r="AJ242" s="159">
        <f t="shared" si="42"/>
        <v>1215.2400000000002</v>
      </c>
      <c r="AK242" s="159">
        <f t="shared" si="42"/>
        <v>1146.0800000000002</v>
      </c>
      <c r="AL242" s="159">
        <f t="shared" si="42"/>
        <v>1142.8399999999999</v>
      </c>
      <c r="AM242" s="159">
        <f t="shared" si="42"/>
        <v>1144.8399999999999</v>
      </c>
      <c r="AN242" s="159">
        <f t="shared" si="42"/>
        <v>1223.3399999999999</v>
      </c>
      <c r="AO242" s="159">
        <f t="shared" si="42"/>
        <v>1396.74</v>
      </c>
      <c r="AP242" s="159">
        <f t="shared" si="42"/>
        <v>1529.24</v>
      </c>
      <c r="AQ242" s="159">
        <f t="shared" si="42"/>
        <v>1499.84</v>
      </c>
      <c r="AR242" s="159">
        <f t="shared" si="42"/>
        <v>1453.24</v>
      </c>
      <c r="AS242" s="159">
        <f t="shared" si="42"/>
        <v>1350.54</v>
      </c>
      <c r="AT242" s="159">
        <f t="shared" si="42"/>
        <v>1278.24</v>
      </c>
      <c r="AU242" s="159">
        <f t="shared" si="42"/>
        <v>1253.3400000000001</v>
      </c>
      <c r="AV242" s="159">
        <f t="shared" si="42"/>
        <v>1209.2400000000002</v>
      </c>
      <c r="AW242" s="159">
        <f t="shared" si="42"/>
        <v>1081.3400000000001</v>
      </c>
      <c r="AX242" s="159">
        <f t="shared" si="42"/>
        <v>1005.8399999999999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43">C227</f>
        <v>0.64</v>
      </c>
      <c r="C263" s="162">
        <f t="shared" si="43"/>
        <v>0.64</v>
      </c>
      <c r="D263" s="162">
        <f t="shared" si="43"/>
        <v>0.64</v>
      </c>
      <c r="E263" s="162">
        <f t="shared" si="43"/>
        <v>0.64</v>
      </c>
      <c r="F263" s="162">
        <f t="shared" si="43"/>
        <v>0.64</v>
      </c>
      <c r="G263" s="162">
        <f t="shared" si="43"/>
        <v>0.64</v>
      </c>
      <c r="H263" s="162">
        <f t="shared" si="43"/>
        <v>0.64</v>
      </c>
      <c r="I263" s="162">
        <f t="shared" si="43"/>
        <v>0.64</v>
      </c>
      <c r="J263" s="162">
        <f t="shared" si="43"/>
        <v>0.64</v>
      </c>
      <c r="K263" s="162">
        <f t="shared" si="43"/>
        <v>0.64</v>
      </c>
      <c r="L263" s="162">
        <f t="shared" si="43"/>
        <v>0.64</v>
      </c>
      <c r="M263" s="162">
        <f t="shared" si="43"/>
        <v>0.64</v>
      </c>
      <c r="N263" s="162">
        <f t="shared" si="43"/>
        <v>0.64</v>
      </c>
      <c r="O263" s="162">
        <f t="shared" si="43"/>
        <v>0.64</v>
      </c>
      <c r="P263" s="162">
        <f t="shared" si="43"/>
        <v>0</v>
      </c>
      <c r="Q263" s="162">
        <f t="shared" si="43"/>
        <v>0</v>
      </c>
      <c r="R263" s="162">
        <f t="shared" si="43"/>
        <v>0</v>
      </c>
      <c r="S263" s="162">
        <f t="shared" si="43"/>
        <v>0</v>
      </c>
      <c r="T263" s="162">
        <f t="shared" si="43"/>
        <v>0</v>
      </c>
      <c r="U263" s="162">
        <f t="shared" si="43"/>
        <v>0</v>
      </c>
      <c r="V263" s="162">
        <f t="shared" si="43"/>
        <v>0</v>
      </c>
      <c r="W263" s="162">
        <f t="shared" si="43"/>
        <v>0</v>
      </c>
      <c r="X263" s="162">
        <f t="shared" si="43"/>
        <v>0</v>
      </c>
      <c r="Y263" s="162">
        <f t="shared" si="43"/>
        <v>0</v>
      </c>
      <c r="Z263" s="162">
        <f t="shared" si="43"/>
        <v>0</v>
      </c>
      <c r="AA263" s="162">
        <f t="shared" si="43"/>
        <v>0</v>
      </c>
      <c r="AB263" s="162">
        <f t="shared" si="43"/>
        <v>0</v>
      </c>
      <c r="AC263" s="162">
        <f t="shared" si="43"/>
        <v>0</v>
      </c>
      <c r="AD263" s="162">
        <f t="shared" si="43"/>
        <v>0</v>
      </c>
      <c r="AE263" s="162">
        <f t="shared" si="43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44">IF(B231&lt;100,"",B231-520)</f>
        <v/>
      </c>
      <c r="C264" s="163" t="str">
        <f t="shared" si="44"/>
        <v/>
      </c>
      <c r="D264" s="163" t="str">
        <f t="shared" si="44"/>
        <v/>
      </c>
      <c r="E264" s="163" t="str">
        <f t="shared" si="44"/>
        <v/>
      </c>
      <c r="F264" s="163" t="str">
        <f t="shared" si="44"/>
        <v/>
      </c>
      <c r="G264" s="163" t="str">
        <f t="shared" si="44"/>
        <v/>
      </c>
      <c r="H264" s="163" t="str">
        <f t="shared" si="44"/>
        <v/>
      </c>
      <c r="I264" s="163" t="str">
        <f t="shared" si="44"/>
        <v/>
      </c>
      <c r="J264" s="163" t="str">
        <f t="shared" si="44"/>
        <v/>
      </c>
      <c r="K264" s="163" t="str">
        <f t="shared" si="44"/>
        <v/>
      </c>
      <c r="L264" s="163" t="str">
        <f t="shared" si="44"/>
        <v/>
      </c>
      <c r="M264" s="163" t="str">
        <f t="shared" si="44"/>
        <v/>
      </c>
      <c r="N264" s="163" t="str">
        <f t="shared" si="44"/>
        <v/>
      </c>
      <c r="O264" s="163" t="str">
        <f t="shared" si="44"/>
        <v/>
      </c>
      <c r="P264" s="163" t="str">
        <f t="shared" si="44"/>
        <v/>
      </c>
      <c r="Q264" s="163" t="str">
        <f t="shared" si="44"/>
        <v/>
      </c>
      <c r="R264" s="163" t="str">
        <f t="shared" si="44"/>
        <v/>
      </c>
      <c r="S264" s="163" t="str">
        <f t="shared" si="44"/>
        <v/>
      </c>
      <c r="T264" s="163" t="str">
        <f t="shared" si="44"/>
        <v/>
      </c>
      <c r="U264" s="163" t="str">
        <f t="shared" si="44"/>
        <v/>
      </c>
      <c r="V264" s="163" t="str">
        <f t="shared" si="44"/>
        <v/>
      </c>
      <c r="W264" s="163" t="str">
        <f t="shared" si="44"/>
        <v/>
      </c>
      <c r="X264" s="163" t="str">
        <f t="shared" si="44"/>
        <v/>
      </c>
      <c r="Y264" s="163" t="str">
        <f t="shared" si="44"/>
        <v/>
      </c>
      <c r="Z264" s="163" t="str">
        <f t="shared" si="44"/>
        <v/>
      </c>
      <c r="AA264" s="163" t="str">
        <f t="shared" si="44"/>
        <v/>
      </c>
      <c r="AB264" s="163" t="str">
        <f t="shared" si="44"/>
        <v/>
      </c>
      <c r="AC264" s="163" t="str">
        <f t="shared" si="44"/>
        <v/>
      </c>
      <c r="AD264" s="163" t="str">
        <f t="shared" si="44"/>
        <v/>
      </c>
      <c r="AE264" s="163" t="str">
        <f t="shared" si="44"/>
        <v/>
      </c>
      <c r="AF264" s="163" t="str">
        <f t="shared" si="44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45">IF(B232&lt;100,"",B232-620)</f>
        <v/>
      </c>
      <c r="C265" s="163" t="str">
        <f t="shared" si="45"/>
        <v/>
      </c>
      <c r="D265" s="163" t="str">
        <f t="shared" si="45"/>
        <v/>
      </c>
      <c r="E265" s="163" t="str">
        <f t="shared" si="45"/>
        <v/>
      </c>
      <c r="F265" s="163" t="str">
        <f t="shared" si="45"/>
        <v/>
      </c>
      <c r="G265" s="163" t="str">
        <f t="shared" si="45"/>
        <v/>
      </c>
      <c r="H265" s="163" t="str">
        <f t="shared" si="45"/>
        <v/>
      </c>
      <c r="I265" s="163" t="str">
        <f t="shared" si="45"/>
        <v/>
      </c>
      <c r="J265" s="163" t="str">
        <f t="shared" si="45"/>
        <v/>
      </c>
      <c r="K265" s="163" t="str">
        <f t="shared" si="45"/>
        <v/>
      </c>
      <c r="L265" s="163" t="str">
        <f t="shared" si="45"/>
        <v/>
      </c>
      <c r="M265" s="163" t="str">
        <f t="shared" si="45"/>
        <v/>
      </c>
      <c r="N265" s="163" t="str">
        <f t="shared" si="45"/>
        <v/>
      </c>
      <c r="O265" s="163" t="str">
        <f t="shared" si="45"/>
        <v/>
      </c>
      <c r="P265" s="163" t="str">
        <f t="shared" si="45"/>
        <v/>
      </c>
      <c r="Q265" s="163" t="str">
        <f t="shared" si="45"/>
        <v/>
      </c>
      <c r="R265" s="163" t="str">
        <f t="shared" si="45"/>
        <v/>
      </c>
      <c r="S265" s="163" t="str">
        <f t="shared" si="45"/>
        <v/>
      </c>
      <c r="T265" s="163" t="str">
        <f t="shared" si="45"/>
        <v/>
      </c>
      <c r="U265" s="163" t="str">
        <f t="shared" si="45"/>
        <v/>
      </c>
      <c r="V265" s="163" t="str">
        <f t="shared" si="45"/>
        <v/>
      </c>
      <c r="W265" s="163" t="str">
        <f t="shared" si="45"/>
        <v/>
      </c>
      <c r="X265" s="163" t="str">
        <f t="shared" si="45"/>
        <v/>
      </c>
      <c r="Y265" s="163" t="str">
        <f t="shared" si="45"/>
        <v/>
      </c>
      <c r="Z265" s="163" t="str">
        <f t="shared" si="45"/>
        <v/>
      </c>
      <c r="AA265" s="163" t="str">
        <f t="shared" si="45"/>
        <v/>
      </c>
      <c r="AB265" s="163" t="str">
        <f t="shared" si="45"/>
        <v/>
      </c>
      <c r="AC265" s="163" t="str">
        <f t="shared" si="45"/>
        <v/>
      </c>
      <c r="AD265" s="163" t="str">
        <f t="shared" si="45"/>
        <v/>
      </c>
      <c r="AE265" s="163" t="str">
        <f t="shared" si="45"/>
        <v/>
      </c>
      <c r="AF265" s="163" t="str">
        <f t="shared" si="45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46">IF(B233&lt;100,"",B233-330)</f>
        <v/>
      </c>
      <c r="C266" s="163" t="str">
        <f t="shared" si="46"/>
        <v/>
      </c>
      <c r="D266" s="163" t="str">
        <f t="shared" si="46"/>
        <v/>
      </c>
      <c r="E266" s="163" t="str">
        <f t="shared" si="46"/>
        <v/>
      </c>
      <c r="F266" s="163" t="str">
        <f t="shared" si="46"/>
        <v/>
      </c>
      <c r="G266" s="163" t="str">
        <f t="shared" si="46"/>
        <v/>
      </c>
      <c r="H266" s="163" t="str">
        <f t="shared" si="46"/>
        <v/>
      </c>
      <c r="I266" s="163" t="str">
        <f t="shared" si="46"/>
        <v/>
      </c>
      <c r="J266" s="163" t="str">
        <f t="shared" si="46"/>
        <v/>
      </c>
      <c r="K266" s="163" t="str">
        <f t="shared" si="46"/>
        <v/>
      </c>
      <c r="L266" s="163" t="str">
        <f t="shared" si="46"/>
        <v/>
      </c>
      <c r="M266" s="163" t="str">
        <f t="shared" si="46"/>
        <v/>
      </c>
      <c r="N266" s="163" t="str">
        <f t="shared" si="46"/>
        <v/>
      </c>
      <c r="O266" s="163" t="str">
        <f t="shared" si="46"/>
        <v/>
      </c>
      <c r="P266" s="163" t="str">
        <f t="shared" si="46"/>
        <v/>
      </c>
      <c r="Q266" s="163" t="str">
        <f t="shared" si="46"/>
        <v/>
      </c>
      <c r="R266" s="163" t="str">
        <f t="shared" si="46"/>
        <v/>
      </c>
      <c r="S266" s="163" t="str">
        <f t="shared" si="46"/>
        <v/>
      </c>
      <c r="T266" s="163" t="str">
        <f t="shared" si="46"/>
        <v/>
      </c>
      <c r="U266" s="163" t="str">
        <f t="shared" si="46"/>
        <v/>
      </c>
      <c r="V266" s="163" t="str">
        <f t="shared" si="46"/>
        <v/>
      </c>
      <c r="W266" s="163" t="str">
        <f t="shared" si="46"/>
        <v/>
      </c>
      <c r="X266" s="163" t="str">
        <f t="shared" si="46"/>
        <v/>
      </c>
      <c r="Y266" s="163" t="str">
        <f t="shared" si="46"/>
        <v/>
      </c>
      <c r="Z266" s="163" t="str">
        <f t="shared" si="46"/>
        <v/>
      </c>
      <c r="AA266" s="163" t="str">
        <f t="shared" si="46"/>
        <v/>
      </c>
      <c r="AB266" s="163" t="str">
        <f t="shared" si="46"/>
        <v/>
      </c>
      <c r="AC266" s="163" t="str">
        <f t="shared" si="46"/>
        <v/>
      </c>
      <c r="AD266" s="163" t="str">
        <f t="shared" si="46"/>
        <v/>
      </c>
      <c r="AE266" s="163" t="str">
        <f t="shared" si="46"/>
        <v/>
      </c>
      <c r="AF266" s="163" t="str">
        <f t="shared" si="46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47">IF(B234&lt;100,"",B234-1500)</f>
        <v/>
      </c>
      <c r="C267" s="163" t="str">
        <f t="shared" si="47"/>
        <v/>
      </c>
      <c r="D267" s="163" t="str">
        <f t="shared" si="47"/>
        <v/>
      </c>
      <c r="E267" s="163" t="str">
        <f t="shared" si="47"/>
        <v/>
      </c>
      <c r="F267" s="163" t="str">
        <f t="shared" si="47"/>
        <v/>
      </c>
      <c r="G267" s="163" t="str">
        <f t="shared" si="47"/>
        <v/>
      </c>
      <c r="H267" s="163" t="str">
        <f t="shared" si="47"/>
        <v/>
      </c>
      <c r="I267" s="163" t="str">
        <f t="shared" si="47"/>
        <v/>
      </c>
      <c r="J267" s="163" t="str">
        <f t="shared" si="47"/>
        <v/>
      </c>
      <c r="K267" s="163" t="str">
        <f t="shared" si="47"/>
        <v/>
      </c>
      <c r="L267" s="163" t="str">
        <f t="shared" si="47"/>
        <v/>
      </c>
      <c r="M267" s="163" t="str">
        <f t="shared" si="47"/>
        <v/>
      </c>
      <c r="N267" s="163" t="str">
        <f t="shared" si="47"/>
        <v/>
      </c>
      <c r="O267" s="163" t="str">
        <f t="shared" si="47"/>
        <v/>
      </c>
      <c r="P267" s="163" t="str">
        <f t="shared" si="47"/>
        <v/>
      </c>
      <c r="Q267" s="163" t="str">
        <f t="shared" si="47"/>
        <v/>
      </c>
      <c r="R267" s="163" t="str">
        <f t="shared" si="47"/>
        <v/>
      </c>
      <c r="S267" s="163" t="str">
        <f t="shared" si="47"/>
        <v/>
      </c>
      <c r="T267" s="163" t="str">
        <f t="shared" si="47"/>
        <v/>
      </c>
      <c r="U267" s="163" t="str">
        <f t="shared" si="47"/>
        <v/>
      </c>
      <c r="V267" s="163" t="str">
        <f t="shared" si="47"/>
        <v/>
      </c>
      <c r="W267" s="163" t="str">
        <f t="shared" si="47"/>
        <v/>
      </c>
      <c r="X267" s="163" t="str">
        <f t="shared" si="47"/>
        <v/>
      </c>
      <c r="Y267" s="163" t="str">
        <f t="shared" si="47"/>
        <v/>
      </c>
      <c r="Z267" s="163" t="str">
        <f t="shared" si="47"/>
        <v/>
      </c>
      <c r="AA267" s="163" t="str">
        <f t="shared" si="47"/>
        <v/>
      </c>
      <c r="AB267" s="163" t="str">
        <f t="shared" si="47"/>
        <v/>
      </c>
      <c r="AC267" s="163" t="str">
        <f t="shared" si="47"/>
        <v/>
      </c>
      <c r="AD267" s="163" t="str">
        <f t="shared" si="47"/>
        <v/>
      </c>
      <c r="AE267" s="163" t="str">
        <f t="shared" si="47"/>
        <v/>
      </c>
      <c r="AF267" s="163" t="str">
        <f t="shared" si="47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239:B239"/>
    <mergeCell ref="AN78:AN7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937" priority="124">
      <formula>$AH11=0</formula>
    </cfRule>
  </conditionalFormatting>
  <conditionalFormatting sqref="B8 M8 S8 AB8">
    <cfRule type="expression" dxfId="936" priority="246">
      <formula>AND(C$9&gt;=8/24,C$9&lt;14/24)</formula>
    </cfRule>
    <cfRule type="expression" dxfId="935" priority="245">
      <formula>AND(C$9&gt;=14/24,C$9&lt;20/24)</formula>
    </cfRule>
    <cfRule type="expression" dxfId="934" priority="247">
      <formula>C$9&lt;8/24</formula>
    </cfRule>
  </conditionalFormatting>
  <conditionalFormatting sqref="B49:L51">
    <cfRule type="expression" dxfId="929" priority="96">
      <formula>AND(B$9&gt;=14/24,B$9&lt;20/24)</formula>
    </cfRule>
    <cfRule type="expression" dxfId="928" priority="97">
      <formula>AND(B$9&gt;=8/24,B$9&lt;14/24)</formula>
    </cfRule>
    <cfRule type="expression" dxfId="927" priority="95">
      <formula>B$9&gt;=20/24</formula>
    </cfRule>
    <cfRule type="expression" dxfId="926" priority="98">
      <formula>B$9&lt;8/24</formula>
    </cfRule>
  </conditionalFormatting>
  <conditionalFormatting sqref="B52:M53">
    <cfRule type="expression" dxfId="925" priority="89">
      <formula>B52&gt;$AG52</formula>
    </cfRule>
  </conditionalFormatting>
  <conditionalFormatting sqref="B49:O51">
    <cfRule type="expression" dxfId="924" priority="94">
      <formula>B49&gt;$AG49</formula>
    </cfRule>
  </conditionalFormatting>
  <conditionalFormatting sqref="B11:W11">
    <cfRule type="expression" dxfId="923" priority="27">
      <formula>AND(B$9&gt;=14/24,B$9&lt;20/24)</formula>
    </cfRule>
    <cfRule type="expression" dxfId="922" priority="28">
      <formula>AND(B$9&gt;=8/24,B$9&lt;14/24)</formula>
    </cfRule>
    <cfRule type="expression" dxfId="921" priority="29">
      <formula>B$9&lt;8/24</formula>
    </cfRule>
    <cfRule type="expression" dxfId="920" priority="26">
      <formula>B$9&gt;=20/24</formula>
    </cfRule>
  </conditionalFormatting>
  <conditionalFormatting sqref="B12:W14">
    <cfRule type="expression" dxfId="919" priority="21">
      <formula>B$9&gt;=20/24</formula>
    </cfRule>
    <cfRule type="expression" dxfId="918" priority="22">
      <formula>AND(B$9&gt;=14/24,B$9&lt;20/24)</formula>
    </cfRule>
    <cfRule type="expression" dxfId="917" priority="23">
      <formula>AND(B$9&gt;=8/24,B$9&lt;14/24)</formula>
    </cfRule>
    <cfRule type="expression" dxfId="916" priority="24">
      <formula>B$9&lt;8/24</formula>
    </cfRule>
  </conditionalFormatting>
  <conditionalFormatting sqref="B15:W40">
    <cfRule type="expression" dxfId="915" priority="115">
      <formula>B$9&lt;8/24</formula>
    </cfRule>
    <cfRule type="expression" dxfId="914" priority="114">
      <formula>AND(B$9&gt;=8/24,B$9&lt;14/24)</formula>
    </cfRule>
    <cfRule type="expression" dxfId="913" priority="113">
      <formula>AND(B$9&gt;=14/24,B$9&lt;20/24)</formula>
    </cfRule>
    <cfRule type="expression" dxfId="912" priority="112">
      <formula>B$9&gt;=20/24</formula>
    </cfRule>
  </conditionalFormatting>
  <conditionalFormatting sqref="B41:W41">
    <cfRule type="expression" dxfId="911" priority="17">
      <formula>B$9&gt;=20/24</formula>
    </cfRule>
    <cfRule type="expression" dxfId="910" priority="18">
      <formula>AND(B$9&gt;=14/24,B$9&lt;20/24)</formula>
    </cfRule>
    <cfRule type="expression" dxfId="909" priority="19">
      <formula>AND(B$9&gt;=8/24,B$9&lt;14/24)</formula>
    </cfRule>
    <cfRule type="expression" dxfId="908" priority="20">
      <formula>B$9&lt;8/24</formula>
    </cfRule>
  </conditionalFormatting>
  <conditionalFormatting sqref="B42:W42">
    <cfRule type="expression" dxfId="907" priority="76">
      <formula>B$9&gt;=20/24</formula>
    </cfRule>
    <cfRule type="expression" dxfId="906" priority="79">
      <formula>B$9&lt;8/24</formula>
    </cfRule>
    <cfRule type="expression" dxfId="905" priority="78">
      <formula>AND(B$9&gt;=8/24,B$9&lt;14/24)</formula>
    </cfRule>
    <cfRule type="expression" dxfId="904" priority="77">
      <formula>AND(B$9&gt;=14/24,B$9&lt;20/24)</formula>
    </cfRule>
  </conditionalFormatting>
  <conditionalFormatting sqref="B9:AF10 B220:AF220 D222:AF223 B222:B228 D224:H224 J224:AF224 D225:AF228 U241:AF241">
    <cfRule type="expression" dxfId="903" priority="239">
      <formula>AND(B$9&gt;=14/24,B$9&lt;20/24)</formula>
    </cfRule>
    <cfRule type="expression" dxfId="902" priority="238">
      <formula>B$9&gt;=20/24</formula>
    </cfRule>
    <cfRule type="expression" dxfId="901" priority="241">
      <formula>B$9&lt;8/24</formula>
    </cfRule>
    <cfRule type="expression" dxfId="900" priority="240">
      <formula>AND(B$9&gt;=8/24,B$9&lt;14/24)</formula>
    </cfRule>
  </conditionalFormatting>
  <conditionalFormatting sqref="B11:AF48">
    <cfRule type="expression" dxfId="899" priority="25">
      <formula>B11&gt;$AG11</formula>
    </cfRule>
  </conditionalFormatting>
  <conditionalFormatting sqref="B43:AF43">
    <cfRule type="expression" dxfId="898" priority="111">
      <formula>B$9&lt;8/24</formula>
    </cfRule>
    <cfRule type="expression" dxfId="897" priority="109">
      <formula>AND(B$9&gt;=14/24,B$9&lt;20/24)</formula>
    </cfRule>
    <cfRule type="expression" dxfId="896" priority="108">
      <formula>B$9&gt;=20/24</formula>
    </cfRule>
    <cfRule type="expression" dxfId="895" priority="110">
      <formula>AND(B$9&gt;=8/24,B$9&lt;14/24)</formula>
    </cfRule>
  </conditionalFormatting>
  <conditionalFormatting sqref="B45:AF48">
    <cfRule type="expression" dxfId="894" priority="53">
      <formula>B$9&gt;=20/24</formula>
    </cfRule>
    <cfRule type="expression" dxfId="893" priority="54">
      <formula>AND(B$9&gt;=14/24,B$9&lt;20/24)</formula>
    </cfRule>
    <cfRule type="expression" dxfId="892" priority="55">
      <formula>AND(B$9&gt;=8/24,B$9&lt;14/24)</formula>
    </cfRule>
    <cfRule type="expression" dxfId="891" priority="56">
      <formula>B$9&lt;8/24</formula>
    </cfRule>
  </conditionalFormatting>
  <conditionalFormatting sqref="B54:AF60">
    <cfRule type="expression" dxfId="890" priority="35">
      <formula>B$9&lt;8/24</formula>
    </cfRule>
    <cfRule type="expression" dxfId="889" priority="33">
      <formula>AND(B$9&gt;=14/24,B$9&lt;20/24)</formula>
    </cfRule>
    <cfRule type="expression" dxfId="888" priority="34">
      <formula>AND(B$9&gt;=8/24,B$9&lt;14/24)</formula>
    </cfRule>
    <cfRule type="expression" dxfId="887" priority="32">
      <formula>B$9&gt;=20/24</formula>
    </cfRule>
  </conditionalFormatting>
  <conditionalFormatting sqref="B54:AF66">
    <cfRule type="expression" dxfId="886" priority="31">
      <formula>B54&gt;$AG54</formula>
    </cfRule>
  </conditionalFormatting>
  <conditionalFormatting sqref="B63:AF72">
    <cfRule type="expression" dxfId="885" priority="73">
      <formula>AND(B$9&gt;=8/24,B$9&lt;14/24)</formula>
    </cfRule>
    <cfRule type="expression" dxfId="884" priority="74">
      <formula>B$9&lt;8/24</formula>
    </cfRule>
    <cfRule type="expression" dxfId="883" priority="71">
      <formula>B$9&gt;=20/24</formula>
    </cfRule>
    <cfRule type="expression" dxfId="882" priority="72">
      <formula>AND(B$9&gt;=14/24,B$9&lt;20/24)</formula>
    </cfRule>
  </conditionalFormatting>
  <conditionalFormatting sqref="B73:AF85">
    <cfRule type="expression" dxfId="881" priority="16">
      <formula>B$9&lt;8/24</formula>
    </cfRule>
    <cfRule type="expression" dxfId="880" priority="15">
      <formula>AND(B$9&gt;=8/24,B$9&lt;14/24)</formula>
    </cfRule>
    <cfRule type="expression" dxfId="879" priority="14">
      <formula>AND(B$9&gt;=14/24,B$9&lt;20/24)</formula>
    </cfRule>
    <cfRule type="expression" dxfId="878" priority="13">
      <formula>B$9&gt;=20/24</formula>
    </cfRule>
  </conditionalFormatting>
  <conditionalFormatting sqref="B87:AF103">
    <cfRule type="expression" dxfId="873" priority="49">
      <formula>AND(B$9&gt;=14/24,B$9&lt;20/24)</formula>
    </cfRule>
    <cfRule type="expression" dxfId="872" priority="48">
      <formula>B$9&gt;=20/24</formula>
    </cfRule>
    <cfRule type="expression" dxfId="871" priority="51">
      <formula>B$9&lt;8/24</formula>
    </cfRule>
    <cfRule type="expression" dxfId="870" priority="50">
      <formula>AND(B$9&gt;=8/24,B$9&lt;14/24)</formula>
    </cfRule>
  </conditionalFormatting>
  <conditionalFormatting sqref="B105:AF112">
    <cfRule type="expression" dxfId="869" priority="36">
      <formula>B$9&gt;=20/24</formula>
    </cfRule>
    <cfRule type="expression" dxfId="868" priority="39">
      <formula>B$9&lt;8/24</formula>
    </cfRule>
    <cfRule type="expression" dxfId="867" priority="38">
      <formula>AND(B$9&gt;=8/24,B$9&lt;14/24)</formula>
    </cfRule>
    <cfRule type="expression" dxfId="866" priority="37">
      <formula>AND(B$9&gt;=14/24,B$9&lt;20/24)</formula>
    </cfRule>
  </conditionalFormatting>
  <conditionalFormatting sqref="M50:O51 P50:Q52 N52:O52">
    <cfRule type="expression" dxfId="861" priority="209">
      <formula>AND(M$9&gt;=14/24,M$9&lt;20/24)</formula>
    </cfRule>
    <cfRule type="expression" dxfId="860" priority="210">
      <formula>AND(M$9&gt;=8/24,M$9&lt;14/24)</formula>
    </cfRule>
    <cfRule type="expression" dxfId="859" priority="211">
      <formula>M$9&lt;8/24</formula>
    </cfRule>
  </conditionalFormatting>
  <conditionalFormatting sqref="M49:Q49">
    <cfRule type="expression" dxfId="858" priority="207">
      <formula>M$9&lt;8/24</formula>
    </cfRule>
    <cfRule type="expression" dxfId="857" priority="204">
      <formula>M$9&gt;=20/24</formula>
    </cfRule>
    <cfRule type="expression" dxfId="856" priority="206">
      <formula>AND(M$9&gt;=8/24,M$9&lt;14/24)</formula>
    </cfRule>
    <cfRule type="expression" dxfId="855" priority="205">
      <formula>AND(M$9&gt;=14/24,M$9&lt;20/24)</formula>
    </cfRule>
  </conditionalFormatting>
  <conditionalFormatting sqref="O3:P3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P49:Q52 N52:O52">
    <cfRule type="expression" dxfId="854" priority="203">
      <formula>N49&gt;$AG49</formula>
    </cfRule>
  </conditionalFormatting>
  <conditionalFormatting sqref="P50:Q52 N52:O52 M50:O51">
    <cfRule type="expression" dxfId="853" priority="208">
      <formula>M$9&gt;=20/24</formula>
    </cfRule>
  </conditionalFormatting>
  <conditionalFormatting sqref="R49:AF53">
    <cfRule type="expression" dxfId="852" priority="193">
      <formula>R49&gt;$AG49</formula>
    </cfRule>
    <cfRule type="expression" dxfId="851" priority="196">
      <formula>AND(R$9&gt;=8/24,R$9&lt;14/24)</formula>
    </cfRule>
    <cfRule type="expression" dxfId="850" priority="197">
      <formula>R$9&lt;8/24</formula>
    </cfRule>
    <cfRule type="expression" dxfId="849" priority="195">
      <formula>AND(R$9&gt;=14/24,R$9&lt;20/24)</formula>
    </cfRule>
    <cfRule type="expression" dxfId="848" priority="194">
      <formula>R$9&gt;=20/24</formula>
    </cfRule>
  </conditionalFormatting>
  <conditionalFormatting sqref="S8 AB8 B8 M8">
    <cfRule type="expression" dxfId="847" priority="244">
      <formula>C$9&gt;=20/24</formula>
    </cfRule>
  </conditionalFormatting>
  <conditionalFormatting sqref="S8">
    <cfRule type="expression" dxfId="846" priority="220">
      <formula>U$9&lt;8/24</formula>
    </cfRule>
    <cfRule type="expression" dxfId="845" priority="217">
      <formula>U$9&gt;=20/24</formula>
    </cfRule>
    <cfRule type="expression" dxfId="844" priority="218">
      <formula>AND(U$9&gt;=14/24,U$9&lt;20/24)</formula>
    </cfRule>
    <cfRule type="expression" dxfId="843" priority="219">
      <formula>AND(U$9&gt;=8/24,U$9&lt;14/24)</formula>
    </cfRule>
  </conditionalFormatting>
  <conditionalFormatting sqref="T241">
    <cfRule type="expression" dxfId="842" priority="257">
      <formula>AX$9&gt;=20/24</formula>
    </cfRule>
    <cfRule type="expression" dxfId="841" priority="258">
      <formula>AND(AX$9&gt;=14/24,AX$9&lt;20/24)</formula>
    </cfRule>
    <cfRule type="expression" dxfId="840" priority="259">
      <formula>AND(AX$9&gt;=8/24,AX$9&lt;14/24)</formula>
    </cfRule>
    <cfRule type="expression" dxfId="839" priority="260">
      <formula>AX$9&lt;8/24</formula>
    </cfRule>
  </conditionalFormatting>
  <conditionalFormatting sqref="V3 AB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X11:AF42">
    <cfRule type="expression" dxfId="838" priority="181">
      <formula>AND(X$9&gt;=14/24,X$9&lt;20/24)</formula>
    </cfRule>
    <cfRule type="expression" dxfId="837" priority="180">
      <formula>X$9&gt;=20/24</formula>
    </cfRule>
    <cfRule type="expression" dxfId="836" priority="182">
      <formula>AND(X$9&gt;=8/24,X$9&lt;14/24)</formula>
    </cfRule>
    <cfRule type="expression" dxfId="835" priority="183">
      <formula>X$9&lt;8/24</formula>
    </cfRule>
  </conditionalFormatting>
  <conditionalFormatting sqref="AB8">
    <cfRule type="expression" dxfId="834" priority="213">
      <formula>AD$9&gt;=20/24</formula>
    </cfRule>
    <cfRule type="expression" dxfId="833" priority="215">
      <formula>AND(AD$9&gt;=8/24,AD$9&lt;14/24)</formula>
    </cfRule>
    <cfRule type="expression" dxfId="832" priority="216">
      <formula>AD$9&lt;8/24</formula>
    </cfRule>
    <cfRule type="expression" dxfId="831" priority="214">
      <formula>AND(AD$9&gt;=14/24,AD$9&lt;20/24)</formula>
    </cfRule>
  </conditionalFormatting>
  <conditionalFormatting sqref="AG44 N53:Q53 AG61:AG62 AG66">
    <cfRule type="expression" dxfId="830" priority="170">
      <formula>N44&gt;$AG44</formula>
    </cfRule>
  </conditionalFormatting>
  <conditionalFormatting sqref="AG48">
    <cfRule type="expression" dxfId="829" priority="154">
      <formula>AG$9&lt;8/24</formula>
    </cfRule>
    <cfRule type="expression" dxfId="828" priority="150">
      <formula>AG48&gt;$AG48</formula>
    </cfRule>
    <cfRule type="expression" dxfId="827" priority="151">
      <formula>AG$9&gt;=20/24</formula>
    </cfRule>
    <cfRule type="expression" dxfId="826" priority="152">
      <formula>AND(AG$9&gt;=14/24,AG$9&lt;20/24)</formula>
    </cfRule>
    <cfRule type="expression" dxfId="825" priority="153">
      <formula>AND(AG$9&gt;=8/24,AG$9&lt;14/24)</formula>
    </cfRule>
  </conditionalFormatting>
  <conditionalFormatting sqref="AG66 AG83">
    <cfRule type="expression" dxfId="824" priority="171">
      <formula>AG$9&gt;=20/24</formula>
    </cfRule>
    <cfRule type="expression" dxfId="823" priority="172">
      <formula>AND(AG$9&gt;=14/24,AG$9&lt;20/24)</formula>
    </cfRule>
    <cfRule type="expression" dxfId="822" priority="173">
      <formula>AND(AG$9&gt;=8/24,AG$9&lt;14/24)</formula>
    </cfRule>
    <cfRule type="expression" dxfId="821" priority="174">
      <formula>AG$9&lt;8/24</formula>
    </cfRule>
  </conditionalFormatting>
  <conditionalFormatting sqref="AG241">
    <cfRule type="expression" dxfId="820" priority="252">
      <formula>B$9&lt;8/24</formula>
    </cfRule>
    <cfRule type="expression" dxfId="819" priority="251">
      <formula>AND(B$9&gt;=8/24,B$9&lt;14/24)</formula>
    </cfRule>
    <cfRule type="expression" dxfId="818" priority="250">
      <formula>AND(B$9&gt;=14/24,B$9&lt;20/24)</formula>
    </cfRule>
    <cfRule type="expression" dxfId="817" priority="249">
      <formula>B$9&gt;=20/24</formula>
    </cfRule>
  </conditionalFormatting>
  <conditionalFormatting sqref="AH241:AX241">
    <cfRule type="expression" dxfId="816" priority="253">
      <formula>AG$9&gt;=20/24</formula>
    </cfRule>
    <cfRule type="expression" dxfId="815" priority="254">
      <formula>AND(AG$9&gt;=14/24,AG$9&lt;20/24)</formula>
    </cfRule>
    <cfRule type="expression" dxfId="814" priority="255">
      <formula>AND(AG$9&gt;=8/24,AG$9&lt;14/24)</formula>
    </cfRule>
    <cfRule type="expression" dxfId="813" priority="256">
      <formula>AG$9&lt;8/24</formula>
    </cfRule>
  </conditionalFormatting>
  <conditionalFormatting sqref="AL4:AL6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812" priority="347">
      <formula>AJ$9&lt;8/24</formula>
    </cfRule>
    <cfRule type="expression" dxfId="811" priority="344">
      <formula>AJ$9&gt;=20/24</formula>
    </cfRule>
    <cfRule type="expression" dxfId="810" priority="345">
      <formula>AND(AJ$9&gt;=14/24,AJ$9&lt;20/24)</formula>
    </cfRule>
    <cfRule type="expression" dxfId="809" priority="346">
      <formula>AND(AJ$9&gt;=8/24,AJ$9&lt;14/24)</formula>
    </cfRule>
  </conditionalFormatting>
  <conditionalFormatting sqref="AL74:AN74 AL80:AN80">
    <cfRule type="expression" dxfId="808" priority="12">
      <formula>AL$9&lt;8/24</formula>
    </cfRule>
    <cfRule type="expression" dxfId="807" priority="10">
      <formula>AND(AL$9&gt;=14/24,AL$9&lt;20/24)</formula>
    </cfRule>
    <cfRule type="expression" dxfId="806" priority="9">
      <formula>AL$9&gt;=20/24</formula>
    </cfRule>
    <cfRule type="expression" dxfId="805" priority="11">
      <formula>AND(AL$9&gt;=8/24,AL$9&lt;14/24)</formula>
    </cfRule>
  </conditionalFormatting>
  <conditionalFormatting sqref="AN75:AN78">
    <cfRule type="expression" dxfId="804" priority="5">
      <formula>AN$9&gt;=20/24</formula>
    </cfRule>
    <cfRule type="expression" dxfId="803" priority="6">
      <formula>AND(AN$9&gt;=14/24,AN$9&lt;20/24)</formula>
    </cfRule>
    <cfRule type="expression" dxfId="802" priority="7">
      <formula>AND(AN$9&gt;=8/24,AN$9&lt;14/24)</formula>
    </cfRule>
    <cfRule type="expression" dxfId="801" priority="8">
      <formula>AN$9&lt;8/24</formula>
    </cfRule>
  </conditionalFormatting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" id="{F51AC4F0-B7B7-49F0-A0DB-29CC2848FE2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2EC5F492-1069-4C8B-81F0-45169804C6E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0" id="{D0F0586B-F8FB-4685-8E38-81C744693A9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00813117-C283-4C05-B541-6D800D9906A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7" id="{7D672D0D-0C72-46BA-9470-BA197F10B29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46" id="{6265C51B-370E-4177-AEA2-C3D3BDD4BC5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5" id="{43A78011-8BFC-458D-9B2E-EFE87A5447F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4" id="{BAB24EBD-230C-44DC-BA8A-FDB0EC57C6C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8" id="{EE38E7D5-84FA-4F1B-92A2-9C5F63A8C5B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9" id="{1DC0272B-34FE-4E08-B5C2-D5E576E9169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0" id="{9F4A62A7-6554-43A4-920F-941805AD952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1" id="{F8D8D4F3-9AED-4578-B4DF-ABAF8E3B13D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J274"/>
  <sheetViews>
    <sheetView topLeftCell="A64" workbookViewId="0">
      <selection activeCell="B70" sqref="B70:L7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2079/09/10</v>
      </c>
      <c r="C4" s="197"/>
      <c r="D4" s="197"/>
      <c r="E4" s="198" t="str">
        <f ca="1">"2079/"&amp;"09/"&amp;INT(MID(CELL("filename",G6),FIND("]",CELL("filename",G6))+1,200))</f>
        <v>2079/09/10</v>
      </c>
      <c r="F4" s="198"/>
      <c r="G4" s="198"/>
      <c r="H4" s="198" t="str">
        <f ca="1">TEXT(E4,"dddd")</f>
        <v>Sunday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159.4</v>
      </c>
      <c r="C5" s="30">
        <f t="shared" si="0"/>
        <v>155.9</v>
      </c>
      <c r="D5" s="30">
        <f t="shared" si="0"/>
        <v>157</v>
      </c>
      <c r="E5" s="30">
        <f t="shared" si="0"/>
        <v>169</v>
      </c>
      <c r="F5" s="30">
        <f t="shared" si="0"/>
        <v>165</v>
      </c>
      <c r="G5" s="30">
        <f t="shared" si="0"/>
        <v>160</v>
      </c>
      <c r="H5" s="30">
        <f t="shared" si="0"/>
        <v>202</v>
      </c>
      <c r="I5" s="30">
        <f t="shared" si="0"/>
        <v>211</v>
      </c>
      <c r="J5" s="30">
        <f t="shared" si="0"/>
        <v>241</v>
      </c>
      <c r="K5" s="30">
        <f t="shared" si="0"/>
        <v>209.8</v>
      </c>
      <c r="L5" s="30">
        <f t="shared" si="0"/>
        <v>194</v>
      </c>
      <c r="M5" s="30">
        <f t="shared" si="0"/>
        <v>271</v>
      </c>
      <c r="N5" s="30">
        <f t="shared" si="0"/>
        <v>254</v>
      </c>
      <c r="O5" s="30">
        <f t="shared" si="0"/>
        <v>263</v>
      </c>
      <c r="P5" s="30">
        <f t="shared" si="0"/>
        <v>331.6</v>
      </c>
      <c r="Q5" s="30">
        <f t="shared" si="0"/>
        <v>365</v>
      </c>
      <c r="R5" s="30">
        <f t="shared" si="0"/>
        <v>324.5</v>
      </c>
      <c r="S5" s="30">
        <f t="shared" si="0"/>
        <v>318.8</v>
      </c>
      <c r="T5" s="30">
        <f t="shared" si="0"/>
        <v>331.1</v>
      </c>
      <c r="U5" s="30">
        <f t="shared" si="0"/>
        <v>243</v>
      </c>
      <c r="V5" s="30">
        <f t="shared" si="0"/>
        <v>199.4</v>
      </c>
      <c r="W5" s="30">
        <f t="shared" si="0"/>
        <v>196.5</v>
      </c>
      <c r="X5" s="30">
        <f t="shared" si="0"/>
        <v>234.7</v>
      </c>
      <c r="Y5" s="30">
        <f t="shared" si="0"/>
        <v>222.5</v>
      </c>
      <c r="Z5" s="30">
        <f t="shared" si="0"/>
        <v>214.2</v>
      </c>
      <c r="AA5" s="30">
        <f t="shared" si="0"/>
        <v>213</v>
      </c>
      <c r="AB5" s="30">
        <f t="shared" si="0"/>
        <v>252</v>
      </c>
      <c r="AC5" s="30">
        <f t="shared" si="0"/>
        <v>259</v>
      </c>
      <c r="AD5" s="30">
        <f t="shared" si="0"/>
        <v>265</v>
      </c>
      <c r="AE5" s="30">
        <f t="shared" si="0"/>
        <v>267.5</v>
      </c>
      <c r="AF5" s="30">
        <f>B78</f>
        <v>152.30000000000001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1577MW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Load=954</v>
      </c>
      <c r="B7" s="35">
        <f t="shared" ref="B7:AF7" si="1">B85</f>
        <v>989.04</v>
      </c>
      <c r="C7" s="35">
        <f t="shared" si="1"/>
        <v>974.14</v>
      </c>
      <c r="D7" s="35">
        <f t="shared" si="1"/>
        <v>954.14</v>
      </c>
      <c r="E7" s="35">
        <f t="shared" si="1"/>
        <v>974.24</v>
      </c>
      <c r="F7" s="35">
        <f t="shared" si="1"/>
        <v>986.54</v>
      </c>
      <c r="G7" s="35">
        <f t="shared" si="1"/>
        <v>1018.14</v>
      </c>
      <c r="H7" s="35">
        <f t="shared" si="1"/>
        <v>1095.74</v>
      </c>
      <c r="I7" s="35">
        <f t="shared" si="1"/>
        <v>1181.44</v>
      </c>
      <c r="J7" s="35">
        <f t="shared" si="1"/>
        <v>1299.2400000000002</v>
      </c>
      <c r="K7" s="35">
        <f t="shared" si="1"/>
        <v>1418.5400000000002</v>
      </c>
      <c r="L7" s="35">
        <f t="shared" si="1"/>
        <v>1533.8400000000001</v>
      </c>
      <c r="M7" s="35">
        <f t="shared" si="1"/>
        <v>1576.64</v>
      </c>
      <c r="N7" s="35">
        <f>N85</f>
        <v>1574.2400000000002</v>
      </c>
      <c r="O7" s="35">
        <f t="shared" si="1"/>
        <v>1533.44</v>
      </c>
      <c r="P7" s="35">
        <f t="shared" si="1"/>
        <v>1461.06</v>
      </c>
      <c r="Q7" s="35">
        <f t="shared" si="1"/>
        <v>1345.06</v>
      </c>
      <c r="R7" s="35">
        <f t="shared" si="1"/>
        <v>1313.5600000000002</v>
      </c>
      <c r="S7" s="35">
        <f t="shared" si="1"/>
        <v>1333.44</v>
      </c>
      <c r="T7" s="35">
        <f t="shared" si="1"/>
        <v>1274.74</v>
      </c>
      <c r="U7" s="35">
        <f t="shared" si="1"/>
        <v>1282.04</v>
      </c>
      <c r="V7" s="35">
        <f t="shared" si="1"/>
        <v>1342.3400000000001</v>
      </c>
      <c r="W7" s="35">
        <f t="shared" si="1"/>
        <v>1496.7400000000002</v>
      </c>
      <c r="X7" s="35">
        <f t="shared" si="1"/>
        <v>1662.54</v>
      </c>
      <c r="Y7" s="35">
        <f t="shared" si="1"/>
        <v>1598.14</v>
      </c>
      <c r="Z7" s="35">
        <f t="shared" si="1"/>
        <v>1567.54</v>
      </c>
      <c r="AA7" s="35">
        <f t="shared" si="1"/>
        <v>1490.14</v>
      </c>
      <c r="AB7" s="35">
        <f t="shared" si="1"/>
        <v>1419.94</v>
      </c>
      <c r="AC7" s="35">
        <f t="shared" si="1"/>
        <v>1385.94</v>
      </c>
      <c r="AD7" s="35">
        <f t="shared" si="1"/>
        <v>1297.94</v>
      </c>
      <c r="AE7" s="35">
        <f t="shared" si="1"/>
        <v>1143.24</v>
      </c>
      <c r="AF7" s="35">
        <f t="shared" si="1"/>
        <v>1068.74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26</v>
      </c>
      <c r="C11" s="45">
        <v>26</v>
      </c>
      <c r="D11" s="45">
        <v>26</v>
      </c>
      <c r="E11" s="45">
        <v>26</v>
      </c>
      <c r="F11" s="45">
        <v>26</v>
      </c>
      <c r="G11" s="45">
        <v>26</v>
      </c>
      <c r="H11" s="45">
        <v>26</v>
      </c>
      <c r="I11" s="45">
        <v>26</v>
      </c>
      <c r="J11" s="45">
        <v>26</v>
      </c>
      <c r="K11" s="45">
        <v>26</v>
      </c>
      <c r="L11" s="45">
        <v>26</v>
      </c>
      <c r="M11" s="45">
        <v>26</v>
      </c>
      <c r="N11" s="45">
        <v>26</v>
      </c>
      <c r="O11" s="45">
        <v>26</v>
      </c>
      <c r="P11" s="45">
        <v>24.3</v>
      </c>
      <c r="Q11" s="45">
        <v>24.3</v>
      </c>
      <c r="R11" s="45">
        <v>22.9</v>
      </c>
      <c r="S11" s="45">
        <v>22.9</v>
      </c>
      <c r="T11" s="45">
        <v>22.9</v>
      </c>
      <c r="U11" s="45">
        <v>22.9</v>
      </c>
      <c r="V11" s="45">
        <v>22.9</v>
      </c>
      <c r="W11" s="45">
        <v>22.9</v>
      </c>
      <c r="X11" s="45">
        <v>22.9</v>
      </c>
      <c r="Y11" s="45">
        <v>22.9</v>
      </c>
      <c r="Z11" s="45">
        <v>22.9</v>
      </c>
      <c r="AA11" s="45">
        <v>22.9</v>
      </c>
      <c r="AB11" s="45">
        <v>22.9</v>
      </c>
      <c r="AC11" s="45">
        <v>22.9</v>
      </c>
      <c r="AD11" s="45">
        <v>22.9</v>
      </c>
      <c r="AE11" s="45">
        <v>22.9</v>
      </c>
      <c r="AF11" s="45">
        <v>22.9</v>
      </c>
      <c r="AG11" s="47">
        <v>52.4</v>
      </c>
      <c r="AH11" s="48">
        <f t="shared" ref="AH11:AH74" si="2">MAX(B11:AF11)</f>
        <v>26</v>
      </c>
      <c r="AI11" s="49">
        <f t="shared" ref="AI11:AI74" si="3">MIN(B11:AF11)</f>
        <v>22.9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45.7</v>
      </c>
      <c r="C12" s="45">
        <v>47.4</v>
      </c>
      <c r="D12" s="45">
        <v>47.4</v>
      </c>
      <c r="E12" s="45">
        <v>47.4</v>
      </c>
      <c r="F12" s="45">
        <v>47.4</v>
      </c>
      <c r="G12" s="45">
        <v>47.4</v>
      </c>
      <c r="H12" s="45">
        <v>47.4</v>
      </c>
      <c r="I12" s="45">
        <v>47.4</v>
      </c>
      <c r="J12" s="45">
        <v>47.4</v>
      </c>
      <c r="K12" s="45">
        <v>47.4</v>
      </c>
      <c r="L12" s="45">
        <v>47.4</v>
      </c>
      <c r="M12" s="45">
        <v>47.5</v>
      </c>
      <c r="N12" s="45">
        <v>47.5</v>
      </c>
      <c r="O12" s="45">
        <v>47.5</v>
      </c>
      <c r="P12" s="45">
        <v>46.5</v>
      </c>
      <c r="Q12" s="45">
        <v>46.5</v>
      </c>
      <c r="R12" s="45">
        <v>45.2</v>
      </c>
      <c r="S12" s="45">
        <v>45.2</v>
      </c>
      <c r="T12" s="45">
        <v>45.2</v>
      </c>
      <c r="U12" s="45">
        <v>45.2</v>
      </c>
      <c r="V12" s="45">
        <v>45.2</v>
      </c>
      <c r="W12" s="45">
        <v>45.2</v>
      </c>
      <c r="X12" s="45">
        <v>45.2</v>
      </c>
      <c r="Y12" s="45">
        <v>45.2</v>
      </c>
      <c r="Z12" s="45">
        <v>45.2</v>
      </c>
      <c r="AA12" s="45">
        <v>45.2</v>
      </c>
      <c r="AB12" s="45">
        <v>45.2</v>
      </c>
      <c r="AC12" s="45">
        <v>45.2</v>
      </c>
      <c r="AD12" s="45">
        <v>45.2</v>
      </c>
      <c r="AE12" s="45">
        <v>45.2</v>
      </c>
      <c r="AF12" s="45">
        <v>45.2</v>
      </c>
      <c r="AG12" s="51">
        <v>50</v>
      </c>
      <c r="AH12" s="48">
        <f t="shared" si="2"/>
        <v>47.5</v>
      </c>
      <c r="AI12" s="49">
        <f t="shared" si="3"/>
        <v>45.2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24.8</v>
      </c>
      <c r="C13" s="45">
        <v>24.8</v>
      </c>
      <c r="D13" s="45">
        <v>24.8</v>
      </c>
      <c r="E13" s="45">
        <v>24.8</v>
      </c>
      <c r="F13" s="45">
        <v>24.8</v>
      </c>
      <c r="G13" s="45">
        <v>24.8</v>
      </c>
      <c r="H13" s="45">
        <v>24.8</v>
      </c>
      <c r="I13" s="45">
        <v>24.8</v>
      </c>
      <c r="J13" s="45">
        <v>24.8</v>
      </c>
      <c r="K13" s="45">
        <v>24.8</v>
      </c>
      <c r="L13" s="45">
        <v>24.8</v>
      </c>
      <c r="M13" s="45">
        <v>21</v>
      </c>
      <c r="N13" s="45">
        <v>21</v>
      </c>
      <c r="O13" s="45">
        <v>21</v>
      </c>
      <c r="P13" s="45">
        <v>20.3</v>
      </c>
      <c r="Q13" s="45">
        <v>20.3</v>
      </c>
      <c r="R13" s="45">
        <v>20</v>
      </c>
      <c r="S13" s="45">
        <v>20</v>
      </c>
      <c r="T13" s="45">
        <v>20</v>
      </c>
      <c r="U13" s="45">
        <v>20</v>
      </c>
      <c r="V13" s="45">
        <v>20</v>
      </c>
      <c r="W13" s="45">
        <v>20</v>
      </c>
      <c r="X13" s="45">
        <v>24.2</v>
      </c>
      <c r="Y13" s="45">
        <v>24.2</v>
      </c>
      <c r="Z13" s="45">
        <v>24.2</v>
      </c>
      <c r="AA13" s="45">
        <v>24.2</v>
      </c>
      <c r="AB13" s="45">
        <v>24.2</v>
      </c>
      <c r="AC13" s="45">
        <v>24.2</v>
      </c>
      <c r="AD13" s="45">
        <v>24.2</v>
      </c>
      <c r="AE13" s="45">
        <v>24.2</v>
      </c>
      <c r="AF13" s="45">
        <v>24.2</v>
      </c>
      <c r="AG13" s="51">
        <v>45</v>
      </c>
      <c r="AH13" s="48">
        <f t="shared" si="2"/>
        <v>24.8</v>
      </c>
      <c r="AI13" s="49">
        <f t="shared" si="3"/>
        <v>20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12.5</v>
      </c>
      <c r="N14" s="45">
        <v>12.5</v>
      </c>
      <c r="O14" s="45">
        <v>12.5</v>
      </c>
      <c r="P14" s="45">
        <v>12.6</v>
      </c>
      <c r="Q14" s="45">
        <v>12.6</v>
      </c>
      <c r="R14" s="45">
        <v>11</v>
      </c>
      <c r="S14" s="45">
        <v>11</v>
      </c>
      <c r="T14" s="45">
        <v>11</v>
      </c>
      <c r="U14" s="45">
        <v>11</v>
      </c>
      <c r="V14" s="45">
        <v>11</v>
      </c>
      <c r="W14" s="45">
        <v>11</v>
      </c>
      <c r="X14" s="45">
        <v>11</v>
      </c>
      <c r="Y14" s="45">
        <v>11</v>
      </c>
      <c r="Z14" s="45">
        <v>11</v>
      </c>
      <c r="AA14" s="45">
        <v>11</v>
      </c>
      <c r="AB14" s="45">
        <v>11</v>
      </c>
      <c r="AC14" s="45">
        <v>11</v>
      </c>
      <c r="AD14" s="45">
        <v>11</v>
      </c>
      <c r="AE14" s="45">
        <v>11</v>
      </c>
      <c r="AF14" s="45">
        <v>11</v>
      </c>
      <c r="AG14" s="51">
        <v>42</v>
      </c>
      <c r="AH14" s="48">
        <f t="shared" si="2"/>
        <v>16</v>
      </c>
      <c r="AI14" s="49">
        <f t="shared" si="3"/>
        <v>11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21</v>
      </c>
      <c r="C15" s="45">
        <v>21</v>
      </c>
      <c r="D15" s="45">
        <v>21</v>
      </c>
      <c r="E15" s="45">
        <v>21</v>
      </c>
      <c r="F15" s="45">
        <v>21</v>
      </c>
      <c r="G15" s="45">
        <v>21</v>
      </c>
      <c r="H15" s="45">
        <v>21</v>
      </c>
      <c r="I15" s="45">
        <v>21</v>
      </c>
      <c r="J15" s="45">
        <v>21</v>
      </c>
      <c r="K15" s="45">
        <v>21</v>
      </c>
      <c r="L15" s="45">
        <v>21</v>
      </c>
      <c r="M15" s="45">
        <v>21</v>
      </c>
      <c r="N15" s="45">
        <v>21</v>
      </c>
      <c r="O15" s="45">
        <v>21</v>
      </c>
      <c r="P15" s="45">
        <v>21</v>
      </c>
      <c r="Q15" s="45">
        <v>21</v>
      </c>
      <c r="R15" s="45">
        <v>21</v>
      </c>
      <c r="S15" s="45">
        <v>21</v>
      </c>
      <c r="T15" s="45">
        <v>21</v>
      </c>
      <c r="U15" s="45">
        <v>21</v>
      </c>
      <c r="V15" s="45">
        <v>21</v>
      </c>
      <c r="W15" s="45">
        <v>21</v>
      </c>
      <c r="X15" s="45">
        <v>21</v>
      </c>
      <c r="Y15" s="45">
        <v>21</v>
      </c>
      <c r="Z15" s="45">
        <v>21</v>
      </c>
      <c r="AA15" s="45">
        <v>21</v>
      </c>
      <c r="AB15" s="45">
        <v>21</v>
      </c>
      <c r="AC15" s="45">
        <v>21</v>
      </c>
      <c r="AD15" s="45">
        <v>21</v>
      </c>
      <c r="AE15" s="45">
        <v>21</v>
      </c>
      <c r="AF15" s="45">
        <v>21</v>
      </c>
      <c r="AG15" s="51">
        <v>36</v>
      </c>
      <c r="AH15" s="48">
        <f t="shared" si="2"/>
        <v>21</v>
      </c>
      <c r="AI15" s="49">
        <f t="shared" si="3"/>
        <v>21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12</v>
      </c>
      <c r="C16" s="45">
        <v>12</v>
      </c>
      <c r="D16" s="45">
        <v>12</v>
      </c>
      <c r="E16" s="45">
        <v>12</v>
      </c>
      <c r="F16" s="45">
        <v>12</v>
      </c>
      <c r="G16" s="45">
        <v>12</v>
      </c>
      <c r="H16" s="45">
        <v>12</v>
      </c>
      <c r="I16" s="45">
        <v>12</v>
      </c>
      <c r="J16" s="45">
        <v>12</v>
      </c>
      <c r="K16" s="45">
        <v>12</v>
      </c>
      <c r="L16" s="45">
        <v>12</v>
      </c>
      <c r="M16" s="45">
        <v>11.6</v>
      </c>
      <c r="N16" s="45">
        <v>11.6</v>
      </c>
      <c r="O16" s="45">
        <v>11.6</v>
      </c>
      <c r="P16" s="45">
        <v>10</v>
      </c>
      <c r="Q16" s="45">
        <v>10</v>
      </c>
      <c r="R16" s="45">
        <v>10</v>
      </c>
      <c r="S16" s="45">
        <v>10</v>
      </c>
      <c r="T16" s="45">
        <v>10</v>
      </c>
      <c r="U16" s="45">
        <v>10</v>
      </c>
      <c r="V16" s="45">
        <v>10</v>
      </c>
      <c r="W16" s="45">
        <v>10</v>
      </c>
      <c r="X16" s="45">
        <v>13.6</v>
      </c>
      <c r="Y16" s="45">
        <v>13.6</v>
      </c>
      <c r="Z16" s="45">
        <v>13.6</v>
      </c>
      <c r="AA16" s="45">
        <v>13.6</v>
      </c>
      <c r="AB16" s="45">
        <v>13.6</v>
      </c>
      <c r="AC16" s="45">
        <v>13.6</v>
      </c>
      <c r="AD16" s="45">
        <v>13.6</v>
      </c>
      <c r="AE16" s="45">
        <v>13.6</v>
      </c>
      <c r="AF16" s="45">
        <v>13.6</v>
      </c>
      <c r="AG16" s="52">
        <v>30</v>
      </c>
      <c r="AH16" s="48">
        <f t="shared" si="2"/>
        <v>13.6</v>
      </c>
      <c r="AI16" s="49">
        <f t="shared" si="3"/>
        <v>10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11.1</v>
      </c>
      <c r="C17" s="45">
        <v>11.1</v>
      </c>
      <c r="D17" s="45">
        <v>11.1</v>
      </c>
      <c r="E17" s="45">
        <v>11.1</v>
      </c>
      <c r="F17" s="45">
        <v>11.1</v>
      </c>
      <c r="G17" s="45">
        <v>11.1</v>
      </c>
      <c r="H17" s="45">
        <v>11.1</v>
      </c>
      <c r="I17" s="45">
        <v>11.1</v>
      </c>
      <c r="J17" s="45">
        <v>11.1</v>
      </c>
      <c r="K17" s="45">
        <v>11.1</v>
      </c>
      <c r="L17" s="45">
        <v>11.1</v>
      </c>
      <c r="M17" s="45">
        <v>10.9</v>
      </c>
      <c r="N17" s="45">
        <v>10.9</v>
      </c>
      <c r="O17" s="45">
        <v>10.9</v>
      </c>
      <c r="P17" s="45">
        <v>10.4</v>
      </c>
      <c r="Q17" s="45">
        <v>10.4</v>
      </c>
      <c r="R17" s="45">
        <v>10.4</v>
      </c>
      <c r="S17" s="45">
        <v>10.4</v>
      </c>
      <c r="T17" s="45">
        <v>10.4</v>
      </c>
      <c r="U17" s="45">
        <v>10.4</v>
      </c>
      <c r="V17" s="45">
        <v>10.4</v>
      </c>
      <c r="W17" s="45">
        <v>10.4</v>
      </c>
      <c r="X17" s="45">
        <v>11.8</v>
      </c>
      <c r="Y17" s="45">
        <v>11.8</v>
      </c>
      <c r="Z17" s="45">
        <v>11.8</v>
      </c>
      <c r="AA17" s="45">
        <v>11.8</v>
      </c>
      <c r="AB17" s="45">
        <v>11.8</v>
      </c>
      <c r="AC17" s="45">
        <v>11.8</v>
      </c>
      <c r="AD17" s="45">
        <v>11.8</v>
      </c>
      <c r="AE17" s="45">
        <v>11.8</v>
      </c>
      <c r="AF17" s="45">
        <v>11.8</v>
      </c>
      <c r="AG17" s="51">
        <v>24.2</v>
      </c>
      <c r="AH17" s="48">
        <f t="shared" si="2"/>
        <v>11.8</v>
      </c>
      <c r="AI17" s="49">
        <f t="shared" si="3"/>
        <v>10.4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</v>
      </c>
      <c r="C20" s="45">
        <v>13</v>
      </c>
      <c r="D20" s="45">
        <v>13</v>
      </c>
      <c r="E20" s="45">
        <v>13</v>
      </c>
      <c r="F20" s="45">
        <v>13</v>
      </c>
      <c r="G20" s="45">
        <v>13</v>
      </c>
      <c r="H20" s="45">
        <v>13</v>
      </c>
      <c r="I20" s="45">
        <v>13</v>
      </c>
      <c r="J20" s="45">
        <v>13</v>
      </c>
      <c r="K20" s="45">
        <v>13</v>
      </c>
      <c r="L20" s="45">
        <v>13</v>
      </c>
      <c r="M20" s="45">
        <v>13</v>
      </c>
      <c r="N20" s="45">
        <v>13</v>
      </c>
      <c r="O20" s="45">
        <v>13</v>
      </c>
      <c r="P20" s="45">
        <v>13</v>
      </c>
      <c r="Q20" s="45">
        <v>13</v>
      </c>
      <c r="R20" s="45">
        <v>13</v>
      </c>
      <c r="S20" s="45">
        <v>13</v>
      </c>
      <c r="T20" s="45">
        <v>13</v>
      </c>
      <c r="U20" s="45">
        <v>13</v>
      </c>
      <c r="V20" s="45">
        <v>13</v>
      </c>
      <c r="W20" s="45">
        <v>13</v>
      </c>
      <c r="X20" s="45">
        <v>13</v>
      </c>
      <c r="Y20" s="45">
        <v>13</v>
      </c>
      <c r="Z20" s="45">
        <v>13</v>
      </c>
      <c r="AA20" s="45">
        <v>13</v>
      </c>
      <c r="AB20" s="45">
        <v>13</v>
      </c>
      <c r="AC20" s="45">
        <v>13</v>
      </c>
      <c r="AD20" s="45">
        <v>13</v>
      </c>
      <c r="AE20" s="45">
        <v>13</v>
      </c>
      <c r="AF20" s="45">
        <v>13</v>
      </c>
      <c r="AG20" s="51">
        <v>25</v>
      </c>
      <c r="AH20" s="48">
        <f t="shared" si="2"/>
        <v>13</v>
      </c>
      <c r="AI20" s="49">
        <f t="shared" si="3"/>
        <v>13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11</v>
      </c>
      <c r="C24" s="45">
        <v>11</v>
      </c>
      <c r="D24" s="45">
        <v>11</v>
      </c>
      <c r="E24" s="45">
        <v>11</v>
      </c>
      <c r="F24" s="45">
        <v>11</v>
      </c>
      <c r="G24" s="45">
        <v>11</v>
      </c>
      <c r="H24" s="45">
        <v>11</v>
      </c>
      <c r="I24" s="45">
        <v>11</v>
      </c>
      <c r="J24" s="45">
        <v>11</v>
      </c>
      <c r="K24" s="45">
        <v>11</v>
      </c>
      <c r="L24" s="45">
        <v>11</v>
      </c>
      <c r="M24" s="45">
        <v>11</v>
      </c>
      <c r="N24" s="45">
        <v>11</v>
      </c>
      <c r="O24" s="45">
        <v>11</v>
      </c>
      <c r="P24" s="45">
        <v>11</v>
      </c>
      <c r="Q24" s="45">
        <v>11</v>
      </c>
      <c r="R24" s="45">
        <v>11</v>
      </c>
      <c r="S24" s="45">
        <v>11</v>
      </c>
      <c r="T24" s="45">
        <v>11</v>
      </c>
      <c r="U24" s="45">
        <v>11</v>
      </c>
      <c r="V24" s="45">
        <v>11</v>
      </c>
      <c r="W24" s="45">
        <v>11</v>
      </c>
      <c r="X24" s="45">
        <v>11</v>
      </c>
      <c r="Y24" s="45">
        <v>11</v>
      </c>
      <c r="Z24" s="45">
        <v>11</v>
      </c>
      <c r="AA24" s="45">
        <v>11</v>
      </c>
      <c r="AB24" s="45">
        <v>11</v>
      </c>
      <c r="AC24" s="45">
        <v>11</v>
      </c>
      <c r="AD24" s="45">
        <v>11</v>
      </c>
      <c r="AE24" s="45">
        <v>11</v>
      </c>
      <c r="AF24" s="45">
        <v>11</v>
      </c>
      <c r="AG24" s="51">
        <v>23.5</v>
      </c>
      <c r="AH24" s="48">
        <f t="shared" si="2"/>
        <v>11</v>
      </c>
      <c r="AI24" s="49">
        <f t="shared" si="3"/>
        <v>11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8.6</v>
      </c>
      <c r="T29" s="45">
        <v>8.6</v>
      </c>
      <c r="U29" s="45">
        <v>8.6</v>
      </c>
      <c r="V29" s="45">
        <v>8.6</v>
      </c>
      <c r="W29" s="45">
        <v>8.6</v>
      </c>
      <c r="X29" s="45">
        <v>8.6</v>
      </c>
      <c r="Y29" s="45">
        <v>8.6</v>
      </c>
      <c r="Z29" s="45">
        <v>8.6</v>
      </c>
      <c r="AA29" s="45">
        <v>8.6</v>
      </c>
      <c r="AB29" s="45">
        <v>8.6</v>
      </c>
      <c r="AC29" s="45">
        <v>8.6</v>
      </c>
      <c r="AD29" s="45">
        <v>8.6</v>
      </c>
      <c r="AE29" s="45">
        <v>8.6</v>
      </c>
      <c r="AF29" s="45">
        <v>8.6</v>
      </c>
      <c r="AG29" s="51">
        <v>20</v>
      </c>
      <c r="AH29" s="48">
        <f t="shared" si="2"/>
        <v>10</v>
      </c>
      <c r="AI29" s="49">
        <f t="shared" si="3"/>
        <v>8.6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4.5</v>
      </c>
      <c r="U40" s="45">
        <v>4.5</v>
      </c>
      <c r="V40" s="45">
        <v>4.5</v>
      </c>
      <c r="W40" s="45">
        <v>4.5</v>
      </c>
      <c r="X40" s="45">
        <v>4.5</v>
      </c>
      <c r="Y40" s="45">
        <v>4.5</v>
      </c>
      <c r="Z40" s="45">
        <v>4.5</v>
      </c>
      <c r="AA40" s="45">
        <v>4.5</v>
      </c>
      <c r="AB40" s="45">
        <v>4.5</v>
      </c>
      <c r="AC40" s="45">
        <v>4.5</v>
      </c>
      <c r="AD40" s="45">
        <v>4.5</v>
      </c>
      <c r="AE40" s="45">
        <v>4.5</v>
      </c>
      <c r="AF40" s="45">
        <v>4.5</v>
      </c>
      <c r="AG40" s="55">
        <v>10</v>
      </c>
      <c r="AH40" s="48">
        <f t="shared" si="2"/>
        <v>6</v>
      </c>
      <c r="AI40" s="49">
        <f t="shared" si="3"/>
        <v>4.5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200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si="2"/>
        <v>200</v>
      </c>
      <c r="AI42" s="49">
        <f t="shared" si="3"/>
        <v>200</v>
      </c>
      <c r="AK42" s="50"/>
    </row>
    <row r="43" spans="1:88" ht="15.75" thickBot="1" x14ac:dyDescent="0.3">
      <c r="A43" s="58" t="s">
        <v>51</v>
      </c>
      <c r="B43" s="59">
        <f>28.1+26.9</f>
        <v>55</v>
      </c>
      <c r="C43" s="59">
        <f>29.6+26.9</f>
        <v>56.5</v>
      </c>
      <c r="D43" s="59">
        <f>30.2+27.2</f>
        <v>57.4</v>
      </c>
      <c r="E43" s="59">
        <f>29.5+27.7</f>
        <v>57.2</v>
      </c>
      <c r="F43" s="59">
        <v>56.2</v>
      </c>
      <c r="G43" s="59">
        <f>29.5+26.9</f>
        <v>56.4</v>
      </c>
      <c r="H43" s="59">
        <f>29.5+26.9</f>
        <v>56.4</v>
      </c>
      <c r="I43" s="59">
        <f>28.5+26.6</f>
        <v>55.1</v>
      </c>
      <c r="J43" s="59">
        <f>28.5+26.6</f>
        <v>55.1</v>
      </c>
      <c r="K43" s="59">
        <f>29.5+27</f>
        <v>56.5</v>
      </c>
      <c r="L43" s="59">
        <f>26.3+26.4</f>
        <v>52.7</v>
      </c>
      <c r="M43" s="59">
        <f>26.3+26.4</f>
        <v>52.7</v>
      </c>
      <c r="N43" s="59">
        <f>25+29</f>
        <v>54</v>
      </c>
      <c r="O43" s="59">
        <f>25+29</f>
        <v>54</v>
      </c>
      <c r="P43" s="59">
        <f>25+29</f>
        <v>54</v>
      </c>
      <c r="Q43" s="59">
        <f>25+29</f>
        <v>54</v>
      </c>
      <c r="R43" s="59">
        <f>25+29</f>
        <v>54</v>
      </c>
      <c r="S43" s="59">
        <f>26.2+30</f>
        <v>56.2</v>
      </c>
      <c r="T43" s="59">
        <f>25.8+32.3</f>
        <v>58.099999999999994</v>
      </c>
      <c r="U43" s="59">
        <f>26+32</f>
        <v>58</v>
      </c>
      <c r="V43" s="57">
        <f>25.2+27</f>
        <v>52.2</v>
      </c>
      <c r="W43" s="57">
        <f>25+25</f>
        <v>50</v>
      </c>
      <c r="X43" s="57">
        <v>47.900000000000006</v>
      </c>
      <c r="Y43" s="57">
        <f>24+25</f>
        <v>49</v>
      </c>
      <c r="Z43" s="57">
        <f>25+25</f>
        <v>50</v>
      </c>
      <c r="AA43" s="57">
        <f t="shared" ref="AA43:AF43" si="4">25+27</f>
        <v>52</v>
      </c>
      <c r="AB43" s="57">
        <f t="shared" si="4"/>
        <v>52</v>
      </c>
      <c r="AC43" s="57">
        <f t="shared" si="4"/>
        <v>52</v>
      </c>
      <c r="AD43" s="57">
        <f t="shared" si="4"/>
        <v>52</v>
      </c>
      <c r="AE43" s="57">
        <f t="shared" si="4"/>
        <v>52</v>
      </c>
      <c r="AF43" s="57">
        <f t="shared" si="4"/>
        <v>52</v>
      </c>
      <c r="AG43" s="55">
        <v>240</v>
      </c>
      <c r="AH43" s="48">
        <f t="shared" si="2"/>
        <v>58.099999999999994</v>
      </c>
      <c r="AI43" s="49">
        <f t="shared" si="3"/>
        <v>47.900000000000006</v>
      </c>
      <c r="AK43" s="50"/>
    </row>
    <row r="44" spans="1:88" ht="15.75" thickBot="1" x14ac:dyDescent="0.3">
      <c r="A44" s="60" t="s">
        <v>52</v>
      </c>
      <c r="B44" s="61">
        <f t="shared" ref="B44:AF44" si="5">SUM(B11:B42)</f>
        <v>558.79999999999995</v>
      </c>
      <c r="C44" s="61">
        <f t="shared" si="5"/>
        <v>560.5</v>
      </c>
      <c r="D44" s="61">
        <f t="shared" si="5"/>
        <v>560.5</v>
      </c>
      <c r="E44" s="61">
        <f t="shared" si="5"/>
        <v>560.5</v>
      </c>
      <c r="F44" s="61">
        <f t="shared" si="5"/>
        <v>560.5</v>
      </c>
      <c r="G44" s="61">
        <f t="shared" si="5"/>
        <v>560.5</v>
      </c>
      <c r="H44" s="61">
        <f t="shared" si="5"/>
        <v>560.5</v>
      </c>
      <c r="I44" s="61">
        <f t="shared" si="5"/>
        <v>560.5</v>
      </c>
      <c r="J44" s="61">
        <f t="shared" si="5"/>
        <v>560.5</v>
      </c>
      <c r="K44" s="61">
        <f t="shared" si="5"/>
        <v>560.5</v>
      </c>
      <c r="L44" s="61">
        <f t="shared" si="5"/>
        <v>560.5</v>
      </c>
      <c r="M44" s="61">
        <f t="shared" si="5"/>
        <v>552.70000000000005</v>
      </c>
      <c r="N44" s="61">
        <f t="shared" si="5"/>
        <v>552.70000000000005</v>
      </c>
      <c r="O44" s="61">
        <f t="shared" si="5"/>
        <v>552.70000000000005</v>
      </c>
      <c r="P44" s="61">
        <f t="shared" si="5"/>
        <v>547.29999999999995</v>
      </c>
      <c r="Q44" s="61">
        <f t="shared" si="5"/>
        <v>547.29999999999995</v>
      </c>
      <c r="R44" s="61">
        <f t="shared" si="5"/>
        <v>542.70000000000005</v>
      </c>
      <c r="S44" s="61">
        <f t="shared" si="5"/>
        <v>541.29999999999995</v>
      </c>
      <c r="T44" s="61">
        <f t="shared" si="5"/>
        <v>539.79999999999995</v>
      </c>
      <c r="U44" s="61">
        <f t="shared" si="5"/>
        <v>539.79999999999995</v>
      </c>
      <c r="V44" s="61">
        <f t="shared" si="5"/>
        <v>539.79999999999995</v>
      </c>
      <c r="W44" s="61">
        <f t="shared" si="5"/>
        <v>539.79999999999995</v>
      </c>
      <c r="X44" s="61">
        <f t="shared" si="5"/>
        <v>549</v>
      </c>
      <c r="Y44" s="61">
        <f t="shared" si="5"/>
        <v>549</v>
      </c>
      <c r="Z44" s="61">
        <f t="shared" si="5"/>
        <v>549</v>
      </c>
      <c r="AA44" s="61">
        <f t="shared" si="5"/>
        <v>549</v>
      </c>
      <c r="AB44" s="61">
        <f t="shared" si="5"/>
        <v>549</v>
      </c>
      <c r="AC44" s="61">
        <f t="shared" si="5"/>
        <v>549</v>
      </c>
      <c r="AD44" s="61">
        <f t="shared" ref="AD44" si="6">SUM(AD11:AD42)</f>
        <v>549</v>
      </c>
      <c r="AE44" s="61">
        <f t="shared" si="5"/>
        <v>549</v>
      </c>
      <c r="AF44" s="61">
        <f t="shared" si="5"/>
        <v>549</v>
      </c>
      <c r="AG44" s="62">
        <f t="shared" ref="AG44" si="7">SUM(AG11:AG42)</f>
        <v>814.78000000000009</v>
      </c>
      <c r="AH44" s="48">
        <f t="shared" si="2"/>
        <v>560.5</v>
      </c>
      <c r="AI44" s="49">
        <f t="shared" si="3"/>
        <v>539.79999999999995</v>
      </c>
      <c r="AK44" s="50"/>
    </row>
    <row r="45" spans="1:88" x14ac:dyDescent="0.25">
      <c r="A45" s="63" t="s">
        <v>53</v>
      </c>
      <c r="B45" s="45">
        <v>15</v>
      </c>
      <c r="C45" s="45">
        <v>15</v>
      </c>
      <c r="D45" s="45">
        <v>15</v>
      </c>
      <c r="E45" s="45">
        <v>35</v>
      </c>
      <c r="F45" s="45">
        <v>35</v>
      </c>
      <c r="G45" s="45">
        <v>15</v>
      </c>
      <c r="H45" s="45">
        <v>75</v>
      </c>
      <c r="I45" s="45">
        <v>105</v>
      </c>
      <c r="J45" s="45">
        <v>170</v>
      </c>
      <c r="K45" s="45">
        <v>215</v>
      </c>
      <c r="L45" s="45">
        <v>260</v>
      </c>
      <c r="M45" s="164">
        <v>310</v>
      </c>
      <c r="N45" s="45">
        <v>245</v>
      </c>
      <c r="O45" s="45">
        <v>275</v>
      </c>
      <c r="P45" s="45">
        <v>140</v>
      </c>
      <c r="Q45" s="45">
        <v>40</v>
      </c>
      <c r="R45" s="45">
        <v>15</v>
      </c>
      <c r="S45" s="45">
        <v>60</v>
      </c>
      <c r="T45" s="45">
        <v>40</v>
      </c>
      <c r="U45" s="45">
        <v>30</v>
      </c>
      <c r="V45" s="45">
        <v>150</v>
      </c>
      <c r="W45" s="45">
        <v>240</v>
      </c>
      <c r="X45" s="45">
        <v>370</v>
      </c>
      <c r="Y45" s="45">
        <v>310</v>
      </c>
      <c r="Z45" s="45">
        <v>300</v>
      </c>
      <c r="AA45" s="45">
        <v>290</v>
      </c>
      <c r="AB45" s="45">
        <v>260</v>
      </c>
      <c r="AC45" s="45">
        <v>200</v>
      </c>
      <c r="AD45" s="45">
        <v>110</v>
      </c>
      <c r="AE45" s="45">
        <v>15</v>
      </c>
      <c r="AF45" s="45">
        <v>15</v>
      </c>
      <c r="AG45" s="52">
        <v>456</v>
      </c>
      <c r="AH45" s="48">
        <f t="shared" si="2"/>
        <v>370</v>
      </c>
      <c r="AI45" s="49">
        <f t="shared" si="3"/>
        <v>15</v>
      </c>
      <c r="AK45" s="50"/>
    </row>
    <row r="46" spans="1:88" x14ac:dyDescent="0.25">
      <c r="A46" s="64" t="s">
        <v>54</v>
      </c>
      <c r="B46" s="65">
        <v>47</v>
      </c>
      <c r="C46" s="65">
        <v>47</v>
      </c>
      <c r="D46" s="65">
        <v>47</v>
      </c>
      <c r="E46" s="65">
        <v>47</v>
      </c>
      <c r="F46" s="65">
        <v>47</v>
      </c>
      <c r="G46" s="65">
        <v>47</v>
      </c>
      <c r="H46" s="65">
        <v>47</v>
      </c>
      <c r="I46" s="65">
        <v>47</v>
      </c>
      <c r="J46" s="65">
        <v>47</v>
      </c>
      <c r="K46" s="65">
        <v>47</v>
      </c>
      <c r="L46" s="65">
        <v>47</v>
      </c>
      <c r="M46" s="65">
        <v>47</v>
      </c>
      <c r="N46" s="65">
        <v>47</v>
      </c>
      <c r="O46" s="65">
        <v>47</v>
      </c>
      <c r="P46" s="65">
        <v>47</v>
      </c>
      <c r="Q46" s="65">
        <v>46</v>
      </c>
      <c r="R46" s="65">
        <v>46</v>
      </c>
      <c r="S46" s="65">
        <v>46</v>
      </c>
      <c r="T46" s="65">
        <v>46</v>
      </c>
      <c r="U46" s="65">
        <v>46</v>
      </c>
      <c r="V46" s="65">
        <v>46</v>
      </c>
      <c r="W46" s="65">
        <v>46</v>
      </c>
      <c r="X46" s="65">
        <v>46</v>
      </c>
      <c r="Y46" s="65">
        <v>46</v>
      </c>
      <c r="Z46" s="65">
        <v>46</v>
      </c>
      <c r="AA46" s="65">
        <v>46</v>
      </c>
      <c r="AB46" s="65">
        <v>46</v>
      </c>
      <c r="AC46" s="65">
        <v>46</v>
      </c>
      <c r="AD46" s="65">
        <v>46</v>
      </c>
      <c r="AE46" s="65">
        <v>46</v>
      </c>
      <c r="AF46" s="65">
        <v>46</v>
      </c>
      <c r="AG46" s="55">
        <v>60</v>
      </c>
      <c r="AH46" s="48">
        <f t="shared" si="2"/>
        <v>47</v>
      </c>
      <c r="AI46" s="49">
        <f t="shared" si="3"/>
        <v>46</v>
      </c>
      <c r="AK46" s="50"/>
    </row>
    <row r="47" spans="1:88" ht="15.75" thickBot="1" x14ac:dyDescent="0.3">
      <c r="A47" s="66" t="s">
        <v>55</v>
      </c>
      <c r="B47" s="67">
        <v>16</v>
      </c>
      <c r="C47" s="67">
        <v>16</v>
      </c>
      <c r="D47" s="67">
        <v>16</v>
      </c>
      <c r="E47" s="67">
        <v>14.2</v>
      </c>
      <c r="F47" s="67">
        <v>14.1</v>
      </c>
      <c r="G47" s="67">
        <v>14.2</v>
      </c>
      <c r="H47" s="67">
        <v>14.2</v>
      </c>
      <c r="I47" s="67">
        <v>14.1</v>
      </c>
      <c r="J47" s="67">
        <v>14.1</v>
      </c>
      <c r="K47" s="67">
        <v>14.2</v>
      </c>
      <c r="L47" s="67">
        <v>14.2</v>
      </c>
      <c r="M47" s="67">
        <v>14.1</v>
      </c>
      <c r="N47" s="67">
        <v>14.1</v>
      </c>
      <c r="O47" s="67">
        <v>14.1</v>
      </c>
      <c r="P47" s="67">
        <v>14.2</v>
      </c>
      <c r="Q47" s="67">
        <v>14.1</v>
      </c>
      <c r="R47" s="67">
        <v>14.2</v>
      </c>
      <c r="S47" s="67">
        <v>14.2</v>
      </c>
      <c r="T47" s="67">
        <v>14.2</v>
      </c>
      <c r="U47" s="67">
        <v>13.7</v>
      </c>
      <c r="V47" s="67">
        <v>13.7</v>
      </c>
      <c r="W47" s="67">
        <v>13.7</v>
      </c>
      <c r="X47" s="67">
        <v>20.100000000000001</v>
      </c>
      <c r="Y47" s="67">
        <v>20.100000000000001</v>
      </c>
      <c r="Z47" s="67">
        <v>20.100000000000001</v>
      </c>
      <c r="AA47" s="67">
        <v>20.100000000000001</v>
      </c>
      <c r="AB47" s="67">
        <v>20.100000000000001</v>
      </c>
      <c r="AC47" s="67">
        <v>20.100000000000001</v>
      </c>
      <c r="AD47" s="67">
        <v>20.100000000000001</v>
      </c>
      <c r="AE47" s="67">
        <v>20.100000000000001</v>
      </c>
      <c r="AF47" s="67">
        <v>20.100000000000001</v>
      </c>
      <c r="AG47" s="68">
        <v>22.1</v>
      </c>
      <c r="AH47" s="48">
        <f t="shared" si="2"/>
        <v>20.100000000000001</v>
      </c>
      <c r="AI47" s="49">
        <f t="shared" si="3"/>
        <v>13.7</v>
      </c>
      <c r="AK47" s="50"/>
    </row>
    <row r="48" spans="1:88" ht="15.75" thickBot="1" x14ac:dyDescent="0.3">
      <c r="A48" s="69" t="s">
        <v>56</v>
      </c>
      <c r="B48" s="61">
        <f t="shared" ref="B48:AF48" si="8">SUM(B45:B47)</f>
        <v>78</v>
      </c>
      <c r="C48" s="61">
        <f t="shared" si="8"/>
        <v>78</v>
      </c>
      <c r="D48" s="61">
        <f t="shared" si="8"/>
        <v>78</v>
      </c>
      <c r="E48" s="61">
        <f t="shared" si="8"/>
        <v>96.2</v>
      </c>
      <c r="F48" s="61">
        <f t="shared" si="8"/>
        <v>96.1</v>
      </c>
      <c r="G48" s="61">
        <f t="shared" si="8"/>
        <v>76.2</v>
      </c>
      <c r="H48" s="61">
        <f t="shared" si="8"/>
        <v>136.19999999999999</v>
      </c>
      <c r="I48" s="61">
        <f t="shared" si="8"/>
        <v>166.1</v>
      </c>
      <c r="J48" s="61">
        <f t="shared" si="8"/>
        <v>231.1</v>
      </c>
      <c r="K48" s="61">
        <f t="shared" si="8"/>
        <v>276.2</v>
      </c>
      <c r="L48" s="61">
        <f t="shared" si="8"/>
        <v>321.2</v>
      </c>
      <c r="M48" s="61">
        <f t="shared" si="8"/>
        <v>371.1</v>
      </c>
      <c r="N48" s="61">
        <f t="shared" si="8"/>
        <v>306.10000000000002</v>
      </c>
      <c r="O48" s="61">
        <f t="shared" si="8"/>
        <v>336.1</v>
      </c>
      <c r="P48" s="61">
        <f t="shared" si="8"/>
        <v>201.2</v>
      </c>
      <c r="Q48" s="61">
        <f t="shared" si="8"/>
        <v>100.1</v>
      </c>
      <c r="R48" s="61">
        <f t="shared" si="8"/>
        <v>75.2</v>
      </c>
      <c r="S48" s="61">
        <f t="shared" si="8"/>
        <v>120.2</v>
      </c>
      <c r="T48" s="61">
        <f t="shared" si="8"/>
        <v>100.2</v>
      </c>
      <c r="U48" s="61">
        <f t="shared" si="8"/>
        <v>89.7</v>
      </c>
      <c r="V48" s="61">
        <f t="shared" si="8"/>
        <v>209.7</v>
      </c>
      <c r="W48" s="61">
        <f t="shared" si="8"/>
        <v>299.7</v>
      </c>
      <c r="X48" s="61">
        <f t="shared" si="8"/>
        <v>436.1</v>
      </c>
      <c r="Y48" s="61">
        <f t="shared" si="8"/>
        <v>376.1</v>
      </c>
      <c r="Z48" s="61">
        <f t="shared" si="8"/>
        <v>366.1</v>
      </c>
      <c r="AA48" s="61">
        <f t="shared" si="8"/>
        <v>356.1</v>
      </c>
      <c r="AB48" s="61">
        <f t="shared" si="8"/>
        <v>326.10000000000002</v>
      </c>
      <c r="AC48" s="61">
        <f t="shared" si="8"/>
        <v>266.10000000000002</v>
      </c>
      <c r="AD48" s="61">
        <f t="shared" ref="AD48" si="9">SUM(AD45:AD47)</f>
        <v>176.1</v>
      </c>
      <c r="AE48" s="61">
        <f t="shared" si="8"/>
        <v>81.099999999999994</v>
      </c>
      <c r="AF48" s="61">
        <f t="shared" si="8"/>
        <v>81.099999999999994</v>
      </c>
      <c r="AG48" s="62">
        <f t="shared" ref="AG48" si="10">SUM(AG45:AG47)</f>
        <v>538.1</v>
      </c>
      <c r="AH48" s="48">
        <f t="shared" si="2"/>
        <v>436.1</v>
      </c>
      <c r="AI48" s="49">
        <f t="shared" si="3"/>
        <v>75.2</v>
      </c>
      <c r="AK48" s="50"/>
    </row>
    <row r="49" spans="1:41" x14ac:dyDescent="0.25">
      <c r="A49" s="44" t="s">
        <v>57</v>
      </c>
      <c r="B49" s="45">
        <v>30</v>
      </c>
      <c r="C49" s="45">
        <v>30</v>
      </c>
      <c r="D49" s="45">
        <v>25</v>
      </c>
      <c r="E49" s="45">
        <v>25.7</v>
      </c>
      <c r="F49" s="45">
        <v>26</v>
      </c>
      <c r="G49" s="45">
        <v>25.4</v>
      </c>
      <c r="H49" s="45">
        <v>35</v>
      </c>
      <c r="I49" s="45">
        <v>49.1</v>
      </c>
      <c r="J49" s="45">
        <v>93.5</v>
      </c>
      <c r="K49" s="45">
        <v>94.2</v>
      </c>
      <c r="L49" s="45">
        <v>135</v>
      </c>
      <c r="M49" s="45">
        <v>127</v>
      </c>
      <c r="N49" s="45">
        <v>126.7</v>
      </c>
      <c r="O49" s="45">
        <v>141</v>
      </c>
      <c r="P49" s="45">
        <v>142</v>
      </c>
      <c r="Q49" s="45">
        <v>130</v>
      </c>
      <c r="R49" s="45">
        <v>115</v>
      </c>
      <c r="S49" s="45">
        <v>90.3</v>
      </c>
      <c r="T49" s="45">
        <v>48.4</v>
      </c>
      <c r="U49" s="45">
        <v>30.3</v>
      </c>
      <c r="V49" s="45">
        <v>92.1</v>
      </c>
      <c r="W49" s="45">
        <v>138</v>
      </c>
      <c r="X49" s="45">
        <v>141</v>
      </c>
      <c r="Y49" s="45">
        <v>141</v>
      </c>
      <c r="Z49" s="45">
        <v>141</v>
      </c>
      <c r="AA49" s="45">
        <v>122</v>
      </c>
      <c r="AB49" s="45">
        <v>103</v>
      </c>
      <c r="AC49" s="45">
        <v>103</v>
      </c>
      <c r="AD49" s="45">
        <v>103</v>
      </c>
      <c r="AE49" s="45">
        <v>60</v>
      </c>
      <c r="AF49" s="45">
        <v>0</v>
      </c>
      <c r="AG49" s="52">
        <v>144</v>
      </c>
      <c r="AH49" s="48">
        <f t="shared" si="2"/>
        <v>142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22.3</v>
      </c>
      <c r="C50" s="65">
        <v>0</v>
      </c>
      <c r="D50" s="65">
        <v>0</v>
      </c>
      <c r="E50" s="65">
        <v>0</v>
      </c>
      <c r="F50" s="65">
        <v>0</v>
      </c>
      <c r="G50" s="65">
        <v>35</v>
      </c>
      <c r="H50" s="65">
        <v>50</v>
      </c>
      <c r="I50" s="65">
        <v>49.4</v>
      </c>
      <c r="J50" s="65">
        <v>48.3</v>
      </c>
      <c r="K50" s="65">
        <v>65.7</v>
      </c>
      <c r="L50" s="65">
        <v>61.4</v>
      </c>
      <c r="M50" s="65">
        <v>63.4</v>
      </c>
      <c r="N50" s="65">
        <v>70</v>
      </c>
      <c r="O50" s="65">
        <v>70</v>
      </c>
      <c r="P50" s="65">
        <v>66</v>
      </c>
      <c r="Q50" s="65">
        <v>71</v>
      </c>
      <c r="R50" s="45">
        <v>68</v>
      </c>
      <c r="S50" s="45">
        <v>46.9</v>
      </c>
      <c r="T50" s="45">
        <v>30.1</v>
      </c>
      <c r="U50" s="45">
        <v>35.700000000000003</v>
      </c>
      <c r="V50" s="45">
        <v>47.9</v>
      </c>
      <c r="W50" s="45">
        <v>58.4</v>
      </c>
      <c r="X50" s="45">
        <v>68</v>
      </c>
      <c r="Y50" s="45">
        <v>69</v>
      </c>
      <c r="Z50" s="45">
        <v>69</v>
      </c>
      <c r="AA50" s="45">
        <v>69</v>
      </c>
      <c r="AB50" s="65">
        <v>59</v>
      </c>
      <c r="AC50" s="65">
        <v>46</v>
      </c>
      <c r="AD50" s="65">
        <v>46</v>
      </c>
      <c r="AE50" s="65">
        <v>35</v>
      </c>
      <c r="AF50" s="65">
        <v>0</v>
      </c>
      <c r="AG50" s="55">
        <v>70</v>
      </c>
      <c r="AH50" s="48">
        <f t="shared" si="2"/>
        <v>71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34.6</v>
      </c>
      <c r="C51" s="65">
        <v>33.5</v>
      </c>
      <c r="D51" s="65">
        <v>22</v>
      </c>
      <c r="E51" s="65">
        <v>22.1</v>
      </c>
      <c r="F51" s="65">
        <v>22.2</v>
      </c>
      <c r="G51" s="65">
        <v>43.3</v>
      </c>
      <c r="H51" s="65">
        <v>41.3</v>
      </c>
      <c r="I51" s="65">
        <v>41.6</v>
      </c>
      <c r="J51" s="65">
        <v>42.1</v>
      </c>
      <c r="K51" s="65">
        <v>68.2</v>
      </c>
      <c r="L51" s="65">
        <v>68.099999999999994</v>
      </c>
      <c r="M51" s="65">
        <v>60.2</v>
      </c>
      <c r="N51" s="65">
        <v>58.5</v>
      </c>
      <c r="O51" s="65">
        <v>67</v>
      </c>
      <c r="P51" s="65">
        <v>55</v>
      </c>
      <c r="Q51" s="65">
        <v>46.5</v>
      </c>
      <c r="R51" s="45">
        <v>35.299999999999997</v>
      </c>
      <c r="S51" s="45">
        <v>46.4</v>
      </c>
      <c r="T51" s="45">
        <v>45.4</v>
      </c>
      <c r="U51" s="45">
        <v>45.8</v>
      </c>
      <c r="V51" s="45">
        <v>53</v>
      </c>
      <c r="W51" s="45">
        <v>69.5</v>
      </c>
      <c r="X51" s="45">
        <v>69.5</v>
      </c>
      <c r="Y51" s="45">
        <v>69.5</v>
      </c>
      <c r="Z51" s="45">
        <v>68</v>
      </c>
      <c r="AA51" s="45">
        <v>68</v>
      </c>
      <c r="AB51" s="65">
        <v>67</v>
      </c>
      <c r="AC51" s="65">
        <v>67</v>
      </c>
      <c r="AD51" s="65">
        <v>62</v>
      </c>
      <c r="AE51" s="65">
        <v>50</v>
      </c>
      <c r="AF51" s="65">
        <v>67</v>
      </c>
      <c r="AG51" s="55">
        <v>69</v>
      </c>
      <c r="AH51" s="48">
        <f t="shared" si="2"/>
        <v>69.5</v>
      </c>
      <c r="AI51" s="49">
        <f t="shared" si="3"/>
        <v>22</v>
      </c>
      <c r="AK51" s="50"/>
    </row>
    <row r="52" spans="1:41" x14ac:dyDescent="0.25">
      <c r="A52" s="54" t="s">
        <v>60</v>
      </c>
      <c r="B52" s="57">
        <v>61.2</v>
      </c>
      <c r="C52" s="57">
        <v>60.9</v>
      </c>
      <c r="D52" s="57">
        <v>60.9</v>
      </c>
      <c r="E52" s="57">
        <v>60.9</v>
      </c>
      <c r="F52" s="57">
        <v>60.9</v>
      </c>
      <c r="G52" s="57">
        <v>60.9</v>
      </c>
      <c r="H52" s="57">
        <v>60.9</v>
      </c>
      <c r="I52" s="57">
        <v>60.9</v>
      </c>
      <c r="J52" s="57">
        <v>60.9</v>
      </c>
      <c r="K52" s="57">
        <v>60.9</v>
      </c>
      <c r="L52" s="57">
        <v>60.9</v>
      </c>
      <c r="M52" s="57">
        <v>60.9</v>
      </c>
      <c r="N52" s="57">
        <v>60.9</v>
      </c>
      <c r="O52" s="57">
        <v>60.9</v>
      </c>
      <c r="P52" s="65">
        <v>60.6</v>
      </c>
      <c r="Q52" s="65">
        <v>60.6</v>
      </c>
      <c r="R52" s="65">
        <v>60.4</v>
      </c>
      <c r="S52" s="65">
        <v>30.2</v>
      </c>
      <c r="T52" s="65">
        <v>38.1</v>
      </c>
      <c r="U52" s="65">
        <v>61.2</v>
      </c>
      <c r="V52" s="65">
        <v>60.7</v>
      </c>
      <c r="W52" s="65">
        <v>58.7</v>
      </c>
      <c r="X52" s="65">
        <v>58.7</v>
      </c>
      <c r="Y52" s="65">
        <v>58.7</v>
      </c>
      <c r="Z52" s="65">
        <v>58.7</v>
      </c>
      <c r="AA52" s="65">
        <v>58.7</v>
      </c>
      <c r="AB52" s="65">
        <v>58.7</v>
      </c>
      <c r="AC52" s="65">
        <v>58.7</v>
      </c>
      <c r="AD52" s="65">
        <v>58.7</v>
      </c>
      <c r="AE52" s="65">
        <v>59</v>
      </c>
      <c r="AF52" s="65">
        <v>60</v>
      </c>
      <c r="AG52" s="55">
        <v>60</v>
      </c>
      <c r="AH52" s="48">
        <f t="shared" si="2"/>
        <v>61.2</v>
      </c>
      <c r="AI52" s="49">
        <f t="shared" si="3"/>
        <v>30.2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0</v>
      </c>
      <c r="N53" s="57">
        <v>0</v>
      </c>
      <c r="O53" s="57">
        <v>0</v>
      </c>
      <c r="P53" s="57">
        <v>0</v>
      </c>
      <c r="Q53" s="57">
        <v>0</v>
      </c>
      <c r="R53" s="57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55">
        <v>30</v>
      </c>
      <c r="AH53" s="48">
        <f t="shared" si="2"/>
        <v>0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8</v>
      </c>
      <c r="T54" s="45">
        <v>8</v>
      </c>
      <c r="U54" s="45">
        <v>8</v>
      </c>
      <c r="V54" s="45">
        <v>0</v>
      </c>
      <c r="W54" s="4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8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</v>
      </c>
      <c r="N55" s="65">
        <v>17</v>
      </c>
      <c r="O55" s="65">
        <v>17</v>
      </c>
      <c r="P55" s="65">
        <v>17.2</v>
      </c>
      <c r="Q55" s="65">
        <v>17.2</v>
      </c>
      <c r="R55" s="65">
        <v>17.2</v>
      </c>
      <c r="S55" s="65">
        <v>17.2</v>
      </c>
      <c r="T55" s="65">
        <v>17.2</v>
      </c>
      <c r="U55" s="65">
        <v>14</v>
      </c>
      <c r="V55" s="65">
        <v>14</v>
      </c>
      <c r="W55" s="65">
        <v>14</v>
      </c>
      <c r="X55" s="65">
        <v>15</v>
      </c>
      <c r="Y55" s="65">
        <v>15</v>
      </c>
      <c r="Z55" s="65">
        <v>15</v>
      </c>
      <c r="AA55" s="65">
        <v>15</v>
      </c>
      <c r="AB55" s="65">
        <v>15</v>
      </c>
      <c r="AC55" s="65">
        <v>15</v>
      </c>
      <c r="AD55" s="65">
        <v>15</v>
      </c>
      <c r="AE55" s="65">
        <v>15</v>
      </c>
      <c r="AF55" s="65">
        <v>15</v>
      </c>
      <c r="AG55" s="55">
        <v>24</v>
      </c>
      <c r="AH55" s="48">
        <f t="shared" si="2"/>
        <v>17.2</v>
      </c>
      <c r="AI55" s="49">
        <f t="shared" si="3"/>
        <v>14</v>
      </c>
      <c r="AK55" s="50"/>
    </row>
    <row r="56" spans="1:41" x14ac:dyDescent="0.25">
      <c r="A56" s="54" t="s">
        <v>64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14.1</v>
      </c>
      <c r="C57" s="65">
        <v>14.1</v>
      </c>
      <c r="D57" s="65">
        <v>14.1</v>
      </c>
      <c r="E57" s="65">
        <v>14.1</v>
      </c>
      <c r="F57" s="65">
        <v>14.1</v>
      </c>
      <c r="G57" s="65">
        <v>14.1</v>
      </c>
      <c r="H57" s="65">
        <v>14.1</v>
      </c>
      <c r="I57" s="65">
        <v>14.1</v>
      </c>
      <c r="J57" s="65">
        <v>14.1</v>
      </c>
      <c r="K57" s="65">
        <v>14.1</v>
      </c>
      <c r="L57" s="65">
        <v>14.1</v>
      </c>
      <c r="M57" s="65">
        <v>14.1</v>
      </c>
      <c r="N57" s="65">
        <v>14.1</v>
      </c>
      <c r="O57" s="65">
        <v>14.1</v>
      </c>
      <c r="P57" s="65">
        <v>14.1</v>
      </c>
      <c r="Q57" s="65">
        <v>14.1</v>
      </c>
      <c r="R57" s="65">
        <v>14.1</v>
      </c>
      <c r="S57" s="65">
        <v>14.1</v>
      </c>
      <c r="T57" s="65">
        <v>14.1</v>
      </c>
      <c r="U57" s="65">
        <v>14.1</v>
      </c>
      <c r="V57" s="65">
        <v>14.1</v>
      </c>
      <c r="W57" s="65">
        <v>14.1</v>
      </c>
      <c r="X57" s="65">
        <v>14.1</v>
      </c>
      <c r="Y57" s="65">
        <v>12.7</v>
      </c>
      <c r="Z57" s="65">
        <v>12.7</v>
      </c>
      <c r="AA57" s="65">
        <v>12.7</v>
      </c>
      <c r="AB57" s="65">
        <v>12.7</v>
      </c>
      <c r="AC57" s="65">
        <v>12.7</v>
      </c>
      <c r="AD57" s="65">
        <v>12.7</v>
      </c>
      <c r="AE57" s="65">
        <v>12.7</v>
      </c>
      <c r="AF57" s="65">
        <v>12.7</v>
      </c>
      <c r="AG57" s="55">
        <v>14.1</v>
      </c>
      <c r="AH57" s="48">
        <f t="shared" si="2"/>
        <v>14.1</v>
      </c>
      <c r="AI57" s="49">
        <f t="shared" si="3"/>
        <v>12.7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7</v>
      </c>
      <c r="C58" s="65">
        <v>7</v>
      </c>
      <c r="D58" s="65">
        <v>7</v>
      </c>
      <c r="E58" s="65">
        <v>7</v>
      </c>
      <c r="F58" s="65">
        <v>7</v>
      </c>
      <c r="G58" s="65">
        <v>7</v>
      </c>
      <c r="H58" s="65">
        <v>7</v>
      </c>
      <c r="I58" s="65">
        <v>7</v>
      </c>
      <c r="J58" s="65">
        <v>7</v>
      </c>
      <c r="K58" s="65">
        <v>7</v>
      </c>
      <c r="L58" s="65">
        <v>7</v>
      </c>
      <c r="M58" s="65">
        <v>7</v>
      </c>
      <c r="N58" s="65">
        <v>7</v>
      </c>
      <c r="O58" s="65">
        <v>7</v>
      </c>
      <c r="P58" s="65">
        <v>7</v>
      </c>
      <c r="Q58" s="65">
        <v>7</v>
      </c>
      <c r="R58" s="65">
        <v>7</v>
      </c>
      <c r="S58" s="65">
        <v>6.3</v>
      </c>
      <c r="T58" s="65">
        <v>6.3</v>
      </c>
      <c r="U58" s="65">
        <v>6.3</v>
      </c>
      <c r="V58" s="65">
        <v>6.3</v>
      </c>
      <c r="W58" s="65">
        <v>6.3</v>
      </c>
      <c r="X58" s="65">
        <v>6.3</v>
      </c>
      <c r="Y58" s="65">
        <v>6.3</v>
      </c>
      <c r="Z58" s="65">
        <v>6.3</v>
      </c>
      <c r="AA58" s="65">
        <v>6.3</v>
      </c>
      <c r="AB58" s="65">
        <v>6.3</v>
      </c>
      <c r="AC58" s="65">
        <v>6.3</v>
      </c>
      <c r="AD58" s="65">
        <v>6.3</v>
      </c>
      <c r="AE58" s="65">
        <v>6.3</v>
      </c>
      <c r="AF58" s="65">
        <v>6.3</v>
      </c>
      <c r="AG58" s="55">
        <v>14</v>
      </c>
      <c r="AH58" s="48">
        <f t="shared" si="2"/>
        <v>7</v>
      </c>
      <c r="AI58" s="49">
        <f t="shared" si="3"/>
        <v>6.3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6.52</v>
      </c>
      <c r="Q59" s="65">
        <v>6.52</v>
      </c>
      <c r="R59" s="65">
        <v>6.52</v>
      </c>
      <c r="S59" s="65">
        <v>3</v>
      </c>
      <c r="T59" s="65">
        <v>3</v>
      </c>
      <c r="U59" s="65">
        <v>3</v>
      </c>
      <c r="V59" s="65">
        <v>3</v>
      </c>
      <c r="W59" s="65">
        <v>3</v>
      </c>
      <c r="X59" s="65">
        <v>3</v>
      </c>
      <c r="Y59" s="65">
        <v>3</v>
      </c>
      <c r="Z59" s="65">
        <v>3</v>
      </c>
      <c r="AA59" s="65">
        <v>3</v>
      </c>
      <c r="AB59" s="65">
        <v>3</v>
      </c>
      <c r="AC59" s="65">
        <v>3</v>
      </c>
      <c r="AD59" s="65">
        <v>3</v>
      </c>
      <c r="AE59" s="65">
        <v>3</v>
      </c>
      <c r="AF59" s="65">
        <v>3</v>
      </c>
      <c r="AG59" s="55">
        <v>10.050000000000001</v>
      </c>
      <c r="AH59" s="48">
        <f t="shared" si="2"/>
        <v>6.52</v>
      </c>
      <c r="AI59" s="49">
        <f t="shared" si="3"/>
        <v>3</v>
      </c>
      <c r="AK59" s="50"/>
    </row>
    <row r="60" spans="1:41" x14ac:dyDescent="0.25">
      <c r="A60" s="54" t="s">
        <v>68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>
        <v>3.6</v>
      </c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F62" si="11">SUM(B49:B61)</f>
        <v>199.94</v>
      </c>
      <c r="C62" s="61">
        <f t="shared" si="11"/>
        <v>176.23999999999998</v>
      </c>
      <c r="D62" s="61">
        <f t="shared" si="11"/>
        <v>159.73999999999998</v>
      </c>
      <c r="E62" s="61">
        <f t="shared" si="11"/>
        <v>160.53999999999996</v>
      </c>
      <c r="F62" s="61">
        <f t="shared" si="11"/>
        <v>160.93999999999997</v>
      </c>
      <c r="G62" s="61">
        <f t="shared" si="11"/>
        <v>216.43999999999997</v>
      </c>
      <c r="H62" s="61">
        <f t="shared" si="11"/>
        <v>239.03999999999996</v>
      </c>
      <c r="I62" s="61">
        <f t="shared" si="11"/>
        <v>252.83999999999997</v>
      </c>
      <c r="J62" s="61">
        <f t="shared" si="11"/>
        <v>296.6400000000001</v>
      </c>
      <c r="K62" s="61">
        <f t="shared" si="11"/>
        <v>340.84000000000009</v>
      </c>
      <c r="L62" s="61">
        <f t="shared" si="11"/>
        <v>377.24000000000007</v>
      </c>
      <c r="M62" s="61">
        <f t="shared" si="11"/>
        <v>363.24000000000007</v>
      </c>
      <c r="N62" s="61">
        <f t="shared" si="11"/>
        <v>367.84000000000003</v>
      </c>
      <c r="O62" s="61">
        <f t="shared" si="11"/>
        <v>390.64000000000004</v>
      </c>
      <c r="P62" s="61">
        <f t="shared" si="11"/>
        <v>375.56000000000006</v>
      </c>
      <c r="Q62" s="61">
        <f t="shared" si="11"/>
        <v>360.06000000000006</v>
      </c>
      <c r="R62" s="61">
        <f t="shared" si="11"/>
        <v>330.66</v>
      </c>
      <c r="S62" s="61">
        <f t="shared" si="11"/>
        <v>269.54000000000002</v>
      </c>
      <c r="T62" s="61">
        <f t="shared" si="11"/>
        <v>217.73999999999998</v>
      </c>
      <c r="U62" s="61">
        <f t="shared" si="11"/>
        <v>225.54</v>
      </c>
      <c r="V62" s="61">
        <f t="shared" si="11"/>
        <v>298.24000000000007</v>
      </c>
      <c r="W62" s="61">
        <f t="shared" si="11"/>
        <v>369.14000000000004</v>
      </c>
      <c r="X62" s="61">
        <f t="shared" si="11"/>
        <v>382.74000000000007</v>
      </c>
      <c r="Y62" s="61">
        <f t="shared" si="11"/>
        <v>382.34000000000003</v>
      </c>
      <c r="Z62" s="61">
        <f t="shared" si="11"/>
        <v>380.84000000000003</v>
      </c>
      <c r="AA62" s="61">
        <f t="shared" si="11"/>
        <v>361.84000000000003</v>
      </c>
      <c r="AB62" s="61">
        <f t="shared" si="11"/>
        <v>331.84000000000003</v>
      </c>
      <c r="AC62" s="61">
        <f t="shared" si="11"/>
        <v>318.84000000000003</v>
      </c>
      <c r="AD62" s="61">
        <f t="shared" si="11"/>
        <v>313.84000000000003</v>
      </c>
      <c r="AE62" s="61">
        <f t="shared" si="11"/>
        <v>248.14</v>
      </c>
      <c r="AF62" s="61">
        <f t="shared" si="11"/>
        <v>171.14</v>
      </c>
      <c r="AG62" s="62">
        <f t="shared" ref="AG62" si="12">SUM(AG49:AG61)</f>
        <v>489.91</v>
      </c>
      <c r="AH62" s="48">
        <f t="shared" si="2"/>
        <v>390.64000000000004</v>
      </c>
      <c r="AI62" s="49">
        <f t="shared" si="3"/>
        <v>159.73999999999998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40</v>
      </c>
      <c r="M63" s="45">
        <v>60</v>
      </c>
      <c r="N63" s="45">
        <v>50</v>
      </c>
      <c r="O63" s="45">
        <v>0</v>
      </c>
      <c r="P63" s="45">
        <v>45</v>
      </c>
      <c r="Q63" s="45">
        <v>0</v>
      </c>
      <c r="R63" s="45">
        <v>0</v>
      </c>
      <c r="S63" s="45">
        <v>60</v>
      </c>
      <c r="T63" s="45">
        <v>60</v>
      </c>
      <c r="U63" s="45">
        <v>60</v>
      </c>
      <c r="V63" s="45">
        <v>34</v>
      </c>
      <c r="W63" s="45">
        <v>60</v>
      </c>
      <c r="X63" s="45">
        <v>60</v>
      </c>
      <c r="Y63" s="45">
        <v>34</v>
      </c>
      <c r="Z63" s="45">
        <v>30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18.399999999999999</v>
      </c>
      <c r="M64" s="65">
        <v>26.1</v>
      </c>
      <c r="N64" s="65">
        <v>19.5</v>
      </c>
      <c r="O64" s="65">
        <v>0</v>
      </c>
      <c r="P64" s="65">
        <v>22</v>
      </c>
      <c r="Q64" s="45">
        <v>4</v>
      </c>
      <c r="R64" s="45">
        <v>0</v>
      </c>
      <c r="S64" s="65">
        <v>13.1</v>
      </c>
      <c r="T64" s="65">
        <v>28</v>
      </c>
      <c r="U64" s="65">
        <v>26.3</v>
      </c>
      <c r="V64" s="65">
        <v>12.9</v>
      </c>
      <c r="W64" s="65">
        <v>21</v>
      </c>
      <c r="X64" s="65">
        <v>28</v>
      </c>
      <c r="Y64" s="65">
        <v>16.100000000000001</v>
      </c>
      <c r="Z64" s="65">
        <v>14</v>
      </c>
      <c r="AA64" s="65">
        <v>6.6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>
        <v>32</v>
      </c>
      <c r="AH64" s="48">
        <f t="shared" si="2"/>
        <v>28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6.7</v>
      </c>
      <c r="M65" s="67">
        <v>9.5</v>
      </c>
      <c r="N65" s="67">
        <v>7.1</v>
      </c>
      <c r="O65" s="67">
        <v>0</v>
      </c>
      <c r="P65" s="67">
        <v>7</v>
      </c>
      <c r="Q65" s="45">
        <v>2</v>
      </c>
      <c r="R65" s="45">
        <v>0</v>
      </c>
      <c r="S65" s="67">
        <v>4.8</v>
      </c>
      <c r="T65" s="67">
        <v>10.199999999999999</v>
      </c>
      <c r="U65" s="67">
        <v>9.6</v>
      </c>
      <c r="V65" s="67">
        <v>4.7</v>
      </c>
      <c r="W65" s="67">
        <v>7.7</v>
      </c>
      <c r="X65" s="67">
        <v>10.199999999999999</v>
      </c>
      <c r="Y65" s="67">
        <v>5.9</v>
      </c>
      <c r="Z65" s="67">
        <v>5.0999999999999996</v>
      </c>
      <c r="AA65" s="67">
        <v>2.4</v>
      </c>
      <c r="AB65" s="67">
        <v>0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8">
        <f t="shared" si="2"/>
        <v>10.199999999999999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65.099999999999994</v>
      </c>
      <c r="M66" s="61">
        <f t="shared" ref="M66:N66" si="13">M63+M64+M65</f>
        <v>95.6</v>
      </c>
      <c r="N66" s="61">
        <f t="shared" si="13"/>
        <v>76.599999999999994</v>
      </c>
      <c r="O66" s="61">
        <f t="shared" ref="O66" si="14">O63+O64+O65</f>
        <v>0</v>
      </c>
      <c r="P66" s="61">
        <f t="shared" ref="P66" si="15">P63+P64+P65</f>
        <v>74</v>
      </c>
      <c r="Q66" s="61">
        <f t="shared" ref="Q66" si="16">Q63+Q64+Q65</f>
        <v>6</v>
      </c>
      <c r="R66" s="61">
        <f t="shared" ref="R66" si="17">R63+R64+R65</f>
        <v>0</v>
      </c>
      <c r="S66" s="61">
        <f t="shared" ref="S66" si="18">S63+S64+S65</f>
        <v>77.899999999999991</v>
      </c>
      <c r="T66" s="61">
        <f t="shared" ref="T66" si="19">T63+T64+T65</f>
        <v>98.2</v>
      </c>
      <c r="U66" s="61">
        <f t="shared" ref="U66" si="20">U63+U64+U65</f>
        <v>95.899999999999991</v>
      </c>
      <c r="V66" s="61">
        <f t="shared" ref="V66" si="21">V63+V64+V65</f>
        <v>51.6</v>
      </c>
      <c r="W66" s="61">
        <f t="shared" ref="W66" si="22">W63+W64+W65</f>
        <v>88.7</v>
      </c>
      <c r="X66" s="61">
        <f t="shared" ref="X66" si="23">X63+X64+X65</f>
        <v>98.2</v>
      </c>
      <c r="Y66" s="61">
        <f t="shared" ref="Y66" si="24">Y63+Y64+Y65</f>
        <v>56</v>
      </c>
      <c r="Z66" s="61">
        <f t="shared" ref="Z66" si="25">Z63+Z64+Z65</f>
        <v>49.1</v>
      </c>
      <c r="AA66" s="61">
        <f t="shared" ref="AA66" si="26">AA63+AA64+AA65</f>
        <v>9</v>
      </c>
      <c r="AB66" s="61">
        <f t="shared" ref="AB66" si="27">AB63+AB64+AB65</f>
        <v>0</v>
      </c>
      <c r="AC66" s="61">
        <f t="shared" ref="AC66" si="28">AC63+AC64+AC65</f>
        <v>0</v>
      </c>
      <c r="AD66" s="61">
        <f t="shared" ref="AD66" si="29">AD63+AD64+AD65</f>
        <v>0</v>
      </c>
      <c r="AE66" s="61">
        <f t="shared" ref="AE66" si="30">AE63+AE64+AE65</f>
        <v>0</v>
      </c>
      <c r="AF66" s="61">
        <f t="shared" ref="AF66" si="31">AF63+AF64+AF65</f>
        <v>0</v>
      </c>
      <c r="AG66" s="62">
        <f t="shared" ref="AG66" si="32">SUM(AG63:AG65)</f>
        <v>106</v>
      </c>
      <c r="AH66" s="48">
        <f t="shared" si="2"/>
        <v>98.2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48.3</v>
      </c>
      <c r="C67" s="45">
        <v>62.9</v>
      </c>
      <c r="D67" s="45">
        <v>61</v>
      </c>
      <c r="E67" s="45">
        <v>59</v>
      </c>
      <c r="F67" s="45">
        <v>63</v>
      </c>
      <c r="G67" s="45">
        <v>65</v>
      </c>
      <c r="H67" s="45">
        <v>65</v>
      </c>
      <c r="I67" s="45">
        <v>64</v>
      </c>
      <c r="J67" s="45">
        <v>62</v>
      </c>
      <c r="K67" s="45">
        <v>55</v>
      </c>
      <c r="L67" s="45">
        <v>65.8</v>
      </c>
      <c r="M67" s="45">
        <v>62</v>
      </c>
      <c r="N67" s="45">
        <v>59</v>
      </c>
      <c r="O67" s="45">
        <v>64</v>
      </c>
      <c r="P67" s="45">
        <v>60</v>
      </c>
      <c r="Q67" s="45">
        <v>52.6</v>
      </c>
      <c r="R67" s="45">
        <v>52</v>
      </c>
      <c r="S67" s="45">
        <v>58.9</v>
      </c>
      <c r="T67" s="45">
        <v>58.2</v>
      </c>
      <c r="U67" s="45">
        <v>64.099999999999994</v>
      </c>
      <c r="V67" s="45">
        <v>63</v>
      </c>
      <c r="W67" s="45">
        <v>57</v>
      </c>
      <c r="X67" s="45">
        <v>66</v>
      </c>
      <c r="Y67" s="45">
        <v>53.5</v>
      </c>
      <c r="Z67" s="45">
        <v>56.2</v>
      </c>
      <c r="AA67" s="45">
        <v>52.6</v>
      </c>
      <c r="AB67" s="45">
        <v>50</v>
      </c>
      <c r="AC67" s="45">
        <v>42</v>
      </c>
      <c r="AD67" s="45">
        <v>57</v>
      </c>
      <c r="AE67" s="45">
        <v>59</v>
      </c>
      <c r="AF67" s="45">
        <v>53</v>
      </c>
      <c r="AG67" s="52"/>
      <c r="AH67" s="48">
        <f t="shared" si="2"/>
        <v>66</v>
      </c>
      <c r="AI67" s="49">
        <f t="shared" si="3"/>
        <v>42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104</v>
      </c>
      <c r="C69" s="65">
        <v>96.5</v>
      </c>
      <c r="D69" s="65">
        <v>94.9</v>
      </c>
      <c r="E69" s="65">
        <v>98</v>
      </c>
      <c r="F69" s="65">
        <v>106</v>
      </c>
      <c r="G69" s="65">
        <v>100</v>
      </c>
      <c r="H69" s="65">
        <v>95</v>
      </c>
      <c r="I69" s="65">
        <v>138</v>
      </c>
      <c r="J69" s="65">
        <v>149</v>
      </c>
      <c r="K69" s="65">
        <v>150</v>
      </c>
      <c r="L69" s="65">
        <v>104</v>
      </c>
      <c r="M69" s="65">
        <v>92</v>
      </c>
      <c r="N69" s="65">
        <v>172</v>
      </c>
      <c r="O69" s="65">
        <v>150</v>
      </c>
      <c r="P69" s="65">
        <v>143</v>
      </c>
      <c r="Q69" s="65">
        <v>215</v>
      </c>
      <c r="R69" s="65">
        <v>245</v>
      </c>
      <c r="S69" s="65">
        <v>200</v>
      </c>
      <c r="T69" s="65">
        <v>200</v>
      </c>
      <c r="U69" s="65">
        <v>200</v>
      </c>
      <c r="V69" s="65">
        <v>103</v>
      </c>
      <c r="W69" s="65">
        <v>70</v>
      </c>
      <c r="X69" s="65">
        <v>60</v>
      </c>
      <c r="Y69" s="65">
        <v>109</v>
      </c>
      <c r="Z69" s="65">
        <v>97</v>
      </c>
      <c r="AA69" s="65">
        <v>95</v>
      </c>
      <c r="AB69" s="65">
        <v>95</v>
      </c>
      <c r="AC69" s="65">
        <v>144</v>
      </c>
      <c r="AD69" s="65">
        <v>144</v>
      </c>
      <c r="AE69" s="65">
        <v>143</v>
      </c>
      <c r="AF69" s="65">
        <v>147</v>
      </c>
      <c r="AG69" s="75"/>
      <c r="AH69" s="48">
        <f t="shared" si="2"/>
        <v>245</v>
      </c>
      <c r="AI69" s="49">
        <f t="shared" si="3"/>
        <v>60</v>
      </c>
      <c r="AK69" s="50"/>
    </row>
    <row r="70" spans="1:40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36</v>
      </c>
      <c r="L70" s="76">
        <v>40</v>
      </c>
      <c r="M70" s="76">
        <v>40</v>
      </c>
      <c r="N70" s="76">
        <v>40</v>
      </c>
      <c r="O70" s="76">
        <v>40</v>
      </c>
      <c r="P70" s="76">
        <v>39</v>
      </c>
      <c r="Q70" s="76">
        <v>39</v>
      </c>
      <c r="R70" s="76">
        <v>38</v>
      </c>
      <c r="S70" s="76">
        <v>35.6</v>
      </c>
      <c r="T70" s="76">
        <v>35.6</v>
      </c>
      <c r="U70" s="76">
        <v>42</v>
      </c>
      <c r="V70" s="65">
        <v>47</v>
      </c>
      <c r="W70" s="65">
        <v>42.4</v>
      </c>
      <c r="X70" s="65">
        <v>45.5</v>
      </c>
      <c r="Y70" s="65">
        <v>47.2</v>
      </c>
      <c r="Z70" s="65">
        <v>44.3</v>
      </c>
      <c r="AA70" s="65">
        <v>41.6</v>
      </c>
      <c r="AB70" s="65">
        <v>43</v>
      </c>
      <c r="AC70" s="65">
        <v>41</v>
      </c>
      <c r="AD70" s="65">
        <v>34</v>
      </c>
      <c r="AE70" s="65">
        <v>40</v>
      </c>
      <c r="AF70" s="65">
        <v>45</v>
      </c>
      <c r="AG70" s="75"/>
      <c r="AH70" s="48">
        <f t="shared" si="2"/>
        <v>47.2</v>
      </c>
      <c r="AI70" s="49">
        <f t="shared" si="3"/>
        <v>0</v>
      </c>
      <c r="AK70" s="50"/>
    </row>
    <row r="71" spans="1:40" x14ac:dyDescent="0.25">
      <c r="A71" s="54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21</v>
      </c>
      <c r="Q71" s="45">
        <v>25</v>
      </c>
      <c r="R71" s="45">
        <v>30</v>
      </c>
      <c r="S71" s="45">
        <v>30</v>
      </c>
      <c r="T71" s="45">
        <v>25</v>
      </c>
      <c r="U71" s="45">
        <v>25</v>
      </c>
      <c r="V71" s="45">
        <v>30</v>
      </c>
      <c r="W71" s="45">
        <v>30</v>
      </c>
      <c r="X71" s="45">
        <v>25</v>
      </c>
      <c r="Y71" s="45">
        <v>25</v>
      </c>
      <c r="Z71" s="45">
        <v>25</v>
      </c>
      <c r="AA71" s="45">
        <v>25</v>
      </c>
      <c r="AB71" s="45">
        <v>25</v>
      </c>
      <c r="AC71" s="45">
        <v>25</v>
      </c>
      <c r="AD71" s="45">
        <v>24</v>
      </c>
      <c r="AE71" s="45">
        <v>23</v>
      </c>
      <c r="AF71" s="45">
        <v>22.5</v>
      </c>
      <c r="AG71" s="75"/>
      <c r="AH71" s="48">
        <f t="shared" si="2"/>
        <v>30</v>
      </c>
      <c r="AI71" s="49">
        <f t="shared" si="3"/>
        <v>0</v>
      </c>
      <c r="AK71" s="50"/>
    </row>
    <row r="72" spans="1:40" x14ac:dyDescent="0.25">
      <c r="A72" s="54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33">MAX(B75:AF75)</f>
        <v>0</v>
      </c>
      <c r="AI75" s="49">
        <f t="shared" ref="AI75:AI113" si="34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33"/>
        <v>0</v>
      </c>
      <c r="AI76" s="49">
        <f t="shared" si="34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33"/>
        <v>0</v>
      </c>
      <c r="AI77" s="49">
        <f t="shared" si="34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" si="35">SUMIF(B67:B77,"&gt;0")</f>
        <v>152.30000000000001</v>
      </c>
      <c r="C78" s="61">
        <f t="shared" ref="C78" si="36">SUMIF(C67:C77,"&gt;0")</f>
        <v>159.4</v>
      </c>
      <c r="D78" s="61">
        <f t="shared" ref="D78" si="37">SUMIF(D67:D77,"&gt;0")</f>
        <v>155.9</v>
      </c>
      <c r="E78" s="61">
        <f t="shared" ref="E78" si="38">SUMIF(E67:E77,"&gt;0")</f>
        <v>157</v>
      </c>
      <c r="F78" s="61">
        <f t="shared" ref="F78" si="39">SUMIF(F67:F77,"&gt;0")</f>
        <v>169</v>
      </c>
      <c r="G78" s="61">
        <f t="shared" ref="G78" si="40">SUMIF(G67:G77,"&gt;0")</f>
        <v>165</v>
      </c>
      <c r="H78" s="61">
        <f t="shared" ref="H78" si="41">SUMIF(H67:H77,"&gt;0")</f>
        <v>160</v>
      </c>
      <c r="I78" s="61">
        <f t="shared" ref="I78" si="42">SUMIF(I67:I77,"&gt;0")</f>
        <v>202</v>
      </c>
      <c r="J78" s="61">
        <f t="shared" ref="J78" si="43">SUMIF(J67:J77,"&gt;0")</f>
        <v>211</v>
      </c>
      <c r="K78" s="61">
        <f t="shared" ref="K78" si="44">SUMIF(K67:K77,"&gt;0")</f>
        <v>241</v>
      </c>
      <c r="L78" s="61">
        <f t="shared" ref="L78" si="45">SUMIF(L67:L77,"&gt;0")</f>
        <v>209.8</v>
      </c>
      <c r="M78" s="61">
        <f t="shared" ref="M78" si="46">SUMIF(M67:M77,"&gt;0")</f>
        <v>194</v>
      </c>
      <c r="N78" s="61">
        <f t="shared" ref="N78" si="47">SUMIF(N67:N77,"&gt;0")</f>
        <v>271</v>
      </c>
      <c r="O78" s="61">
        <f t="shared" ref="O78" si="48">SUMIF(O67:O77,"&gt;0")</f>
        <v>254</v>
      </c>
      <c r="P78" s="61">
        <f t="shared" ref="P78" si="49">SUMIF(P67:P77,"&gt;0")</f>
        <v>263</v>
      </c>
      <c r="Q78" s="61">
        <f t="shared" ref="Q78" si="50">SUMIF(Q67:Q77,"&gt;0")</f>
        <v>331.6</v>
      </c>
      <c r="R78" s="61">
        <f t="shared" ref="R78" si="51">SUMIF(R67:R77,"&gt;0")</f>
        <v>365</v>
      </c>
      <c r="S78" s="61">
        <f t="shared" ref="S78" si="52">SUMIF(S67:S77,"&gt;0")</f>
        <v>324.5</v>
      </c>
      <c r="T78" s="61">
        <f t="shared" ref="T78" si="53">SUMIF(T67:T77,"&gt;0")</f>
        <v>318.8</v>
      </c>
      <c r="U78" s="61">
        <f t="shared" ref="U78" si="54">SUMIF(U67:U77,"&gt;0")</f>
        <v>331.1</v>
      </c>
      <c r="V78" s="61">
        <f t="shared" ref="V78" si="55">SUMIF(V67:V77,"&gt;0")</f>
        <v>243</v>
      </c>
      <c r="W78" s="61">
        <f t="shared" ref="W78" si="56">SUMIF(W67:W77,"&gt;0")</f>
        <v>199.4</v>
      </c>
      <c r="X78" s="61">
        <f t="shared" ref="X78" si="57">SUMIF(X67:X77,"&gt;0")</f>
        <v>196.5</v>
      </c>
      <c r="Y78" s="61">
        <f t="shared" ref="Y78" si="58">SUMIF(Y67:Y77,"&gt;0")</f>
        <v>234.7</v>
      </c>
      <c r="Z78" s="61">
        <f t="shared" ref="Z78" si="59">SUMIF(Z67:Z77,"&gt;0")</f>
        <v>222.5</v>
      </c>
      <c r="AA78" s="61">
        <f t="shared" ref="AA78" si="60">SUMIF(AA67:AA77,"&gt;0")</f>
        <v>214.2</v>
      </c>
      <c r="AB78" s="61">
        <f t="shared" ref="AB78" si="61">SUMIF(AB67:AB77,"&gt;0")</f>
        <v>213</v>
      </c>
      <c r="AC78" s="61">
        <f t="shared" ref="AC78" si="62">SUMIF(AC67:AC77,"&gt;0")</f>
        <v>252</v>
      </c>
      <c r="AD78" s="61">
        <f t="shared" ref="AD78" si="63">SUMIF(AD67:AD77,"&gt;0")</f>
        <v>259</v>
      </c>
      <c r="AE78" s="61">
        <f t="shared" ref="AE78" si="64">SUMIF(AE67:AE77,"&gt;0")</f>
        <v>265</v>
      </c>
      <c r="AF78" s="61">
        <f t="shared" ref="AF78" si="65">SUMIF(AF67:AF77,"&gt;0")</f>
        <v>267.5</v>
      </c>
      <c r="AG78" s="81">
        <f>SUM(AG67:AG77)</f>
        <v>0</v>
      </c>
      <c r="AH78" s="48">
        <f t="shared" si="33"/>
        <v>365</v>
      </c>
      <c r="AI78" s="49">
        <f t="shared" si="34"/>
        <v>152.30000000000001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82">
        <v>39</v>
      </c>
      <c r="AH79" s="48">
        <f t="shared" si="33"/>
        <v>0</v>
      </c>
      <c r="AI79" s="49">
        <f t="shared" si="34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5">
        <v>14.4</v>
      </c>
      <c r="AH80" s="48">
        <f t="shared" si="33"/>
        <v>0</v>
      </c>
      <c r="AI80" s="49">
        <f t="shared" si="34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80">
        <v>2</v>
      </c>
      <c r="AH81" s="48">
        <f t="shared" si="33"/>
        <v>0</v>
      </c>
      <c r="AI81" s="49">
        <f t="shared" si="34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33"/>
        <v>0</v>
      </c>
      <c r="AI82" s="49">
        <f t="shared" si="34"/>
        <v>0</v>
      </c>
    </row>
    <row r="83" spans="1:37" ht="15.75" thickBot="1" x14ac:dyDescent="0.3">
      <c r="A83" s="74" t="s">
        <v>91</v>
      </c>
      <c r="B83" s="83">
        <f>B44+B48+B66+B62+B78+B82</f>
        <v>989.04</v>
      </c>
      <c r="C83" s="83">
        <f t="shared" ref="C83:AF83" si="66">C44+C48+C66+C62+C78+C82</f>
        <v>974.14</v>
      </c>
      <c r="D83" s="83">
        <f t="shared" si="66"/>
        <v>954.14</v>
      </c>
      <c r="E83" s="83">
        <f t="shared" si="66"/>
        <v>974.24</v>
      </c>
      <c r="F83" s="83">
        <f t="shared" si="66"/>
        <v>986.54</v>
      </c>
      <c r="G83" s="83">
        <f t="shared" si="66"/>
        <v>1018.14</v>
      </c>
      <c r="H83" s="83">
        <f t="shared" si="66"/>
        <v>1095.74</v>
      </c>
      <c r="I83" s="83">
        <f t="shared" si="66"/>
        <v>1181.44</v>
      </c>
      <c r="J83" s="83">
        <f t="shared" si="66"/>
        <v>1299.2400000000002</v>
      </c>
      <c r="K83" s="83">
        <f t="shared" si="66"/>
        <v>1418.5400000000002</v>
      </c>
      <c r="L83" s="83">
        <f t="shared" si="66"/>
        <v>1533.8400000000001</v>
      </c>
      <c r="M83" s="83">
        <f t="shared" si="66"/>
        <v>1576.64</v>
      </c>
      <c r="N83" s="83">
        <f t="shared" si="66"/>
        <v>1574.2400000000002</v>
      </c>
      <c r="O83" s="83">
        <f t="shared" si="66"/>
        <v>1533.44</v>
      </c>
      <c r="P83" s="83">
        <f t="shared" si="66"/>
        <v>1461.06</v>
      </c>
      <c r="Q83" s="83">
        <f t="shared" si="66"/>
        <v>1345.06</v>
      </c>
      <c r="R83" s="83">
        <f t="shared" si="66"/>
        <v>1313.5600000000002</v>
      </c>
      <c r="S83" s="83">
        <f t="shared" si="66"/>
        <v>1333.44</v>
      </c>
      <c r="T83" s="83">
        <f t="shared" si="66"/>
        <v>1274.74</v>
      </c>
      <c r="U83" s="83">
        <f t="shared" si="66"/>
        <v>1282.04</v>
      </c>
      <c r="V83" s="83">
        <f t="shared" si="66"/>
        <v>1342.3400000000001</v>
      </c>
      <c r="W83" s="83">
        <f t="shared" si="66"/>
        <v>1496.7400000000002</v>
      </c>
      <c r="X83" s="83">
        <f t="shared" si="66"/>
        <v>1662.54</v>
      </c>
      <c r="Y83" s="83">
        <f t="shared" si="66"/>
        <v>1598.14</v>
      </c>
      <c r="Z83" s="83">
        <f t="shared" si="66"/>
        <v>1567.54</v>
      </c>
      <c r="AA83" s="83">
        <f t="shared" si="66"/>
        <v>1490.14</v>
      </c>
      <c r="AB83" s="83">
        <f t="shared" si="66"/>
        <v>1419.94</v>
      </c>
      <c r="AC83" s="83">
        <f t="shared" si="66"/>
        <v>1385.94</v>
      </c>
      <c r="AD83" s="83">
        <f t="shared" si="66"/>
        <v>1297.94</v>
      </c>
      <c r="AE83" s="83">
        <f t="shared" si="66"/>
        <v>1143.24</v>
      </c>
      <c r="AF83" s="83">
        <f t="shared" si="66"/>
        <v>1068.74</v>
      </c>
      <c r="AG83" s="62">
        <f t="shared" ref="AG83" si="67">AG44+AG48+AG66+AG62+AG78+AG82</f>
        <v>2004.1900000000003</v>
      </c>
      <c r="AH83" s="48">
        <f>MAX(B83:AF83)</f>
        <v>1662.54</v>
      </c>
      <c r="AI83" s="49">
        <f>MIN(B83:AF83)</f>
        <v>954.14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33"/>
        <v>0</v>
      </c>
      <c r="AI84" s="49">
        <f t="shared" si="34"/>
        <v>0</v>
      </c>
    </row>
    <row r="85" spans="1:37" ht="15.75" thickBot="1" x14ac:dyDescent="0.3">
      <c r="A85" s="74" t="s">
        <v>93</v>
      </c>
      <c r="B85" s="83">
        <f>B83+B84</f>
        <v>989.04</v>
      </c>
      <c r="C85" s="83">
        <f t="shared" ref="C85:F85" si="68">C83+C84</f>
        <v>974.14</v>
      </c>
      <c r="D85" s="83">
        <f t="shared" si="68"/>
        <v>954.14</v>
      </c>
      <c r="E85" s="83">
        <f t="shared" si="68"/>
        <v>974.24</v>
      </c>
      <c r="F85" s="83">
        <f t="shared" si="68"/>
        <v>986.54</v>
      </c>
      <c r="G85" s="83">
        <f t="shared" ref="G85" si="69">G83+G84</f>
        <v>1018.14</v>
      </c>
      <c r="H85" s="83">
        <f t="shared" ref="H85" si="70">H83+H84</f>
        <v>1095.74</v>
      </c>
      <c r="I85" s="83">
        <f t="shared" ref="I85" si="71">I83+I84</f>
        <v>1181.44</v>
      </c>
      <c r="J85" s="83">
        <f t="shared" ref="J85" si="72">J83+J84</f>
        <v>1299.2400000000002</v>
      </c>
      <c r="K85" s="83">
        <f t="shared" ref="K85" si="73">K83+K84</f>
        <v>1418.5400000000002</v>
      </c>
      <c r="L85" s="83">
        <f t="shared" ref="L85" si="74">L83+L84</f>
        <v>1533.8400000000001</v>
      </c>
      <c r="M85" s="83">
        <f t="shared" ref="M85" si="75">M83+M84</f>
        <v>1576.64</v>
      </c>
      <c r="N85" s="83">
        <f t="shared" ref="N85" si="76">N83+N84</f>
        <v>1574.2400000000002</v>
      </c>
      <c r="O85" s="83">
        <f t="shared" ref="O85" si="77">O83+O84</f>
        <v>1533.44</v>
      </c>
      <c r="P85" s="83">
        <f t="shared" ref="P85" si="78">P83+P84</f>
        <v>1461.06</v>
      </c>
      <c r="Q85" s="83">
        <f t="shared" ref="Q85" si="79">Q83+Q84</f>
        <v>1345.06</v>
      </c>
      <c r="R85" s="83">
        <f t="shared" ref="R85" si="80">R83+R84</f>
        <v>1313.5600000000002</v>
      </c>
      <c r="S85" s="83">
        <f t="shared" ref="S85" si="81">S83+S84</f>
        <v>1333.44</v>
      </c>
      <c r="T85" s="83">
        <f t="shared" ref="T85" si="82">T83+T84</f>
        <v>1274.74</v>
      </c>
      <c r="U85" s="83">
        <f t="shared" ref="U85" si="83">U83+U84</f>
        <v>1282.04</v>
      </c>
      <c r="V85" s="83">
        <f t="shared" ref="V85" si="84">V83+V84</f>
        <v>1342.3400000000001</v>
      </c>
      <c r="W85" s="83">
        <f t="shared" ref="W85" si="85">W83+W84</f>
        <v>1496.7400000000002</v>
      </c>
      <c r="X85" s="83">
        <f t="shared" ref="X85" si="86">X83+X84</f>
        <v>1662.54</v>
      </c>
      <c r="Y85" s="83">
        <f t="shared" ref="Y85" si="87">Y83+Y84</f>
        <v>1598.14</v>
      </c>
      <c r="Z85" s="83">
        <f t="shared" ref="Z85" si="88">Z83+Z84</f>
        <v>1567.54</v>
      </c>
      <c r="AA85" s="83">
        <f t="shared" ref="AA85" si="89">AA83+AA84</f>
        <v>1490.14</v>
      </c>
      <c r="AB85" s="83">
        <f t="shared" ref="AB85" si="90">AB83+AB84</f>
        <v>1419.94</v>
      </c>
      <c r="AC85" s="83">
        <f t="shared" ref="AC85" si="91">AC83+AC84</f>
        <v>1385.94</v>
      </c>
      <c r="AD85" s="83">
        <f t="shared" ref="AD85" si="92">AD83+AD84</f>
        <v>1297.94</v>
      </c>
      <c r="AE85" s="83">
        <f t="shared" ref="AE85" si="93">AE83+AE84</f>
        <v>1143.24</v>
      </c>
      <c r="AF85" s="83">
        <f t="shared" ref="AF85" si="94">AF83+AF84</f>
        <v>1068.74</v>
      </c>
      <c r="AG85" s="81">
        <f>AG82+AG78+AG66+AG62+AG44+AG84</f>
        <v>1466.0900000000001</v>
      </c>
      <c r="AH85" s="48">
        <f t="shared" si="33"/>
        <v>1662.54</v>
      </c>
      <c r="AI85" s="49">
        <f t="shared" si="34"/>
        <v>954.14</v>
      </c>
    </row>
    <row r="86" spans="1:37" ht="15.75" thickBot="1" x14ac:dyDescent="0.3">
      <c r="A86" s="74" t="s">
        <v>94</v>
      </c>
      <c r="B86" s="83">
        <f t="shared" ref="B86:AF86" si="95">B85-B93</f>
        <v>989.04</v>
      </c>
      <c r="C86" s="83">
        <f t="shared" si="95"/>
        <v>974.14</v>
      </c>
      <c r="D86" s="83">
        <f t="shared" si="95"/>
        <v>954.14</v>
      </c>
      <c r="E86" s="83">
        <f t="shared" si="95"/>
        <v>974.24</v>
      </c>
      <c r="F86" s="83">
        <f t="shared" si="95"/>
        <v>986.54</v>
      </c>
      <c r="G86" s="83">
        <f t="shared" si="95"/>
        <v>1018.14</v>
      </c>
      <c r="H86" s="83">
        <f t="shared" si="95"/>
        <v>1095.74</v>
      </c>
      <c r="I86" s="83">
        <f t="shared" si="95"/>
        <v>1181.44</v>
      </c>
      <c r="J86" s="83">
        <f t="shared" si="95"/>
        <v>1299.2400000000002</v>
      </c>
      <c r="K86" s="83">
        <f t="shared" si="95"/>
        <v>1418.5400000000002</v>
      </c>
      <c r="L86" s="83">
        <f t="shared" si="95"/>
        <v>1533.8400000000001</v>
      </c>
      <c r="M86" s="83">
        <f t="shared" si="95"/>
        <v>1576.64</v>
      </c>
      <c r="N86" s="83">
        <f t="shared" si="95"/>
        <v>1574.2400000000002</v>
      </c>
      <c r="O86" s="83">
        <f t="shared" si="95"/>
        <v>1533.44</v>
      </c>
      <c r="P86" s="83">
        <f t="shared" si="95"/>
        <v>1461.06</v>
      </c>
      <c r="Q86" s="83">
        <f t="shared" si="95"/>
        <v>1345.06</v>
      </c>
      <c r="R86" s="83">
        <f t="shared" si="95"/>
        <v>1313.5600000000002</v>
      </c>
      <c r="S86" s="83">
        <f t="shared" si="95"/>
        <v>1333.44</v>
      </c>
      <c r="T86" s="83">
        <f t="shared" si="95"/>
        <v>1274.74</v>
      </c>
      <c r="U86" s="83">
        <f t="shared" si="95"/>
        <v>1282.04</v>
      </c>
      <c r="V86" s="83">
        <f t="shared" si="95"/>
        <v>1342.3400000000001</v>
      </c>
      <c r="W86" s="83">
        <f t="shared" si="95"/>
        <v>1496.7400000000002</v>
      </c>
      <c r="X86" s="83">
        <f t="shared" si="95"/>
        <v>1662.54</v>
      </c>
      <c r="Y86" s="83">
        <f t="shared" si="95"/>
        <v>1598.14</v>
      </c>
      <c r="Z86" s="83">
        <f t="shared" si="95"/>
        <v>1567.54</v>
      </c>
      <c r="AA86" s="83">
        <f t="shared" si="95"/>
        <v>1490.14</v>
      </c>
      <c r="AB86" s="83">
        <f t="shared" si="95"/>
        <v>1419.94</v>
      </c>
      <c r="AC86" s="83">
        <f t="shared" si="95"/>
        <v>1385.94</v>
      </c>
      <c r="AD86" s="83">
        <f t="shared" si="95"/>
        <v>1297.94</v>
      </c>
      <c r="AE86" s="83">
        <f t="shared" si="95"/>
        <v>1143.24</v>
      </c>
      <c r="AF86" s="83">
        <f t="shared" si="95"/>
        <v>1068.74</v>
      </c>
      <c r="AG86" s="81"/>
      <c r="AH86" s="48">
        <f t="shared" si="33"/>
        <v>1662.54</v>
      </c>
      <c r="AI86" s="49">
        <f t="shared" si="34"/>
        <v>954.14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52"/>
      <c r="AH87" s="48">
        <f t="shared" si="33"/>
        <v>0</v>
      </c>
      <c r="AI87" s="49">
        <f t="shared" si="34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55"/>
      <c r="AH88" s="48">
        <f t="shared" si="33"/>
        <v>0</v>
      </c>
      <c r="AI88" s="49">
        <f t="shared" si="34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86"/>
      <c r="AH89" s="48">
        <f t="shared" si="33"/>
        <v>0</v>
      </c>
      <c r="AI89" s="49">
        <f t="shared" si="34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86"/>
      <c r="AH90" s="48">
        <f t="shared" si="33"/>
        <v>0</v>
      </c>
      <c r="AI90" s="49">
        <f t="shared" si="34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86"/>
      <c r="AH91" s="48">
        <f t="shared" si="33"/>
        <v>0</v>
      </c>
      <c r="AI91" s="49">
        <f t="shared" si="34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80"/>
      <c r="AH92" s="48">
        <f t="shared" si="33"/>
        <v>0</v>
      </c>
      <c r="AI92" s="49">
        <f t="shared" si="34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81"/>
      <c r="AH93" s="48">
        <f t="shared" si="33"/>
        <v>0</v>
      </c>
      <c r="AI93" s="49">
        <f t="shared" si="34"/>
        <v>0</v>
      </c>
      <c r="AK93" s="50"/>
    </row>
    <row r="94" spans="1:37" ht="15.75" thickBot="1" x14ac:dyDescent="0.3">
      <c r="A94" s="74" t="s">
        <v>99</v>
      </c>
      <c r="B94" s="61">
        <f t="shared" ref="B94" si="96">B78-B93</f>
        <v>152.30000000000001</v>
      </c>
      <c r="C94" s="61">
        <f t="shared" ref="C94" si="97">C78-C93</f>
        <v>159.4</v>
      </c>
      <c r="D94" s="61">
        <f t="shared" ref="D94" si="98">D78-D93</f>
        <v>155.9</v>
      </c>
      <c r="E94" s="61">
        <f t="shared" ref="E94" si="99">E78-E93</f>
        <v>157</v>
      </c>
      <c r="F94" s="61">
        <f t="shared" ref="F94" si="100">F78-F93</f>
        <v>169</v>
      </c>
      <c r="G94" s="61">
        <f t="shared" ref="G94" si="101">G78-G93</f>
        <v>165</v>
      </c>
      <c r="H94" s="61">
        <f t="shared" ref="H94" si="102">H78-H93</f>
        <v>160</v>
      </c>
      <c r="I94" s="61">
        <f t="shared" ref="I94" si="103">I78-I93</f>
        <v>202</v>
      </c>
      <c r="J94" s="61">
        <f t="shared" ref="J94" si="104">J78-J93</f>
        <v>211</v>
      </c>
      <c r="K94" s="61">
        <f t="shared" ref="K94" si="105">K78-K93</f>
        <v>241</v>
      </c>
      <c r="L94" s="61">
        <f t="shared" ref="L94" si="106">L78-L93</f>
        <v>209.8</v>
      </c>
      <c r="M94" s="61">
        <f t="shared" ref="M94" si="107">M78-M93</f>
        <v>194</v>
      </c>
      <c r="N94" s="61">
        <f t="shared" ref="N94" si="108">N78-N93</f>
        <v>271</v>
      </c>
      <c r="O94" s="61">
        <f t="shared" ref="O94" si="109">O78-O93</f>
        <v>254</v>
      </c>
      <c r="P94" s="61">
        <f t="shared" ref="P94" si="110">P78-P93</f>
        <v>263</v>
      </c>
      <c r="Q94" s="61">
        <f t="shared" ref="Q94" si="111">Q78-Q93</f>
        <v>331.6</v>
      </c>
      <c r="R94" s="61">
        <f t="shared" ref="R94" si="112">R78-R93</f>
        <v>365</v>
      </c>
      <c r="S94" s="61">
        <f t="shared" ref="S94" si="113">S78-S93</f>
        <v>324.5</v>
      </c>
      <c r="T94" s="61">
        <f t="shared" ref="T94" si="114">T78-T93</f>
        <v>318.8</v>
      </c>
      <c r="U94" s="61">
        <f t="shared" ref="U94" si="115">U78-U93</f>
        <v>331.1</v>
      </c>
      <c r="V94" s="61">
        <f t="shared" ref="V94" si="116">V78-V93</f>
        <v>243</v>
      </c>
      <c r="W94" s="61">
        <f t="shared" ref="W94" si="117">W78-W93</f>
        <v>199.4</v>
      </c>
      <c r="X94" s="61">
        <f t="shared" ref="X94" si="118">X78-X93</f>
        <v>196.5</v>
      </c>
      <c r="Y94" s="61">
        <f t="shared" ref="Y94" si="119">Y78-Y93</f>
        <v>234.7</v>
      </c>
      <c r="Z94" s="61">
        <f t="shared" ref="Z94" si="120">Z78-Z93</f>
        <v>222.5</v>
      </c>
      <c r="AA94" s="61">
        <f t="shared" ref="AA94" si="121">AA78-AA93</f>
        <v>214.2</v>
      </c>
      <c r="AB94" s="61">
        <f t="shared" ref="AB94" si="122">AB78-AB93</f>
        <v>213</v>
      </c>
      <c r="AC94" s="61">
        <f t="shared" ref="AC94" si="123">AC78-AC93</f>
        <v>252</v>
      </c>
      <c r="AD94" s="61">
        <f t="shared" ref="AD94" si="124">AD78-AD93</f>
        <v>259</v>
      </c>
      <c r="AE94" s="61">
        <f t="shared" ref="AE94" si="125">AE78-AE93</f>
        <v>265</v>
      </c>
      <c r="AF94" s="61">
        <f t="shared" ref="AF94" si="126">AF78-AF93</f>
        <v>267.5</v>
      </c>
      <c r="AG94" s="81"/>
      <c r="AH94" s="48">
        <f t="shared" si="33"/>
        <v>365</v>
      </c>
      <c r="AI94" s="49">
        <f t="shared" si="34"/>
        <v>152.30000000000001</v>
      </c>
    </row>
    <row r="95" spans="1:37" x14ac:dyDescent="0.25">
      <c r="A95" s="88" t="s">
        <v>100</v>
      </c>
      <c r="B95" s="89">
        <v>50.094000000000001</v>
      </c>
      <c r="C95" s="89">
        <v>50.121000000000002</v>
      </c>
      <c r="D95" s="89">
        <v>50.051000000000002</v>
      </c>
      <c r="E95" s="89">
        <v>50.012</v>
      </c>
      <c r="F95" s="89">
        <v>49.984000000000002</v>
      </c>
      <c r="G95" s="89">
        <v>49.993000000000002</v>
      </c>
      <c r="H95" s="89">
        <v>50.097999999999999</v>
      </c>
      <c r="I95" s="89">
        <v>49.996000000000002</v>
      </c>
      <c r="J95" s="89">
        <v>50.143000000000001</v>
      </c>
      <c r="K95" s="89">
        <v>50.311</v>
      </c>
      <c r="L95" s="89">
        <v>49.981000000000002</v>
      </c>
      <c r="M95" s="89">
        <v>49.713999999999999</v>
      </c>
      <c r="N95" s="89">
        <v>49.746000000000002</v>
      </c>
      <c r="O95" s="89">
        <v>49.691000000000003</v>
      </c>
      <c r="P95" s="89">
        <v>50.064999999999998</v>
      </c>
      <c r="Q95" s="89">
        <v>49.902999999999999</v>
      </c>
      <c r="R95" s="89">
        <v>50.085999999999999</v>
      </c>
      <c r="S95" s="89">
        <v>50.283999999999999</v>
      </c>
      <c r="T95" s="89">
        <v>49.968000000000004</v>
      </c>
      <c r="U95" s="89">
        <v>49.948999999999998</v>
      </c>
      <c r="V95" s="89">
        <v>50.247999999999998</v>
      </c>
      <c r="W95" s="89">
        <v>50.109000000000002</v>
      </c>
      <c r="X95" s="89">
        <v>50.3</v>
      </c>
      <c r="Y95" s="89">
        <v>50.052</v>
      </c>
      <c r="Z95" s="89">
        <v>49.988</v>
      </c>
      <c r="AA95" s="89">
        <v>49.902000000000001</v>
      </c>
      <c r="AB95" s="89">
        <v>50.1</v>
      </c>
      <c r="AC95" s="89">
        <v>50.1</v>
      </c>
      <c r="AD95" s="89">
        <v>50.1</v>
      </c>
      <c r="AE95" s="89">
        <v>50.1</v>
      </c>
      <c r="AF95" s="89">
        <v>50.1</v>
      </c>
      <c r="AG95" s="90"/>
      <c r="AH95" s="48">
        <f t="shared" si="33"/>
        <v>50.311</v>
      </c>
      <c r="AI95" s="49">
        <f t="shared" si="34"/>
        <v>49.691000000000003</v>
      </c>
    </row>
    <row r="96" spans="1:37" x14ac:dyDescent="0.25">
      <c r="A96" s="91" t="s">
        <v>101</v>
      </c>
      <c r="B96" s="65">
        <v>129.9</v>
      </c>
      <c r="C96" s="65">
        <v>129.4</v>
      </c>
      <c r="D96" s="65">
        <v>130</v>
      </c>
      <c r="E96" s="65">
        <v>129.9</v>
      </c>
      <c r="F96" s="65">
        <v>129.5</v>
      </c>
      <c r="G96" s="65">
        <v>129.1</v>
      </c>
      <c r="H96" s="65">
        <v>128.30000000000001</v>
      </c>
      <c r="I96" s="65">
        <v>125.2</v>
      </c>
      <c r="J96" s="65">
        <v>124.9</v>
      </c>
      <c r="K96" s="65">
        <v>123.5</v>
      </c>
      <c r="L96" s="65">
        <v>123.9</v>
      </c>
      <c r="M96" s="65">
        <v>123.3</v>
      </c>
      <c r="N96" s="65">
        <v>124.1</v>
      </c>
      <c r="O96" s="65">
        <v>124.8</v>
      </c>
      <c r="P96" s="65">
        <v>125.6</v>
      </c>
      <c r="Q96" s="65">
        <v>123.4</v>
      </c>
      <c r="R96" s="65">
        <v>125.1</v>
      </c>
      <c r="S96" s="65">
        <v>125.8</v>
      </c>
      <c r="T96" s="65">
        <v>126.8</v>
      </c>
      <c r="U96" s="65">
        <v>127.3</v>
      </c>
      <c r="V96" s="65">
        <v>128.69999999999999</v>
      </c>
      <c r="W96" s="65">
        <v>127.4</v>
      </c>
      <c r="X96" s="65">
        <v>126</v>
      </c>
      <c r="Y96" s="65">
        <v>126.5</v>
      </c>
      <c r="Z96" s="65">
        <v>126.3</v>
      </c>
      <c r="AA96" s="65">
        <v>126</v>
      </c>
      <c r="AB96" s="65">
        <v>127</v>
      </c>
      <c r="AC96" s="65">
        <v>127</v>
      </c>
      <c r="AD96" s="65">
        <v>127</v>
      </c>
      <c r="AE96" s="65">
        <v>127</v>
      </c>
      <c r="AF96" s="65">
        <v>127</v>
      </c>
      <c r="AG96" s="92"/>
      <c r="AH96" s="48">
        <f t="shared" si="33"/>
        <v>130</v>
      </c>
      <c r="AI96" s="49">
        <f t="shared" si="34"/>
        <v>123.3</v>
      </c>
    </row>
    <row r="97" spans="1:35" x14ac:dyDescent="0.25">
      <c r="A97" s="91" t="s">
        <v>102</v>
      </c>
      <c r="B97" s="65">
        <v>133.4</v>
      </c>
      <c r="C97" s="65">
        <v>133</v>
      </c>
      <c r="D97" s="65">
        <v>133</v>
      </c>
      <c r="E97" s="65">
        <v>133.6</v>
      </c>
      <c r="F97" s="65">
        <v>133.5</v>
      </c>
      <c r="G97" s="65">
        <v>133.1</v>
      </c>
      <c r="H97" s="65">
        <v>132.19999999999999</v>
      </c>
      <c r="I97" s="65">
        <v>129.69999999999999</v>
      </c>
      <c r="J97" s="65">
        <v>129</v>
      </c>
      <c r="K97" s="65">
        <v>126.9</v>
      </c>
      <c r="L97" s="65">
        <v>127.1</v>
      </c>
      <c r="M97" s="65">
        <v>126</v>
      </c>
      <c r="N97" s="65">
        <v>126.2</v>
      </c>
      <c r="O97" s="65">
        <v>127.1</v>
      </c>
      <c r="P97" s="65">
        <v>127.9</v>
      </c>
      <c r="Q97" s="65">
        <v>126</v>
      </c>
      <c r="R97" s="65">
        <v>127.7</v>
      </c>
      <c r="S97" s="65">
        <v>128.9</v>
      </c>
      <c r="T97" s="65">
        <v>129.4</v>
      </c>
      <c r="U97" s="65">
        <v>130</v>
      </c>
      <c r="V97" s="65">
        <v>131.1</v>
      </c>
      <c r="W97" s="65">
        <v>129.4</v>
      </c>
      <c r="X97" s="65">
        <v>128.6</v>
      </c>
      <c r="Y97" s="65">
        <v>128.69999999999999</v>
      </c>
      <c r="Z97" s="65">
        <v>128.5</v>
      </c>
      <c r="AA97" s="65">
        <v>128.5</v>
      </c>
      <c r="AB97" s="65">
        <v>130</v>
      </c>
      <c r="AC97" s="65">
        <v>130</v>
      </c>
      <c r="AD97" s="65">
        <v>130</v>
      </c>
      <c r="AE97" s="65">
        <v>130</v>
      </c>
      <c r="AF97" s="65">
        <v>130</v>
      </c>
      <c r="AG97" s="92"/>
      <c r="AH97" s="48">
        <f t="shared" si="33"/>
        <v>133.6</v>
      </c>
      <c r="AI97" s="49">
        <f t="shared" si="34"/>
        <v>126</v>
      </c>
    </row>
    <row r="98" spans="1:35" x14ac:dyDescent="0.25">
      <c r="A98" s="91" t="s">
        <v>103</v>
      </c>
      <c r="B98" s="65">
        <v>131.4</v>
      </c>
      <c r="C98" s="65">
        <v>131.69999999999999</v>
      </c>
      <c r="D98" s="65">
        <v>133.5</v>
      </c>
      <c r="E98" s="65">
        <v>131.80000000000001</v>
      </c>
      <c r="F98" s="65">
        <v>131.69999999999999</v>
      </c>
      <c r="G98" s="65">
        <v>131.30000000000001</v>
      </c>
      <c r="H98" s="65">
        <v>129.9</v>
      </c>
      <c r="I98" s="65">
        <v>128.80000000000001</v>
      </c>
      <c r="J98" s="65">
        <v>127.7</v>
      </c>
      <c r="K98" s="65">
        <v>129.69999999999999</v>
      </c>
      <c r="L98" s="65">
        <v>128.4</v>
      </c>
      <c r="M98" s="65">
        <v>126.2</v>
      </c>
      <c r="N98" s="65">
        <v>127.5</v>
      </c>
      <c r="O98" s="65">
        <v>1228.5999999999999</v>
      </c>
      <c r="P98" s="65">
        <v>129.4</v>
      </c>
      <c r="Q98" s="65">
        <v>130.69999999999999</v>
      </c>
      <c r="R98" s="65">
        <v>128.9</v>
      </c>
      <c r="S98" s="65">
        <v>129.5</v>
      </c>
      <c r="T98" s="65">
        <v>130</v>
      </c>
      <c r="U98" s="65">
        <v>128.1</v>
      </c>
      <c r="V98" s="65">
        <v>130.5</v>
      </c>
      <c r="W98" s="65">
        <v>126.1</v>
      </c>
      <c r="X98" s="65">
        <v>125.8</v>
      </c>
      <c r="Y98" s="65">
        <v>131.5</v>
      </c>
      <c r="Z98" s="65">
        <v>131.1</v>
      </c>
      <c r="AA98" s="65">
        <v>131.6</v>
      </c>
      <c r="AB98" s="65">
        <v>132</v>
      </c>
      <c r="AC98" s="65">
        <v>132</v>
      </c>
      <c r="AD98" s="65">
        <v>132</v>
      </c>
      <c r="AE98" s="65">
        <v>132</v>
      </c>
      <c r="AF98" s="65">
        <v>132</v>
      </c>
      <c r="AG98" s="92"/>
      <c r="AH98" s="48">
        <f t="shared" si="33"/>
        <v>1228.5999999999999</v>
      </c>
      <c r="AI98" s="49">
        <f t="shared" si="34"/>
        <v>125.8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33"/>
        <v>0</v>
      </c>
      <c r="AI99" s="49">
        <f t="shared" si="34"/>
        <v>0</v>
      </c>
    </row>
    <row r="100" spans="1:35" x14ac:dyDescent="0.25">
      <c r="A100" s="93" t="s">
        <v>105</v>
      </c>
      <c r="B100" s="94">
        <v>135</v>
      </c>
      <c r="C100" s="94">
        <v>134.5</v>
      </c>
      <c r="D100" s="94">
        <v>134.5</v>
      </c>
      <c r="E100" s="94">
        <v>135.19999999999999</v>
      </c>
      <c r="F100" s="94">
        <v>134.9</v>
      </c>
      <c r="G100" s="94">
        <v>136</v>
      </c>
      <c r="H100" s="94">
        <v>133.19999999999999</v>
      </c>
      <c r="I100" s="94">
        <v>131.80000000000001</v>
      </c>
      <c r="J100" s="94">
        <v>132.4</v>
      </c>
      <c r="K100" s="94">
        <v>134.5</v>
      </c>
      <c r="L100" s="94">
        <v>131.4</v>
      </c>
      <c r="M100" s="94">
        <v>130.80000000000001</v>
      </c>
      <c r="N100" s="94">
        <v>132.5</v>
      </c>
      <c r="O100" s="94">
        <v>135</v>
      </c>
      <c r="P100" s="94">
        <v>137</v>
      </c>
      <c r="Q100" s="94">
        <v>133.80000000000001</v>
      </c>
      <c r="R100" s="94">
        <v>134.9</v>
      </c>
      <c r="S100" s="94">
        <v>134.30000000000001</v>
      </c>
      <c r="T100" s="94">
        <v>130.4</v>
      </c>
      <c r="U100" s="94">
        <v>131</v>
      </c>
      <c r="V100" s="94">
        <v>134.1</v>
      </c>
      <c r="W100" s="94">
        <v>133.30000000000001</v>
      </c>
      <c r="X100" s="94">
        <v>130</v>
      </c>
      <c r="Y100" s="94">
        <v>135.30000000000001</v>
      </c>
      <c r="Z100" s="94">
        <v>134.1</v>
      </c>
      <c r="AA100" s="94">
        <v>132</v>
      </c>
      <c r="AB100" s="94">
        <v>135</v>
      </c>
      <c r="AC100" s="94">
        <v>135</v>
      </c>
      <c r="AD100" s="94">
        <v>135</v>
      </c>
      <c r="AE100" s="94">
        <v>135</v>
      </c>
      <c r="AF100" s="94">
        <v>135</v>
      </c>
      <c r="AG100" s="95"/>
      <c r="AH100" s="48">
        <f t="shared" si="33"/>
        <v>137</v>
      </c>
      <c r="AI100" s="49">
        <f t="shared" si="34"/>
        <v>130</v>
      </c>
    </row>
    <row r="101" spans="1:35" x14ac:dyDescent="0.25">
      <c r="A101" s="91" t="s">
        <v>106</v>
      </c>
      <c r="B101" s="65">
        <v>129</v>
      </c>
      <c r="C101" s="65">
        <v>130.30000000000001</v>
      </c>
      <c r="D101" s="65">
        <v>125.9</v>
      </c>
      <c r="E101" s="65">
        <v>128.80000000000001</v>
      </c>
      <c r="F101" s="65">
        <v>127.6</v>
      </c>
      <c r="G101" s="65">
        <v>124.6</v>
      </c>
      <c r="H101" s="65">
        <v>122.7</v>
      </c>
      <c r="I101" s="65">
        <v>128</v>
      </c>
      <c r="J101" s="65">
        <v>130.9</v>
      </c>
      <c r="K101" s="65">
        <v>134.80000000000001</v>
      </c>
      <c r="L101" s="65">
        <v>127</v>
      </c>
      <c r="M101" s="65">
        <v>125.4</v>
      </c>
      <c r="N101" s="65">
        <v>129</v>
      </c>
      <c r="O101" s="65">
        <v>136.30000000000001</v>
      </c>
      <c r="P101" s="65">
        <v>131.6</v>
      </c>
      <c r="Q101" s="65">
        <v>132.5</v>
      </c>
      <c r="R101" s="65">
        <v>132.19999999999999</v>
      </c>
      <c r="S101" s="65">
        <v>130.4</v>
      </c>
      <c r="T101" s="65">
        <v>127.6</v>
      </c>
      <c r="U101" s="65">
        <v>127.3</v>
      </c>
      <c r="V101" s="65">
        <v>131.80000000000001</v>
      </c>
      <c r="W101" s="65">
        <v>130.1</v>
      </c>
      <c r="X101" s="65">
        <v>130</v>
      </c>
      <c r="Y101" s="65">
        <v>133.4</v>
      </c>
      <c r="Z101" s="65">
        <v>131.6</v>
      </c>
      <c r="AA101" s="65">
        <v>131</v>
      </c>
      <c r="AB101" s="65">
        <v>134</v>
      </c>
      <c r="AC101" s="65">
        <v>134</v>
      </c>
      <c r="AD101" s="65">
        <v>134</v>
      </c>
      <c r="AE101" s="65">
        <v>134</v>
      </c>
      <c r="AF101" s="65">
        <v>134</v>
      </c>
      <c r="AG101" s="92"/>
      <c r="AH101" s="48">
        <f t="shared" si="33"/>
        <v>136.30000000000001</v>
      </c>
      <c r="AI101" s="49">
        <f t="shared" si="34"/>
        <v>122.7</v>
      </c>
    </row>
    <row r="102" spans="1:35" ht="15.75" thickBot="1" x14ac:dyDescent="0.3">
      <c r="A102" s="91" t="s">
        <v>107</v>
      </c>
      <c r="B102" s="96">
        <v>66.900000000000006</v>
      </c>
      <c r="C102" s="96">
        <v>66.8</v>
      </c>
      <c r="D102" s="96">
        <v>67.3</v>
      </c>
      <c r="E102" s="96">
        <v>67.2</v>
      </c>
      <c r="F102" s="96">
        <v>67.099999999999994</v>
      </c>
      <c r="G102" s="96">
        <v>66.8</v>
      </c>
      <c r="H102" s="96">
        <v>66.3</v>
      </c>
      <c r="I102" s="96">
        <v>65</v>
      </c>
      <c r="J102" s="96">
        <v>64.7</v>
      </c>
      <c r="K102" s="96">
        <v>63.7</v>
      </c>
      <c r="L102" s="96">
        <v>63.8</v>
      </c>
      <c r="M102" s="96">
        <v>63</v>
      </c>
      <c r="N102" s="96">
        <v>63.3</v>
      </c>
      <c r="O102" s="96">
        <v>63.6</v>
      </c>
      <c r="P102" s="96">
        <v>63.999000000000002</v>
      </c>
      <c r="Q102" s="96">
        <v>63.1</v>
      </c>
      <c r="R102" s="96">
        <v>64.099999999999994</v>
      </c>
      <c r="S102" s="96">
        <v>64.3</v>
      </c>
      <c r="T102" s="96">
        <v>65</v>
      </c>
      <c r="U102" s="96">
        <v>65</v>
      </c>
      <c r="V102" s="96">
        <v>65.8</v>
      </c>
      <c r="W102" s="96">
        <v>64.7</v>
      </c>
      <c r="X102" s="96">
        <v>64.3</v>
      </c>
      <c r="Y102" s="96">
        <v>64.5</v>
      </c>
      <c r="Z102" s="96">
        <v>64.2</v>
      </c>
      <c r="AA102" s="96">
        <v>64.400000000000006</v>
      </c>
      <c r="AB102" s="96">
        <v>65.400000000000006</v>
      </c>
      <c r="AC102" s="96">
        <v>65.400000000000006</v>
      </c>
      <c r="AD102" s="96">
        <v>65.400000000000006</v>
      </c>
      <c r="AE102" s="96">
        <v>65.400000000000006</v>
      </c>
      <c r="AF102" s="96">
        <v>65.400000000000006</v>
      </c>
      <c r="AG102" s="97"/>
      <c r="AH102" s="48">
        <f t="shared" si="33"/>
        <v>67.3</v>
      </c>
      <c r="AI102" s="49">
        <f t="shared" si="34"/>
        <v>63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33"/>
        <v>0</v>
      </c>
      <c r="AI103" s="49">
        <f t="shared" si="34"/>
        <v>0</v>
      </c>
    </row>
    <row r="104" spans="1:35" ht="15.75" thickBot="1" x14ac:dyDescent="0.3">
      <c r="A104" s="99" t="s">
        <v>108</v>
      </c>
      <c r="B104" s="100">
        <f t="shared" ref="B104:AF104" si="127">SUM(B16,B22,B25:B26,B52,B54:B55,B57,B59,B105:B109,B131,B137,B143,B152,B154,B166,B173,B176:B177,B184,B186,B188,B192:B194,B196:B198,B203,B209:B210,B212:B214,B222,B227)</f>
        <v>103.39999999999998</v>
      </c>
      <c r="C104" s="100">
        <f t="shared" si="127"/>
        <v>98.039999999999992</v>
      </c>
      <c r="D104" s="100">
        <f t="shared" si="127"/>
        <v>90.94</v>
      </c>
      <c r="E104" s="100">
        <f t="shared" si="127"/>
        <v>94.139999999999986</v>
      </c>
      <c r="F104" s="100">
        <f t="shared" si="127"/>
        <v>93.739999999999981</v>
      </c>
      <c r="G104" s="100">
        <f t="shared" si="127"/>
        <v>116.63999999999999</v>
      </c>
      <c r="H104" s="100">
        <f t="shared" si="127"/>
        <v>145.63999999999999</v>
      </c>
      <c r="I104" s="100">
        <f t="shared" si="127"/>
        <v>177.54</v>
      </c>
      <c r="J104" s="100">
        <f t="shared" si="127"/>
        <v>218.14</v>
      </c>
      <c r="K104" s="100">
        <f t="shared" si="127"/>
        <v>291.04000000000002</v>
      </c>
      <c r="L104" s="100">
        <f t="shared" si="127"/>
        <v>318.54000000000002</v>
      </c>
      <c r="M104" s="100">
        <f t="shared" si="127"/>
        <v>320.83999999999997</v>
      </c>
      <c r="N104" s="100">
        <f t="shared" si="127"/>
        <v>340.44</v>
      </c>
      <c r="O104" s="100">
        <f t="shared" si="127"/>
        <v>328.34</v>
      </c>
      <c r="P104" s="100">
        <v>42</v>
      </c>
      <c r="Q104" s="100">
        <f t="shared" si="127"/>
        <v>267.71999999999997</v>
      </c>
      <c r="R104" s="100">
        <f t="shared" si="127"/>
        <v>251.82</v>
      </c>
      <c r="S104" s="100">
        <f t="shared" si="127"/>
        <v>241.6</v>
      </c>
      <c r="T104" s="100">
        <f t="shared" si="127"/>
        <v>223.09999999999997</v>
      </c>
      <c r="U104" s="100">
        <f t="shared" si="127"/>
        <v>264.8</v>
      </c>
      <c r="V104" s="100">
        <f t="shared" si="127"/>
        <v>295.39999999999998</v>
      </c>
      <c r="W104" s="100">
        <f t="shared" si="127"/>
        <v>347.1</v>
      </c>
      <c r="X104" s="100">
        <f t="shared" si="127"/>
        <v>390.1</v>
      </c>
      <c r="Y104" s="100">
        <f t="shared" si="127"/>
        <v>391.6</v>
      </c>
      <c r="Z104" s="100">
        <f t="shared" si="127"/>
        <v>386.20000000000005</v>
      </c>
      <c r="AA104" s="100">
        <f t="shared" si="127"/>
        <v>370.5</v>
      </c>
      <c r="AB104" s="100">
        <f t="shared" si="127"/>
        <v>361.4</v>
      </c>
      <c r="AC104" s="100">
        <f t="shared" si="127"/>
        <v>338</v>
      </c>
      <c r="AD104" s="100">
        <f t="shared" si="127"/>
        <v>313</v>
      </c>
      <c r="AE104" s="100">
        <f t="shared" si="127"/>
        <v>313.3</v>
      </c>
      <c r="AF104" s="100">
        <f t="shared" si="127"/>
        <v>150.30000000000001</v>
      </c>
      <c r="AG104" s="101"/>
      <c r="AH104" s="48">
        <f t="shared" si="33"/>
        <v>391.6</v>
      </c>
      <c r="AI104" s="49">
        <f t="shared" si="34"/>
        <v>42</v>
      </c>
    </row>
    <row r="105" spans="1:35" x14ac:dyDescent="0.25">
      <c r="A105" s="88" t="s">
        <v>109</v>
      </c>
      <c r="B105" s="102">
        <v>7.7</v>
      </c>
      <c r="C105" s="102">
        <v>2.9</v>
      </c>
      <c r="D105" s="102">
        <v>2.2999999999999998</v>
      </c>
      <c r="E105" s="102">
        <v>0</v>
      </c>
      <c r="F105" s="102">
        <v>4.7</v>
      </c>
      <c r="G105" s="102">
        <v>20.2</v>
      </c>
      <c r="H105" s="102">
        <v>14.3</v>
      </c>
      <c r="I105" s="102">
        <v>16</v>
      </c>
      <c r="J105" s="102">
        <v>13.4</v>
      </c>
      <c r="K105" s="102">
        <v>26</v>
      </c>
      <c r="L105" s="102">
        <v>35</v>
      </c>
      <c r="M105" s="102">
        <v>29</v>
      </c>
      <c r="N105" s="102">
        <v>29.1</v>
      </c>
      <c r="O105" s="102">
        <v>41.8</v>
      </c>
      <c r="P105" s="102">
        <v>42</v>
      </c>
      <c r="Q105" s="102">
        <v>48.9</v>
      </c>
      <c r="R105" s="102">
        <v>42.9</v>
      </c>
      <c r="S105" s="102">
        <v>30.1</v>
      </c>
      <c r="T105" s="102">
        <v>15</v>
      </c>
      <c r="U105" s="102">
        <v>17</v>
      </c>
      <c r="V105" s="102">
        <v>31.3</v>
      </c>
      <c r="W105" s="102">
        <v>42</v>
      </c>
      <c r="X105" s="102">
        <v>29.2</v>
      </c>
      <c r="Y105" s="102">
        <v>37</v>
      </c>
      <c r="Z105" s="102">
        <v>41</v>
      </c>
      <c r="AA105" s="102">
        <v>38.299999999999997</v>
      </c>
      <c r="AB105" s="102">
        <v>36.799999999999997</v>
      </c>
      <c r="AC105" s="102">
        <v>40</v>
      </c>
      <c r="AD105" s="102">
        <v>44</v>
      </c>
      <c r="AE105" s="102">
        <v>44</v>
      </c>
      <c r="AF105" s="102">
        <v>13</v>
      </c>
      <c r="AG105" s="103">
        <v>75</v>
      </c>
      <c r="AH105" s="48">
        <f t="shared" si="33"/>
        <v>48.9</v>
      </c>
      <c r="AI105" s="49">
        <f t="shared" si="34"/>
        <v>0</v>
      </c>
    </row>
    <row r="106" spans="1:35" x14ac:dyDescent="0.25">
      <c r="A106" s="91" t="s">
        <v>110</v>
      </c>
      <c r="B106" s="104">
        <v>17.7</v>
      </c>
      <c r="C106" s="104">
        <v>9.5</v>
      </c>
      <c r="D106" s="104">
        <v>8.6999999999999993</v>
      </c>
      <c r="E106" s="104">
        <v>6.6</v>
      </c>
      <c r="F106" s="104">
        <v>9.5</v>
      </c>
      <c r="G106" s="104">
        <v>30.4</v>
      </c>
      <c r="H106" s="104">
        <v>27</v>
      </c>
      <c r="I106" s="104">
        <v>26</v>
      </c>
      <c r="J106" s="104">
        <v>22.5</v>
      </c>
      <c r="K106" s="104">
        <v>39</v>
      </c>
      <c r="L106" s="104">
        <v>48</v>
      </c>
      <c r="M106" s="104">
        <v>40.9</v>
      </c>
      <c r="N106" s="104">
        <v>39.9</v>
      </c>
      <c r="O106" s="104">
        <v>58.1</v>
      </c>
      <c r="P106" s="104">
        <v>59</v>
      </c>
      <c r="Q106" s="104">
        <v>70.8</v>
      </c>
      <c r="R106" s="104">
        <v>58.9</v>
      </c>
      <c r="S106" s="104">
        <v>40.1</v>
      </c>
      <c r="T106" s="104">
        <v>19.7</v>
      </c>
      <c r="U106" s="104">
        <v>23</v>
      </c>
      <c r="V106" s="104">
        <v>42.2</v>
      </c>
      <c r="W106" s="104">
        <v>58</v>
      </c>
      <c r="X106" s="104">
        <v>37.5</v>
      </c>
      <c r="Y106" s="104">
        <v>47.4</v>
      </c>
      <c r="Z106" s="104">
        <v>53.1</v>
      </c>
      <c r="AA106" s="104">
        <v>50</v>
      </c>
      <c r="AB106" s="104">
        <v>47.6</v>
      </c>
      <c r="AC106" s="104">
        <v>50</v>
      </c>
      <c r="AD106" s="104">
        <v>60</v>
      </c>
      <c r="AE106" s="104">
        <v>60</v>
      </c>
      <c r="AF106" s="104">
        <v>18</v>
      </c>
      <c r="AG106" s="103">
        <v>240</v>
      </c>
      <c r="AH106" s="48">
        <f t="shared" si="33"/>
        <v>70.8</v>
      </c>
      <c r="AI106" s="49">
        <f t="shared" si="34"/>
        <v>6.6</v>
      </c>
    </row>
    <row r="107" spans="1:35" x14ac:dyDescent="0.25">
      <c r="A107" s="91" t="s">
        <v>111</v>
      </c>
      <c r="B107" s="104">
        <f>-41-44</f>
        <v>-85</v>
      </c>
      <c r="C107" s="104">
        <f>-41-44</f>
        <v>-85</v>
      </c>
      <c r="D107" s="104">
        <f>-40.5-43.7</f>
        <v>-84.2</v>
      </c>
      <c r="E107" s="104">
        <v>-85</v>
      </c>
      <c r="F107" s="104">
        <v>-90</v>
      </c>
      <c r="G107" s="104">
        <v>-93</v>
      </c>
      <c r="H107" s="104">
        <v>-80</v>
      </c>
      <c r="I107" s="104">
        <v>-72</v>
      </c>
      <c r="J107" s="104">
        <v>-54</v>
      </c>
      <c r="K107" s="104">
        <v>-38</v>
      </c>
      <c r="L107" s="104">
        <v>-45</v>
      </c>
      <c r="M107" s="104">
        <v>-44.5</v>
      </c>
      <c r="N107" s="104">
        <v>-14</v>
      </c>
      <c r="O107" s="104">
        <v>-40</v>
      </c>
      <c r="P107" s="104">
        <v>-17</v>
      </c>
      <c r="Q107" s="104">
        <v>1.2</v>
      </c>
      <c r="R107" s="104">
        <v>1.7</v>
      </c>
      <c r="S107" s="104">
        <f>9.3+7</f>
        <v>16.3</v>
      </c>
      <c r="T107" s="104">
        <f>15+8</f>
        <v>23</v>
      </c>
      <c r="U107" s="104">
        <f>22+15</f>
        <v>37</v>
      </c>
      <c r="V107" s="104">
        <f>-5-10</f>
        <v>-15</v>
      </c>
      <c r="W107" s="104">
        <v>-7</v>
      </c>
      <c r="X107" s="104">
        <f>22+15</f>
        <v>37</v>
      </c>
      <c r="Y107" s="104">
        <f>17+14</f>
        <v>31</v>
      </c>
      <c r="Z107" s="104">
        <f>26</f>
        <v>26</v>
      </c>
      <c r="AA107" s="104">
        <v>21</v>
      </c>
      <c r="AB107" s="104">
        <v>20</v>
      </c>
      <c r="AC107" s="104">
        <v>10</v>
      </c>
      <c r="AD107" s="104">
        <v>-14</v>
      </c>
      <c r="AE107" s="104">
        <v>-14</v>
      </c>
      <c r="AF107" s="104">
        <v>-60</v>
      </c>
      <c r="AG107" s="103">
        <v>240</v>
      </c>
      <c r="AH107" s="48">
        <f t="shared" si="33"/>
        <v>37</v>
      </c>
      <c r="AI107" s="49">
        <f t="shared" si="34"/>
        <v>-93</v>
      </c>
    </row>
    <row r="108" spans="1:35" x14ac:dyDescent="0.25">
      <c r="A108" s="91" t="s">
        <v>112</v>
      </c>
      <c r="B108" s="104">
        <v>1.1000000000000001</v>
      </c>
      <c r="C108" s="104">
        <v>0.6</v>
      </c>
      <c r="D108" s="104">
        <v>0</v>
      </c>
      <c r="E108" s="104">
        <v>-1</v>
      </c>
      <c r="F108" s="104">
        <v>-2.2000000000000002</v>
      </c>
      <c r="G108" s="104">
        <v>-3.1</v>
      </c>
      <c r="H108" s="104">
        <v>-2.2000000000000002</v>
      </c>
      <c r="I108" s="104">
        <v>0</v>
      </c>
      <c r="J108" s="104">
        <v>4</v>
      </c>
      <c r="K108" s="104">
        <v>13.5</v>
      </c>
      <c r="L108" s="104">
        <v>40</v>
      </c>
      <c r="M108" s="104">
        <v>50.4</v>
      </c>
      <c r="N108" s="104">
        <v>38.9</v>
      </c>
      <c r="O108" s="104">
        <v>50</v>
      </c>
      <c r="P108" s="104">
        <v>38.6</v>
      </c>
      <c r="Q108" s="104">
        <v>13.4</v>
      </c>
      <c r="R108" s="104">
        <v>15.1</v>
      </c>
      <c r="S108" s="104">
        <v>47.6</v>
      </c>
      <c r="T108" s="104">
        <v>50</v>
      </c>
      <c r="U108" s="104">
        <v>52.5</v>
      </c>
      <c r="V108" s="104">
        <v>44</v>
      </c>
      <c r="W108" s="104">
        <v>52</v>
      </c>
      <c r="X108" s="104">
        <v>55</v>
      </c>
      <c r="Y108" s="104">
        <v>47.2</v>
      </c>
      <c r="Z108" s="104">
        <v>43</v>
      </c>
      <c r="AA108" s="104">
        <v>22.2</v>
      </c>
      <c r="AB108" s="104">
        <v>22</v>
      </c>
      <c r="AC108" s="104">
        <v>20</v>
      </c>
      <c r="AD108" s="104">
        <v>14</v>
      </c>
      <c r="AE108" s="104">
        <v>14</v>
      </c>
      <c r="AF108" s="104">
        <v>0</v>
      </c>
      <c r="AG108" s="103">
        <v>60</v>
      </c>
      <c r="AH108" s="48">
        <f t="shared" si="33"/>
        <v>55</v>
      </c>
      <c r="AI108" s="49">
        <f t="shared" si="34"/>
        <v>-3.1</v>
      </c>
    </row>
    <row r="109" spans="1:35" x14ac:dyDescent="0.25">
      <c r="A109" s="105" t="s">
        <v>113</v>
      </c>
      <c r="B109" s="106">
        <v>26</v>
      </c>
      <c r="C109" s="106">
        <v>33.5</v>
      </c>
      <c r="D109" s="106">
        <v>27.6</v>
      </c>
      <c r="E109" s="106">
        <v>37</v>
      </c>
      <c r="F109" s="106">
        <v>35.200000000000003</v>
      </c>
      <c r="G109" s="106">
        <v>25.6</v>
      </c>
      <c r="H109" s="106">
        <v>50</v>
      </c>
      <c r="I109" s="106">
        <v>71</v>
      </c>
      <c r="J109" s="106">
        <v>95.7</v>
      </c>
      <c r="K109" s="106">
        <v>114</v>
      </c>
      <c r="L109" s="106">
        <v>104</v>
      </c>
      <c r="M109" s="106">
        <v>109</v>
      </c>
      <c r="N109" s="106">
        <v>110.5</v>
      </c>
      <c r="O109" s="106">
        <v>82.4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66.099999999999994</v>
      </c>
      <c r="W109" s="106">
        <v>77.3</v>
      </c>
      <c r="X109" s="106">
        <v>102</v>
      </c>
      <c r="Y109" s="106">
        <v>101</v>
      </c>
      <c r="Z109" s="106">
        <v>95.1</v>
      </c>
      <c r="AA109" s="106">
        <v>111</v>
      </c>
      <c r="AB109" s="106">
        <v>107</v>
      </c>
      <c r="AC109" s="106">
        <v>90</v>
      </c>
      <c r="AD109" s="106">
        <v>81</v>
      </c>
      <c r="AE109" s="106">
        <v>81</v>
      </c>
      <c r="AF109" s="106">
        <v>50</v>
      </c>
      <c r="AG109" s="107">
        <v>120</v>
      </c>
      <c r="AH109" s="48">
        <f t="shared" si="33"/>
        <v>114</v>
      </c>
      <c r="AI109" s="49">
        <f t="shared" si="34"/>
        <v>0</v>
      </c>
    </row>
    <row r="110" spans="1:35" x14ac:dyDescent="0.25">
      <c r="A110" s="105" t="s">
        <v>115</v>
      </c>
      <c r="B110" s="106">
        <v>40.4</v>
      </c>
      <c r="C110" s="106">
        <v>48.8</v>
      </c>
      <c r="D110" s="106">
        <v>40.85</v>
      </c>
      <c r="E110" s="106">
        <v>50</v>
      </c>
      <c r="F110" s="106">
        <v>49</v>
      </c>
      <c r="G110" s="106">
        <v>42</v>
      </c>
      <c r="H110" s="106">
        <v>57</v>
      </c>
      <c r="I110" s="106">
        <v>75</v>
      </c>
      <c r="J110" s="106">
        <v>88</v>
      </c>
      <c r="K110" s="106">
        <v>95</v>
      </c>
      <c r="L110" s="106">
        <v>84</v>
      </c>
      <c r="M110" s="106">
        <v>83</v>
      </c>
      <c r="N110" s="106">
        <v>92.2</v>
      </c>
      <c r="O110" s="106">
        <v>57</v>
      </c>
      <c r="P110" s="106">
        <v>93</v>
      </c>
      <c r="Q110" s="106">
        <v>82.1</v>
      </c>
      <c r="R110" s="106">
        <v>92.5</v>
      </c>
      <c r="S110" s="106">
        <v>94.7</v>
      </c>
      <c r="T110" s="106">
        <v>86</v>
      </c>
      <c r="U110" s="106">
        <v>80</v>
      </c>
      <c r="V110" s="106">
        <v>45</v>
      </c>
      <c r="W110" s="106">
        <v>46.1</v>
      </c>
      <c r="X110" s="106">
        <v>91</v>
      </c>
      <c r="Y110" s="106">
        <v>93</v>
      </c>
      <c r="Z110" s="106">
        <v>88</v>
      </c>
      <c r="AA110" s="106">
        <v>87.1</v>
      </c>
      <c r="AB110" s="106">
        <v>88</v>
      </c>
      <c r="AC110" s="106">
        <v>60</v>
      </c>
      <c r="AD110" s="106">
        <v>55</v>
      </c>
      <c r="AE110" s="106">
        <v>55</v>
      </c>
      <c r="AF110" s="106">
        <v>54</v>
      </c>
      <c r="AG110" s="107"/>
      <c r="AH110" s="48">
        <f t="shared" si="33"/>
        <v>95</v>
      </c>
      <c r="AI110" s="49">
        <f t="shared" si="34"/>
        <v>40.4</v>
      </c>
    </row>
    <row r="111" spans="1:35" x14ac:dyDescent="0.25">
      <c r="A111" s="105" t="s">
        <v>116</v>
      </c>
      <c r="B111" s="106">
        <v>38</v>
      </c>
      <c r="C111" s="106">
        <v>40.200000000000003</v>
      </c>
      <c r="D111" s="106">
        <v>36.1</v>
      </c>
      <c r="E111" s="106">
        <v>39</v>
      </c>
      <c r="F111" s="106">
        <v>37</v>
      </c>
      <c r="G111" s="106">
        <v>50</v>
      </c>
      <c r="H111" s="106">
        <v>70</v>
      </c>
      <c r="I111" s="106">
        <v>75</v>
      </c>
      <c r="J111" s="106">
        <v>70</v>
      </c>
      <c r="K111" s="106">
        <v>62</v>
      </c>
      <c r="L111" s="106">
        <v>36</v>
      </c>
      <c r="M111" s="106">
        <v>30</v>
      </c>
      <c r="N111" s="106">
        <v>40</v>
      </c>
      <c r="O111" s="106">
        <v>18.7</v>
      </c>
      <c r="P111" s="106">
        <v>12.5</v>
      </c>
      <c r="Q111" s="106">
        <v>-9.5</v>
      </c>
      <c r="R111" s="106">
        <v>12.1</v>
      </c>
      <c r="S111" s="106">
        <v>25.1</v>
      </c>
      <c r="T111" s="106">
        <v>39</v>
      </c>
      <c r="U111" s="106">
        <v>40</v>
      </c>
      <c r="V111" s="106">
        <v>24.1</v>
      </c>
      <c r="W111" s="106">
        <v>15.3</v>
      </c>
      <c r="X111" s="106">
        <v>30</v>
      </c>
      <c r="Y111" s="106">
        <v>27</v>
      </c>
      <c r="Z111" s="106">
        <v>26</v>
      </c>
      <c r="AA111" s="106">
        <v>28</v>
      </c>
      <c r="AB111" s="106">
        <v>27</v>
      </c>
      <c r="AC111" s="106">
        <v>20</v>
      </c>
      <c r="AD111" s="106">
        <v>13</v>
      </c>
      <c r="AE111" s="106">
        <v>13</v>
      </c>
      <c r="AF111" s="106">
        <v>33</v>
      </c>
      <c r="AG111" s="108"/>
      <c r="AH111" s="48">
        <f t="shared" si="33"/>
        <v>75</v>
      </c>
      <c r="AI111" s="49">
        <f t="shared" si="34"/>
        <v>-9.5</v>
      </c>
    </row>
    <row r="112" spans="1:35" x14ac:dyDescent="0.25">
      <c r="A112" s="109" t="s">
        <v>117</v>
      </c>
      <c r="B112" s="94">
        <v>56</v>
      </c>
      <c r="C112" s="94">
        <v>61.8</v>
      </c>
      <c r="D112" s="94">
        <v>63.5</v>
      </c>
      <c r="E112" s="94">
        <v>63</v>
      </c>
      <c r="F112" s="94">
        <v>62</v>
      </c>
      <c r="G112" s="94">
        <v>60</v>
      </c>
      <c r="H112" s="94">
        <v>52</v>
      </c>
      <c r="I112" s="94">
        <v>44</v>
      </c>
      <c r="J112" s="94">
        <v>28</v>
      </c>
      <c r="K112" s="94">
        <v>22</v>
      </c>
      <c r="L112" s="94">
        <v>10</v>
      </c>
      <c r="M112" s="94">
        <v>5.5</v>
      </c>
      <c r="N112" s="94">
        <v>7.9</v>
      </c>
      <c r="O112" s="94">
        <v>13</v>
      </c>
      <c r="P112" s="94">
        <v>20</v>
      </c>
      <c r="Q112" s="94">
        <v>23.3</v>
      </c>
      <c r="R112" s="94">
        <v>34.9</v>
      </c>
      <c r="S112" s="94">
        <v>25.5</v>
      </c>
      <c r="T112" s="94">
        <v>32</v>
      </c>
      <c r="U112" s="94">
        <v>24.5</v>
      </c>
      <c r="V112" s="94">
        <v>-6.2</v>
      </c>
      <c r="W112" s="94">
        <v>-28.3</v>
      </c>
      <c r="X112" s="94">
        <v>-23</v>
      </c>
      <c r="Y112" s="94">
        <v>-16</v>
      </c>
      <c r="Z112" s="94">
        <v>-8</v>
      </c>
      <c r="AA112" s="94">
        <v>5.6</v>
      </c>
      <c r="AB112" s="94">
        <v>18</v>
      </c>
      <c r="AC112" s="94">
        <v>22</v>
      </c>
      <c r="AD112" s="94">
        <v>29</v>
      </c>
      <c r="AE112" s="94">
        <v>29</v>
      </c>
      <c r="AF112" s="94">
        <v>54</v>
      </c>
      <c r="AG112" s="108"/>
      <c r="AH112" s="48">
        <f t="shared" si="33"/>
        <v>63.5</v>
      </c>
      <c r="AI112" s="49">
        <f t="shared" si="34"/>
        <v>-28.3</v>
      </c>
    </row>
    <row r="113" spans="1:37" ht="15.75" thickBot="1" x14ac:dyDescent="0.3">
      <c r="A113" s="109" t="s">
        <v>118</v>
      </c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108"/>
      <c r="AH113" s="48">
        <f t="shared" si="33"/>
        <v>0</v>
      </c>
      <c r="AI113" s="49">
        <f t="shared" si="34"/>
        <v>0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128">SUM(B115:B219)</f>
        <v>0</v>
      </c>
      <c r="C220" s="125">
        <f t="shared" si="128"/>
        <v>0</v>
      </c>
      <c r="D220" s="125">
        <f t="shared" si="128"/>
        <v>0</v>
      </c>
      <c r="E220" s="125">
        <f t="shared" si="128"/>
        <v>0</v>
      </c>
      <c r="F220" s="125">
        <f t="shared" si="128"/>
        <v>0</v>
      </c>
      <c r="G220" s="125">
        <f t="shared" si="128"/>
        <v>0</v>
      </c>
      <c r="H220" s="125">
        <f t="shared" si="128"/>
        <v>0</v>
      </c>
      <c r="I220" s="125">
        <f t="shared" si="128"/>
        <v>0</v>
      </c>
      <c r="J220" s="125">
        <f t="shared" si="128"/>
        <v>0</v>
      </c>
      <c r="K220" s="125">
        <f t="shared" si="128"/>
        <v>0</v>
      </c>
      <c r="L220" s="125">
        <f t="shared" si="128"/>
        <v>0</v>
      </c>
      <c r="M220" s="125">
        <f t="shared" si="128"/>
        <v>0</v>
      </c>
      <c r="N220" s="125">
        <f t="shared" si="128"/>
        <v>0</v>
      </c>
      <c r="O220" s="125">
        <f t="shared" si="128"/>
        <v>0</v>
      </c>
      <c r="P220" s="125">
        <f t="shared" si="128"/>
        <v>0</v>
      </c>
      <c r="Q220" s="125">
        <f t="shared" si="128"/>
        <v>0</v>
      </c>
      <c r="R220" s="125">
        <f t="shared" si="128"/>
        <v>0</v>
      </c>
      <c r="S220" s="125">
        <f t="shared" si="128"/>
        <v>0</v>
      </c>
      <c r="T220" s="125">
        <f t="shared" si="128"/>
        <v>0</v>
      </c>
      <c r="U220" s="125">
        <f t="shared" si="128"/>
        <v>0</v>
      </c>
      <c r="V220" s="125">
        <f t="shared" si="128"/>
        <v>0</v>
      </c>
      <c r="W220" s="125">
        <f t="shared" si="128"/>
        <v>0</v>
      </c>
      <c r="X220" s="125">
        <f t="shared" si="128"/>
        <v>0</v>
      </c>
      <c r="Y220" s="125">
        <f t="shared" si="128"/>
        <v>0</v>
      </c>
      <c r="Z220" s="125">
        <f t="shared" si="128"/>
        <v>0</v>
      </c>
      <c r="AA220" s="125">
        <f t="shared" si="128"/>
        <v>0</v>
      </c>
      <c r="AB220" s="125">
        <f t="shared" si="128"/>
        <v>0</v>
      </c>
      <c r="AC220" s="125">
        <f t="shared" si="128"/>
        <v>0</v>
      </c>
      <c r="AD220" s="125">
        <f t="shared" si="128"/>
        <v>0</v>
      </c>
      <c r="AE220" s="125">
        <f t="shared" si="128"/>
        <v>0</v>
      </c>
      <c r="AF220" s="126">
        <f t="shared" si="128"/>
        <v>0</v>
      </c>
      <c r="AG220" s="127">
        <f t="shared" si="128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129">AF222</f>
        <v>0</v>
      </c>
      <c r="C222" s="129">
        <v>0.3</v>
      </c>
      <c r="D222" s="129">
        <f t="shared" ref="D222:P227" si="130">C222</f>
        <v>0.3</v>
      </c>
      <c r="E222" s="129">
        <f t="shared" si="130"/>
        <v>0.3</v>
      </c>
      <c r="F222" s="129">
        <f t="shared" si="130"/>
        <v>0.3</v>
      </c>
      <c r="G222" s="129">
        <f t="shared" si="130"/>
        <v>0.3</v>
      </c>
      <c r="H222" s="129">
        <f t="shared" si="130"/>
        <v>0.3</v>
      </c>
      <c r="I222" s="129">
        <f t="shared" si="130"/>
        <v>0.3</v>
      </c>
      <c r="J222" s="129">
        <f t="shared" si="130"/>
        <v>0.3</v>
      </c>
      <c r="K222" s="129">
        <f t="shared" si="130"/>
        <v>0.3</v>
      </c>
      <c r="L222" s="129">
        <f t="shared" si="130"/>
        <v>0.3</v>
      </c>
      <c r="M222" s="129">
        <f t="shared" si="130"/>
        <v>0.3</v>
      </c>
      <c r="N222" s="129">
        <f t="shared" si="130"/>
        <v>0.3</v>
      </c>
      <c r="O222" s="129">
        <f t="shared" si="130"/>
        <v>0.3</v>
      </c>
      <c r="P222" s="129">
        <f t="shared" si="130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129"/>
        <v>0</v>
      </c>
      <c r="C223" s="117">
        <v>0.4</v>
      </c>
      <c r="D223" s="117">
        <f t="shared" si="130"/>
        <v>0.4</v>
      </c>
      <c r="E223" s="117">
        <f t="shared" si="130"/>
        <v>0.4</v>
      </c>
      <c r="F223" s="117">
        <f t="shared" si="130"/>
        <v>0.4</v>
      </c>
      <c r="G223" s="117">
        <f t="shared" si="130"/>
        <v>0.4</v>
      </c>
      <c r="H223" s="117">
        <f t="shared" si="130"/>
        <v>0.4</v>
      </c>
      <c r="I223" s="117">
        <f t="shared" si="130"/>
        <v>0.4</v>
      </c>
      <c r="J223" s="117">
        <f t="shared" si="130"/>
        <v>0.4</v>
      </c>
      <c r="K223" s="117">
        <f t="shared" si="130"/>
        <v>0.4</v>
      </c>
      <c r="L223" s="117">
        <f t="shared" si="130"/>
        <v>0.4</v>
      </c>
      <c r="M223" s="117">
        <f t="shared" si="130"/>
        <v>0.4</v>
      </c>
      <c r="N223" s="117">
        <f t="shared" si="130"/>
        <v>0.4</v>
      </c>
      <c r="O223" s="117">
        <f t="shared" si="130"/>
        <v>0.4</v>
      </c>
      <c r="P223" s="117">
        <f t="shared" si="130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129"/>
        <v>0</v>
      </c>
      <c r="C224" s="117">
        <v>1.5</v>
      </c>
      <c r="D224" s="117">
        <f t="shared" si="130"/>
        <v>1.5</v>
      </c>
      <c r="E224" s="117">
        <f t="shared" si="130"/>
        <v>1.5</v>
      </c>
      <c r="F224" s="117">
        <f t="shared" si="130"/>
        <v>1.5</v>
      </c>
      <c r="G224" s="117">
        <f t="shared" si="130"/>
        <v>1.5</v>
      </c>
      <c r="H224" s="117">
        <f t="shared" si="130"/>
        <v>1.5</v>
      </c>
      <c r="I224" s="100">
        <f t="shared" ref="I224" ca="1" si="131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130"/>
        <v>1.5</v>
      </c>
      <c r="K224" s="117">
        <f t="shared" ca="1" si="130"/>
        <v>1.5</v>
      </c>
      <c r="L224" s="117">
        <f t="shared" ca="1" si="130"/>
        <v>1.5</v>
      </c>
      <c r="M224" s="117">
        <f t="shared" ca="1" si="130"/>
        <v>1.5</v>
      </c>
      <c r="N224" s="117">
        <f t="shared" ca="1" si="130"/>
        <v>1.5</v>
      </c>
      <c r="O224" s="117">
        <f t="shared" ca="1" si="130"/>
        <v>1.5</v>
      </c>
      <c r="P224" s="117">
        <f t="shared" ca="1" si="130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129"/>
        <v>0</v>
      </c>
      <c r="C225" s="117">
        <v>0.3</v>
      </c>
      <c r="D225" s="117">
        <f t="shared" si="130"/>
        <v>0.3</v>
      </c>
      <c r="E225" s="117">
        <f t="shared" si="130"/>
        <v>0.3</v>
      </c>
      <c r="F225" s="117">
        <f t="shared" si="130"/>
        <v>0.3</v>
      </c>
      <c r="G225" s="117">
        <f t="shared" si="130"/>
        <v>0.3</v>
      </c>
      <c r="H225" s="117">
        <f t="shared" si="130"/>
        <v>0.3</v>
      </c>
      <c r="I225" s="117">
        <f t="shared" si="130"/>
        <v>0.3</v>
      </c>
      <c r="J225" s="117">
        <f t="shared" si="130"/>
        <v>0.3</v>
      </c>
      <c r="K225" s="117">
        <f t="shared" si="130"/>
        <v>0.3</v>
      </c>
      <c r="L225" s="117">
        <f t="shared" si="130"/>
        <v>0.3</v>
      </c>
      <c r="M225" s="117">
        <f t="shared" si="130"/>
        <v>0.3</v>
      </c>
      <c r="N225" s="117">
        <f t="shared" si="130"/>
        <v>0.3</v>
      </c>
      <c r="O225" s="117">
        <f t="shared" si="130"/>
        <v>0.3</v>
      </c>
      <c r="P225" s="117">
        <f t="shared" si="130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129"/>
        <v>0</v>
      </c>
      <c r="C226" s="117">
        <v>0.4</v>
      </c>
      <c r="D226" s="117">
        <f t="shared" si="130"/>
        <v>0.4</v>
      </c>
      <c r="E226" s="117">
        <f t="shared" si="130"/>
        <v>0.4</v>
      </c>
      <c r="F226" s="117">
        <f t="shared" si="130"/>
        <v>0.4</v>
      </c>
      <c r="G226" s="117">
        <f t="shared" si="130"/>
        <v>0.4</v>
      </c>
      <c r="H226" s="117">
        <f t="shared" si="130"/>
        <v>0.4</v>
      </c>
      <c r="I226" s="117">
        <f t="shared" si="130"/>
        <v>0.4</v>
      </c>
      <c r="J226" s="117">
        <f t="shared" si="130"/>
        <v>0.4</v>
      </c>
      <c r="K226" s="117">
        <f t="shared" si="130"/>
        <v>0.4</v>
      </c>
      <c r="L226" s="117">
        <f t="shared" si="130"/>
        <v>0.4</v>
      </c>
      <c r="M226" s="117">
        <f t="shared" si="130"/>
        <v>0.4</v>
      </c>
      <c r="N226" s="117">
        <f t="shared" si="130"/>
        <v>0.4</v>
      </c>
      <c r="O226" s="117">
        <f t="shared" si="130"/>
        <v>0.4</v>
      </c>
      <c r="P226" s="117">
        <f t="shared" si="130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129"/>
        <v>0</v>
      </c>
      <c r="C227" s="121">
        <v>0.64</v>
      </c>
      <c r="D227" s="121">
        <f t="shared" si="130"/>
        <v>0.64</v>
      </c>
      <c r="E227" s="121">
        <f t="shared" si="130"/>
        <v>0.64</v>
      </c>
      <c r="F227" s="121">
        <f t="shared" si="130"/>
        <v>0.64</v>
      </c>
      <c r="G227" s="121">
        <f t="shared" si="130"/>
        <v>0.64</v>
      </c>
      <c r="H227" s="121">
        <f t="shared" si="130"/>
        <v>0.64</v>
      </c>
      <c r="I227" s="121">
        <f t="shared" si="130"/>
        <v>0.64</v>
      </c>
      <c r="J227" s="121">
        <f t="shared" si="130"/>
        <v>0.64</v>
      </c>
      <c r="K227" s="121">
        <f t="shared" si="130"/>
        <v>0.64</v>
      </c>
      <c r="L227" s="121">
        <f t="shared" si="130"/>
        <v>0.64</v>
      </c>
      <c r="M227" s="121">
        <f t="shared" si="130"/>
        <v>0.64</v>
      </c>
      <c r="N227" s="121">
        <f t="shared" si="130"/>
        <v>0.64</v>
      </c>
      <c r="O227" s="121">
        <f t="shared" si="130"/>
        <v>0.64</v>
      </c>
      <c r="P227" s="121">
        <f t="shared" si="130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132">SUM(B222:B227)</f>
        <v>0</v>
      </c>
      <c r="C228" s="125">
        <f t="shared" si="132"/>
        <v>3.54</v>
      </c>
      <c r="D228" s="125">
        <f t="shared" si="132"/>
        <v>3.54</v>
      </c>
      <c r="E228" s="125">
        <f t="shared" si="132"/>
        <v>3.54</v>
      </c>
      <c r="F228" s="125">
        <f t="shared" si="132"/>
        <v>3.54</v>
      </c>
      <c r="G228" s="125">
        <f t="shared" si="132"/>
        <v>3.54</v>
      </c>
      <c r="H228" s="125">
        <f t="shared" si="132"/>
        <v>3.54</v>
      </c>
      <c r="I228" s="125">
        <f t="shared" ca="1" si="132"/>
        <v>3.54</v>
      </c>
      <c r="J228" s="125">
        <f t="shared" ca="1" si="132"/>
        <v>3.54</v>
      </c>
      <c r="K228" s="125">
        <f t="shared" ca="1" si="132"/>
        <v>3.54</v>
      </c>
      <c r="L228" s="125">
        <f t="shared" ca="1" si="132"/>
        <v>3.54</v>
      </c>
      <c r="M228" s="125">
        <f t="shared" ca="1" si="132"/>
        <v>3.54</v>
      </c>
      <c r="N228" s="125">
        <f t="shared" ca="1" si="132"/>
        <v>3.54</v>
      </c>
      <c r="O228" s="125">
        <f t="shared" ca="1" si="132"/>
        <v>3.54</v>
      </c>
      <c r="P228" s="125">
        <f t="shared" ca="1" si="132"/>
        <v>3.54</v>
      </c>
      <c r="Q228" s="125">
        <f t="shared" si="132"/>
        <v>0</v>
      </c>
      <c r="R228" s="125">
        <f t="shared" si="132"/>
        <v>0</v>
      </c>
      <c r="S228" s="125">
        <f t="shared" si="132"/>
        <v>0</v>
      </c>
      <c r="T228" s="125">
        <f t="shared" si="132"/>
        <v>0</v>
      </c>
      <c r="U228" s="125">
        <f t="shared" si="132"/>
        <v>0</v>
      </c>
      <c r="V228" s="125">
        <f t="shared" si="132"/>
        <v>0</v>
      </c>
      <c r="W228" s="125">
        <f t="shared" si="132"/>
        <v>0</v>
      </c>
      <c r="X228" s="125">
        <f t="shared" si="132"/>
        <v>0</v>
      </c>
      <c r="Y228" s="125">
        <f t="shared" si="132"/>
        <v>0</v>
      </c>
      <c r="Z228" s="125">
        <f t="shared" si="132"/>
        <v>0</v>
      </c>
      <c r="AA228" s="125">
        <f t="shared" si="132"/>
        <v>0</v>
      </c>
      <c r="AB228" s="125">
        <f t="shared" si="132"/>
        <v>0</v>
      </c>
      <c r="AC228" s="125">
        <f t="shared" si="132"/>
        <v>0</v>
      </c>
      <c r="AD228" s="125">
        <f t="shared" si="132"/>
        <v>0</v>
      </c>
      <c r="AE228" s="125">
        <f t="shared" si="132"/>
        <v>0</v>
      </c>
      <c r="AF228" s="125">
        <f t="shared" si="132"/>
        <v>0</v>
      </c>
      <c r="AG228" s="134">
        <f t="shared" si="132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1576.64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10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2079/09/10)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2079/09/10)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133">B85</f>
        <v>989.04</v>
      </c>
      <c r="U242" s="159">
        <f t="shared" si="133"/>
        <v>974.14</v>
      </c>
      <c r="V242" s="159">
        <f t="shared" si="133"/>
        <v>954.14</v>
      </c>
      <c r="W242" s="159">
        <f t="shared" si="133"/>
        <v>974.24</v>
      </c>
      <c r="X242" s="159">
        <f t="shared" si="133"/>
        <v>986.54</v>
      </c>
      <c r="Y242" s="159">
        <f t="shared" si="133"/>
        <v>1018.14</v>
      </c>
      <c r="Z242" s="159">
        <f t="shared" si="133"/>
        <v>1095.74</v>
      </c>
      <c r="AA242" s="159">
        <f t="shared" si="133"/>
        <v>1181.44</v>
      </c>
      <c r="AB242" s="159">
        <f t="shared" si="133"/>
        <v>1299.2400000000002</v>
      </c>
      <c r="AC242" s="159">
        <f t="shared" si="133"/>
        <v>1418.5400000000002</v>
      </c>
      <c r="AD242" s="159">
        <f t="shared" si="133"/>
        <v>1533.8400000000001</v>
      </c>
      <c r="AE242" s="159">
        <f t="shared" si="133"/>
        <v>1576.64</v>
      </c>
      <c r="AF242" s="159">
        <f t="shared" si="133"/>
        <v>1574.2400000000002</v>
      </c>
      <c r="AG242" s="159">
        <f t="shared" si="133"/>
        <v>1533.44</v>
      </c>
      <c r="AH242" s="159">
        <f t="shared" si="133"/>
        <v>1461.06</v>
      </c>
      <c r="AI242" s="159">
        <f t="shared" si="133"/>
        <v>1345.06</v>
      </c>
      <c r="AJ242" s="159">
        <f t="shared" si="133"/>
        <v>1313.5600000000002</v>
      </c>
      <c r="AK242" s="159">
        <f t="shared" si="133"/>
        <v>1333.44</v>
      </c>
      <c r="AL242" s="159">
        <f t="shared" si="133"/>
        <v>1274.74</v>
      </c>
      <c r="AM242" s="159">
        <f t="shared" si="133"/>
        <v>1282.04</v>
      </c>
      <c r="AN242" s="159">
        <f t="shared" si="133"/>
        <v>1342.3400000000001</v>
      </c>
      <c r="AO242" s="159">
        <f t="shared" si="133"/>
        <v>1496.7400000000002</v>
      </c>
      <c r="AP242" s="159">
        <f t="shared" si="133"/>
        <v>1662.54</v>
      </c>
      <c r="AQ242" s="159">
        <f t="shared" si="133"/>
        <v>1598.14</v>
      </c>
      <c r="AR242" s="159">
        <f t="shared" si="133"/>
        <v>1567.54</v>
      </c>
      <c r="AS242" s="159">
        <f t="shared" si="133"/>
        <v>1490.14</v>
      </c>
      <c r="AT242" s="159">
        <f t="shared" si="133"/>
        <v>1419.94</v>
      </c>
      <c r="AU242" s="159">
        <f t="shared" si="133"/>
        <v>1385.94</v>
      </c>
      <c r="AV242" s="159">
        <f t="shared" si="133"/>
        <v>1297.94</v>
      </c>
      <c r="AW242" s="159">
        <f t="shared" si="133"/>
        <v>1143.24</v>
      </c>
      <c r="AX242" s="159">
        <f t="shared" si="133"/>
        <v>1068.74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134">C227</f>
        <v>0.64</v>
      </c>
      <c r="C263" s="162">
        <f t="shared" si="134"/>
        <v>0.64</v>
      </c>
      <c r="D263" s="162">
        <f t="shared" si="134"/>
        <v>0.64</v>
      </c>
      <c r="E263" s="162">
        <f t="shared" si="134"/>
        <v>0.64</v>
      </c>
      <c r="F263" s="162">
        <f t="shared" si="134"/>
        <v>0.64</v>
      </c>
      <c r="G263" s="162">
        <f t="shared" si="134"/>
        <v>0.64</v>
      </c>
      <c r="H263" s="162">
        <f t="shared" si="134"/>
        <v>0.64</v>
      </c>
      <c r="I263" s="162">
        <f t="shared" si="134"/>
        <v>0.64</v>
      </c>
      <c r="J263" s="162">
        <f t="shared" si="134"/>
        <v>0.64</v>
      </c>
      <c r="K263" s="162">
        <f t="shared" si="134"/>
        <v>0.64</v>
      </c>
      <c r="L263" s="162">
        <f t="shared" si="134"/>
        <v>0.64</v>
      </c>
      <c r="M263" s="162">
        <f t="shared" si="134"/>
        <v>0.64</v>
      </c>
      <c r="N263" s="162">
        <f t="shared" si="134"/>
        <v>0.64</v>
      </c>
      <c r="O263" s="162">
        <f t="shared" si="134"/>
        <v>0.64</v>
      </c>
      <c r="P263" s="162">
        <f t="shared" si="134"/>
        <v>0</v>
      </c>
      <c r="Q263" s="162">
        <f t="shared" si="134"/>
        <v>0</v>
      </c>
      <c r="R263" s="162">
        <f t="shared" si="134"/>
        <v>0</v>
      </c>
      <c r="S263" s="162">
        <f t="shared" si="134"/>
        <v>0</v>
      </c>
      <c r="T263" s="162">
        <f t="shared" si="134"/>
        <v>0</v>
      </c>
      <c r="U263" s="162">
        <f t="shared" si="134"/>
        <v>0</v>
      </c>
      <c r="V263" s="162">
        <f t="shared" si="134"/>
        <v>0</v>
      </c>
      <c r="W263" s="162">
        <f t="shared" si="134"/>
        <v>0</v>
      </c>
      <c r="X263" s="162">
        <f t="shared" si="134"/>
        <v>0</v>
      </c>
      <c r="Y263" s="162">
        <f t="shared" si="134"/>
        <v>0</v>
      </c>
      <c r="Z263" s="162">
        <f t="shared" si="134"/>
        <v>0</v>
      </c>
      <c r="AA263" s="162">
        <f t="shared" si="134"/>
        <v>0</v>
      </c>
      <c r="AB263" s="162">
        <f t="shared" si="134"/>
        <v>0</v>
      </c>
      <c r="AC263" s="162">
        <f t="shared" si="134"/>
        <v>0</v>
      </c>
      <c r="AD263" s="162">
        <f t="shared" si="134"/>
        <v>0</v>
      </c>
      <c r="AE263" s="162">
        <f t="shared" si="134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135">IF(B231&lt;100,"",B231-520)</f>
        <v/>
      </c>
      <c r="C264" s="163" t="str">
        <f t="shared" si="135"/>
        <v/>
      </c>
      <c r="D264" s="163" t="str">
        <f t="shared" si="135"/>
        <v/>
      </c>
      <c r="E264" s="163" t="str">
        <f t="shared" si="135"/>
        <v/>
      </c>
      <c r="F264" s="163" t="str">
        <f t="shared" si="135"/>
        <v/>
      </c>
      <c r="G264" s="163" t="str">
        <f t="shared" si="135"/>
        <v/>
      </c>
      <c r="H264" s="163" t="str">
        <f t="shared" si="135"/>
        <v/>
      </c>
      <c r="I264" s="163" t="str">
        <f t="shared" si="135"/>
        <v/>
      </c>
      <c r="J264" s="163" t="str">
        <f t="shared" si="135"/>
        <v/>
      </c>
      <c r="K264" s="163" t="str">
        <f t="shared" si="135"/>
        <v/>
      </c>
      <c r="L264" s="163" t="str">
        <f t="shared" si="135"/>
        <v/>
      </c>
      <c r="M264" s="163" t="str">
        <f t="shared" si="135"/>
        <v/>
      </c>
      <c r="N264" s="163" t="str">
        <f t="shared" si="135"/>
        <v/>
      </c>
      <c r="O264" s="163" t="str">
        <f t="shared" si="135"/>
        <v/>
      </c>
      <c r="P264" s="163" t="str">
        <f t="shared" si="135"/>
        <v/>
      </c>
      <c r="Q264" s="163" t="str">
        <f t="shared" si="135"/>
        <v/>
      </c>
      <c r="R264" s="163" t="str">
        <f t="shared" si="135"/>
        <v/>
      </c>
      <c r="S264" s="163" t="str">
        <f t="shared" si="135"/>
        <v/>
      </c>
      <c r="T264" s="163" t="str">
        <f t="shared" si="135"/>
        <v/>
      </c>
      <c r="U264" s="163" t="str">
        <f t="shared" si="135"/>
        <v/>
      </c>
      <c r="V264" s="163" t="str">
        <f t="shared" si="135"/>
        <v/>
      </c>
      <c r="W264" s="163" t="str">
        <f t="shared" si="135"/>
        <v/>
      </c>
      <c r="X264" s="163" t="str">
        <f t="shared" si="135"/>
        <v/>
      </c>
      <c r="Y264" s="163" t="str">
        <f t="shared" si="135"/>
        <v/>
      </c>
      <c r="Z264" s="163" t="str">
        <f t="shared" si="135"/>
        <v/>
      </c>
      <c r="AA264" s="163" t="str">
        <f t="shared" si="135"/>
        <v/>
      </c>
      <c r="AB264" s="163" t="str">
        <f t="shared" si="135"/>
        <v/>
      </c>
      <c r="AC264" s="163" t="str">
        <f t="shared" si="135"/>
        <v/>
      </c>
      <c r="AD264" s="163" t="str">
        <f t="shared" si="135"/>
        <v/>
      </c>
      <c r="AE264" s="163" t="str">
        <f t="shared" si="135"/>
        <v/>
      </c>
      <c r="AF264" s="163" t="str">
        <f t="shared" si="135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136">IF(B232&lt;100,"",B232-620)</f>
        <v/>
      </c>
      <c r="C265" s="163" t="str">
        <f t="shared" si="136"/>
        <v/>
      </c>
      <c r="D265" s="163" t="str">
        <f t="shared" si="136"/>
        <v/>
      </c>
      <c r="E265" s="163" t="str">
        <f t="shared" si="136"/>
        <v/>
      </c>
      <c r="F265" s="163" t="str">
        <f t="shared" si="136"/>
        <v/>
      </c>
      <c r="G265" s="163" t="str">
        <f t="shared" si="136"/>
        <v/>
      </c>
      <c r="H265" s="163" t="str">
        <f t="shared" si="136"/>
        <v/>
      </c>
      <c r="I265" s="163" t="str">
        <f t="shared" si="136"/>
        <v/>
      </c>
      <c r="J265" s="163" t="str">
        <f t="shared" si="136"/>
        <v/>
      </c>
      <c r="K265" s="163" t="str">
        <f t="shared" si="136"/>
        <v/>
      </c>
      <c r="L265" s="163" t="str">
        <f t="shared" si="136"/>
        <v/>
      </c>
      <c r="M265" s="163" t="str">
        <f t="shared" si="136"/>
        <v/>
      </c>
      <c r="N265" s="163" t="str">
        <f t="shared" si="136"/>
        <v/>
      </c>
      <c r="O265" s="163" t="str">
        <f t="shared" si="136"/>
        <v/>
      </c>
      <c r="P265" s="163" t="str">
        <f t="shared" si="136"/>
        <v/>
      </c>
      <c r="Q265" s="163" t="str">
        <f t="shared" si="136"/>
        <v/>
      </c>
      <c r="R265" s="163" t="str">
        <f t="shared" si="136"/>
        <v/>
      </c>
      <c r="S265" s="163" t="str">
        <f t="shared" si="136"/>
        <v/>
      </c>
      <c r="T265" s="163" t="str">
        <f t="shared" si="136"/>
        <v/>
      </c>
      <c r="U265" s="163" t="str">
        <f t="shared" si="136"/>
        <v/>
      </c>
      <c r="V265" s="163" t="str">
        <f t="shared" si="136"/>
        <v/>
      </c>
      <c r="W265" s="163" t="str">
        <f t="shared" si="136"/>
        <v/>
      </c>
      <c r="X265" s="163" t="str">
        <f t="shared" si="136"/>
        <v/>
      </c>
      <c r="Y265" s="163" t="str">
        <f t="shared" si="136"/>
        <v/>
      </c>
      <c r="Z265" s="163" t="str">
        <f t="shared" si="136"/>
        <v/>
      </c>
      <c r="AA265" s="163" t="str">
        <f t="shared" si="136"/>
        <v/>
      </c>
      <c r="AB265" s="163" t="str">
        <f t="shared" si="136"/>
        <v/>
      </c>
      <c r="AC265" s="163" t="str">
        <f t="shared" si="136"/>
        <v/>
      </c>
      <c r="AD265" s="163" t="str">
        <f t="shared" si="136"/>
        <v/>
      </c>
      <c r="AE265" s="163" t="str">
        <f t="shared" si="136"/>
        <v/>
      </c>
      <c r="AF265" s="163" t="str">
        <f t="shared" si="136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137">IF(B233&lt;100,"",B233-330)</f>
        <v/>
      </c>
      <c r="C266" s="163" t="str">
        <f t="shared" si="137"/>
        <v/>
      </c>
      <c r="D266" s="163" t="str">
        <f t="shared" si="137"/>
        <v/>
      </c>
      <c r="E266" s="163" t="str">
        <f t="shared" si="137"/>
        <v/>
      </c>
      <c r="F266" s="163" t="str">
        <f t="shared" si="137"/>
        <v/>
      </c>
      <c r="G266" s="163" t="str">
        <f t="shared" si="137"/>
        <v/>
      </c>
      <c r="H266" s="163" t="str">
        <f t="shared" si="137"/>
        <v/>
      </c>
      <c r="I266" s="163" t="str">
        <f t="shared" si="137"/>
        <v/>
      </c>
      <c r="J266" s="163" t="str">
        <f t="shared" si="137"/>
        <v/>
      </c>
      <c r="K266" s="163" t="str">
        <f t="shared" si="137"/>
        <v/>
      </c>
      <c r="L266" s="163" t="str">
        <f t="shared" si="137"/>
        <v/>
      </c>
      <c r="M266" s="163" t="str">
        <f t="shared" si="137"/>
        <v/>
      </c>
      <c r="N266" s="163" t="str">
        <f t="shared" si="137"/>
        <v/>
      </c>
      <c r="O266" s="163" t="str">
        <f t="shared" si="137"/>
        <v/>
      </c>
      <c r="P266" s="163" t="str">
        <f t="shared" si="137"/>
        <v/>
      </c>
      <c r="Q266" s="163" t="str">
        <f t="shared" si="137"/>
        <v/>
      </c>
      <c r="R266" s="163" t="str">
        <f t="shared" si="137"/>
        <v/>
      </c>
      <c r="S266" s="163" t="str">
        <f t="shared" si="137"/>
        <v/>
      </c>
      <c r="T266" s="163" t="str">
        <f t="shared" si="137"/>
        <v/>
      </c>
      <c r="U266" s="163" t="str">
        <f t="shared" si="137"/>
        <v/>
      </c>
      <c r="V266" s="163" t="str">
        <f t="shared" si="137"/>
        <v/>
      </c>
      <c r="W266" s="163" t="str">
        <f t="shared" si="137"/>
        <v/>
      </c>
      <c r="X266" s="163" t="str">
        <f t="shared" si="137"/>
        <v/>
      </c>
      <c r="Y266" s="163" t="str">
        <f t="shared" si="137"/>
        <v/>
      </c>
      <c r="Z266" s="163" t="str">
        <f t="shared" si="137"/>
        <v/>
      </c>
      <c r="AA266" s="163" t="str">
        <f t="shared" si="137"/>
        <v/>
      </c>
      <c r="AB266" s="163" t="str">
        <f t="shared" si="137"/>
        <v/>
      </c>
      <c r="AC266" s="163" t="str">
        <f t="shared" si="137"/>
        <v/>
      </c>
      <c r="AD266" s="163" t="str">
        <f t="shared" si="137"/>
        <v/>
      </c>
      <c r="AE266" s="163" t="str">
        <f t="shared" si="137"/>
        <v/>
      </c>
      <c r="AF266" s="163" t="str">
        <f t="shared" si="137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138">IF(B234&lt;100,"",B234-1500)</f>
        <v/>
      </c>
      <c r="C267" s="163" t="str">
        <f t="shared" si="138"/>
        <v/>
      </c>
      <c r="D267" s="163" t="str">
        <f t="shared" si="138"/>
        <v/>
      </c>
      <c r="E267" s="163" t="str">
        <f t="shared" si="138"/>
        <v/>
      </c>
      <c r="F267" s="163" t="str">
        <f t="shared" si="138"/>
        <v/>
      </c>
      <c r="G267" s="163" t="str">
        <f t="shared" si="138"/>
        <v/>
      </c>
      <c r="H267" s="163" t="str">
        <f t="shared" si="138"/>
        <v/>
      </c>
      <c r="I267" s="163" t="str">
        <f t="shared" si="138"/>
        <v/>
      </c>
      <c r="J267" s="163" t="str">
        <f t="shared" si="138"/>
        <v/>
      </c>
      <c r="K267" s="163" t="str">
        <f t="shared" si="138"/>
        <v/>
      </c>
      <c r="L267" s="163" t="str">
        <f t="shared" si="138"/>
        <v/>
      </c>
      <c r="M267" s="163" t="str">
        <f t="shared" si="138"/>
        <v/>
      </c>
      <c r="N267" s="163" t="str">
        <f t="shared" si="138"/>
        <v/>
      </c>
      <c r="O267" s="163" t="str">
        <f t="shared" si="138"/>
        <v/>
      </c>
      <c r="P267" s="163" t="str">
        <f t="shared" si="138"/>
        <v/>
      </c>
      <c r="Q267" s="163" t="str">
        <f t="shared" si="138"/>
        <v/>
      </c>
      <c r="R267" s="163" t="str">
        <f t="shared" si="138"/>
        <v/>
      </c>
      <c r="S267" s="163" t="str">
        <f t="shared" si="138"/>
        <v/>
      </c>
      <c r="T267" s="163" t="str">
        <f t="shared" si="138"/>
        <v/>
      </c>
      <c r="U267" s="163" t="str">
        <f t="shared" si="138"/>
        <v/>
      </c>
      <c r="V267" s="163" t="str">
        <f t="shared" si="138"/>
        <v/>
      </c>
      <c r="W267" s="163" t="str">
        <f t="shared" si="138"/>
        <v/>
      </c>
      <c r="X267" s="163" t="str">
        <f t="shared" si="138"/>
        <v/>
      </c>
      <c r="Y267" s="163" t="str">
        <f t="shared" si="138"/>
        <v/>
      </c>
      <c r="Z267" s="163" t="str">
        <f t="shared" si="138"/>
        <v/>
      </c>
      <c r="AA267" s="163" t="str">
        <f t="shared" si="138"/>
        <v/>
      </c>
      <c r="AB267" s="163" t="str">
        <f t="shared" si="138"/>
        <v/>
      </c>
      <c r="AC267" s="163" t="str">
        <f t="shared" si="138"/>
        <v/>
      </c>
      <c r="AD267" s="163" t="str">
        <f t="shared" si="138"/>
        <v/>
      </c>
      <c r="AE267" s="163" t="str">
        <f t="shared" si="138"/>
        <v/>
      </c>
      <c r="AF267" s="163" t="str">
        <f t="shared" si="138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800" priority="120">
      <formula>$AH11=0</formula>
    </cfRule>
  </conditionalFormatting>
  <conditionalFormatting sqref="B8 M8 S8 AB8">
    <cfRule type="expression" dxfId="799" priority="243">
      <formula>C$9&lt;8/24</formula>
    </cfRule>
    <cfRule type="expression" dxfId="798" priority="242">
      <formula>AND(C$9&gt;=8/24,C$9&lt;14/24)</formula>
    </cfRule>
    <cfRule type="expression" dxfId="797" priority="241">
      <formula>AND(C$9&gt;=14/24,C$9&lt;20/24)</formula>
    </cfRule>
  </conditionalFormatting>
  <conditionalFormatting sqref="B11:W11">
    <cfRule type="expression" dxfId="792" priority="22">
      <formula>B$9&gt;=20/24</formula>
    </cfRule>
    <cfRule type="expression" dxfId="791" priority="23">
      <formula>AND(B$9&gt;=14/24,B$9&lt;20/24)</formula>
    </cfRule>
    <cfRule type="expression" dxfId="790" priority="24">
      <formula>AND(B$9&gt;=8/24,B$9&lt;14/24)</formula>
    </cfRule>
    <cfRule type="expression" dxfId="789" priority="25">
      <formula>B$9&lt;8/24</formula>
    </cfRule>
  </conditionalFormatting>
  <conditionalFormatting sqref="B12:W14">
    <cfRule type="expression" dxfId="788" priority="17">
      <formula>B$9&gt;=20/24</formula>
    </cfRule>
    <cfRule type="expression" dxfId="787" priority="18">
      <formula>AND(B$9&gt;=14/24,B$9&lt;20/24)</formula>
    </cfRule>
    <cfRule type="expression" dxfId="786" priority="19">
      <formula>AND(B$9&gt;=8/24,B$9&lt;14/24)</formula>
    </cfRule>
    <cfRule type="expression" dxfId="785" priority="20">
      <formula>B$9&lt;8/24</formula>
    </cfRule>
  </conditionalFormatting>
  <conditionalFormatting sqref="B15:W40">
    <cfRule type="expression" dxfId="784" priority="109">
      <formula>AND(B$9&gt;=14/24,B$9&lt;20/24)</formula>
    </cfRule>
    <cfRule type="expression" dxfId="783" priority="110">
      <formula>AND(B$9&gt;=8/24,B$9&lt;14/24)</formula>
    </cfRule>
    <cfRule type="expression" dxfId="782" priority="111">
      <formula>B$9&lt;8/24</formula>
    </cfRule>
    <cfRule type="expression" dxfId="781" priority="108">
      <formula>B$9&gt;=20/24</formula>
    </cfRule>
  </conditionalFormatting>
  <conditionalFormatting sqref="B41:W41">
    <cfRule type="expression" dxfId="780" priority="14">
      <formula>AND(B$9&gt;=14/24,B$9&lt;20/24)</formula>
    </cfRule>
    <cfRule type="expression" dxfId="779" priority="16">
      <formula>B$9&lt;8/24</formula>
    </cfRule>
    <cfRule type="expression" dxfId="778" priority="15">
      <formula>AND(B$9&gt;=8/24,B$9&lt;14/24)</formula>
    </cfRule>
    <cfRule type="expression" dxfId="777" priority="13">
      <formula>B$9&gt;=20/24</formula>
    </cfRule>
  </conditionalFormatting>
  <conditionalFormatting sqref="B42:W42">
    <cfRule type="expression" dxfId="776" priority="74">
      <formula>AND(B$9&gt;=8/24,B$9&lt;14/24)</formula>
    </cfRule>
    <cfRule type="expression" dxfId="775" priority="73">
      <formula>AND(B$9&gt;=14/24,B$9&lt;20/24)</formula>
    </cfRule>
    <cfRule type="expression" dxfId="774" priority="75">
      <formula>B$9&lt;8/24</formula>
    </cfRule>
    <cfRule type="expression" dxfId="773" priority="72">
      <formula>B$9&gt;=20/24</formula>
    </cfRule>
  </conditionalFormatting>
  <conditionalFormatting sqref="B9:AF10 B220:AF220 D222:AF223 B222:B228 D224:H224 J224:AF224 D225:AF228 U241:AF241">
    <cfRule type="expression" dxfId="772" priority="237">
      <formula>B$9&lt;8/24</formula>
    </cfRule>
    <cfRule type="expression" dxfId="771" priority="236">
      <formula>AND(B$9&gt;=8/24,B$9&lt;14/24)</formula>
    </cfRule>
    <cfRule type="expression" dxfId="770" priority="235">
      <formula>AND(B$9&gt;=14/24,B$9&lt;20/24)</formula>
    </cfRule>
    <cfRule type="expression" dxfId="769" priority="234">
      <formula>B$9&gt;=20/24</formula>
    </cfRule>
  </conditionalFormatting>
  <conditionalFormatting sqref="B11:AF66">
    <cfRule type="expression" dxfId="768" priority="21">
      <formula>B11&gt;$AG11</formula>
    </cfRule>
  </conditionalFormatting>
  <conditionalFormatting sqref="B43:AF43">
    <cfRule type="expression" dxfId="767" priority="107">
      <formula>B$9&lt;8/24</formula>
    </cfRule>
    <cfRule type="expression" dxfId="766" priority="106">
      <formula>AND(B$9&gt;=8/24,B$9&lt;14/24)</formula>
    </cfRule>
    <cfRule type="expression" dxfId="765" priority="105">
      <formula>AND(B$9&gt;=14/24,B$9&lt;20/24)</formula>
    </cfRule>
    <cfRule type="expression" dxfId="764" priority="104">
      <formula>B$9&gt;=20/24</formula>
    </cfRule>
  </conditionalFormatting>
  <conditionalFormatting sqref="B45:AF51">
    <cfRule type="expression" dxfId="763" priority="52">
      <formula>B$9&lt;8/24</formula>
    </cfRule>
    <cfRule type="expression" dxfId="762" priority="50">
      <formula>AND(B$9&gt;=14/24,B$9&lt;20/24)</formula>
    </cfRule>
    <cfRule type="expression" dxfId="761" priority="49">
      <formula>B$9&gt;=20/24</formula>
    </cfRule>
    <cfRule type="expression" dxfId="760" priority="51">
      <formula>AND(B$9&gt;=8/24,B$9&lt;14/24)</formula>
    </cfRule>
  </conditionalFormatting>
  <conditionalFormatting sqref="B54:AF60">
    <cfRule type="expression" dxfId="759" priority="28">
      <formula>B$9&gt;=20/24</formula>
    </cfRule>
    <cfRule type="expression" dxfId="758" priority="29">
      <formula>AND(B$9&gt;=14/24,B$9&lt;20/24)</formula>
    </cfRule>
    <cfRule type="expression" dxfId="757" priority="30">
      <formula>AND(B$9&gt;=8/24,B$9&lt;14/24)</formula>
    </cfRule>
    <cfRule type="expression" dxfId="756" priority="31">
      <formula>B$9&lt;8/24</formula>
    </cfRule>
  </conditionalFormatting>
  <conditionalFormatting sqref="B63:AF72">
    <cfRule type="expression" dxfId="755" priority="67">
      <formula>B$9&gt;=20/24</formula>
    </cfRule>
    <cfRule type="expression" dxfId="754" priority="68">
      <formula>AND(B$9&gt;=14/24,B$9&lt;20/24)</formula>
    </cfRule>
    <cfRule type="expression" dxfId="753" priority="69">
      <formula>AND(B$9&gt;=8/24,B$9&lt;14/24)</formula>
    </cfRule>
    <cfRule type="expression" dxfId="752" priority="70">
      <formula>B$9&lt;8/24</formula>
    </cfRule>
  </conditionalFormatting>
  <conditionalFormatting sqref="B73:AF85">
    <cfRule type="expression" dxfId="751" priority="9">
      <formula>B$9&gt;=20/24</formula>
    </cfRule>
    <cfRule type="expression" dxfId="750" priority="10">
      <formula>AND(B$9&gt;=14/24,B$9&lt;20/24)</formula>
    </cfRule>
    <cfRule type="expression" dxfId="749" priority="11">
      <formula>AND(B$9&gt;=8/24,B$9&lt;14/24)</formula>
    </cfRule>
    <cfRule type="expression" dxfId="748" priority="12">
      <formula>B$9&lt;8/24</formula>
    </cfRule>
  </conditionalFormatting>
  <conditionalFormatting sqref="B87:AF103">
    <cfRule type="expression" dxfId="743" priority="46">
      <formula>AND(B$9&gt;=8/24,B$9&lt;14/24)</formula>
    </cfRule>
    <cfRule type="expression" dxfId="742" priority="44">
      <formula>B$9&gt;=20/24</formula>
    </cfRule>
    <cfRule type="expression" dxfId="741" priority="47">
      <formula>B$9&lt;8/24</formula>
    </cfRule>
    <cfRule type="expression" dxfId="740" priority="45">
      <formula>AND(B$9&gt;=14/24,B$9&lt;20/24)</formula>
    </cfRule>
  </conditionalFormatting>
  <conditionalFormatting sqref="B105:AF112">
    <cfRule type="expression" dxfId="739" priority="32">
      <formula>B$9&gt;=20/24</formula>
    </cfRule>
    <cfRule type="expression" dxfId="738" priority="33">
      <formula>AND(B$9&gt;=14/24,B$9&lt;20/24)</formula>
    </cfRule>
    <cfRule type="expression" dxfId="737" priority="34">
      <formula>AND(B$9&gt;=8/24,B$9&lt;14/24)</formula>
    </cfRule>
    <cfRule type="expression" dxfId="736" priority="35">
      <formula>B$9&lt;8/24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P52:AF52 S53:AF53">
    <cfRule type="expression" dxfId="731" priority="207">
      <formula>P$9&lt;8/24</formula>
    </cfRule>
    <cfRule type="expression" dxfId="730" priority="206">
      <formula>AND(P$9&gt;=8/24,P$9&lt;14/24)</formula>
    </cfRule>
    <cfRule type="expression" dxfId="729" priority="205">
      <formula>AND(P$9&gt;=14/24,P$9&lt;20/24)</formula>
    </cfRule>
    <cfRule type="expression" dxfId="728" priority="204">
      <formula>P$9&gt;=20/24</formula>
    </cfRule>
  </conditionalFormatting>
  <conditionalFormatting sqref="S8 AB8 B8 M8">
    <cfRule type="expression" dxfId="727" priority="240">
      <formula>C$9&gt;=20/24</formula>
    </cfRule>
  </conditionalFormatting>
  <conditionalFormatting sqref="S8">
    <cfRule type="expression" dxfId="726" priority="216">
      <formula>U$9&lt;8/24</formula>
    </cfRule>
    <cfRule type="expression" dxfId="725" priority="214">
      <formula>AND(U$9&gt;=14/24,U$9&lt;20/24)</formula>
    </cfRule>
    <cfRule type="expression" dxfId="724" priority="215">
      <formula>AND(U$9&gt;=8/24,U$9&lt;14/24)</formula>
    </cfRule>
    <cfRule type="expression" dxfId="723" priority="213">
      <formula>U$9&gt;=20/24</formula>
    </cfRule>
  </conditionalFormatting>
  <conditionalFormatting sqref="T241">
    <cfRule type="expression" dxfId="722" priority="254">
      <formula>AND(AX$9&gt;=14/24,AX$9&lt;20/24)</formula>
    </cfRule>
    <cfRule type="expression" dxfId="721" priority="255">
      <formula>AND(AX$9&gt;=8/24,AX$9&lt;14/24)</formula>
    </cfRule>
    <cfRule type="expression" dxfId="720" priority="256">
      <formula>AX$9&lt;8/24</formula>
    </cfRule>
    <cfRule type="expression" dxfId="719" priority="253">
      <formula>AX$9&gt;=20/24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X11:AF42">
    <cfRule type="expression" dxfId="718" priority="178">
      <formula>AND(X$9&gt;=8/24,X$9&lt;14/24)</formula>
    </cfRule>
    <cfRule type="expression" dxfId="717" priority="179">
      <formula>X$9&lt;8/24</formula>
    </cfRule>
    <cfRule type="expression" dxfId="716" priority="176">
      <formula>X$9&gt;=20/24</formula>
    </cfRule>
    <cfRule type="expression" dxfId="715" priority="177">
      <formula>AND(X$9&gt;=14/24,X$9&lt;20/24)</formula>
    </cfRule>
  </conditionalFormatting>
  <conditionalFormatting sqref="AB8">
    <cfRule type="expression" dxfId="714" priority="209">
      <formula>AD$9&gt;=20/24</formula>
    </cfRule>
    <cfRule type="expression" dxfId="713" priority="210">
      <formula>AND(AD$9&gt;=14/24,AD$9&lt;20/24)</formula>
    </cfRule>
    <cfRule type="expression" dxfId="712" priority="211">
      <formula>AND(AD$9&gt;=8/24,AD$9&lt;14/24)</formula>
    </cfRule>
    <cfRule type="expression" dxfId="711" priority="212">
      <formula>AD$9&lt;8/24</formula>
    </cfRule>
  </conditionalFormatting>
  <conditionalFormatting sqref="AG44 AG61:AG62 AG66">
    <cfRule type="expression" dxfId="710" priority="166">
      <formula>AG44&gt;$AG44</formula>
    </cfRule>
  </conditionalFormatting>
  <conditionalFormatting sqref="AG48">
    <cfRule type="expression" dxfId="709" priority="147">
      <formula>AG$9&gt;=20/24</formula>
    </cfRule>
    <cfRule type="expression" dxfId="708" priority="150">
      <formula>AG$9&lt;8/24</formula>
    </cfRule>
    <cfRule type="expression" dxfId="707" priority="149">
      <formula>AND(AG$9&gt;=8/24,AG$9&lt;14/24)</formula>
    </cfRule>
    <cfRule type="expression" dxfId="706" priority="148">
      <formula>AND(AG$9&gt;=14/24,AG$9&lt;20/24)</formula>
    </cfRule>
    <cfRule type="expression" dxfId="705" priority="146">
      <formula>AG48&gt;$AG48</formula>
    </cfRule>
  </conditionalFormatting>
  <conditionalFormatting sqref="AG66 AG83">
    <cfRule type="expression" dxfId="704" priority="167">
      <formula>AG$9&gt;=20/24</formula>
    </cfRule>
    <cfRule type="expression" dxfId="703" priority="168">
      <formula>AND(AG$9&gt;=14/24,AG$9&lt;20/24)</formula>
    </cfRule>
    <cfRule type="expression" dxfId="702" priority="170">
      <formula>AG$9&lt;8/24</formula>
    </cfRule>
    <cfRule type="expression" dxfId="701" priority="169">
      <formula>AND(AG$9&gt;=8/24,AG$9&lt;14/24)</formula>
    </cfRule>
  </conditionalFormatting>
  <conditionalFormatting sqref="AG241">
    <cfRule type="expression" dxfId="700" priority="246">
      <formula>AND(B$9&gt;=14/24,B$9&lt;20/24)</formula>
    </cfRule>
    <cfRule type="expression" dxfId="699" priority="247">
      <formula>AND(B$9&gt;=8/24,B$9&lt;14/24)</formula>
    </cfRule>
    <cfRule type="expression" dxfId="698" priority="248">
      <formula>B$9&lt;8/24</formula>
    </cfRule>
    <cfRule type="expression" dxfId="697" priority="245">
      <formula>B$9&gt;=20/24</formula>
    </cfRule>
  </conditionalFormatting>
  <conditionalFormatting sqref="AH241:AX241">
    <cfRule type="expression" dxfId="696" priority="249">
      <formula>AG$9&gt;=20/24</formula>
    </cfRule>
    <cfRule type="expression" dxfId="695" priority="250">
      <formula>AND(AG$9&gt;=14/24,AG$9&lt;20/24)</formula>
    </cfRule>
    <cfRule type="expression" dxfId="694" priority="251">
      <formula>AND(AG$9&gt;=8/24,AG$9&lt;14/24)</formula>
    </cfRule>
    <cfRule type="expression" dxfId="693" priority="252">
      <formula>AG$9&lt;8/24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692" priority="258">
      <formula>AJ$9&gt;=20/24</formula>
    </cfRule>
    <cfRule type="expression" dxfId="691" priority="259">
      <formula>AND(AJ$9&gt;=14/24,AJ$9&lt;20/24)</formula>
    </cfRule>
    <cfRule type="expression" dxfId="690" priority="260">
      <formula>AND(AJ$9&gt;=8/24,AJ$9&lt;14/24)</formula>
    </cfRule>
    <cfRule type="expression" dxfId="689" priority="261">
      <formula>AJ$9&lt;8/24</formula>
    </cfRule>
  </conditionalFormatting>
  <conditionalFormatting sqref="AL74:AN74 AL80:AN80">
    <cfRule type="expression" dxfId="688" priority="8">
      <formula>AL$9&lt;8/24</formula>
    </cfRule>
    <cfRule type="expression" dxfId="687" priority="7">
      <formula>AND(AL$9&gt;=8/24,AL$9&lt;14/24)</formula>
    </cfRule>
    <cfRule type="expression" dxfId="686" priority="6">
      <formula>AND(AL$9&gt;=14/24,AL$9&lt;20/24)</formula>
    </cfRule>
    <cfRule type="expression" dxfId="685" priority="5">
      <formula>AL$9&gt;=20/24</formula>
    </cfRule>
  </conditionalFormatting>
  <conditionalFormatting sqref="AN75:AN78">
    <cfRule type="expression" dxfId="684" priority="4">
      <formula>AN$9&lt;8/24</formula>
    </cfRule>
    <cfRule type="expression" dxfId="683" priority="3">
      <formula>AND(AN$9&gt;=8/24,AN$9&lt;14/24)</formula>
    </cfRule>
    <cfRule type="expression" dxfId="682" priority="2">
      <formula>AND(AN$9&gt;=14/24,AN$9&lt;20/24)</formula>
    </cfRule>
    <cfRule type="expression" dxfId="681" priority="1">
      <formula>AN$9&gt;=20/24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8" id="{353B947C-4B72-4B2D-A5B3-310AF6E622E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7" id="{BF050BCE-5C33-4DA1-A618-4FF01B02644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6" id="{C97F7ADA-6FC2-4A78-8509-25EA41F9E04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9" id="{FAE421A2-266F-4D30-8382-2C1B7561EB0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3" id="{976E107B-064F-4DFF-901A-DE4CA6095A2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ADF00E0F-12BA-4EFC-AA72-4AB50608F32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1" id="{65C2C4A2-45F0-43C9-85F1-A071AA5AFE9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0" id="{6D8D7B5C-D31D-4EEA-89D1-04EEEBF02D9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4" id="{D58970D0-434A-45E5-9B46-87F4AFD040D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FF783058-E748-4E98-8EA3-28554505CE1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1B56722E-12B8-47F2-9652-E14C2ED9C34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7679ED2C-7B47-4EAE-8DA9-E4FD63C20C2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274"/>
  <sheetViews>
    <sheetView topLeftCell="A43" workbookViewId="0">
      <selection activeCell="AF52" sqref="AF5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2079/09/11</v>
      </c>
      <c r="C4" s="197"/>
      <c r="D4" s="197"/>
      <c r="E4" s="198" t="str">
        <f ca="1">"2079/"&amp;"09/"&amp;INT(MID(CELL("filename",G6),FIND("]",CELL("filename",G6))+1,200))</f>
        <v>2079/09/11</v>
      </c>
      <c r="F4" s="198"/>
      <c r="G4" s="198"/>
      <c r="H4" s="198" t="str">
        <f ca="1">TEXT(E4,"dddd")</f>
        <v>Monday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221</v>
      </c>
      <c r="C5" s="30">
        <f t="shared" si="0"/>
        <v>172</v>
      </c>
      <c r="D5" s="30">
        <f t="shared" si="0"/>
        <v>173.9</v>
      </c>
      <c r="E5" s="30">
        <f t="shared" si="0"/>
        <v>172.7</v>
      </c>
      <c r="F5" s="30">
        <f t="shared" si="0"/>
        <v>175.7</v>
      </c>
      <c r="G5" s="30">
        <f t="shared" si="0"/>
        <v>170.5</v>
      </c>
      <c r="H5" s="30">
        <f t="shared" si="0"/>
        <v>170.9</v>
      </c>
      <c r="I5" s="30">
        <f t="shared" si="0"/>
        <v>180.7</v>
      </c>
      <c r="J5" s="30">
        <f t="shared" si="0"/>
        <v>128.9</v>
      </c>
      <c r="K5" s="30">
        <f t="shared" si="0"/>
        <v>66.5</v>
      </c>
      <c r="L5" s="30">
        <f t="shared" si="0"/>
        <v>76.400000000000006</v>
      </c>
      <c r="M5" s="30">
        <f t="shared" si="0"/>
        <v>148</v>
      </c>
      <c r="N5" s="30">
        <f t="shared" si="0"/>
        <v>275.10000000000002</v>
      </c>
      <c r="O5" s="30">
        <f t="shared" si="0"/>
        <v>296.89999999999998</v>
      </c>
      <c r="P5" s="30">
        <f t="shared" si="0"/>
        <v>366.85500000000002</v>
      </c>
      <c r="Q5" s="30">
        <f t="shared" si="0"/>
        <v>362.8</v>
      </c>
      <c r="R5" s="30">
        <f t="shared" si="0"/>
        <v>363.59999999999997</v>
      </c>
      <c r="S5" s="30">
        <f t="shared" si="0"/>
        <v>364.5</v>
      </c>
      <c r="T5" s="30">
        <f t="shared" si="0"/>
        <v>370</v>
      </c>
      <c r="U5" s="30">
        <f t="shared" si="0"/>
        <v>204.1</v>
      </c>
      <c r="V5" s="30">
        <f t="shared" si="0"/>
        <v>136.19999999999999</v>
      </c>
      <c r="W5" s="30">
        <f t="shared" si="0"/>
        <v>151.6</v>
      </c>
      <c r="X5" s="30">
        <f t="shared" si="0"/>
        <v>69.900000000000006</v>
      </c>
      <c r="Y5" s="30">
        <f t="shared" si="0"/>
        <v>64.2</v>
      </c>
      <c r="Z5" s="30">
        <f t="shared" si="0"/>
        <v>64.2</v>
      </c>
      <c r="AA5" s="30">
        <f t="shared" si="0"/>
        <v>192.4</v>
      </c>
      <c r="AB5" s="30">
        <f t="shared" si="0"/>
        <v>192.4</v>
      </c>
      <c r="AC5" s="30">
        <f t="shared" si="0"/>
        <v>173</v>
      </c>
      <c r="AD5" s="30">
        <f t="shared" si="0"/>
        <v>191</v>
      </c>
      <c r="AE5" s="30">
        <f t="shared" si="0"/>
        <v>197.8</v>
      </c>
      <c r="AF5" s="30">
        <f>B78</f>
        <v>269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1658MW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Load=985</v>
      </c>
      <c r="B7" s="35">
        <f t="shared" ref="B7:AF7" si="1">B85</f>
        <v>1082.6399999999999</v>
      </c>
      <c r="C7" s="35">
        <f t="shared" si="1"/>
        <v>1022.24</v>
      </c>
      <c r="D7" s="35">
        <f t="shared" si="1"/>
        <v>984.74</v>
      </c>
      <c r="E7" s="35">
        <f t="shared" si="1"/>
        <v>1000.5399999999998</v>
      </c>
      <c r="F7" s="35">
        <f t="shared" si="1"/>
        <v>993.24</v>
      </c>
      <c r="G7" s="35">
        <f t="shared" si="1"/>
        <v>1030.74</v>
      </c>
      <c r="H7" s="35">
        <f t="shared" si="1"/>
        <v>1135.3400000000001</v>
      </c>
      <c r="I7" s="35">
        <f t="shared" si="1"/>
        <v>1225.0400000000002</v>
      </c>
      <c r="J7" s="35">
        <f t="shared" si="1"/>
        <v>1334.84</v>
      </c>
      <c r="K7" s="35">
        <f t="shared" si="1"/>
        <v>1416.2400000000002</v>
      </c>
      <c r="L7" s="35">
        <f t="shared" si="1"/>
        <v>1657.5400000000002</v>
      </c>
      <c r="M7" s="35">
        <f t="shared" si="1"/>
        <v>1637.74</v>
      </c>
      <c r="N7" s="35">
        <f>N85</f>
        <v>1603.34</v>
      </c>
      <c r="O7" s="35">
        <f t="shared" si="1"/>
        <v>1480.7400000000002</v>
      </c>
      <c r="P7" s="35">
        <f t="shared" si="1"/>
        <v>1408.04</v>
      </c>
      <c r="Q7" s="35">
        <f t="shared" si="1"/>
        <v>1309.8850000000002</v>
      </c>
      <c r="R7" s="35">
        <f t="shared" si="1"/>
        <v>1273.04</v>
      </c>
      <c r="S7" s="35">
        <f t="shared" si="1"/>
        <v>1288.74</v>
      </c>
      <c r="T7" s="35">
        <f t="shared" si="1"/>
        <v>1321.6399999999999</v>
      </c>
      <c r="U7" s="35">
        <f t="shared" si="1"/>
        <v>1332.8400000000001</v>
      </c>
      <c r="V7" s="35">
        <f t="shared" si="1"/>
        <v>1372.7400000000002</v>
      </c>
      <c r="W7" s="35">
        <f t="shared" si="1"/>
        <v>1529.0400000000002</v>
      </c>
      <c r="X7" s="35">
        <f t="shared" si="1"/>
        <v>1704.6399999999999</v>
      </c>
      <c r="Y7" s="35">
        <f t="shared" si="1"/>
        <v>1558.4400000000003</v>
      </c>
      <c r="Z7" s="35">
        <f t="shared" si="1"/>
        <v>1477.94</v>
      </c>
      <c r="AA7" s="35">
        <f t="shared" si="1"/>
        <v>1432.44</v>
      </c>
      <c r="AB7" s="35">
        <f t="shared" si="1"/>
        <v>1378.44</v>
      </c>
      <c r="AC7" s="35">
        <f t="shared" si="1"/>
        <v>1378.44</v>
      </c>
      <c r="AD7" s="35">
        <f t="shared" si="1"/>
        <v>1230.54</v>
      </c>
      <c r="AE7" s="35">
        <f t="shared" si="1"/>
        <v>1136.94</v>
      </c>
      <c r="AF7" s="35">
        <f t="shared" si="1"/>
        <v>1037.8400000000001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26</v>
      </c>
      <c r="C11" s="45">
        <v>25.9</v>
      </c>
      <c r="D11" s="45">
        <v>23.4</v>
      </c>
      <c r="E11" s="45">
        <v>25.6</v>
      </c>
      <c r="F11" s="45">
        <v>24.6</v>
      </c>
      <c r="G11" s="45">
        <v>24.6</v>
      </c>
      <c r="H11" s="45">
        <v>23.6</v>
      </c>
      <c r="I11" s="45">
        <v>23.6</v>
      </c>
      <c r="J11" s="45">
        <v>23.6</v>
      </c>
      <c r="K11" s="45">
        <v>26.7</v>
      </c>
      <c r="L11" s="45">
        <v>23.7</v>
      </c>
      <c r="M11" s="45">
        <v>23.7</v>
      </c>
      <c r="N11" s="45">
        <v>23.7</v>
      </c>
      <c r="O11" s="45">
        <v>23.7</v>
      </c>
      <c r="P11" s="45">
        <v>23.7</v>
      </c>
      <c r="Q11" s="45">
        <v>23.7</v>
      </c>
      <c r="R11" s="45">
        <v>23.7</v>
      </c>
      <c r="S11" s="45">
        <v>23.7</v>
      </c>
      <c r="T11" s="45">
        <v>23</v>
      </c>
      <c r="U11" s="45">
        <v>23</v>
      </c>
      <c r="V11" s="45">
        <v>25</v>
      </c>
      <c r="W11" s="45">
        <v>25.5</v>
      </c>
      <c r="X11" s="45">
        <v>25.4</v>
      </c>
      <c r="Y11" s="45">
        <v>24.2</v>
      </c>
      <c r="Z11" s="45">
        <v>24.2</v>
      </c>
      <c r="AA11" s="45">
        <v>24.2</v>
      </c>
      <c r="AB11" s="45">
        <v>24</v>
      </c>
      <c r="AC11" s="45">
        <v>24</v>
      </c>
      <c r="AD11" s="45">
        <v>24</v>
      </c>
      <c r="AE11" s="45">
        <v>24</v>
      </c>
      <c r="AF11" s="45">
        <v>24</v>
      </c>
      <c r="AG11" s="47">
        <v>52.4</v>
      </c>
      <c r="AH11" s="48">
        <f t="shared" ref="AH11:AH74" si="2">MAX(B11:AF11)</f>
        <v>26.7</v>
      </c>
      <c r="AI11" s="49">
        <f t="shared" ref="AI11:AI74" si="3">MIN(B11:AF11)</f>
        <v>23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45.7</v>
      </c>
      <c r="C12" s="45">
        <v>47.4</v>
      </c>
      <c r="D12" s="45">
        <v>47.4</v>
      </c>
      <c r="E12" s="45">
        <v>47.4</v>
      </c>
      <c r="F12" s="45">
        <v>47.4</v>
      </c>
      <c r="G12" s="45">
        <v>47.4</v>
      </c>
      <c r="H12" s="45">
        <v>47.4</v>
      </c>
      <c r="I12" s="45">
        <v>47.4</v>
      </c>
      <c r="J12" s="45">
        <v>47.4</v>
      </c>
      <c r="K12" s="45">
        <v>47.4</v>
      </c>
      <c r="L12" s="45">
        <v>47.4</v>
      </c>
      <c r="M12" s="45">
        <v>47.4</v>
      </c>
      <c r="N12" s="45">
        <v>47.4</v>
      </c>
      <c r="O12" s="45">
        <v>47.4</v>
      </c>
      <c r="P12" s="45">
        <v>47.4</v>
      </c>
      <c r="Q12" s="45">
        <v>47.4</v>
      </c>
      <c r="R12" s="45">
        <v>47.4</v>
      </c>
      <c r="S12" s="45">
        <v>47.4</v>
      </c>
      <c r="T12" s="45">
        <v>47.3</v>
      </c>
      <c r="U12" s="45">
        <v>47.3</v>
      </c>
      <c r="V12" s="45">
        <v>47.1</v>
      </c>
      <c r="W12" s="45">
        <v>46.9</v>
      </c>
      <c r="X12" s="45">
        <v>46.9</v>
      </c>
      <c r="Y12" s="45">
        <v>46.7</v>
      </c>
      <c r="Z12" s="45">
        <v>46.7</v>
      </c>
      <c r="AA12" s="45">
        <v>46.7</v>
      </c>
      <c r="AB12" s="45">
        <v>46.7</v>
      </c>
      <c r="AC12" s="45">
        <v>46.7</v>
      </c>
      <c r="AD12" s="45">
        <v>46.7</v>
      </c>
      <c r="AE12" s="45">
        <v>46.7</v>
      </c>
      <c r="AF12" s="45">
        <v>45</v>
      </c>
      <c r="AG12" s="51">
        <v>50</v>
      </c>
      <c r="AH12" s="48">
        <f t="shared" si="2"/>
        <v>47.4</v>
      </c>
      <c r="AI12" s="49">
        <f t="shared" si="3"/>
        <v>45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24.8</v>
      </c>
      <c r="C13" s="45">
        <v>24.8</v>
      </c>
      <c r="D13" s="45">
        <v>24.8</v>
      </c>
      <c r="E13" s="45">
        <v>24.8</v>
      </c>
      <c r="F13" s="45">
        <v>24.8</v>
      </c>
      <c r="G13" s="45">
        <v>24.8</v>
      </c>
      <c r="H13" s="45">
        <v>24.8</v>
      </c>
      <c r="I13" s="45">
        <v>24.8</v>
      </c>
      <c r="J13" s="45">
        <v>24.8</v>
      </c>
      <c r="K13" s="45">
        <v>24.8</v>
      </c>
      <c r="L13" s="45">
        <v>24.8</v>
      </c>
      <c r="M13" s="45">
        <v>24.8</v>
      </c>
      <c r="N13" s="45">
        <v>24.8</v>
      </c>
      <c r="O13" s="45">
        <v>24.8</v>
      </c>
      <c r="P13" s="45">
        <v>24.8</v>
      </c>
      <c r="Q13" s="45">
        <v>24.8</v>
      </c>
      <c r="R13" s="45">
        <v>24.8</v>
      </c>
      <c r="S13" s="45">
        <v>24.8</v>
      </c>
      <c r="T13" s="45">
        <v>23</v>
      </c>
      <c r="U13" s="45">
        <v>23</v>
      </c>
      <c r="V13" s="45">
        <v>24.3</v>
      </c>
      <c r="W13" s="45">
        <v>24.3</v>
      </c>
      <c r="X13" s="45">
        <v>24.7</v>
      </c>
      <c r="Y13" s="45">
        <v>24.2</v>
      </c>
      <c r="Z13" s="45">
        <v>24.4</v>
      </c>
      <c r="AA13" s="45">
        <v>24.4</v>
      </c>
      <c r="AB13" s="45">
        <v>24.4</v>
      </c>
      <c r="AC13" s="45">
        <v>24.4</v>
      </c>
      <c r="AD13" s="45">
        <v>24.4</v>
      </c>
      <c r="AE13" s="45">
        <v>24.4</v>
      </c>
      <c r="AF13" s="45">
        <v>24.4</v>
      </c>
      <c r="AG13" s="51">
        <v>45</v>
      </c>
      <c r="AH13" s="48">
        <f t="shared" si="2"/>
        <v>24.8</v>
      </c>
      <c r="AI13" s="49">
        <f t="shared" si="3"/>
        <v>23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21</v>
      </c>
      <c r="C15" s="45">
        <v>21</v>
      </c>
      <c r="D15" s="45">
        <v>21</v>
      </c>
      <c r="E15" s="45">
        <v>21</v>
      </c>
      <c r="F15" s="45">
        <v>21</v>
      </c>
      <c r="G15" s="45">
        <v>21</v>
      </c>
      <c r="H15" s="45">
        <v>21</v>
      </c>
      <c r="I15" s="45">
        <v>21</v>
      </c>
      <c r="J15" s="45">
        <v>21</v>
      </c>
      <c r="K15" s="45">
        <v>21</v>
      </c>
      <c r="L15" s="45">
        <v>21</v>
      </c>
      <c r="M15" s="45">
        <v>21</v>
      </c>
      <c r="N15" s="45">
        <v>21</v>
      </c>
      <c r="O15" s="45">
        <v>21</v>
      </c>
      <c r="P15" s="45">
        <v>21</v>
      </c>
      <c r="Q15" s="45">
        <v>21</v>
      </c>
      <c r="R15" s="45">
        <v>21</v>
      </c>
      <c r="S15" s="45">
        <v>21</v>
      </c>
      <c r="T15" s="45">
        <v>21</v>
      </c>
      <c r="U15" s="45">
        <v>21</v>
      </c>
      <c r="V15" s="45">
        <v>21</v>
      </c>
      <c r="W15" s="45">
        <v>21</v>
      </c>
      <c r="X15" s="45">
        <v>21</v>
      </c>
      <c r="Y15" s="45">
        <v>21</v>
      </c>
      <c r="Z15" s="45">
        <v>21</v>
      </c>
      <c r="AA15" s="45">
        <v>21</v>
      </c>
      <c r="AB15" s="45">
        <v>21</v>
      </c>
      <c r="AC15" s="45">
        <v>21</v>
      </c>
      <c r="AD15" s="45">
        <v>21</v>
      </c>
      <c r="AE15" s="45">
        <v>21</v>
      </c>
      <c r="AF15" s="45">
        <v>21</v>
      </c>
      <c r="AG15" s="51">
        <v>36</v>
      </c>
      <c r="AH15" s="48">
        <f t="shared" si="2"/>
        <v>21</v>
      </c>
      <c r="AI15" s="49">
        <f t="shared" si="3"/>
        <v>21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12</v>
      </c>
      <c r="C16" s="45">
        <v>12</v>
      </c>
      <c r="D16" s="45">
        <v>12</v>
      </c>
      <c r="E16" s="45">
        <v>12</v>
      </c>
      <c r="F16" s="45">
        <v>12</v>
      </c>
      <c r="G16" s="45">
        <v>12</v>
      </c>
      <c r="H16" s="45">
        <v>12</v>
      </c>
      <c r="I16" s="45">
        <v>12</v>
      </c>
      <c r="J16" s="45">
        <v>12</v>
      </c>
      <c r="K16" s="45">
        <v>12</v>
      </c>
      <c r="L16" s="45">
        <v>12</v>
      </c>
      <c r="M16" s="45">
        <v>12</v>
      </c>
      <c r="N16" s="45">
        <v>12</v>
      </c>
      <c r="O16" s="45">
        <v>12</v>
      </c>
      <c r="P16" s="45">
        <v>12</v>
      </c>
      <c r="Q16" s="45">
        <v>12</v>
      </c>
      <c r="R16" s="45">
        <v>12</v>
      </c>
      <c r="S16" s="45">
        <v>12</v>
      </c>
      <c r="T16" s="45">
        <v>12</v>
      </c>
      <c r="U16" s="45">
        <v>12</v>
      </c>
      <c r="V16" s="45">
        <v>12</v>
      </c>
      <c r="W16" s="45">
        <v>12</v>
      </c>
      <c r="X16" s="45">
        <v>12</v>
      </c>
      <c r="Y16" s="45">
        <v>12</v>
      </c>
      <c r="Z16" s="45">
        <v>12</v>
      </c>
      <c r="AA16" s="45">
        <v>12</v>
      </c>
      <c r="AB16" s="45">
        <v>12</v>
      </c>
      <c r="AC16" s="45">
        <v>12</v>
      </c>
      <c r="AD16" s="45">
        <v>12</v>
      </c>
      <c r="AE16" s="45">
        <v>12</v>
      </c>
      <c r="AF16" s="45">
        <v>12</v>
      </c>
      <c r="AG16" s="52">
        <v>30</v>
      </c>
      <c r="AH16" s="48">
        <f t="shared" si="2"/>
        <v>12</v>
      </c>
      <c r="AI16" s="49">
        <f t="shared" si="3"/>
        <v>12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11.1</v>
      </c>
      <c r="C17" s="45">
        <v>11.1</v>
      </c>
      <c r="D17" s="45">
        <v>11.1</v>
      </c>
      <c r="E17" s="45">
        <v>11.1</v>
      </c>
      <c r="F17" s="45">
        <v>11.1</v>
      </c>
      <c r="G17" s="45">
        <v>11.1</v>
      </c>
      <c r="H17" s="45">
        <v>11.1</v>
      </c>
      <c r="I17" s="45">
        <v>11.1</v>
      </c>
      <c r="J17" s="45">
        <v>11.1</v>
      </c>
      <c r="K17" s="45">
        <v>11.1</v>
      </c>
      <c r="L17" s="45">
        <v>11.1</v>
      </c>
      <c r="M17" s="45">
        <v>11.1</v>
      </c>
      <c r="N17" s="45">
        <v>11.1</v>
      </c>
      <c r="O17" s="45">
        <v>11.1</v>
      </c>
      <c r="P17" s="45">
        <v>11.1</v>
      </c>
      <c r="Q17" s="45">
        <v>11.1</v>
      </c>
      <c r="R17" s="45">
        <v>11.1</v>
      </c>
      <c r="S17" s="45">
        <v>11.1</v>
      </c>
      <c r="T17" s="45">
        <v>11.1</v>
      </c>
      <c r="U17" s="45">
        <v>11.1</v>
      </c>
      <c r="V17" s="45">
        <v>11.1</v>
      </c>
      <c r="W17" s="45">
        <v>11.1</v>
      </c>
      <c r="X17" s="45">
        <v>11.1</v>
      </c>
      <c r="Y17" s="45">
        <v>11.1</v>
      </c>
      <c r="Z17" s="45">
        <v>11.1</v>
      </c>
      <c r="AA17" s="45">
        <v>11.1</v>
      </c>
      <c r="AB17" s="45">
        <v>11.1</v>
      </c>
      <c r="AC17" s="45">
        <v>11.1</v>
      </c>
      <c r="AD17" s="45">
        <v>11.1</v>
      </c>
      <c r="AE17" s="45">
        <v>11.1</v>
      </c>
      <c r="AF17" s="45">
        <v>11.1</v>
      </c>
      <c r="AG17" s="51">
        <v>24.2</v>
      </c>
      <c r="AH17" s="48">
        <f t="shared" si="2"/>
        <v>11.1</v>
      </c>
      <c r="AI17" s="49">
        <f t="shared" si="3"/>
        <v>11.1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</v>
      </c>
      <c r="C20" s="45">
        <v>13</v>
      </c>
      <c r="D20" s="45">
        <v>13</v>
      </c>
      <c r="E20" s="45">
        <v>13</v>
      </c>
      <c r="F20" s="45">
        <v>13</v>
      </c>
      <c r="G20" s="45">
        <v>13</v>
      </c>
      <c r="H20" s="45">
        <v>13</v>
      </c>
      <c r="I20" s="45">
        <v>13</v>
      </c>
      <c r="J20" s="45">
        <v>13</v>
      </c>
      <c r="K20" s="45">
        <v>13</v>
      </c>
      <c r="L20" s="45">
        <v>13</v>
      </c>
      <c r="M20" s="45">
        <v>13</v>
      </c>
      <c r="N20" s="45">
        <v>13</v>
      </c>
      <c r="O20" s="45">
        <v>13</v>
      </c>
      <c r="P20" s="45">
        <v>13</v>
      </c>
      <c r="Q20" s="45">
        <v>13</v>
      </c>
      <c r="R20" s="45">
        <v>13</v>
      </c>
      <c r="S20" s="45">
        <v>13</v>
      </c>
      <c r="T20" s="45">
        <v>13</v>
      </c>
      <c r="U20" s="45">
        <v>13</v>
      </c>
      <c r="V20" s="45">
        <v>13</v>
      </c>
      <c r="W20" s="45">
        <v>13</v>
      </c>
      <c r="X20" s="45">
        <v>13</v>
      </c>
      <c r="Y20" s="45">
        <v>13</v>
      </c>
      <c r="Z20" s="45">
        <v>13</v>
      </c>
      <c r="AA20" s="45">
        <v>13</v>
      </c>
      <c r="AB20" s="45">
        <v>13</v>
      </c>
      <c r="AC20" s="45">
        <v>13</v>
      </c>
      <c r="AD20" s="45">
        <v>13</v>
      </c>
      <c r="AE20" s="45">
        <v>13</v>
      </c>
      <c r="AF20" s="45">
        <v>13</v>
      </c>
      <c r="AG20" s="51">
        <v>25</v>
      </c>
      <c r="AH20" s="48">
        <f t="shared" si="2"/>
        <v>13</v>
      </c>
      <c r="AI20" s="49">
        <f t="shared" si="3"/>
        <v>13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11</v>
      </c>
      <c r="C24" s="45">
        <v>11</v>
      </c>
      <c r="D24" s="45">
        <v>11</v>
      </c>
      <c r="E24" s="45">
        <v>11</v>
      </c>
      <c r="F24" s="45">
        <v>11</v>
      </c>
      <c r="G24" s="45">
        <v>11</v>
      </c>
      <c r="H24" s="45">
        <v>11</v>
      </c>
      <c r="I24" s="45">
        <v>11</v>
      </c>
      <c r="J24" s="45">
        <v>11</v>
      </c>
      <c r="K24" s="45">
        <v>11</v>
      </c>
      <c r="L24" s="45">
        <v>11</v>
      </c>
      <c r="M24" s="45">
        <v>11</v>
      </c>
      <c r="N24" s="45">
        <v>11</v>
      </c>
      <c r="O24" s="45">
        <v>11</v>
      </c>
      <c r="P24" s="45">
        <v>11</v>
      </c>
      <c r="Q24" s="45">
        <v>11</v>
      </c>
      <c r="R24" s="45">
        <v>11</v>
      </c>
      <c r="S24" s="45">
        <v>11</v>
      </c>
      <c r="T24" s="45">
        <v>11</v>
      </c>
      <c r="U24" s="45">
        <v>11</v>
      </c>
      <c r="V24" s="45">
        <v>11</v>
      </c>
      <c r="W24" s="45">
        <v>11</v>
      </c>
      <c r="X24" s="45">
        <v>11</v>
      </c>
      <c r="Y24" s="45">
        <v>11</v>
      </c>
      <c r="Z24" s="45">
        <v>11</v>
      </c>
      <c r="AA24" s="45">
        <v>11</v>
      </c>
      <c r="AB24" s="45">
        <v>11</v>
      </c>
      <c r="AC24" s="45">
        <v>11</v>
      </c>
      <c r="AD24" s="45">
        <v>11</v>
      </c>
      <c r="AE24" s="45">
        <v>11</v>
      </c>
      <c r="AF24" s="45">
        <v>11</v>
      </c>
      <c r="AG24" s="51">
        <v>23.5</v>
      </c>
      <c r="AH24" s="48">
        <f t="shared" si="2"/>
        <v>11</v>
      </c>
      <c r="AI24" s="49">
        <f t="shared" si="3"/>
        <v>11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55">
        <v>10</v>
      </c>
      <c r="AH40" s="48">
        <f t="shared" si="2"/>
        <v>6</v>
      </c>
      <c r="AI40" s="49">
        <f t="shared" si="3"/>
        <v>0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1</v>
      </c>
      <c r="N41" s="45">
        <v>1</v>
      </c>
      <c r="O41" s="45">
        <v>1</v>
      </c>
      <c r="P41" s="45">
        <v>1</v>
      </c>
      <c r="Q41" s="45">
        <v>1</v>
      </c>
      <c r="R41" s="45">
        <v>1</v>
      </c>
      <c r="S41" s="45">
        <v>1</v>
      </c>
      <c r="T41" s="45">
        <v>1</v>
      </c>
      <c r="U41" s="45">
        <v>1</v>
      </c>
      <c r="V41" s="45">
        <v>1</v>
      </c>
      <c r="W41" s="45">
        <v>1</v>
      </c>
      <c r="X41" s="45">
        <v>1</v>
      </c>
      <c r="Y41" s="45">
        <v>1</v>
      </c>
      <c r="Z41" s="45">
        <v>1</v>
      </c>
      <c r="AA41" s="45">
        <v>1</v>
      </c>
      <c r="AB41" s="45">
        <v>1</v>
      </c>
      <c r="AC41" s="45">
        <v>1</v>
      </c>
      <c r="AD41" s="45">
        <v>1</v>
      </c>
      <c r="AE41" s="45">
        <v>1</v>
      </c>
      <c r="AF41" s="45">
        <v>1</v>
      </c>
      <c r="AG41" s="55">
        <v>10</v>
      </c>
      <c r="AH41" s="48">
        <f t="shared" si="2"/>
        <v>1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200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si="2"/>
        <v>200</v>
      </c>
      <c r="AI42" s="49">
        <f t="shared" si="3"/>
        <v>200</v>
      </c>
      <c r="AK42" s="50"/>
    </row>
    <row r="43" spans="1:88" ht="15.75" thickBot="1" x14ac:dyDescent="0.3">
      <c r="A43" s="58" t="s">
        <v>51</v>
      </c>
      <c r="B43" s="59">
        <f>28.1+26.9</f>
        <v>55</v>
      </c>
      <c r="C43" s="59">
        <v>55</v>
      </c>
      <c r="D43" s="59">
        <v>56</v>
      </c>
      <c r="E43" s="59">
        <f>29.5+27.7</f>
        <v>57.2</v>
      </c>
      <c r="F43" s="59">
        <f>26.2+27.7</f>
        <v>53.9</v>
      </c>
      <c r="G43" s="59">
        <f>29.5+26.9</f>
        <v>56.4</v>
      </c>
      <c r="H43" s="59">
        <f>29.5+26.9</f>
        <v>56.4</v>
      </c>
      <c r="I43" s="59">
        <f>28.5+26.6</f>
        <v>55.1</v>
      </c>
      <c r="J43" s="59">
        <f>28.5+26.6</f>
        <v>55.1</v>
      </c>
      <c r="K43" s="59">
        <f>29.5+27</f>
        <v>56.5</v>
      </c>
      <c r="L43" s="59">
        <f>26.3+26.4</f>
        <v>52.7</v>
      </c>
      <c r="M43" s="59">
        <f>24.8+28.2</f>
        <v>53</v>
      </c>
      <c r="N43" s="59">
        <f>25.1+29</f>
        <v>54.1</v>
      </c>
      <c r="O43" s="59">
        <f>26+30.4</f>
        <v>56.4</v>
      </c>
      <c r="P43" s="59">
        <v>55.5</v>
      </c>
      <c r="Q43" s="59">
        <v>56</v>
      </c>
      <c r="R43" s="59">
        <f>26.4+32.7</f>
        <v>59.1</v>
      </c>
      <c r="S43" s="59">
        <f>26.5+27.2</f>
        <v>53.7</v>
      </c>
      <c r="T43" s="59">
        <f>25.7+27.7</f>
        <v>53.4</v>
      </c>
      <c r="U43" s="59">
        <f>25.7+27.7</f>
        <v>53.4</v>
      </c>
      <c r="V43" s="59">
        <f>23.6+29.5</f>
        <v>53.1</v>
      </c>
      <c r="W43" s="59">
        <f>22.8+27.9</f>
        <v>50.7</v>
      </c>
      <c r="X43" s="57">
        <v>50.2</v>
      </c>
      <c r="Y43" s="57">
        <f>22.4+27.4</f>
        <v>49.8</v>
      </c>
      <c r="Z43" s="57">
        <f>22.4+27.8</f>
        <v>50.2</v>
      </c>
      <c r="AA43" s="57">
        <f>22.6+26.7</f>
        <v>49.3</v>
      </c>
      <c r="AB43" s="57">
        <v>49</v>
      </c>
      <c r="AC43" s="57">
        <v>49</v>
      </c>
      <c r="AD43" s="57">
        <v>48.5</v>
      </c>
      <c r="AE43" s="57">
        <f>26.1+24.7</f>
        <v>50.8</v>
      </c>
      <c r="AF43" s="57">
        <f>26.1+24.7</f>
        <v>50.8</v>
      </c>
      <c r="AG43" s="55">
        <v>240</v>
      </c>
      <c r="AH43" s="48">
        <f t="shared" si="2"/>
        <v>59.1</v>
      </c>
      <c r="AI43" s="49">
        <f t="shared" si="3"/>
        <v>48.5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558.79999999999995</v>
      </c>
      <c r="C44" s="61">
        <f t="shared" si="4"/>
        <v>560.4</v>
      </c>
      <c r="D44" s="61">
        <f t="shared" si="4"/>
        <v>557.9</v>
      </c>
      <c r="E44" s="61">
        <f t="shared" si="4"/>
        <v>560.09999999999991</v>
      </c>
      <c r="F44" s="61">
        <f t="shared" si="4"/>
        <v>559.09999999999991</v>
      </c>
      <c r="G44" s="61">
        <f t="shared" si="4"/>
        <v>559.09999999999991</v>
      </c>
      <c r="H44" s="61">
        <f t="shared" si="4"/>
        <v>558.09999999999991</v>
      </c>
      <c r="I44" s="61">
        <f t="shared" si="4"/>
        <v>558.09999999999991</v>
      </c>
      <c r="J44" s="61">
        <f t="shared" si="4"/>
        <v>558.09999999999991</v>
      </c>
      <c r="K44" s="61">
        <f t="shared" si="4"/>
        <v>561.20000000000005</v>
      </c>
      <c r="L44" s="61">
        <f t="shared" si="4"/>
        <v>558.20000000000005</v>
      </c>
      <c r="M44" s="61">
        <f t="shared" si="4"/>
        <v>559.20000000000005</v>
      </c>
      <c r="N44" s="61">
        <f t="shared" si="4"/>
        <v>559.20000000000005</v>
      </c>
      <c r="O44" s="61">
        <f t="shared" si="4"/>
        <v>553.20000000000005</v>
      </c>
      <c r="P44" s="61">
        <f t="shared" si="4"/>
        <v>553.20000000000005</v>
      </c>
      <c r="Q44" s="61">
        <f t="shared" si="4"/>
        <v>553.20000000000005</v>
      </c>
      <c r="R44" s="61">
        <f t="shared" si="4"/>
        <v>553.20000000000005</v>
      </c>
      <c r="S44" s="61">
        <f t="shared" si="4"/>
        <v>553.20000000000005</v>
      </c>
      <c r="T44" s="61">
        <f t="shared" si="4"/>
        <v>550.59999999999991</v>
      </c>
      <c r="U44" s="61">
        <f t="shared" si="4"/>
        <v>550.59999999999991</v>
      </c>
      <c r="V44" s="61">
        <f t="shared" si="4"/>
        <v>553.70000000000005</v>
      </c>
      <c r="W44" s="61">
        <f t="shared" si="4"/>
        <v>554</v>
      </c>
      <c r="X44" s="61">
        <v>554.29999999999995</v>
      </c>
      <c r="Y44" s="61">
        <f t="shared" si="4"/>
        <v>552.40000000000009</v>
      </c>
      <c r="Z44" s="61">
        <f t="shared" si="4"/>
        <v>552.59999999999991</v>
      </c>
      <c r="AA44" s="61">
        <f t="shared" si="4"/>
        <v>552.59999999999991</v>
      </c>
      <c r="AB44" s="61">
        <f t="shared" si="4"/>
        <v>552.4</v>
      </c>
      <c r="AC44" s="61">
        <f t="shared" si="4"/>
        <v>552.4</v>
      </c>
      <c r="AD44" s="61">
        <f t="shared" si="4"/>
        <v>552.4</v>
      </c>
      <c r="AE44" s="61">
        <f t="shared" si="4"/>
        <v>552.4</v>
      </c>
      <c r="AF44" s="61">
        <f t="shared" si="4"/>
        <v>550.70000000000005</v>
      </c>
      <c r="AG44" s="62">
        <f t="shared" si="4"/>
        <v>814.78000000000009</v>
      </c>
      <c r="AH44" s="48">
        <f t="shared" si="2"/>
        <v>561.20000000000005</v>
      </c>
      <c r="AI44" s="49">
        <f t="shared" si="3"/>
        <v>550.59999999999991</v>
      </c>
      <c r="AK44" s="50"/>
    </row>
    <row r="45" spans="1:88" x14ac:dyDescent="0.25">
      <c r="A45" s="63" t="s">
        <v>53</v>
      </c>
      <c r="B45" s="45">
        <v>15</v>
      </c>
      <c r="C45" s="45">
        <v>15</v>
      </c>
      <c r="D45" s="45">
        <v>15</v>
      </c>
      <c r="E45" s="45">
        <v>25</v>
      </c>
      <c r="F45" s="45">
        <v>20</v>
      </c>
      <c r="G45" s="45">
        <v>20</v>
      </c>
      <c r="H45" s="45">
        <v>50</v>
      </c>
      <c r="I45" s="45">
        <v>120</v>
      </c>
      <c r="J45" s="45">
        <v>250</v>
      </c>
      <c r="K45" s="45">
        <v>350</v>
      </c>
      <c r="L45" s="45">
        <v>435</v>
      </c>
      <c r="M45" s="164">
        <v>456</v>
      </c>
      <c r="N45" s="164">
        <v>350</v>
      </c>
      <c r="O45" s="45">
        <v>170</v>
      </c>
      <c r="P45" s="45">
        <v>115</v>
      </c>
      <c r="Q45" s="45">
        <v>15</v>
      </c>
      <c r="R45" s="45">
        <v>15</v>
      </c>
      <c r="S45" s="45">
        <v>30</v>
      </c>
      <c r="T45" s="45">
        <v>12</v>
      </c>
      <c r="U45" s="45">
        <v>13</v>
      </c>
      <c r="V45" s="45">
        <v>110</v>
      </c>
      <c r="W45" s="45">
        <v>300</v>
      </c>
      <c r="X45" s="45">
        <v>456</v>
      </c>
      <c r="Y45" s="45">
        <v>395</v>
      </c>
      <c r="Z45" s="45">
        <v>320</v>
      </c>
      <c r="AA45" s="45">
        <v>275</v>
      </c>
      <c r="AB45" s="45">
        <v>110</v>
      </c>
      <c r="AC45" s="45">
        <v>110</v>
      </c>
      <c r="AD45" s="45">
        <v>60</v>
      </c>
      <c r="AE45" s="45">
        <v>40</v>
      </c>
      <c r="AF45" s="45">
        <v>15</v>
      </c>
      <c r="AG45" s="52">
        <v>456</v>
      </c>
      <c r="AH45" s="48">
        <f t="shared" si="2"/>
        <v>456</v>
      </c>
      <c r="AI45" s="49">
        <f t="shared" si="3"/>
        <v>12</v>
      </c>
      <c r="AK45" s="50"/>
    </row>
    <row r="46" spans="1:88" x14ac:dyDescent="0.25">
      <c r="A46" s="64" t="s">
        <v>54</v>
      </c>
      <c r="B46" s="65">
        <v>47</v>
      </c>
      <c r="C46" s="65">
        <v>47</v>
      </c>
      <c r="D46" s="65">
        <v>47</v>
      </c>
      <c r="E46" s="65">
        <v>47</v>
      </c>
      <c r="F46" s="65">
        <v>47</v>
      </c>
      <c r="G46" s="65">
        <v>47</v>
      </c>
      <c r="H46" s="65">
        <v>47</v>
      </c>
      <c r="I46" s="65">
        <v>47</v>
      </c>
      <c r="J46" s="65">
        <v>47</v>
      </c>
      <c r="K46" s="65">
        <v>47</v>
      </c>
      <c r="L46" s="65">
        <v>47</v>
      </c>
      <c r="M46" s="65">
        <v>46</v>
      </c>
      <c r="N46" s="65">
        <v>46</v>
      </c>
      <c r="O46" s="65">
        <v>46</v>
      </c>
      <c r="P46" s="65">
        <v>46</v>
      </c>
      <c r="Q46" s="65">
        <v>46</v>
      </c>
      <c r="R46" s="65">
        <v>46</v>
      </c>
      <c r="S46" s="65">
        <v>46</v>
      </c>
      <c r="T46" s="65">
        <v>46</v>
      </c>
      <c r="U46" s="65">
        <v>46</v>
      </c>
      <c r="V46" s="65">
        <v>46</v>
      </c>
      <c r="W46" s="65">
        <v>46</v>
      </c>
      <c r="X46" s="65">
        <v>46</v>
      </c>
      <c r="Y46" s="65">
        <v>46</v>
      </c>
      <c r="Z46" s="65">
        <v>46</v>
      </c>
      <c r="AA46" s="65">
        <v>46</v>
      </c>
      <c r="AB46" s="65">
        <v>46</v>
      </c>
      <c r="AC46" s="65">
        <v>46</v>
      </c>
      <c r="AD46" s="65">
        <v>46</v>
      </c>
      <c r="AE46" s="65">
        <v>46</v>
      </c>
      <c r="AF46" s="65">
        <v>46</v>
      </c>
      <c r="AG46" s="55">
        <v>60</v>
      </c>
      <c r="AH46" s="48">
        <f t="shared" si="2"/>
        <v>47</v>
      </c>
      <c r="AI46" s="49">
        <f t="shared" si="3"/>
        <v>46</v>
      </c>
      <c r="AK46" s="50"/>
    </row>
    <row r="47" spans="1:88" ht="15.75" thickBot="1" x14ac:dyDescent="0.3">
      <c r="A47" s="66" t="s">
        <v>55</v>
      </c>
      <c r="B47" s="67">
        <v>16</v>
      </c>
      <c r="C47" s="67">
        <v>16</v>
      </c>
      <c r="D47" s="67">
        <v>16</v>
      </c>
      <c r="E47" s="67">
        <v>14.2</v>
      </c>
      <c r="F47" s="67">
        <v>14.1</v>
      </c>
      <c r="G47" s="67">
        <v>14.2</v>
      </c>
      <c r="H47" s="67">
        <v>14.2</v>
      </c>
      <c r="I47" s="67">
        <v>14.1</v>
      </c>
      <c r="J47" s="67">
        <v>14.1</v>
      </c>
      <c r="K47" s="67">
        <v>14.2</v>
      </c>
      <c r="L47" s="67">
        <v>14.2</v>
      </c>
      <c r="M47" s="67">
        <v>14.4</v>
      </c>
      <c r="N47" s="67">
        <v>14.4</v>
      </c>
      <c r="O47" s="67">
        <v>16.3</v>
      </c>
      <c r="P47" s="67">
        <v>13.7</v>
      </c>
      <c r="Q47" s="67">
        <v>13.74</v>
      </c>
      <c r="R47" s="67">
        <v>13.8</v>
      </c>
      <c r="S47" s="67">
        <v>13.7</v>
      </c>
      <c r="T47" s="67">
        <v>13.7</v>
      </c>
      <c r="U47" s="67">
        <v>13.7</v>
      </c>
      <c r="V47" s="67">
        <v>13.7</v>
      </c>
      <c r="W47" s="67">
        <v>13.7</v>
      </c>
      <c r="X47" s="67">
        <v>13.7</v>
      </c>
      <c r="Y47" s="67">
        <v>13.7</v>
      </c>
      <c r="Z47" s="67">
        <v>13.7</v>
      </c>
      <c r="AA47" s="67">
        <v>13.7</v>
      </c>
      <c r="AB47" s="67">
        <v>13.6</v>
      </c>
      <c r="AC47" s="67">
        <v>13.6</v>
      </c>
      <c r="AD47" s="67">
        <v>13.6</v>
      </c>
      <c r="AE47" s="67">
        <v>13.6</v>
      </c>
      <c r="AF47" s="67">
        <v>13.6</v>
      </c>
      <c r="AG47" s="68">
        <v>22.1</v>
      </c>
      <c r="AH47" s="48">
        <f t="shared" si="2"/>
        <v>16.3</v>
      </c>
      <c r="AI47" s="49">
        <f t="shared" si="3"/>
        <v>13.6</v>
      </c>
      <c r="AK47" s="50"/>
    </row>
    <row r="48" spans="1:88" ht="15.75" thickBot="1" x14ac:dyDescent="0.3">
      <c r="A48" s="69" t="s">
        <v>56</v>
      </c>
      <c r="B48" s="61">
        <f t="shared" ref="B48:AG48" si="5">SUM(B45:B47)</f>
        <v>78</v>
      </c>
      <c r="C48" s="61">
        <f t="shared" si="5"/>
        <v>78</v>
      </c>
      <c r="D48" s="61">
        <f t="shared" si="5"/>
        <v>78</v>
      </c>
      <c r="E48" s="61">
        <f t="shared" si="5"/>
        <v>86.2</v>
      </c>
      <c r="F48" s="61">
        <f t="shared" si="5"/>
        <v>81.099999999999994</v>
      </c>
      <c r="G48" s="61">
        <f t="shared" si="5"/>
        <v>81.2</v>
      </c>
      <c r="H48" s="61">
        <f t="shared" si="5"/>
        <v>111.2</v>
      </c>
      <c r="I48" s="61">
        <f t="shared" si="5"/>
        <v>181.1</v>
      </c>
      <c r="J48" s="61">
        <f t="shared" si="5"/>
        <v>311.10000000000002</v>
      </c>
      <c r="K48" s="61">
        <f t="shared" si="5"/>
        <v>411.2</v>
      </c>
      <c r="L48" s="61">
        <f t="shared" si="5"/>
        <v>496.2</v>
      </c>
      <c r="M48" s="61">
        <f t="shared" si="5"/>
        <v>516.4</v>
      </c>
      <c r="N48" s="61">
        <f t="shared" si="5"/>
        <v>410.4</v>
      </c>
      <c r="O48" s="61">
        <f t="shared" si="5"/>
        <v>232.3</v>
      </c>
      <c r="P48" s="61">
        <f t="shared" si="5"/>
        <v>174.7</v>
      </c>
      <c r="Q48" s="61">
        <f t="shared" si="5"/>
        <v>74.739999999999995</v>
      </c>
      <c r="R48" s="61">
        <f t="shared" si="5"/>
        <v>74.8</v>
      </c>
      <c r="S48" s="61">
        <f t="shared" si="5"/>
        <v>89.7</v>
      </c>
      <c r="T48" s="61">
        <f t="shared" si="5"/>
        <v>71.7</v>
      </c>
      <c r="U48" s="61">
        <f t="shared" si="5"/>
        <v>72.7</v>
      </c>
      <c r="V48" s="61">
        <f t="shared" si="5"/>
        <v>169.7</v>
      </c>
      <c r="W48" s="61">
        <f t="shared" si="5"/>
        <v>359.7</v>
      </c>
      <c r="X48" s="61">
        <v>515.70000000000005</v>
      </c>
      <c r="Y48" s="61">
        <f t="shared" si="5"/>
        <v>454.7</v>
      </c>
      <c r="Z48" s="61">
        <f t="shared" si="5"/>
        <v>379.7</v>
      </c>
      <c r="AA48" s="61">
        <f t="shared" si="5"/>
        <v>334.7</v>
      </c>
      <c r="AB48" s="61">
        <f t="shared" si="5"/>
        <v>169.6</v>
      </c>
      <c r="AC48" s="61">
        <f t="shared" si="5"/>
        <v>169.6</v>
      </c>
      <c r="AD48" s="61">
        <f t="shared" si="5"/>
        <v>119.6</v>
      </c>
      <c r="AE48" s="61">
        <f t="shared" si="5"/>
        <v>99.6</v>
      </c>
      <c r="AF48" s="61">
        <f t="shared" si="5"/>
        <v>74.599999999999994</v>
      </c>
      <c r="AG48" s="62">
        <f t="shared" si="5"/>
        <v>538.1</v>
      </c>
      <c r="AH48" s="48">
        <f t="shared" si="2"/>
        <v>516.4</v>
      </c>
      <c r="AI48" s="49">
        <f t="shared" si="3"/>
        <v>71.7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48</v>
      </c>
      <c r="H49" s="45">
        <v>90</v>
      </c>
      <c r="I49" s="45">
        <v>94</v>
      </c>
      <c r="J49" s="45">
        <v>64</v>
      </c>
      <c r="K49" s="45">
        <v>94</v>
      </c>
      <c r="L49" s="45">
        <v>141</v>
      </c>
      <c r="M49" s="45">
        <v>141</v>
      </c>
      <c r="N49" s="45">
        <v>141</v>
      </c>
      <c r="O49" s="45">
        <v>111.4</v>
      </c>
      <c r="P49" s="45">
        <v>94.4</v>
      </c>
      <c r="Q49" s="45">
        <v>140</v>
      </c>
      <c r="R49" s="45">
        <v>120</v>
      </c>
      <c r="S49" s="45">
        <v>120</v>
      </c>
      <c r="T49" s="45">
        <v>91</v>
      </c>
      <c r="U49" s="45">
        <v>81.3</v>
      </c>
      <c r="V49" s="45">
        <v>130.80000000000001</v>
      </c>
      <c r="W49" s="45">
        <v>142</v>
      </c>
      <c r="X49" s="45">
        <v>141.69999999999999</v>
      </c>
      <c r="Y49" s="45">
        <v>141.6</v>
      </c>
      <c r="Z49" s="45">
        <v>140.80000000000001</v>
      </c>
      <c r="AA49" s="45">
        <v>140.5</v>
      </c>
      <c r="AB49" s="45">
        <v>140</v>
      </c>
      <c r="AC49" s="45">
        <v>140</v>
      </c>
      <c r="AD49" s="45">
        <v>92.3</v>
      </c>
      <c r="AE49" s="45">
        <v>71</v>
      </c>
      <c r="AF49" s="45">
        <v>50</v>
      </c>
      <c r="AG49" s="52">
        <v>144</v>
      </c>
      <c r="AH49" s="48">
        <f t="shared" si="2"/>
        <v>142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22.5</v>
      </c>
      <c r="F50" s="65">
        <v>22.5</v>
      </c>
      <c r="G50" s="65">
        <v>21.8</v>
      </c>
      <c r="H50" s="65">
        <v>50</v>
      </c>
      <c r="I50" s="65">
        <v>65</v>
      </c>
      <c r="J50" s="65">
        <v>65</v>
      </c>
      <c r="K50" s="65">
        <v>65</v>
      </c>
      <c r="L50" s="65">
        <v>71</v>
      </c>
      <c r="M50" s="65">
        <v>69.099999999999994</v>
      </c>
      <c r="N50" s="65">
        <v>69.099999999999994</v>
      </c>
      <c r="O50" s="65">
        <v>51.2</v>
      </c>
      <c r="P50" s="65">
        <v>50</v>
      </c>
      <c r="Q50" s="65">
        <v>25.85</v>
      </c>
      <c r="R50" s="45">
        <v>31.1</v>
      </c>
      <c r="S50" s="45">
        <v>31.1</v>
      </c>
      <c r="T50" s="45">
        <v>34.200000000000003</v>
      </c>
      <c r="U50" s="45">
        <v>49.2</v>
      </c>
      <c r="V50" s="45">
        <v>64</v>
      </c>
      <c r="W50" s="45">
        <v>67.2</v>
      </c>
      <c r="X50" s="45">
        <v>67.8</v>
      </c>
      <c r="Y50" s="45">
        <v>71.2</v>
      </c>
      <c r="Z50" s="45">
        <v>66</v>
      </c>
      <c r="AA50" s="45">
        <v>65.8</v>
      </c>
      <c r="AB50" s="65">
        <v>50</v>
      </c>
      <c r="AC50" s="65">
        <v>50</v>
      </c>
      <c r="AD50" s="65">
        <v>35.200000000000003</v>
      </c>
      <c r="AE50" s="65">
        <v>33.700000000000003</v>
      </c>
      <c r="AF50" s="65">
        <v>26</v>
      </c>
      <c r="AG50" s="55">
        <v>70</v>
      </c>
      <c r="AH50" s="48">
        <f t="shared" si="2"/>
        <v>71.2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65</v>
      </c>
      <c r="C51" s="65">
        <v>51</v>
      </c>
      <c r="D51" s="65">
        <v>65</v>
      </c>
      <c r="E51" s="65">
        <v>46</v>
      </c>
      <c r="F51" s="65">
        <v>46</v>
      </c>
      <c r="G51" s="65">
        <v>33.1</v>
      </c>
      <c r="H51" s="65">
        <v>43.7</v>
      </c>
      <c r="I51" s="65">
        <v>44.1</v>
      </c>
      <c r="J51" s="65">
        <v>44.1</v>
      </c>
      <c r="K51" s="65">
        <v>44.1</v>
      </c>
      <c r="L51" s="65">
        <v>67</v>
      </c>
      <c r="M51" s="65">
        <v>66.400000000000006</v>
      </c>
      <c r="N51" s="65">
        <v>66.400000000000006</v>
      </c>
      <c r="O51" s="65">
        <v>52.5</v>
      </c>
      <c r="P51" s="65">
        <v>52.6</v>
      </c>
      <c r="Q51" s="65">
        <v>35</v>
      </c>
      <c r="R51" s="45">
        <v>16.899999999999999</v>
      </c>
      <c r="S51" s="45">
        <v>16.899999999999999</v>
      </c>
      <c r="T51" s="45">
        <v>46.3</v>
      </c>
      <c r="U51" s="45">
        <v>46.2</v>
      </c>
      <c r="V51" s="45">
        <v>66.3</v>
      </c>
      <c r="W51" s="45">
        <v>67.2</v>
      </c>
      <c r="X51" s="45">
        <v>64.8</v>
      </c>
      <c r="Y51" s="45">
        <v>65.900000000000006</v>
      </c>
      <c r="Z51" s="45">
        <v>66.599999999999994</v>
      </c>
      <c r="AA51" s="45">
        <v>66.599999999999994</v>
      </c>
      <c r="AB51" s="65">
        <v>66</v>
      </c>
      <c r="AC51" s="65">
        <v>66</v>
      </c>
      <c r="AD51" s="65">
        <v>50</v>
      </c>
      <c r="AE51" s="65">
        <v>32.299999999999997</v>
      </c>
      <c r="AF51" s="65">
        <v>32.299999999999997</v>
      </c>
      <c r="AG51" s="55">
        <v>69</v>
      </c>
      <c r="AH51" s="48">
        <f t="shared" si="2"/>
        <v>67.2</v>
      </c>
      <c r="AI51" s="49">
        <f t="shared" si="3"/>
        <v>16.899999999999999</v>
      </c>
      <c r="AK51" s="50"/>
    </row>
    <row r="52" spans="1:41" x14ac:dyDescent="0.25">
      <c r="A52" s="54" t="s">
        <v>60</v>
      </c>
      <c r="B52" s="57">
        <v>60</v>
      </c>
      <c r="C52" s="57">
        <v>60</v>
      </c>
      <c r="D52" s="57">
        <v>60</v>
      </c>
      <c r="E52" s="57">
        <v>60</v>
      </c>
      <c r="F52" s="57">
        <v>60</v>
      </c>
      <c r="G52" s="57">
        <v>60</v>
      </c>
      <c r="H52" s="57">
        <v>60</v>
      </c>
      <c r="I52" s="57">
        <v>60</v>
      </c>
      <c r="J52" s="57">
        <v>60</v>
      </c>
      <c r="K52" s="57">
        <v>60</v>
      </c>
      <c r="L52" s="57">
        <v>60</v>
      </c>
      <c r="M52" s="57">
        <v>60</v>
      </c>
      <c r="N52" s="57">
        <v>60</v>
      </c>
      <c r="O52" s="57">
        <v>60</v>
      </c>
      <c r="P52" s="65">
        <v>60</v>
      </c>
      <c r="Q52" s="65">
        <v>60</v>
      </c>
      <c r="R52" s="65">
        <v>60</v>
      </c>
      <c r="S52" s="65">
        <v>60</v>
      </c>
      <c r="T52" s="65">
        <v>60</v>
      </c>
      <c r="U52" s="65">
        <v>60</v>
      </c>
      <c r="V52" s="65">
        <v>59.7</v>
      </c>
      <c r="W52" s="65">
        <v>59.7</v>
      </c>
      <c r="X52" s="65">
        <v>59.7</v>
      </c>
      <c r="Y52" s="65">
        <v>59.7</v>
      </c>
      <c r="Z52" s="65">
        <v>61.4</v>
      </c>
      <c r="AA52" s="65">
        <v>61.4</v>
      </c>
      <c r="AB52" s="65">
        <v>61.4</v>
      </c>
      <c r="AC52" s="65">
        <v>61.4</v>
      </c>
      <c r="AD52" s="65">
        <v>61.4</v>
      </c>
      <c r="AE52" s="65">
        <v>58.2</v>
      </c>
      <c r="AF52" s="65">
        <v>58.2</v>
      </c>
      <c r="AG52" s="55">
        <v>60</v>
      </c>
      <c r="AH52" s="48">
        <f t="shared" si="2"/>
        <v>61.4</v>
      </c>
      <c r="AI52" s="49">
        <f t="shared" si="3"/>
        <v>58.2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0</v>
      </c>
      <c r="N53" s="57">
        <v>0</v>
      </c>
      <c r="O53" s="57">
        <v>0</v>
      </c>
      <c r="P53" s="57">
        <v>0</v>
      </c>
      <c r="Q53" s="57">
        <v>0</v>
      </c>
      <c r="R53" s="57">
        <v>0</v>
      </c>
      <c r="S53" s="57">
        <v>0</v>
      </c>
      <c r="T53" s="57">
        <v>0</v>
      </c>
      <c r="U53" s="57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55">
        <v>30</v>
      </c>
      <c r="AH53" s="48">
        <f t="shared" si="2"/>
        <v>0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4</v>
      </c>
      <c r="N54" s="45">
        <v>4</v>
      </c>
      <c r="O54" s="45">
        <v>6</v>
      </c>
      <c r="P54" s="45">
        <v>6</v>
      </c>
      <c r="Q54" s="45">
        <v>6</v>
      </c>
      <c r="R54" s="45">
        <v>6</v>
      </c>
      <c r="S54" s="45">
        <v>6</v>
      </c>
      <c r="T54" s="45">
        <v>6</v>
      </c>
      <c r="U54" s="45">
        <v>6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25</v>
      </c>
      <c r="AH54" s="48">
        <f t="shared" si="2"/>
        <v>6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17.100000000000001</v>
      </c>
      <c r="S55" s="65">
        <v>17.100000000000001</v>
      </c>
      <c r="T55" s="65">
        <v>17.100000000000001</v>
      </c>
      <c r="U55" s="65">
        <v>17.100000000000001</v>
      </c>
      <c r="V55" s="65">
        <v>17.100000000000001</v>
      </c>
      <c r="W55" s="65">
        <v>17.100000000000001</v>
      </c>
      <c r="X55" s="65">
        <v>17.100000000000001</v>
      </c>
      <c r="Y55" s="65">
        <v>17.100000000000001</v>
      </c>
      <c r="Z55" s="65">
        <v>17.100000000000001</v>
      </c>
      <c r="AA55" s="65">
        <v>17.100000000000001</v>
      </c>
      <c r="AB55" s="65">
        <v>17.100000000000001</v>
      </c>
      <c r="AC55" s="65">
        <v>17.100000000000001</v>
      </c>
      <c r="AD55" s="65">
        <v>17.100000000000001</v>
      </c>
      <c r="AE55" s="65">
        <v>17.100000000000001</v>
      </c>
      <c r="AF55" s="65">
        <v>17.100000000000001</v>
      </c>
      <c r="AG55" s="55">
        <v>24</v>
      </c>
      <c r="AH55" s="48">
        <f t="shared" si="2"/>
        <v>17.100000000000001</v>
      </c>
      <c r="AI55" s="49">
        <f t="shared" si="3"/>
        <v>17.100000000000001</v>
      </c>
      <c r="AK55" s="50"/>
    </row>
    <row r="56" spans="1:41" x14ac:dyDescent="0.25">
      <c r="A56" s="54" t="s">
        <v>64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14.1</v>
      </c>
      <c r="C57" s="65">
        <v>14.1</v>
      </c>
      <c r="D57" s="65">
        <v>14.1</v>
      </c>
      <c r="E57" s="65">
        <v>14.1</v>
      </c>
      <c r="F57" s="65">
        <v>14.1</v>
      </c>
      <c r="G57" s="65">
        <v>14.1</v>
      </c>
      <c r="H57" s="65">
        <v>14.1</v>
      </c>
      <c r="I57" s="65">
        <v>14.1</v>
      </c>
      <c r="J57" s="65">
        <v>14.1</v>
      </c>
      <c r="K57" s="65">
        <v>14.1</v>
      </c>
      <c r="L57" s="65">
        <v>14.1</v>
      </c>
      <c r="M57" s="65">
        <v>14.1</v>
      </c>
      <c r="N57" s="65">
        <v>14.1</v>
      </c>
      <c r="O57" s="65">
        <v>14.1</v>
      </c>
      <c r="P57" s="65">
        <v>14.1</v>
      </c>
      <c r="Q57" s="65">
        <v>14.1</v>
      </c>
      <c r="R57" s="65">
        <v>14.1</v>
      </c>
      <c r="S57" s="65">
        <v>14.1</v>
      </c>
      <c r="T57" s="65">
        <v>14.1</v>
      </c>
      <c r="U57" s="65">
        <v>14.1</v>
      </c>
      <c r="V57" s="65">
        <v>14.1</v>
      </c>
      <c r="W57" s="65">
        <v>14.1</v>
      </c>
      <c r="X57" s="65">
        <v>14.1</v>
      </c>
      <c r="Y57" s="65">
        <v>14.1</v>
      </c>
      <c r="Z57" s="65">
        <v>14.1</v>
      </c>
      <c r="AA57" s="65">
        <v>14.1</v>
      </c>
      <c r="AB57" s="65">
        <v>14.1</v>
      </c>
      <c r="AC57" s="65">
        <v>14.1</v>
      </c>
      <c r="AD57" s="65">
        <v>14.1</v>
      </c>
      <c r="AE57" s="65">
        <v>14.1</v>
      </c>
      <c r="AF57" s="65">
        <v>14.1</v>
      </c>
      <c r="AG57" s="55">
        <v>14.1</v>
      </c>
      <c r="AH57" s="48">
        <f t="shared" si="2"/>
        <v>14.1</v>
      </c>
      <c r="AI57" s="49">
        <f t="shared" si="3"/>
        <v>14.1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7</v>
      </c>
      <c r="C58" s="65">
        <v>7</v>
      </c>
      <c r="D58" s="65">
        <v>7</v>
      </c>
      <c r="E58" s="65">
        <v>7</v>
      </c>
      <c r="F58" s="65">
        <v>7</v>
      </c>
      <c r="G58" s="65">
        <v>7</v>
      </c>
      <c r="H58" s="65">
        <v>7</v>
      </c>
      <c r="I58" s="65">
        <v>7</v>
      </c>
      <c r="J58" s="65">
        <v>7</v>
      </c>
      <c r="K58" s="65">
        <v>7</v>
      </c>
      <c r="L58" s="65">
        <v>7</v>
      </c>
      <c r="M58" s="65">
        <v>7</v>
      </c>
      <c r="N58" s="65">
        <v>7</v>
      </c>
      <c r="O58" s="65">
        <v>7</v>
      </c>
      <c r="P58" s="65">
        <v>7</v>
      </c>
      <c r="Q58" s="65">
        <v>7</v>
      </c>
      <c r="R58" s="65">
        <v>7</v>
      </c>
      <c r="S58" s="65">
        <v>7</v>
      </c>
      <c r="T58" s="65">
        <v>7</v>
      </c>
      <c r="U58" s="65">
        <v>7</v>
      </c>
      <c r="V58" s="65">
        <v>7</v>
      </c>
      <c r="W58" s="65">
        <v>7</v>
      </c>
      <c r="X58" s="65">
        <v>7</v>
      </c>
      <c r="Y58" s="65">
        <v>7</v>
      </c>
      <c r="Z58" s="65">
        <v>7</v>
      </c>
      <c r="AA58" s="65">
        <v>7</v>
      </c>
      <c r="AB58" s="65">
        <v>7</v>
      </c>
      <c r="AC58" s="65">
        <v>7</v>
      </c>
      <c r="AD58" s="65">
        <v>7</v>
      </c>
      <c r="AE58" s="65">
        <v>7</v>
      </c>
      <c r="AF58" s="65">
        <v>7</v>
      </c>
      <c r="AG58" s="55">
        <v>14</v>
      </c>
      <c r="AH58" s="48">
        <f t="shared" si="2"/>
        <v>7</v>
      </c>
      <c r="AI58" s="49">
        <f t="shared" si="3"/>
        <v>7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6.2</v>
      </c>
      <c r="AH60" s="48">
        <f t="shared" si="2"/>
        <v>3.6</v>
      </c>
      <c r="AI60" s="49">
        <f t="shared" si="3"/>
        <v>0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6">SUM(B49:B61)</f>
        <v>176.83999999999997</v>
      </c>
      <c r="C62" s="61">
        <f t="shared" si="6"/>
        <v>162.83999999999997</v>
      </c>
      <c r="D62" s="61">
        <f t="shared" si="6"/>
        <v>176.83999999999997</v>
      </c>
      <c r="E62" s="61">
        <f t="shared" si="6"/>
        <v>180.33999999999997</v>
      </c>
      <c r="F62" s="61">
        <f t="shared" si="6"/>
        <v>180.33999999999997</v>
      </c>
      <c r="G62" s="61">
        <f t="shared" si="6"/>
        <v>214.73999999999998</v>
      </c>
      <c r="H62" s="61">
        <f t="shared" si="6"/>
        <v>295.54000000000008</v>
      </c>
      <c r="I62" s="61">
        <f t="shared" si="6"/>
        <v>314.94000000000011</v>
      </c>
      <c r="J62" s="61">
        <f t="shared" si="6"/>
        <v>284.94000000000005</v>
      </c>
      <c r="K62" s="61">
        <f t="shared" si="6"/>
        <v>314.94000000000011</v>
      </c>
      <c r="L62" s="61">
        <f t="shared" si="6"/>
        <v>390.84000000000009</v>
      </c>
      <c r="M62" s="61">
        <f t="shared" si="6"/>
        <v>388.74000000000007</v>
      </c>
      <c r="N62" s="61">
        <f t="shared" si="6"/>
        <v>388.74000000000007</v>
      </c>
      <c r="O62" s="61">
        <f t="shared" si="6"/>
        <v>329.34000000000009</v>
      </c>
      <c r="P62" s="61">
        <f t="shared" si="6"/>
        <v>311.24000000000007</v>
      </c>
      <c r="Q62" s="61">
        <f t="shared" si="6"/>
        <v>315.09000000000009</v>
      </c>
      <c r="R62" s="61">
        <f t="shared" si="6"/>
        <v>282.24</v>
      </c>
      <c r="S62" s="61">
        <f t="shared" si="6"/>
        <v>282.24</v>
      </c>
      <c r="T62" s="61">
        <f t="shared" si="6"/>
        <v>285.74</v>
      </c>
      <c r="U62" s="61">
        <f t="shared" si="6"/>
        <v>290.94000000000005</v>
      </c>
      <c r="V62" s="61">
        <f t="shared" si="6"/>
        <v>369.04000000000008</v>
      </c>
      <c r="W62" s="61">
        <f t="shared" si="6"/>
        <v>384.34000000000003</v>
      </c>
      <c r="X62" s="61">
        <v>388.24000000000007</v>
      </c>
      <c r="Y62" s="61">
        <f t="shared" si="6"/>
        <v>386.6400000000001</v>
      </c>
      <c r="Z62" s="61">
        <f t="shared" si="6"/>
        <v>383.04</v>
      </c>
      <c r="AA62" s="61">
        <f t="shared" si="6"/>
        <v>382.54</v>
      </c>
      <c r="AB62" s="61">
        <f t="shared" si="6"/>
        <v>365.64000000000004</v>
      </c>
      <c r="AC62" s="61">
        <f t="shared" si="6"/>
        <v>365.64000000000004</v>
      </c>
      <c r="AD62" s="61">
        <f t="shared" si="6"/>
        <v>287.14000000000004</v>
      </c>
      <c r="AE62" s="61">
        <f t="shared" si="6"/>
        <v>243.43999999999997</v>
      </c>
      <c r="AF62" s="61">
        <f t="shared" si="6"/>
        <v>214.73999999999998</v>
      </c>
      <c r="AG62" s="62">
        <f t="shared" si="6"/>
        <v>489.91</v>
      </c>
      <c r="AH62" s="48">
        <f t="shared" si="2"/>
        <v>390.84000000000009</v>
      </c>
      <c r="AI62" s="49">
        <f t="shared" si="3"/>
        <v>162.83999999999997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50</v>
      </c>
      <c r="K63" s="45">
        <v>30</v>
      </c>
      <c r="L63" s="45">
        <v>60</v>
      </c>
      <c r="M63" s="45">
        <v>60</v>
      </c>
      <c r="N63" s="45">
        <v>60</v>
      </c>
      <c r="O63" s="45">
        <v>55</v>
      </c>
      <c r="P63" s="45">
        <v>45</v>
      </c>
      <c r="Q63" s="45">
        <v>0</v>
      </c>
      <c r="R63" s="45">
        <v>0</v>
      </c>
      <c r="S63" s="45">
        <v>0</v>
      </c>
      <c r="T63" s="45">
        <v>30</v>
      </c>
      <c r="U63" s="45">
        <v>30</v>
      </c>
      <c r="V63" s="45">
        <v>50</v>
      </c>
      <c r="W63" s="45">
        <v>56.4</v>
      </c>
      <c r="X63" s="45">
        <v>56.4</v>
      </c>
      <c r="Y63" s="45">
        <v>56.4</v>
      </c>
      <c r="Z63" s="45">
        <v>60</v>
      </c>
      <c r="AA63" s="45">
        <v>60</v>
      </c>
      <c r="AB63" s="45">
        <v>60</v>
      </c>
      <c r="AC63" s="45">
        <v>60</v>
      </c>
      <c r="AD63" s="45">
        <v>60</v>
      </c>
      <c r="AE63" s="45">
        <v>30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14</v>
      </c>
      <c r="K64" s="65">
        <v>12.3</v>
      </c>
      <c r="L64" s="65">
        <v>27</v>
      </c>
      <c r="M64" s="65">
        <v>27.1</v>
      </c>
      <c r="N64" s="65">
        <v>27.1</v>
      </c>
      <c r="O64" s="65">
        <v>26.2</v>
      </c>
      <c r="P64" s="65">
        <v>17</v>
      </c>
      <c r="Q64" s="45">
        <v>0</v>
      </c>
      <c r="R64" s="45">
        <v>0</v>
      </c>
      <c r="S64" s="65">
        <v>0</v>
      </c>
      <c r="T64" s="65">
        <v>14</v>
      </c>
      <c r="U64" s="65">
        <v>13.6</v>
      </c>
      <c r="V64" s="65">
        <v>19.2</v>
      </c>
      <c r="W64" s="65">
        <v>28.1</v>
      </c>
      <c r="X64" s="65">
        <v>28.1</v>
      </c>
      <c r="Y64" s="65">
        <v>28.1</v>
      </c>
      <c r="Z64" s="65">
        <v>28.1</v>
      </c>
      <c r="AA64" s="65">
        <v>28.1</v>
      </c>
      <c r="AB64" s="65">
        <v>28.1</v>
      </c>
      <c r="AC64" s="65">
        <v>28.1</v>
      </c>
      <c r="AD64" s="65">
        <v>28.1</v>
      </c>
      <c r="AE64" s="65">
        <v>15</v>
      </c>
      <c r="AF64" s="45">
        <v>0</v>
      </c>
      <c r="AG64" s="55">
        <v>32</v>
      </c>
      <c r="AH64" s="48">
        <f t="shared" si="2"/>
        <v>28.1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5.3</v>
      </c>
      <c r="K65" s="67">
        <v>4.4000000000000004</v>
      </c>
      <c r="L65" s="67">
        <v>9.8000000000000007</v>
      </c>
      <c r="M65" s="67">
        <v>9.9</v>
      </c>
      <c r="N65" s="67">
        <v>9.9</v>
      </c>
      <c r="O65" s="67">
        <v>9.6</v>
      </c>
      <c r="P65" s="67">
        <v>10</v>
      </c>
      <c r="Q65" s="45">
        <v>0</v>
      </c>
      <c r="R65" s="45">
        <v>0</v>
      </c>
      <c r="S65" s="67">
        <v>0</v>
      </c>
      <c r="T65" s="67">
        <v>5.0999999999999996</v>
      </c>
      <c r="U65" s="67">
        <v>5</v>
      </c>
      <c r="V65" s="67">
        <v>7</v>
      </c>
      <c r="W65" s="67">
        <v>10.3</v>
      </c>
      <c r="X65" s="67">
        <v>10.3</v>
      </c>
      <c r="Y65" s="67">
        <v>10.3</v>
      </c>
      <c r="Z65" s="67">
        <v>10.3</v>
      </c>
      <c r="AA65" s="67">
        <v>10.3</v>
      </c>
      <c r="AB65" s="67">
        <v>10.3</v>
      </c>
      <c r="AC65" s="67">
        <v>10.3</v>
      </c>
      <c r="AD65" s="67">
        <v>10.3</v>
      </c>
      <c r="AE65" s="67">
        <v>5.5</v>
      </c>
      <c r="AF65" s="45">
        <v>0</v>
      </c>
      <c r="AG65" s="68">
        <v>14</v>
      </c>
      <c r="AH65" s="48">
        <f t="shared" si="2"/>
        <v>10.3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96.8</v>
      </c>
      <c r="M66" s="61">
        <f t="shared" ref="M66:AF66" si="7">M63+M64+M65</f>
        <v>97</v>
      </c>
      <c r="N66" s="61">
        <f t="shared" si="7"/>
        <v>97</v>
      </c>
      <c r="O66" s="61">
        <f t="shared" si="7"/>
        <v>90.8</v>
      </c>
      <c r="P66" s="61">
        <f t="shared" si="7"/>
        <v>72</v>
      </c>
      <c r="Q66" s="61">
        <f t="shared" si="7"/>
        <v>0</v>
      </c>
      <c r="R66" s="61">
        <f t="shared" si="7"/>
        <v>0</v>
      </c>
      <c r="S66" s="61">
        <f t="shared" si="7"/>
        <v>0</v>
      </c>
      <c r="T66" s="61">
        <f t="shared" si="7"/>
        <v>49.1</v>
      </c>
      <c r="U66" s="61">
        <f t="shared" si="7"/>
        <v>48.6</v>
      </c>
      <c r="V66" s="61">
        <f t="shared" si="7"/>
        <v>76.2</v>
      </c>
      <c r="W66" s="61">
        <f t="shared" si="7"/>
        <v>94.8</v>
      </c>
      <c r="X66" s="61">
        <v>94.8</v>
      </c>
      <c r="Y66" s="61">
        <f t="shared" si="7"/>
        <v>94.8</v>
      </c>
      <c r="Z66" s="61">
        <f t="shared" si="7"/>
        <v>98.399999999999991</v>
      </c>
      <c r="AA66" s="61">
        <f t="shared" si="7"/>
        <v>98.399999999999991</v>
      </c>
      <c r="AB66" s="61">
        <f t="shared" si="7"/>
        <v>98.399999999999991</v>
      </c>
      <c r="AC66" s="61">
        <f t="shared" si="7"/>
        <v>98.399999999999991</v>
      </c>
      <c r="AD66" s="61">
        <f t="shared" si="7"/>
        <v>98.399999999999991</v>
      </c>
      <c r="AE66" s="61">
        <f t="shared" si="7"/>
        <v>50.5</v>
      </c>
      <c r="AF66" s="61">
        <f t="shared" si="7"/>
        <v>0</v>
      </c>
      <c r="AG66" s="62">
        <f t="shared" ref="AG66" si="8">SUM(AG63:AG65)</f>
        <v>106</v>
      </c>
      <c r="AH66" s="48">
        <f t="shared" si="2"/>
        <v>98.399999999999991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65</v>
      </c>
      <c r="C67" s="45">
        <v>56</v>
      </c>
      <c r="D67" s="45">
        <v>57</v>
      </c>
      <c r="E67" s="45">
        <v>55.9</v>
      </c>
      <c r="F67" s="45">
        <v>55.7</v>
      </c>
      <c r="G67" s="45">
        <v>55.7</v>
      </c>
      <c r="H67" s="45">
        <v>49.5</v>
      </c>
      <c r="I67" s="45">
        <v>52.9</v>
      </c>
      <c r="J67" s="45">
        <v>65.7</v>
      </c>
      <c r="K67" s="45">
        <v>63.9</v>
      </c>
      <c r="L67" s="45">
        <v>66.5</v>
      </c>
      <c r="M67" s="45">
        <v>64.400000000000006</v>
      </c>
      <c r="N67" s="45">
        <v>67</v>
      </c>
      <c r="O67" s="45">
        <v>74.7</v>
      </c>
      <c r="P67" s="45">
        <v>64</v>
      </c>
      <c r="Q67" s="45">
        <v>60</v>
      </c>
      <c r="R67" s="45">
        <v>60.3</v>
      </c>
      <c r="S67" s="45">
        <v>60.1</v>
      </c>
      <c r="T67" s="45">
        <v>60.1</v>
      </c>
      <c r="U67" s="45">
        <v>65.599999999999994</v>
      </c>
      <c r="V67" s="45">
        <v>60.7</v>
      </c>
      <c r="W67" s="45">
        <v>52.8</v>
      </c>
      <c r="X67" s="45">
        <v>66</v>
      </c>
      <c r="Y67" s="45">
        <v>67.7</v>
      </c>
      <c r="Z67" s="45">
        <v>64.2</v>
      </c>
      <c r="AA67" s="45">
        <v>64.2</v>
      </c>
      <c r="AB67" s="45">
        <v>62.4</v>
      </c>
      <c r="AC67" s="45">
        <v>62.4</v>
      </c>
      <c r="AD67" s="45">
        <v>57</v>
      </c>
      <c r="AE67" s="45">
        <v>52</v>
      </c>
      <c r="AF67" s="45">
        <v>53</v>
      </c>
      <c r="AG67" s="52"/>
      <c r="AH67" s="48">
        <f t="shared" si="2"/>
        <v>74.7</v>
      </c>
      <c r="AI67" s="49">
        <f t="shared" si="3"/>
        <v>49.5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154</v>
      </c>
      <c r="C69" s="65">
        <v>115</v>
      </c>
      <c r="D69" s="65">
        <v>115</v>
      </c>
      <c r="E69" s="65">
        <v>118</v>
      </c>
      <c r="F69" s="65">
        <v>117</v>
      </c>
      <c r="G69" s="65">
        <v>120</v>
      </c>
      <c r="H69" s="65">
        <v>121</v>
      </c>
      <c r="I69" s="65">
        <v>118</v>
      </c>
      <c r="J69" s="65">
        <v>115</v>
      </c>
      <c r="K69" s="65">
        <v>65</v>
      </c>
      <c r="L69" s="65">
        <v>0</v>
      </c>
      <c r="M69" s="65">
        <v>12</v>
      </c>
      <c r="N69" s="65">
        <v>0</v>
      </c>
      <c r="O69" s="65">
        <v>120.6</v>
      </c>
      <c r="P69" s="65">
        <v>151.69999999999999</v>
      </c>
      <c r="Q69" s="65">
        <v>223</v>
      </c>
      <c r="R69" s="65">
        <v>214.8</v>
      </c>
      <c r="S69" s="65">
        <v>220.1</v>
      </c>
      <c r="T69" s="65">
        <v>221</v>
      </c>
      <c r="U69" s="65">
        <v>221</v>
      </c>
      <c r="V69" s="65">
        <v>60</v>
      </c>
      <c r="W69" s="65">
        <v>0</v>
      </c>
      <c r="X69" s="65">
        <v>2.2000000000000002</v>
      </c>
      <c r="Y69" s="65">
        <v>2.2000000000000002</v>
      </c>
      <c r="Z69" s="65">
        <v>0</v>
      </c>
      <c r="AA69" s="65">
        <v>0</v>
      </c>
      <c r="AB69" s="65">
        <v>130</v>
      </c>
      <c r="AC69" s="65">
        <v>130</v>
      </c>
      <c r="AD69" s="65">
        <v>116</v>
      </c>
      <c r="AE69" s="65">
        <v>139</v>
      </c>
      <c r="AF69" s="65">
        <v>144.80000000000001</v>
      </c>
      <c r="AG69" s="75"/>
      <c r="AH69" s="48">
        <f t="shared" si="2"/>
        <v>223</v>
      </c>
      <c r="AI69" s="49">
        <f t="shared" si="3"/>
        <v>0</v>
      </c>
      <c r="AK69" s="50"/>
    </row>
    <row r="70" spans="1:40" x14ac:dyDescent="0.25">
      <c r="A70" s="54" t="s">
        <v>78</v>
      </c>
      <c r="B70" s="76">
        <v>50</v>
      </c>
      <c r="C70" s="76">
        <v>50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51</v>
      </c>
      <c r="O70" s="76">
        <v>50.8</v>
      </c>
      <c r="P70" s="76">
        <v>51.2</v>
      </c>
      <c r="Q70" s="76">
        <v>53.854999999999997</v>
      </c>
      <c r="R70" s="76">
        <v>57.7</v>
      </c>
      <c r="S70" s="76">
        <v>53.4</v>
      </c>
      <c r="T70" s="76">
        <v>53.4</v>
      </c>
      <c r="U70" s="76">
        <v>53.4</v>
      </c>
      <c r="V70" s="76">
        <v>53.4</v>
      </c>
      <c r="W70" s="76">
        <v>53.4</v>
      </c>
      <c r="X70" s="65">
        <v>53.4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75"/>
      <c r="AH70" s="48">
        <f t="shared" si="2"/>
        <v>57.7</v>
      </c>
      <c r="AI70" s="49">
        <f t="shared" si="3"/>
        <v>0</v>
      </c>
      <c r="AK70" s="50"/>
    </row>
    <row r="71" spans="1:40" x14ac:dyDescent="0.25">
      <c r="A71" s="54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30</v>
      </c>
      <c r="O71" s="45">
        <v>29</v>
      </c>
      <c r="P71" s="45">
        <v>30</v>
      </c>
      <c r="Q71" s="45">
        <v>30</v>
      </c>
      <c r="R71" s="45">
        <v>30</v>
      </c>
      <c r="S71" s="45">
        <v>30</v>
      </c>
      <c r="T71" s="45">
        <v>30</v>
      </c>
      <c r="U71" s="45">
        <v>30</v>
      </c>
      <c r="V71" s="45">
        <v>30</v>
      </c>
      <c r="W71" s="45">
        <v>30</v>
      </c>
      <c r="X71" s="45">
        <v>30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75"/>
      <c r="AH71" s="48">
        <f t="shared" si="2"/>
        <v>30</v>
      </c>
      <c r="AI71" s="49">
        <f t="shared" si="3"/>
        <v>0</v>
      </c>
      <c r="AK71" s="50"/>
    </row>
    <row r="72" spans="1:40" x14ac:dyDescent="0.25">
      <c r="A72" s="54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9">MAX(B75:AF75)</f>
        <v>0</v>
      </c>
      <c r="AI75" s="49">
        <f t="shared" ref="AI75:AI113" si="10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9"/>
        <v>0</v>
      </c>
      <c r="AI76" s="49">
        <f t="shared" si="10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9"/>
        <v>0</v>
      </c>
      <c r="AI77" s="49">
        <f t="shared" si="10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1">SUMIF(B67:B77,"&gt;0")</f>
        <v>269</v>
      </c>
      <c r="C78" s="61">
        <f t="shared" si="11"/>
        <v>221</v>
      </c>
      <c r="D78" s="61">
        <f t="shared" si="11"/>
        <v>172</v>
      </c>
      <c r="E78" s="61">
        <f t="shared" si="11"/>
        <v>173.9</v>
      </c>
      <c r="F78" s="61">
        <f t="shared" si="11"/>
        <v>172.7</v>
      </c>
      <c r="G78" s="61">
        <f t="shared" si="11"/>
        <v>175.7</v>
      </c>
      <c r="H78" s="61">
        <f t="shared" si="11"/>
        <v>170.5</v>
      </c>
      <c r="I78" s="61">
        <f t="shared" si="11"/>
        <v>170.9</v>
      </c>
      <c r="J78" s="61">
        <f t="shared" si="11"/>
        <v>180.7</v>
      </c>
      <c r="K78" s="61">
        <f t="shared" si="11"/>
        <v>128.9</v>
      </c>
      <c r="L78" s="61">
        <f t="shared" si="11"/>
        <v>66.5</v>
      </c>
      <c r="M78" s="61">
        <f t="shared" si="11"/>
        <v>76.400000000000006</v>
      </c>
      <c r="N78" s="61">
        <f t="shared" si="11"/>
        <v>148</v>
      </c>
      <c r="O78" s="61">
        <f t="shared" si="11"/>
        <v>275.10000000000002</v>
      </c>
      <c r="P78" s="61">
        <f t="shared" si="11"/>
        <v>296.89999999999998</v>
      </c>
      <c r="Q78" s="61">
        <f t="shared" si="11"/>
        <v>366.85500000000002</v>
      </c>
      <c r="R78" s="61">
        <f t="shared" si="11"/>
        <v>362.8</v>
      </c>
      <c r="S78" s="61">
        <f t="shared" si="11"/>
        <v>363.59999999999997</v>
      </c>
      <c r="T78" s="61">
        <f t="shared" si="11"/>
        <v>364.5</v>
      </c>
      <c r="U78" s="61">
        <f t="shared" si="11"/>
        <v>370</v>
      </c>
      <c r="V78" s="61">
        <f t="shared" si="11"/>
        <v>204.1</v>
      </c>
      <c r="W78" s="61">
        <f t="shared" si="11"/>
        <v>136.19999999999999</v>
      </c>
      <c r="X78" s="61">
        <v>151.6</v>
      </c>
      <c r="Y78" s="61">
        <f t="shared" si="11"/>
        <v>69.900000000000006</v>
      </c>
      <c r="Z78" s="61">
        <f t="shared" si="11"/>
        <v>64.2</v>
      </c>
      <c r="AA78" s="61">
        <f t="shared" si="11"/>
        <v>64.2</v>
      </c>
      <c r="AB78" s="61">
        <f t="shared" si="11"/>
        <v>192.4</v>
      </c>
      <c r="AC78" s="61">
        <f t="shared" si="11"/>
        <v>192.4</v>
      </c>
      <c r="AD78" s="61">
        <f t="shared" si="11"/>
        <v>173</v>
      </c>
      <c r="AE78" s="61">
        <f t="shared" si="11"/>
        <v>191</v>
      </c>
      <c r="AF78" s="61">
        <f t="shared" si="11"/>
        <v>197.8</v>
      </c>
      <c r="AG78" s="81">
        <f>SUM(AG67:AG77)</f>
        <v>0</v>
      </c>
      <c r="AH78" s="48">
        <f t="shared" si="9"/>
        <v>370</v>
      </c>
      <c r="AI78" s="49">
        <f t="shared" si="10"/>
        <v>64.2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9"/>
        <v>0</v>
      </c>
      <c r="AI79" s="49">
        <f t="shared" si="10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9"/>
        <v>0</v>
      </c>
      <c r="AI80" s="49">
        <f t="shared" si="10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9"/>
        <v>0</v>
      </c>
      <c r="AI81" s="49">
        <f t="shared" si="10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9"/>
        <v>0</v>
      </c>
      <c r="AI82" s="49">
        <f t="shared" si="10"/>
        <v>0</v>
      </c>
    </row>
    <row r="83" spans="1:37" ht="15.75" thickBot="1" x14ac:dyDescent="0.3">
      <c r="A83" s="74" t="s">
        <v>91</v>
      </c>
      <c r="B83" s="83">
        <f>B44+B48+B66+B62+B78+B82</f>
        <v>1082.6399999999999</v>
      </c>
      <c r="C83" s="83">
        <f t="shared" ref="C83:AG83" si="12">C44+C48+C66+C62+C78+C82</f>
        <v>1022.24</v>
      </c>
      <c r="D83" s="83">
        <f t="shared" si="12"/>
        <v>984.74</v>
      </c>
      <c r="E83" s="83">
        <f t="shared" si="12"/>
        <v>1000.5399999999998</v>
      </c>
      <c r="F83" s="83">
        <f t="shared" si="12"/>
        <v>993.24</v>
      </c>
      <c r="G83" s="83">
        <f t="shared" si="12"/>
        <v>1030.74</v>
      </c>
      <c r="H83" s="83">
        <f t="shared" si="12"/>
        <v>1135.3400000000001</v>
      </c>
      <c r="I83" s="83">
        <f t="shared" si="12"/>
        <v>1225.0400000000002</v>
      </c>
      <c r="J83" s="83">
        <f t="shared" si="12"/>
        <v>1334.84</v>
      </c>
      <c r="K83" s="83">
        <f t="shared" si="12"/>
        <v>1416.2400000000002</v>
      </c>
      <c r="L83" s="83">
        <f t="shared" si="12"/>
        <v>1608.5400000000002</v>
      </c>
      <c r="M83" s="83">
        <f t="shared" si="12"/>
        <v>1637.74</v>
      </c>
      <c r="N83" s="83">
        <f t="shared" si="12"/>
        <v>1603.34</v>
      </c>
      <c r="O83" s="83">
        <f t="shared" si="12"/>
        <v>1480.7400000000002</v>
      </c>
      <c r="P83" s="83">
        <f t="shared" si="12"/>
        <v>1408.04</v>
      </c>
      <c r="Q83" s="83">
        <f t="shared" si="12"/>
        <v>1309.8850000000002</v>
      </c>
      <c r="R83" s="83">
        <f t="shared" si="12"/>
        <v>1273.04</v>
      </c>
      <c r="S83" s="83">
        <f t="shared" si="12"/>
        <v>1288.74</v>
      </c>
      <c r="T83" s="83">
        <f t="shared" si="12"/>
        <v>1321.6399999999999</v>
      </c>
      <c r="U83" s="83">
        <f t="shared" si="12"/>
        <v>1332.8400000000001</v>
      </c>
      <c r="V83" s="83">
        <f t="shared" si="12"/>
        <v>1372.7400000000002</v>
      </c>
      <c r="W83" s="83">
        <f t="shared" si="12"/>
        <v>1529.0400000000002</v>
      </c>
      <c r="X83" s="83">
        <v>1704.6399999999999</v>
      </c>
      <c r="Y83" s="83">
        <f t="shared" si="12"/>
        <v>1558.4400000000003</v>
      </c>
      <c r="Z83" s="83">
        <f t="shared" si="12"/>
        <v>1477.94</v>
      </c>
      <c r="AA83" s="83">
        <f t="shared" si="12"/>
        <v>1432.44</v>
      </c>
      <c r="AB83" s="83">
        <f t="shared" si="12"/>
        <v>1378.44</v>
      </c>
      <c r="AC83" s="83">
        <f t="shared" si="12"/>
        <v>1378.44</v>
      </c>
      <c r="AD83" s="83">
        <f t="shared" si="12"/>
        <v>1230.54</v>
      </c>
      <c r="AE83" s="83">
        <f t="shared" si="12"/>
        <v>1136.94</v>
      </c>
      <c r="AF83" s="83">
        <f t="shared" si="12"/>
        <v>1037.8400000000001</v>
      </c>
      <c r="AG83" s="62">
        <f t="shared" si="12"/>
        <v>2004.1900000000003</v>
      </c>
      <c r="AH83" s="48">
        <f>MAX(B83:AF83)</f>
        <v>1704.6399999999999</v>
      </c>
      <c r="AI83" s="49">
        <f>MIN(B83:AF83)</f>
        <v>984.74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>
        <v>49</v>
      </c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9"/>
        <v>49</v>
      </c>
      <c r="AI84" s="49">
        <f t="shared" si="10"/>
        <v>49</v>
      </c>
    </row>
    <row r="85" spans="1:37" ht="15.75" thickBot="1" x14ac:dyDescent="0.3">
      <c r="A85" s="74" t="s">
        <v>93</v>
      </c>
      <c r="B85" s="83">
        <f>B83+B84</f>
        <v>1082.6399999999999</v>
      </c>
      <c r="C85" s="83">
        <f t="shared" ref="C85:AF85" si="13">C83+C84</f>
        <v>1022.24</v>
      </c>
      <c r="D85" s="83">
        <f t="shared" si="13"/>
        <v>984.74</v>
      </c>
      <c r="E85" s="83">
        <f t="shared" si="13"/>
        <v>1000.5399999999998</v>
      </c>
      <c r="F85" s="83">
        <f t="shared" si="13"/>
        <v>993.24</v>
      </c>
      <c r="G85" s="83">
        <f t="shared" si="13"/>
        <v>1030.74</v>
      </c>
      <c r="H85" s="83">
        <f t="shared" si="13"/>
        <v>1135.3400000000001</v>
      </c>
      <c r="I85" s="83">
        <f t="shared" si="13"/>
        <v>1225.0400000000002</v>
      </c>
      <c r="J85" s="83">
        <f t="shared" si="13"/>
        <v>1334.84</v>
      </c>
      <c r="K85" s="83">
        <f t="shared" si="13"/>
        <v>1416.2400000000002</v>
      </c>
      <c r="L85" s="83">
        <f t="shared" si="13"/>
        <v>1657.5400000000002</v>
      </c>
      <c r="M85" s="83">
        <f t="shared" si="13"/>
        <v>1637.74</v>
      </c>
      <c r="N85" s="83">
        <f t="shared" si="13"/>
        <v>1603.34</v>
      </c>
      <c r="O85" s="83">
        <f t="shared" si="13"/>
        <v>1480.7400000000002</v>
      </c>
      <c r="P85" s="83">
        <f t="shared" si="13"/>
        <v>1408.04</v>
      </c>
      <c r="Q85" s="83">
        <f t="shared" si="13"/>
        <v>1309.8850000000002</v>
      </c>
      <c r="R85" s="83">
        <f t="shared" si="13"/>
        <v>1273.04</v>
      </c>
      <c r="S85" s="83">
        <f t="shared" si="13"/>
        <v>1288.74</v>
      </c>
      <c r="T85" s="83">
        <f t="shared" si="13"/>
        <v>1321.6399999999999</v>
      </c>
      <c r="U85" s="83">
        <f t="shared" si="13"/>
        <v>1332.8400000000001</v>
      </c>
      <c r="V85" s="83">
        <f t="shared" si="13"/>
        <v>1372.7400000000002</v>
      </c>
      <c r="W85" s="83">
        <f t="shared" si="13"/>
        <v>1529.0400000000002</v>
      </c>
      <c r="X85" s="83">
        <v>1704.6399999999999</v>
      </c>
      <c r="Y85" s="83">
        <f t="shared" si="13"/>
        <v>1558.4400000000003</v>
      </c>
      <c r="Z85" s="83">
        <f t="shared" si="13"/>
        <v>1477.94</v>
      </c>
      <c r="AA85" s="83">
        <f t="shared" si="13"/>
        <v>1432.44</v>
      </c>
      <c r="AB85" s="83">
        <f t="shared" si="13"/>
        <v>1378.44</v>
      </c>
      <c r="AC85" s="83">
        <f t="shared" si="13"/>
        <v>1378.44</v>
      </c>
      <c r="AD85" s="83">
        <f t="shared" si="13"/>
        <v>1230.54</v>
      </c>
      <c r="AE85" s="83">
        <f t="shared" si="13"/>
        <v>1136.94</v>
      </c>
      <c r="AF85" s="83">
        <f t="shared" si="13"/>
        <v>1037.8400000000001</v>
      </c>
      <c r="AG85" s="81">
        <f>AG82+AG78+AG66+AG62+AG44+AG84</f>
        <v>1466.0900000000001</v>
      </c>
      <c r="AH85" s="48">
        <f t="shared" si="9"/>
        <v>1704.6399999999999</v>
      </c>
      <c r="AI85" s="49">
        <f t="shared" si="10"/>
        <v>984.74</v>
      </c>
    </row>
    <row r="86" spans="1:37" ht="15.75" thickBot="1" x14ac:dyDescent="0.3">
      <c r="A86" s="74" t="s">
        <v>94</v>
      </c>
      <c r="B86" s="83">
        <f t="shared" ref="B86:AF86" si="14">B85-B93</f>
        <v>1082.6399999999999</v>
      </c>
      <c r="C86" s="83">
        <f t="shared" si="14"/>
        <v>1022.24</v>
      </c>
      <c r="D86" s="83">
        <f t="shared" si="14"/>
        <v>984.74</v>
      </c>
      <c r="E86" s="83">
        <f t="shared" si="14"/>
        <v>1000.5399999999998</v>
      </c>
      <c r="F86" s="83">
        <f t="shared" si="14"/>
        <v>993.24</v>
      </c>
      <c r="G86" s="83">
        <f t="shared" si="14"/>
        <v>1030.74</v>
      </c>
      <c r="H86" s="83">
        <f t="shared" si="14"/>
        <v>1135.3400000000001</v>
      </c>
      <c r="I86" s="83">
        <f t="shared" si="14"/>
        <v>1225.0400000000002</v>
      </c>
      <c r="J86" s="83">
        <f t="shared" si="14"/>
        <v>1334.84</v>
      </c>
      <c r="K86" s="83">
        <f t="shared" si="14"/>
        <v>1416.2400000000002</v>
      </c>
      <c r="L86" s="83">
        <f t="shared" si="14"/>
        <v>1657.5400000000002</v>
      </c>
      <c r="M86" s="83">
        <f t="shared" si="14"/>
        <v>1637.74</v>
      </c>
      <c r="N86" s="83">
        <f t="shared" si="14"/>
        <v>1603.34</v>
      </c>
      <c r="O86" s="83">
        <f t="shared" si="14"/>
        <v>1480.7400000000002</v>
      </c>
      <c r="P86" s="83">
        <f t="shared" si="14"/>
        <v>1408.04</v>
      </c>
      <c r="Q86" s="83">
        <f t="shared" si="14"/>
        <v>1309.8850000000002</v>
      </c>
      <c r="R86" s="83">
        <f t="shared" si="14"/>
        <v>1273.04</v>
      </c>
      <c r="S86" s="83">
        <f t="shared" si="14"/>
        <v>1288.74</v>
      </c>
      <c r="T86" s="83">
        <f t="shared" si="14"/>
        <v>1321.6399999999999</v>
      </c>
      <c r="U86" s="83">
        <f t="shared" si="14"/>
        <v>1332.8400000000001</v>
      </c>
      <c r="V86" s="83">
        <f t="shared" si="14"/>
        <v>1372.7400000000002</v>
      </c>
      <c r="W86" s="83">
        <f t="shared" si="14"/>
        <v>1529.0400000000002</v>
      </c>
      <c r="X86" s="83">
        <v>1704.6399999999999</v>
      </c>
      <c r="Y86" s="83">
        <f t="shared" si="14"/>
        <v>1508.4400000000003</v>
      </c>
      <c r="Z86" s="83">
        <f t="shared" si="14"/>
        <v>1477.94</v>
      </c>
      <c r="AA86" s="83">
        <f t="shared" si="14"/>
        <v>1432.44</v>
      </c>
      <c r="AB86" s="83">
        <f t="shared" si="14"/>
        <v>1378.44</v>
      </c>
      <c r="AC86" s="83">
        <f t="shared" si="14"/>
        <v>1378.44</v>
      </c>
      <c r="AD86" s="83">
        <f t="shared" si="14"/>
        <v>1230.54</v>
      </c>
      <c r="AE86" s="83">
        <f t="shared" si="14"/>
        <v>1136.94</v>
      </c>
      <c r="AF86" s="83">
        <f t="shared" si="14"/>
        <v>1037.8400000000001</v>
      </c>
      <c r="AG86" s="81"/>
      <c r="AH86" s="48">
        <f t="shared" si="9"/>
        <v>1704.6399999999999</v>
      </c>
      <c r="AI86" s="49">
        <f t="shared" si="10"/>
        <v>984.74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9"/>
        <v>0</v>
      </c>
      <c r="AI87" s="49">
        <f t="shared" si="10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9"/>
        <v>0</v>
      </c>
      <c r="AI88" s="49">
        <f t="shared" si="10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9"/>
        <v>0</v>
      </c>
      <c r="AI89" s="49">
        <f t="shared" si="10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9"/>
        <v>0</v>
      </c>
      <c r="AI90" s="49">
        <f t="shared" si="10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9"/>
        <v>0</v>
      </c>
      <c r="AI91" s="49">
        <f t="shared" si="10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9"/>
        <v>0</v>
      </c>
      <c r="AI92" s="49">
        <f t="shared" si="10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>
        <v>50</v>
      </c>
      <c r="Z93" s="61"/>
      <c r="AA93" s="61"/>
      <c r="AB93" s="61"/>
      <c r="AC93" s="61"/>
      <c r="AD93" s="61"/>
      <c r="AE93" s="61"/>
      <c r="AF93" s="61"/>
      <c r="AG93" s="81"/>
      <c r="AH93" s="48">
        <f t="shared" si="9"/>
        <v>50</v>
      </c>
      <c r="AI93" s="49">
        <f t="shared" si="10"/>
        <v>0</v>
      </c>
      <c r="AK93" s="50"/>
    </row>
    <row r="94" spans="1:37" ht="15.75" thickBot="1" x14ac:dyDescent="0.3">
      <c r="A94" s="74" t="s">
        <v>99</v>
      </c>
      <c r="B94" s="61">
        <f t="shared" ref="B94:AF94" si="15">B78-B93</f>
        <v>269</v>
      </c>
      <c r="C94" s="61">
        <f t="shared" si="15"/>
        <v>221</v>
      </c>
      <c r="D94" s="61">
        <f t="shared" si="15"/>
        <v>172</v>
      </c>
      <c r="E94" s="61">
        <f t="shared" si="15"/>
        <v>173.9</v>
      </c>
      <c r="F94" s="61">
        <f t="shared" si="15"/>
        <v>172.7</v>
      </c>
      <c r="G94" s="61">
        <f t="shared" si="15"/>
        <v>175.7</v>
      </c>
      <c r="H94" s="61">
        <f t="shared" si="15"/>
        <v>170.5</v>
      </c>
      <c r="I94" s="61">
        <f t="shared" si="15"/>
        <v>170.9</v>
      </c>
      <c r="J94" s="61">
        <f t="shared" si="15"/>
        <v>180.7</v>
      </c>
      <c r="K94" s="61">
        <f t="shared" si="15"/>
        <v>128.9</v>
      </c>
      <c r="L94" s="61">
        <f t="shared" si="15"/>
        <v>66.5</v>
      </c>
      <c r="M94" s="61">
        <f t="shared" si="15"/>
        <v>76.400000000000006</v>
      </c>
      <c r="N94" s="61">
        <f t="shared" si="15"/>
        <v>148</v>
      </c>
      <c r="O94" s="61">
        <f t="shared" si="15"/>
        <v>275.10000000000002</v>
      </c>
      <c r="P94" s="61">
        <f t="shared" si="15"/>
        <v>296.89999999999998</v>
      </c>
      <c r="Q94" s="61">
        <f t="shared" si="15"/>
        <v>366.85500000000002</v>
      </c>
      <c r="R94" s="61">
        <f t="shared" si="15"/>
        <v>362.8</v>
      </c>
      <c r="S94" s="61">
        <f t="shared" si="15"/>
        <v>363.59999999999997</v>
      </c>
      <c r="T94" s="61">
        <f t="shared" si="15"/>
        <v>364.5</v>
      </c>
      <c r="U94" s="61">
        <f t="shared" si="15"/>
        <v>370</v>
      </c>
      <c r="V94" s="61">
        <f t="shared" si="15"/>
        <v>204.1</v>
      </c>
      <c r="W94" s="61">
        <f t="shared" si="15"/>
        <v>136.19999999999999</v>
      </c>
      <c r="X94" s="61">
        <v>151.6</v>
      </c>
      <c r="Y94" s="61">
        <f t="shared" si="15"/>
        <v>19.900000000000006</v>
      </c>
      <c r="Z94" s="61">
        <f t="shared" si="15"/>
        <v>64.2</v>
      </c>
      <c r="AA94" s="61">
        <f t="shared" si="15"/>
        <v>64.2</v>
      </c>
      <c r="AB94" s="61">
        <f t="shared" si="15"/>
        <v>192.4</v>
      </c>
      <c r="AC94" s="61">
        <f t="shared" si="15"/>
        <v>192.4</v>
      </c>
      <c r="AD94" s="61">
        <f t="shared" si="15"/>
        <v>173</v>
      </c>
      <c r="AE94" s="61">
        <f t="shared" si="15"/>
        <v>191</v>
      </c>
      <c r="AF94" s="61">
        <f t="shared" si="15"/>
        <v>197.8</v>
      </c>
      <c r="AG94" s="81"/>
      <c r="AH94" s="48">
        <f t="shared" si="9"/>
        <v>370</v>
      </c>
      <c r="AI94" s="49">
        <f t="shared" si="10"/>
        <v>19.900000000000006</v>
      </c>
    </row>
    <row r="95" spans="1:37" x14ac:dyDescent="0.25">
      <c r="A95" s="88" t="s">
        <v>100</v>
      </c>
      <c r="B95" s="89">
        <v>50.06</v>
      </c>
      <c r="C95" s="89">
        <v>50.1</v>
      </c>
      <c r="D95" s="89">
        <v>50</v>
      </c>
      <c r="E95" s="89">
        <v>49.98</v>
      </c>
      <c r="F95" s="89">
        <v>50.2</v>
      </c>
      <c r="G95" s="89">
        <v>50.04</v>
      </c>
      <c r="H95" s="89">
        <v>50.01</v>
      </c>
      <c r="I95" s="89">
        <v>50.01</v>
      </c>
      <c r="J95" s="89">
        <v>50.5</v>
      </c>
      <c r="K95" s="89">
        <v>50.2</v>
      </c>
      <c r="L95" s="89">
        <v>49.9</v>
      </c>
      <c r="M95" s="89">
        <v>50.042000000000002</v>
      </c>
      <c r="N95" s="89">
        <v>50.002000000000002</v>
      </c>
      <c r="O95" s="89">
        <v>50.055</v>
      </c>
      <c r="P95" s="89">
        <v>49.875999999999998</v>
      </c>
      <c r="Q95" s="89">
        <v>49.854999999999997</v>
      </c>
      <c r="R95" s="89">
        <v>49.902999999999999</v>
      </c>
      <c r="S95" s="89">
        <v>49.97</v>
      </c>
      <c r="T95" s="89">
        <v>50.04</v>
      </c>
      <c r="U95" s="89">
        <v>49.95</v>
      </c>
      <c r="V95" s="89">
        <v>49.84</v>
      </c>
      <c r="W95" s="89">
        <v>49.88</v>
      </c>
      <c r="X95" s="89">
        <v>50.1</v>
      </c>
      <c r="Y95" s="89">
        <v>49.88</v>
      </c>
      <c r="Z95" s="89">
        <v>49.997999999999998</v>
      </c>
      <c r="AA95" s="89">
        <v>50.08</v>
      </c>
      <c r="AB95" s="89">
        <v>49.99</v>
      </c>
      <c r="AC95" s="89">
        <v>49.932000000000002</v>
      </c>
      <c r="AD95" s="89">
        <v>49.999000000000002</v>
      </c>
      <c r="AE95" s="89">
        <v>50.116</v>
      </c>
      <c r="AF95" s="89">
        <v>49.868000000000002</v>
      </c>
      <c r="AG95" s="90"/>
      <c r="AH95" s="48">
        <f t="shared" si="9"/>
        <v>50.5</v>
      </c>
      <c r="AI95" s="49">
        <f t="shared" si="10"/>
        <v>49.84</v>
      </c>
    </row>
    <row r="96" spans="1:37" x14ac:dyDescent="0.25">
      <c r="A96" s="91" t="s">
        <v>101</v>
      </c>
      <c r="B96" s="65">
        <v>129</v>
      </c>
      <c r="C96" s="65">
        <v>129</v>
      </c>
      <c r="D96" s="65">
        <v>129</v>
      </c>
      <c r="E96" s="65">
        <v>128.5</v>
      </c>
      <c r="F96" s="65">
        <v>129.4</v>
      </c>
      <c r="G96" s="65">
        <v>129.5</v>
      </c>
      <c r="H96" s="65">
        <v>127</v>
      </c>
      <c r="I96" s="65">
        <v>127</v>
      </c>
      <c r="J96" s="65">
        <v>126.6</v>
      </c>
      <c r="K96" s="65">
        <v>126.6</v>
      </c>
      <c r="L96" s="65">
        <v>126.2</v>
      </c>
      <c r="M96" s="65">
        <v>125.3</v>
      </c>
      <c r="N96" s="65">
        <v>125.4</v>
      </c>
      <c r="O96" s="65">
        <v>125.4</v>
      </c>
      <c r="P96" s="65">
        <v>126</v>
      </c>
      <c r="Q96" s="65">
        <v>123</v>
      </c>
      <c r="R96" s="65">
        <v>124.7</v>
      </c>
      <c r="S96" s="65">
        <v>124</v>
      </c>
      <c r="T96" s="65">
        <v>125.4</v>
      </c>
      <c r="U96" s="65">
        <v>126.1</v>
      </c>
      <c r="V96" s="65">
        <v>127.1</v>
      </c>
      <c r="W96" s="65">
        <v>126.1</v>
      </c>
      <c r="X96" s="65">
        <v>124.1</v>
      </c>
      <c r="Y96" s="65">
        <v>127.3</v>
      </c>
      <c r="Z96" s="65">
        <v>128.5</v>
      </c>
      <c r="AA96" s="65">
        <v>128.6</v>
      </c>
      <c r="AB96" s="65">
        <v>129.5</v>
      </c>
      <c r="AC96" s="65">
        <v>129.5</v>
      </c>
      <c r="AD96" s="65">
        <v>130.69999999999999</v>
      </c>
      <c r="AE96" s="65">
        <v>130.5</v>
      </c>
      <c r="AF96" s="65">
        <v>129.4</v>
      </c>
      <c r="AG96" s="92"/>
      <c r="AH96" s="48">
        <f t="shared" si="9"/>
        <v>130.69999999999999</v>
      </c>
      <c r="AI96" s="49">
        <f t="shared" si="10"/>
        <v>123</v>
      </c>
    </row>
    <row r="97" spans="1:35" x14ac:dyDescent="0.25">
      <c r="A97" s="91" t="s">
        <v>102</v>
      </c>
      <c r="B97" s="65">
        <v>133</v>
      </c>
      <c r="C97" s="65">
        <v>133</v>
      </c>
      <c r="D97" s="65">
        <v>133</v>
      </c>
      <c r="E97" s="65">
        <v>133.19999999999999</v>
      </c>
      <c r="F97" s="65">
        <v>133.5</v>
      </c>
      <c r="G97" s="65">
        <v>129.5</v>
      </c>
      <c r="H97" s="65">
        <v>130.69999999999999</v>
      </c>
      <c r="I97" s="65">
        <v>130.69999999999999</v>
      </c>
      <c r="J97" s="65">
        <v>130</v>
      </c>
      <c r="K97" s="65">
        <v>130</v>
      </c>
      <c r="L97" s="65">
        <v>128.69999999999999</v>
      </c>
      <c r="M97" s="65">
        <v>128.4</v>
      </c>
      <c r="N97" s="65">
        <v>127.3</v>
      </c>
      <c r="O97" s="65">
        <v>127.2</v>
      </c>
      <c r="P97" s="65">
        <v>128</v>
      </c>
      <c r="Q97" s="65">
        <v>125</v>
      </c>
      <c r="R97" s="65">
        <v>125.4</v>
      </c>
      <c r="S97" s="65">
        <v>125.4</v>
      </c>
      <c r="T97" s="65">
        <v>127.5</v>
      </c>
      <c r="U97" s="65">
        <v>128.5</v>
      </c>
      <c r="V97" s="65">
        <v>128.9</v>
      </c>
      <c r="W97" s="65">
        <v>126.1</v>
      </c>
      <c r="X97" s="65">
        <v>128.30000000000001</v>
      </c>
      <c r="Y97" s="65">
        <v>128.69999999999999</v>
      </c>
      <c r="Z97" s="65">
        <v>129.9</v>
      </c>
      <c r="AA97" s="65">
        <v>130.30000000000001</v>
      </c>
      <c r="AB97" s="65">
        <v>131.19999999999999</v>
      </c>
      <c r="AC97" s="65">
        <v>131.19999999999999</v>
      </c>
      <c r="AD97" s="65">
        <v>132.4</v>
      </c>
      <c r="AE97" s="65">
        <v>132.9</v>
      </c>
      <c r="AF97" s="65">
        <v>132.4</v>
      </c>
      <c r="AG97" s="92"/>
      <c r="AH97" s="48">
        <f t="shared" si="9"/>
        <v>133.5</v>
      </c>
      <c r="AI97" s="49">
        <f t="shared" si="10"/>
        <v>125</v>
      </c>
    </row>
    <row r="98" spans="1:35" x14ac:dyDescent="0.25">
      <c r="A98" s="91" t="s">
        <v>103</v>
      </c>
      <c r="B98" s="65">
        <v>133</v>
      </c>
      <c r="C98" s="65">
        <v>130</v>
      </c>
      <c r="D98" s="65">
        <v>130</v>
      </c>
      <c r="E98" s="65">
        <v>130.69999999999999</v>
      </c>
      <c r="F98" s="65">
        <v>131</v>
      </c>
      <c r="G98" s="65">
        <v>130.80000000000001</v>
      </c>
      <c r="H98" s="65">
        <v>126.7</v>
      </c>
      <c r="I98" s="65">
        <v>126.7</v>
      </c>
      <c r="J98" s="65">
        <v>126.6</v>
      </c>
      <c r="K98" s="65">
        <v>126.6</v>
      </c>
      <c r="L98" s="65">
        <v>127.2</v>
      </c>
      <c r="M98" s="65">
        <v>127.4</v>
      </c>
      <c r="N98" s="65">
        <v>129.69999999999999</v>
      </c>
      <c r="O98" s="65">
        <v>129.69999999999999</v>
      </c>
      <c r="P98" s="65">
        <v>129</v>
      </c>
      <c r="Q98" s="65">
        <v>131.6</v>
      </c>
      <c r="R98" s="65">
        <v>130.4</v>
      </c>
      <c r="S98" s="65">
        <v>130.4</v>
      </c>
      <c r="T98" s="65">
        <v>129.19999999999999</v>
      </c>
      <c r="U98" s="65">
        <v>129.69999999999999</v>
      </c>
      <c r="V98" s="65">
        <v>129.1</v>
      </c>
      <c r="W98" s="65">
        <v>125.8</v>
      </c>
      <c r="X98" s="65">
        <v>131.19999999999999</v>
      </c>
      <c r="Y98" s="65">
        <v>130.5</v>
      </c>
      <c r="Z98" s="65">
        <v>132.19999999999999</v>
      </c>
      <c r="AA98" s="65">
        <v>132.5</v>
      </c>
      <c r="AB98" s="65">
        <v>130.30000000000001</v>
      </c>
      <c r="AC98" s="65">
        <v>130.30000000000001</v>
      </c>
      <c r="AD98" s="65">
        <v>130.1</v>
      </c>
      <c r="AE98" s="65">
        <v>130.5</v>
      </c>
      <c r="AF98" s="65">
        <v>130.69999999999999</v>
      </c>
      <c r="AG98" s="92"/>
      <c r="AH98" s="48">
        <f t="shared" si="9"/>
        <v>133</v>
      </c>
      <c r="AI98" s="49">
        <f t="shared" si="10"/>
        <v>125.8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9"/>
        <v>0</v>
      </c>
      <c r="AI99" s="49">
        <f t="shared" si="10"/>
        <v>0</v>
      </c>
    </row>
    <row r="100" spans="1:35" x14ac:dyDescent="0.25">
      <c r="A100" s="93" t="s">
        <v>105</v>
      </c>
      <c r="B100" s="94">
        <v>135</v>
      </c>
      <c r="C100" s="94">
        <v>134</v>
      </c>
      <c r="D100" s="94">
        <v>134</v>
      </c>
      <c r="E100" s="94">
        <v>134</v>
      </c>
      <c r="F100" s="94">
        <v>132.5</v>
      </c>
      <c r="G100" s="94">
        <v>133.6</v>
      </c>
      <c r="H100" s="94">
        <v>132.6</v>
      </c>
      <c r="I100" s="94">
        <v>132.6</v>
      </c>
      <c r="J100" s="94">
        <v>131.1</v>
      </c>
      <c r="K100" s="94">
        <v>131.1</v>
      </c>
      <c r="L100" s="94">
        <v>131.19999999999999</v>
      </c>
      <c r="M100" s="94">
        <v>131.4</v>
      </c>
      <c r="N100" s="94">
        <v>134.30000000000001</v>
      </c>
      <c r="O100" s="94">
        <v>133.19999999999999</v>
      </c>
      <c r="P100" s="94">
        <v>133</v>
      </c>
      <c r="Q100" s="94">
        <v>138</v>
      </c>
      <c r="R100" s="94">
        <v>131</v>
      </c>
      <c r="S100" s="94">
        <v>131</v>
      </c>
      <c r="T100" s="94">
        <v>131</v>
      </c>
      <c r="U100" s="94">
        <v>134</v>
      </c>
      <c r="V100" s="94">
        <v>133.19999999999999</v>
      </c>
      <c r="W100" s="94">
        <v>131.9</v>
      </c>
      <c r="X100" s="94">
        <v>134.1</v>
      </c>
      <c r="Y100" s="94">
        <v>134.5</v>
      </c>
      <c r="Z100" s="94">
        <v>134.1</v>
      </c>
      <c r="AA100" s="94">
        <v>134</v>
      </c>
      <c r="AB100" s="94">
        <v>134.1</v>
      </c>
      <c r="AC100" s="94">
        <v>134.1</v>
      </c>
      <c r="AD100" s="94">
        <v>135</v>
      </c>
      <c r="AE100" s="94">
        <v>135.5</v>
      </c>
      <c r="AF100" s="94">
        <v>135.19999999999999</v>
      </c>
      <c r="AG100" s="95"/>
      <c r="AH100" s="48">
        <f t="shared" si="9"/>
        <v>138</v>
      </c>
      <c r="AI100" s="49">
        <f t="shared" si="10"/>
        <v>131</v>
      </c>
    </row>
    <row r="101" spans="1:35" x14ac:dyDescent="0.25">
      <c r="A101" s="91" t="s">
        <v>106</v>
      </c>
      <c r="B101" s="65">
        <v>129</v>
      </c>
      <c r="C101" s="65">
        <v>132</v>
      </c>
      <c r="D101" s="65">
        <v>132</v>
      </c>
      <c r="E101" s="65">
        <v>132.19999999999999</v>
      </c>
      <c r="F101" s="65">
        <v>133.4</v>
      </c>
      <c r="G101" s="65">
        <v>128.30000000000001</v>
      </c>
      <c r="H101" s="65">
        <v>131.19999999999999</v>
      </c>
      <c r="I101" s="65">
        <v>131.19999999999999</v>
      </c>
      <c r="J101" s="65">
        <v>133.4</v>
      </c>
      <c r="K101" s="65">
        <v>133.4</v>
      </c>
      <c r="L101" s="65">
        <v>125.4</v>
      </c>
      <c r="M101" s="65">
        <v>127.7</v>
      </c>
      <c r="N101" s="65">
        <v>128.19999999999999</v>
      </c>
      <c r="O101" s="65">
        <v>126.8</v>
      </c>
      <c r="P101" s="65">
        <v>131</v>
      </c>
      <c r="Q101" s="65">
        <v>130</v>
      </c>
      <c r="R101" s="65">
        <v>127.9</v>
      </c>
      <c r="S101" s="65">
        <v>127.9</v>
      </c>
      <c r="T101" s="65">
        <v>126.6</v>
      </c>
      <c r="U101" s="65">
        <v>128.4</v>
      </c>
      <c r="V101" s="65">
        <v>131.69999999999999</v>
      </c>
      <c r="W101" s="65">
        <v>137.19999999999999</v>
      </c>
      <c r="X101" s="65">
        <v>136.19999999999999</v>
      </c>
      <c r="Y101" s="65">
        <v>135.69999999999999</v>
      </c>
      <c r="Z101" s="65">
        <v>133.9</v>
      </c>
      <c r="AA101" s="65">
        <v>134.4</v>
      </c>
      <c r="AB101" s="65">
        <v>134.30000000000001</v>
      </c>
      <c r="AC101" s="65">
        <v>134.30000000000001</v>
      </c>
      <c r="AD101" s="65">
        <v>136.5</v>
      </c>
      <c r="AE101" s="65">
        <v>135.80000000000001</v>
      </c>
      <c r="AF101" s="65">
        <v>129.69999999999999</v>
      </c>
      <c r="AG101" s="92"/>
      <c r="AH101" s="48">
        <f t="shared" si="9"/>
        <v>137.19999999999999</v>
      </c>
      <c r="AI101" s="49">
        <f t="shared" si="10"/>
        <v>125.4</v>
      </c>
    </row>
    <row r="102" spans="1:35" ht="15.75" thickBot="1" x14ac:dyDescent="0.3">
      <c r="A102" s="91" t="s">
        <v>107</v>
      </c>
      <c r="B102" s="96">
        <v>66.900000000000006</v>
      </c>
      <c r="C102" s="96">
        <v>67</v>
      </c>
      <c r="D102" s="96">
        <v>67</v>
      </c>
      <c r="E102" s="96">
        <v>66.8</v>
      </c>
      <c r="F102" s="96">
        <v>67.099999999999994</v>
      </c>
      <c r="G102" s="96">
        <v>66.8</v>
      </c>
      <c r="H102" s="96">
        <v>65.7</v>
      </c>
      <c r="I102" s="96">
        <v>65.7</v>
      </c>
      <c r="J102" s="96">
        <v>65.5</v>
      </c>
      <c r="K102" s="96">
        <v>65.5</v>
      </c>
      <c r="L102" s="96">
        <v>64.5</v>
      </c>
      <c r="M102" s="96">
        <v>64.3</v>
      </c>
      <c r="N102" s="96">
        <v>63.7</v>
      </c>
      <c r="O102" s="96">
        <v>63.7</v>
      </c>
      <c r="P102" s="96">
        <v>64</v>
      </c>
      <c r="Q102" s="96">
        <v>62.6</v>
      </c>
      <c r="R102" s="96">
        <v>62.5</v>
      </c>
      <c r="S102" s="96">
        <v>62.5</v>
      </c>
      <c r="T102" s="96">
        <v>63.9</v>
      </c>
      <c r="U102" s="96">
        <v>64.400000000000006</v>
      </c>
      <c r="V102" s="96">
        <v>64.5</v>
      </c>
      <c r="W102" s="96">
        <v>63.6</v>
      </c>
      <c r="X102" s="96">
        <v>63.7</v>
      </c>
      <c r="Y102" s="96">
        <v>63.9</v>
      </c>
      <c r="Z102" s="96">
        <v>64.7</v>
      </c>
      <c r="AA102" s="96">
        <v>65</v>
      </c>
      <c r="AB102" s="96">
        <v>65.400000000000006</v>
      </c>
      <c r="AC102" s="96">
        <v>65.400000000000006</v>
      </c>
      <c r="AD102" s="96">
        <v>66.400000000000006</v>
      </c>
      <c r="AE102" s="96">
        <v>66.8</v>
      </c>
      <c r="AF102" s="96">
        <v>66.8</v>
      </c>
      <c r="AG102" s="97"/>
      <c r="AH102" s="48">
        <f t="shared" si="9"/>
        <v>67.099999999999994</v>
      </c>
      <c r="AI102" s="49">
        <f t="shared" si="10"/>
        <v>62.5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9"/>
        <v>0</v>
      </c>
      <c r="AI103" s="49">
        <f t="shared" si="10"/>
        <v>0</v>
      </c>
    </row>
    <row r="104" spans="1:35" ht="15.75" thickBot="1" x14ac:dyDescent="0.3">
      <c r="A104" s="99" t="s">
        <v>108</v>
      </c>
      <c r="B104" s="100">
        <f t="shared" ref="B104:AF104" si="16">SUM(B16,B22,B25:B26,B52,B54:B55,B57,B59,B105:B109,B131,B137,B143,B152,B154,B166,B173,B176:B177,B184,B186,B188,B192:B194,B196:B198,B203,B209:B210,B212:B214,B222,B227)</f>
        <v>102.19999999999996</v>
      </c>
      <c r="C104" s="100">
        <f t="shared" si="16"/>
        <v>105.83999999999997</v>
      </c>
      <c r="D104" s="100">
        <f t="shared" si="16"/>
        <v>102.63999999999999</v>
      </c>
      <c r="E104" s="100">
        <f t="shared" si="16"/>
        <v>100.83999999999999</v>
      </c>
      <c r="F104" s="100">
        <f t="shared" si="16"/>
        <v>107.13999999999997</v>
      </c>
      <c r="G104" s="100">
        <f t="shared" si="16"/>
        <v>134.23999999999998</v>
      </c>
      <c r="H104" s="100">
        <f t="shared" si="16"/>
        <v>165.14</v>
      </c>
      <c r="I104" s="100">
        <f t="shared" si="16"/>
        <v>165.14</v>
      </c>
      <c r="J104" s="100">
        <f t="shared" si="16"/>
        <v>236.04</v>
      </c>
      <c r="K104" s="100">
        <f t="shared" si="16"/>
        <v>318.03999999999996</v>
      </c>
      <c r="L104" s="100">
        <f t="shared" si="16"/>
        <v>332.94</v>
      </c>
      <c r="M104" s="100">
        <f t="shared" si="16"/>
        <v>336.03999999999996</v>
      </c>
      <c r="N104" s="100">
        <f t="shared" si="16"/>
        <v>290.44</v>
      </c>
      <c r="O104" s="100">
        <f t="shared" si="16"/>
        <v>268.14</v>
      </c>
      <c r="P104" s="100">
        <v>42</v>
      </c>
      <c r="Q104" s="100">
        <f t="shared" si="16"/>
        <v>278.2</v>
      </c>
      <c r="R104" s="100">
        <f t="shared" si="16"/>
        <v>260.59999999999997</v>
      </c>
      <c r="S104" s="100">
        <f t="shared" si="16"/>
        <v>260.59999999999997</v>
      </c>
      <c r="T104" s="100">
        <f t="shared" si="16"/>
        <v>263.2</v>
      </c>
      <c r="U104" s="100">
        <f t="shared" si="16"/>
        <v>281.2</v>
      </c>
      <c r="V104" s="100">
        <f t="shared" si="16"/>
        <v>298.90000000000003</v>
      </c>
      <c r="W104" s="100">
        <f t="shared" si="16"/>
        <v>335.5</v>
      </c>
      <c r="X104" s="100">
        <v>390.59708333333339</v>
      </c>
      <c r="Y104" s="100">
        <f t="shared" si="16"/>
        <v>351.5</v>
      </c>
      <c r="Z104" s="100">
        <f t="shared" si="16"/>
        <v>410.6</v>
      </c>
      <c r="AA104" s="100">
        <f t="shared" si="16"/>
        <v>355.9</v>
      </c>
      <c r="AB104" s="100">
        <f t="shared" si="16"/>
        <v>345</v>
      </c>
      <c r="AC104" s="100">
        <f t="shared" si="16"/>
        <v>345</v>
      </c>
      <c r="AD104" s="100">
        <f t="shared" si="16"/>
        <v>291.50000000000006</v>
      </c>
      <c r="AE104" s="100">
        <f t="shared" si="16"/>
        <v>205.60000000000002</v>
      </c>
      <c r="AF104" s="100">
        <f t="shared" si="16"/>
        <v>153.70000000000002</v>
      </c>
      <c r="AG104" s="101"/>
      <c r="AH104" s="48">
        <f t="shared" si="9"/>
        <v>410.6</v>
      </c>
      <c r="AI104" s="49">
        <f t="shared" si="10"/>
        <v>42</v>
      </c>
    </row>
    <row r="105" spans="1:35" x14ac:dyDescent="0.25">
      <c r="A105" s="88" t="s">
        <v>109</v>
      </c>
      <c r="B105" s="102">
        <v>7.7</v>
      </c>
      <c r="C105" s="102">
        <v>16.5</v>
      </c>
      <c r="D105" s="102">
        <v>12</v>
      </c>
      <c r="E105" s="102">
        <v>8.3000000000000007</v>
      </c>
      <c r="F105" s="102">
        <v>8.1999999999999993</v>
      </c>
      <c r="G105" s="102">
        <v>9</v>
      </c>
      <c r="H105" s="102">
        <v>23.5</v>
      </c>
      <c r="I105" s="102">
        <v>23.5</v>
      </c>
      <c r="J105" s="102">
        <v>14.3</v>
      </c>
      <c r="K105" s="102">
        <v>18</v>
      </c>
      <c r="L105" s="102">
        <v>23.2</v>
      </c>
      <c r="M105" s="102">
        <v>23.6</v>
      </c>
      <c r="N105" s="102">
        <v>45.9</v>
      </c>
      <c r="O105" s="102">
        <v>42.1</v>
      </c>
      <c r="P105" s="102">
        <v>39.6</v>
      </c>
      <c r="Q105" s="102">
        <v>45.7</v>
      </c>
      <c r="R105" s="102">
        <v>35.700000000000003</v>
      </c>
      <c r="S105" s="102">
        <v>35.700000000000003</v>
      </c>
      <c r="T105" s="102">
        <v>34.799999999999997</v>
      </c>
      <c r="U105" s="102">
        <v>32.5</v>
      </c>
      <c r="V105" s="102">
        <v>48.2</v>
      </c>
      <c r="W105" s="102">
        <v>46.9</v>
      </c>
      <c r="X105" s="102">
        <v>22.9</v>
      </c>
      <c r="Y105" s="102">
        <v>34.4</v>
      </c>
      <c r="Z105" s="102">
        <v>39.4</v>
      </c>
      <c r="AA105" s="102">
        <v>44.9</v>
      </c>
      <c r="AB105" s="102">
        <v>39.1</v>
      </c>
      <c r="AC105" s="102">
        <v>39.1</v>
      </c>
      <c r="AD105" s="102">
        <v>30.3</v>
      </c>
      <c r="AE105" s="102">
        <v>23.3</v>
      </c>
      <c r="AF105" s="102">
        <v>15.3</v>
      </c>
      <c r="AG105" s="103">
        <v>75</v>
      </c>
      <c r="AH105" s="48">
        <f t="shared" si="9"/>
        <v>48.2</v>
      </c>
      <c r="AI105" s="49">
        <f t="shared" si="10"/>
        <v>7.7</v>
      </c>
    </row>
    <row r="106" spans="1:35" x14ac:dyDescent="0.25">
      <c r="A106" s="91" t="s">
        <v>110</v>
      </c>
      <c r="B106" s="104">
        <v>17.7</v>
      </c>
      <c r="C106" s="104">
        <v>22.7</v>
      </c>
      <c r="D106" s="104">
        <v>17</v>
      </c>
      <c r="E106" s="104">
        <v>12.5</v>
      </c>
      <c r="F106" s="104">
        <v>12.5</v>
      </c>
      <c r="G106" s="104">
        <v>17.7</v>
      </c>
      <c r="H106" s="104">
        <v>38.1</v>
      </c>
      <c r="I106" s="104">
        <v>38.1</v>
      </c>
      <c r="J106" s="104">
        <v>25.5</v>
      </c>
      <c r="K106" s="104">
        <v>35</v>
      </c>
      <c r="L106" s="104">
        <v>34.4</v>
      </c>
      <c r="M106" s="104">
        <v>34.5</v>
      </c>
      <c r="N106" s="104">
        <v>64.900000000000006</v>
      </c>
      <c r="O106" s="104">
        <v>58.9</v>
      </c>
      <c r="P106" s="104">
        <v>57</v>
      </c>
      <c r="Q106" s="104">
        <v>65.7</v>
      </c>
      <c r="R106" s="104">
        <v>52.7</v>
      </c>
      <c r="S106" s="104">
        <v>52.7</v>
      </c>
      <c r="T106" s="104">
        <v>48.7</v>
      </c>
      <c r="U106" s="104">
        <v>48.2</v>
      </c>
      <c r="V106" s="104">
        <v>69.3</v>
      </c>
      <c r="W106" s="104">
        <v>63.6</v>
      </c>
      <c r="X106" s="104">
        <v>27.3</v>
      </c>
      <c r="Y106" s="104">
        <v>44.1</v>
      </c>
      <c r="Z106" s="104">
        <v>51.8</v>
      </c>
      <c r="AA106" s="104">
        <v>60.7</v>
      </c>
      <c r="AB106" s="104">
        <v>52.1</v>
      </c>
      <c r="AC106" s="104">
        <v>52.1</v>
      </c>
      <c r="AD106" s="104">
        <v>40.700000000000003</v>
      </c>
      <c r="AE106" s="104">
        <v>32.1</v>
      </c>
      <c r="AF106" s="104">
        <v>26.7</v>
      </c>
      <c r="AG106" s="103">
        <v>240</v>
      </c>
      <c r="AH106" s="48">
        <f t="shared" si="9"/>
        <v>69.3</v>
      </c>
      <c r="AI106" s="49">
        <f t="shared" si="10"/>
        <v>12.5</v>
      </c>
    </row>
    <row r="107" spans="1:35" x14ac:dyDescent="0.25">
      <c r="A107" s="91" t="s">
        <v>111</v>
      </c>
      <c r="B107" s="104">
        <f>-41-44</f>
        <v>-85</v>
      </c>
      <c r="C107" s="104">
        <v>-90</v>
      </c>
      <c r="D107" s="104">
        <v>-88</v>
      </c>
      <c r="E107" s="104">
        <f>-43.7-46.7</f>
        <v>-90.4</v>
      </c>
      <c r="F107" s="104">
        <f>-39.8-42.5</f>
        <v>-82.3</v>
      </c>
      <c r="G107" s="104">
        <f>-32.9-35</f>
        <v>-67.900000000000006</v>
      </c>
      <c r="H107" s="104">
        <f>-36-38.6</f>
        <v>-74.599999999999994</v>
      </c>
      <c r="I107" s="104">
        <f t="shared" ref="I107" si="17">-36-38.6</f>
        <v>-74.599999999999994</v>
      </c>
      <c r="J107" s="104">
        <f>-33.8-26</f>
        <v>-59.8</v>
      </c>
      <c r="K107" s="104">
        <f>-30.4-0</f>
        <v>-30.4</v>
      </c>
      <c r="L107" s="104">
        <f>-29.1+1.5</f>
        <v>-27.6</v>
      </c>
      <c r="M107" s="104">
        <v>-28</v>
      </c>
      <c r="N107" s="104">
        <v>-24</v>
      </c>
      <c r="O107" s="104">
        <v>-27</v>
      </c>
      <c r="P107" s="104">
        <v>11</v>
      </c>
      <c r="Q107" s="104">
        <v>12</v>
      </c>
      <c r="R107" s="104">
        <v>19.2</v>
      </c>
      <c r="S107" s="104">
        <v>19.2</v>
      </c>
      <c r="T107" s="104">
        <f>-6.3+9.6</f>
        <v>3.3</v>
      </c>
      <c r="U107" s="104">
        <f>-24-9.1</f>
        <v>-33.1</v>
      </c>
      <c r="V107" s="104">
        <f>-34.8-13.1</f>
        <v>-47.9</v>
      </c>
      <c r="W107" s="104">
        <f>-37.1-6.4</f>
        <v>-43.5</v>
      </c>
      <c r="X107" s="104">
        <v>-31.9</v>
      </c>
      <c r="Y107" s="104">
        <f>-16.5-13.8</f>
        <v>-30.3</v>
      </c>
      <c r="Z107" s="104">
        <f>11.2+4.1</f>
        <v>15.299999999999999</v>
      </c>
      <c r="AA107" s="104">
        <f>-34.8-4</f>
        <v>-38.799999999999997</v>
      </c>
      <c r="AB107" s="104">
        <v>1.5</v>
      </c>
      <c r="AC107" s="104">
        <v>1.5</v>
      </c>
      <c r="AD107" s="104">
        <v>1.4</v>
      </c>
      <c r="AE107" s="104">
        <v>-18</v>
      </c>
      <c r="AF107" s="104">
        <v>-64</v>
      </c>
      <c r="AG107" s="103">
        <v>240</v>
      </c>
      <c r="AH107" s="48">
        <f t="shared" si="9"/>
        <v>19.2</v>
      </c>
      <c r="AI107" s="49">
        <f t="shared" si="10"/>
        <v>-90.4</v>
      </c>
    </row>
    <row r="108" spans="1:35" x14ac:dyDescent="0.25">
      <c r="A108" s="91" t="s">
        <v>112</v>
      </c>
      <c r="B108" s="104">
        <v>1.1000000000000001</v>
      </c>
      <c r="C108" s="104">
        <v>-6</v>
      </c>
      <c r="D108" s="104">
        <v>-4</v>
      </c>
      <c r="E108" s="104">
        <v>-4.5</v>
      </c>
      <c r="F108" s="104">
        <v>-5.9</v>
      </c>
      <c r="G108" s="104">
        <v>-2.6</v>
      </c>
      <c r="H108" s="104">
        <v>-0.7</v>
      </c>
      <c r="I108" s="104">
        <v>-0.7</v>
      </c>
      <c r="J108" s="104">
        <v>32.799999999999997</v>
      </c>
      <c r="K108" s="104">
        <v>49.8</v>
      </c>
      <c r="L108" s="104">
        <v>52.6</v>
      </c>
      <c r="M108" s="104">
        <v>49.3</v>
      </c>
      <c r="N108" s="104">
        <v>64</v>
      </c>
      <c r="O108" s="104">
        <v>52.5</v>
      </c>
      <c r="P108" s="104">
        <v>43.7</v>
      </c>
      <c r="Q108" s="104">
        <v>14.1</v>
      </c>
      <c r="R108" s="104">
        <v>12.3</v>
      </c>
      <c r="S108" s="104">
        <v>12.3</v>
      </c>
      <c r="T108" s="104">
        <v>35.700000000000003</v>
      </c>
      <c r="U108" s="104">
        <v>28.6</v>
      </c>
      <c r="V108" s="104">
        <v>53.1</v>
      </c>
      <c r="W108" s="104">
        <v>57.2</v>
      </c>
      <c r="X108" s="104">
        <v>66.099999999999994</v>
      </c>
      <c r="Y108" s="104">
        <v>65</v>
      </c>
      <c r="Z108" s="104">
        <v>63</v>
      </c>
      <c r="AA108" s="104">
        <v>61.4</v>
      </c>
      <c r="AB108" s="104">
        <v>47.4</v>
      </c>
      <c r="AC108" s="104">
        <v>47.4</v>
      </c>
      <c r="AD108" s="104">
        <v>43.2</v>
      </c>
      <c r="AE108" s="104">
        <v>27.9</v>
      </c>
      <c r="AF108" s="104">
        <v>3.4</v>
      </c>
      <c r="AG108" s="103">
        <v>60</v>
      </c>
      <c r="AH108" s="48">
        <f t="shared" si="9"/>
        <v>66.099999999999994</v>
      </c>
      <c r="AI108" s="49">
        <f t="shared" si="10"/>
        <v>-6</v>
      </c>
    </row>
    <row r="109" spans="1:35" x14ac:dyDescent="0.25">
      <c r="A109" s="105" t="s">
        <v>113</v>
      </c>
      <c r="B109" s="106">
        <v>26</v>
      </c>
      <c r="C109" s="106">
        <v>27</v>
      </c>
      <c r="D109" s="106">
        <v>30</v>
      </c>
      <c r="E109" s="106">
        <v>39.299999999999997</v>
      </c>
      <c r="F109" s="106">
        <v>39</v>
      </c>
      <c r="G109" s="106">
        <v>42.4</v>
      </c>
      <c r="H109" s="106">
        <v>43.2</v>
      </c>
      <c r="I109" s="106">
        <v>43.2</v>
      </c>
      <c r="J109" s="106">
        <v>87.6</v>
      </c>
      <c r="K109" s="106">
        <v>110</v>
      </c>
      <c r="L109" s="106">
        <v>114.7</v>
      </c>
      <c r="M109" s="106">
        <v>117</v>
      </c>
      <c r="N109" s="106">
        <v>0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64.3</v>
      </c>
      <c r="V109" s="106">
        <v>41.8</v>
      </c>
      <c r="W109" s="106">
        <v>76.900000000000006</v>
      </c>
      <c r="X109" s="106">
        <v>86.2</v>
      </c>
      <c r="Y109" s="106">
        <v>103.9</v>
      </c>
      <c r="Z109" s="106">
        <v>105</v>
      </c>
      <c r="AA109" s="106">
        <v>91.6</v>
      </c>
      <c r="AB109" s="106">
        <v>68.8</v>
      </c>
      <c r="AC109" s="106">
        <v>68.8</v>
      </c>
      <c r="AD109" s="106">
        <v>39.799999999999997</v>
      </c>
      <c r="AE109" s="106">
        <v>7.4</v>
      </c>
      <c r="AF109" s="106">
        <v>39.4</v>
      </c>
      <c r="AG109" s="107">
        <v>120</v>
      </c>
      <c r="AH109" s="48">
        <f t="shared" si="9"/>
        <v>117</v>
      </c>
      <c r="AI109" s="49">
        <f t="shared" si="10"/>
        <v>0</v>
      </c>
    </row>
    <row r="110" spans="1:35" x14ac:dyDescent="0.25">
      <c r="A110" s="105" t="s">
        <v>115</v>
      </c>
      <c r="B110" s="106">
        <v>40.4</v>
      </c>
      <c r="C110" s="106">
        <v>40</v>
      </c>
      <c r="D110" s="106">
        <v>45</v>
      </c>
      <c r="E110" s="106">
        <v>58.3</v>
      </c>
      <c r="F110" s="106">
        <v>49.6</v>
      </c>
      <c r="G110" s="106">
        <v>46.7</v>
      </c>
      <c r="H110" s="106">
        <v>47.4</v>
      </c>
      <c r="I110" s="106">
        <v>47.4</v>
      </c>
      <c r="J110" s="106">
        <v>71.900000000000006</v>
      </c>
      <c r="K110" s="106">
        <v>92.3</v>
      </c>
      <c r="L110" s="106">
        <v>101</v>
      </c>
      <c r="M110" s="106">
        <v>103.3</v>
      </c>
      <c r="N110" s="106">
        <v>86</v>
      </c>
      <c r="O110" s="106">
        <v>96.9</v>
      </c>
      <c r="P110" s="106">
        <v>71.5</v>
      </c>
      <c r="Q110" s="106">
        <v>89.5</v>
      </c>
      <c r="R110" s="106">
        <v>101.6</v>
      </c>
      <c r="S110" s="106">
        <v>101.6</v>
      </c>
      <c r="T110" s="106">
        <v>82.5</v>
      </c>
      <c r="U110" s="106">
        <v>57</v>
      </c>
      <c r="V110" s="106">
        <v>22.3</v>
      </c>
      <c r="W110" s="106">
        <v>40</v>
      </c>
      <c r="X110" s="106">
        <v>92.4</v>
      </c>
      <c r="Y110" s="106">
        <v>70.3</v>
      </c>
      <c r="Z110" s="106">
        <v>54.9</v>
      </c>
      <c r="AA110" s="106">
        <v>48.7</v>
      </c>
      <c r="AB110" s="106">
        <v>50.7</v>
      </c>
      <c r="AC110" s="106">
        <v>50.7</v>
      </c>
      <c r="AD110" s="106">
        <v>45</v>
      </c>
      <c r="AE110" s="106">
        <v>57.6</v>
      </c>
      <c r="AF110" s="106">
        <v>47.3</v>
      </c>
      <c r="AG110" s="107"/>
      <c r="AH110" s="48">
        <f t="shared" si="9"/>
        <v>103.3</v>
      </c>
      <c r="AI110" s="49">
        <f t="shared" si="10"/>
        <v>22.3</v>
      </c>
    </row>
    <row r="111" spans="1:35" x14ac:dyDescent="0.25">
      <c r="A111" s="105" t="s">
        <v>116</v>
      </c>
      <c r="B111" s="106">
        <v>38</v>
      </c>
      <c r="C111" s="106">
        <v>29</v>
      </c>
      <c r="D111" s="106">
        <v>52</v>
      </c>
      <c r="E111" s="106">
        <v>51.2</v>
      </c>
      <c r="F111" s="106">
        <v>47.7</v>
      </c>
      <c r="G111" s="106">
        <v>39.1</v>
      </c>
      <c r="H111" s="106">
        <v>32.700000000000003</v>
      </c>
      <c r="I111" s="106">
        <v>32.700000000000003</v>
      </c>
      <c r="J111" s="106">
        <v>44.1</v>
      </c>
      <c r="K111" s="106">
        <v>40.799999999999997</v>
      </c>
      <c r="L111" s="106">
        <v>40.299999999999997</v>
      </c>
      <c r="M111" s="106">
        <v>42.4</v>
      </c>
      <c r="N111" s="106">
        <v>3.8</v>
      </c>
      <c r="O111" s="106">
        <v>9.4</v>
      </c>
      <c r="P111" s="106">
        <v>9.1</v>
      </c>
      <c r="Q111" s="106">
        <v>-5.9</v>
      </c>
      <c r="R111" s="106">
        <v>0.2</v>
      </c>
      <c r="S111" s="106">
        <v>0.2</v>
      </c>
      <c r="T111" s="106">
        <v>0.2</v>
      </c>
      <c r="U111" s="106">
        <v>19.2</v>
      </c>
      <c r="V111" s="106">
        <v>5.2</v>
      </c>
      <c r="W111" s="106">
        <v>-12.1</v>
      </c>
      <c r="X111" s="106">
        <v>48.2</v>
      </c>
      <c r="Y111" s="106">
        <v>33.200000000000003</v>
      </c>
      <c r="Z111" s="106">
        <v>25.6</v>
      </c>
      <c r="AA111" s="106">
        <v>17.8</v>
      </c>
      <c r="AB111" s="106">
        <v>12.8</v>
      </c>
      <c r="AC111" s="106">
        <v>12.8</v>
      </c>
      <c r="AD111" s="106">
        <v>27.9</v>
      </c>
      <c r="AE111" s="106">
        <v>31.1</v>
      </c>
      <c r="AF111" s="106">
        <v>33.200000000000003</v>
      </c>
      <c r="AG111" s="108"/>
      <c r="AH111" s="48">
        <f t="shared" si="9"/>
        <v>52</v>
      </c>
      <c r="AI111" s="49">
        <f t="shared" si="10"/>
        <v>-12.1</v>
      </c>
    </row>
    <row r="112" spans="1:35" x14ac:dyDescent="0.25">
      <c r="A112" s="109" t="s">
        <v>117</v>
      </c>
      <c r="B112" s="94">
        <v>56</v>
      </c>
      <c r="C112" s="94">
        <v>59</v>
      </c>
      <c r="D112" s="94">
        <v>63</v>
      </c>
      <c r="E112" s="94">
        <v>64.900000000000006</v>
      </c>
      <c r="F112" s="94">
        <v>61</v>
      </c>
      <c r="G112" s="94">
        <v>50.4</v>
      </c>
      <c r="H112" s="94">
        <v>42.4</v>
      </c>
      <c r="I112" s="94">
        <v>42.4</v>
      </c>
      <c r="J112" s="94">
        <v>20.100000000000001</v>
      </c>
      <c r="K112" s="94">
        <v>0</v>
      </c>
      <c r="L112" s="94">
        <v>-3.4</v>
      </c>
      <c r="M112" s="94">
        <v>-4.5999999999999996</v>
      </c>
      <c r="N112" s="94">
        <v>13.5</v>
      </c>
      <c r="O112" s="94">
        <v>23.3</v>
      </c>
      <c r="P112" s="94">
        <v>30.6</v>
      </c>
      <c r="Q112" s="94">
        <v>30.4</v>
      </c>
      <c r="R112" s="94">
        <v>39.799999999999997</v>
      </c>
      <c r="S112" s="94">
        <v>39.799999999999997</v>
      </c>
      <c r="T112" s="94">
        <v>39.799999999999997</v>
      </c>
      <c r="U112" s="94">
        <v>20.7</v>
      </c>
      <c r="V112" s="94">
        <v>-1.2</v>
      </c>
      <c r="W112" s="94">
        <v>-29.1</v>
      </c>
      <c r="X112" s="94">
        <v>-92</v>
      </c>
      <c r="Y112" s="94">
        <v>-8.6</v>
      </c>
      <c r="Z112" s="94">
        <v>-3.6</v>
      </c>
      <c r="AA112" s="94">
        <v>6</v>
      </c>
      <c r="AB112" s="94">
        <v>29.6</v>
      </c>
      <c r="AC112" s="94">
        <v>29.6</v>
      </c>
      <c r="AD112" s="94">
        <v>33.6</v>
      </c>
      <c r="AE112" s="94">
        <v>45.1</v>
      </c>
      <c r="AF112" s="94">
        <v>49</v>
      </c>
      <c r="AG112" s="108"/>
      <c r="AH112" s="48">
        <f t="shared" si="9"/>
        <v>64.900000000000006</v>
      </c>
      <c r="AI112" s="49">
        <f t="shared" si="10"/>
        <v>-92</v>
      </c>
    </row>
    <row r="113" spans="1:37" ht="15.75" thickBot="1" x14ac:dyDescent="0.3">
      <c r="A113" s="109" t="s">
        <v>118</v>
      </c>
      <c r="B113" s="94">
        <v>50</v>
      </c>
      <c r="C113" s="94">
        <v>52</v>
      </c>
      <c r="D113" s="94">
        <v>48</v>
      </c>
      <c r="E113" s="94">
        <v>45.8</v>
      </c>
      <c r="F113" s="94">
        <v>40.6</v>
      </c>
      <c r="G113" s="94">
        <v>36.6</v>
      </c>
      <c r="H113" s="94">
        <v>45.1</v>
      </c>
      <c r="I113" s="94">
        <v>45.1</v>
      </c>
      <c r="J113" s="94">
        <v>36.6</v>
      </c>
      <c r="K113" s="94">
        <v>22</v>
      </c>
      <c r="L113" s="94">
        <v>9.6999999999999993</v>
      </c>
      <c r="M113" s="94">
        <v>11.7</v>
      </c>
      <c r="N113" s="94">
        <v>15.9</v>
      </c>
      <c r="O113" s="94">
        <v>10.3</v>
      </c>
      <c r="P113" s="94">
        <v>9.9</v>
      </c>
      <c r="Q113" s="94">
        <v>-2.5</v>
      </c>
      <c r="R113" s="94">
        <v>-9.8000000000000007</v>
      </c>
      <c r="S113" s="94">
        <v>-9.8000000000000007</v>
      </c>
      <c r="T113" s="94">
        <v>0</v>
      </c>
      <c r="U113" s="94">
        <v>22.1</v>
      </c>
      <c r="V113" s="94">
        <v>41.7</v>
      </c>
      <c r="W113" s="94">
        <v>37.22</v>
      </c>
      <c r="X113" s="94">
        <v>1.8</v>
      </c>
      <c r="Y113" s="94">
        <v>1.4</v>
      </c>
      <c r="Z113" s="94">
        <v>19.5</v>
      </c>
      <c r="AA113" s="94">
        <v>34.4</v>
      </c>
      <c r="AB113" s="94">
        <v>21.1</v>
      </c>
      <c r="AC113" s="94">
        <v>21.1</v>
      </c>
      <c r="AD113" s="94">
        <v>25.3</v>
      </c>
      <c r="AE113" s="94">
        <v>26.4</v>
      </c>
      <c r="AF113" s="94">
        <v>40.4</v>
      </c>
      <c r="AG113" s="108"/>
      <c r="AH113" s="48">
        <f t="shared" si="9"/>
        <v>52</v>
      </c>
      <c r="AI113" s="49">
        <f t="shared" si="10"/>
        <v>-9.8000000000000007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18">SUM(B115:B219)</f>
        <v>0</v>
      </c>
      <c r="C220" s="125">
        <f t="shared" si="18"/>
        <v>0</v>
      </c>
      <c r="D220" s="125">
        <f t="shared" si="18"/>
        <v>0</v>
      </c>
      <c r="E220" s="125">
        <f t="shared" si="18"/>
        <v>0</v>
      </c>
      <c r="F220" s="125">
        <f t="shared" si="18"/>
        <v>0</v>
      </c>
      <c r="G220" s="125">
        <f t="shared" si="18"/>
        <v>0</v>
      </c>
      <c r="H220" s="125">
        <f t="shared" si="18"/>
        <v>0</v>
      </c>
      <c r="I220" s="125">
        <f t="shared" si="18"/>
        <v>0</v>
      </c>
      <c r="J220" s="125">
        <f t="shared" si="18"/>
        <v>0</v>
      </c>
      <c r="K220" s="125">
        <f t="shared" si="18"/>
        <v>0</v>
      </c>
      <c r="L220" s="125">
        <f t="shared" si="18"/>
        <v>0</v>
      </c>
      <c r="M220" s="125">
        <f t="shared" si="18"/>
        <v>0</v>
      </c>
      <c r="N220" s="125">
        <f t="shared" si="18"/>
        <v>0</v>
      </c>
      <c r="O220" s="125">
        <f t="shared" si="18"/>
        <v>0</v>
      </c>
      <c r="P220" s="125">
        <f t="shared" si="18"/>
        <v>0</v>
      </c>
      <c r="Q220" s="125">
        <f t="shared" si="18"/>
        <v>0</v>
      </c>
      <c r="R220" s="125">
        <f t="shared" si="18"/>
        <v>0</v>
      </c>
      <c r="S220" s="125">
        <f t="shared" si="18"/>
        <v>0</v>
      </c>
      <c r="T220" s="125">
        <f t="shared" si="18"/>
        <v>0</v>
      </c>
      <c r="U220" s="125">
        <f t="shared" si="18"/>
        <v>0</v>
      </c>
      <c r="V220" s="125">
        <f t="shared" si="18"/>
        <v>0</v>
      </c>
      <c r="W220" s="125">
        <f t="shared" si="18"/>
        <v>0</v>
      </c>
      <c r="X220" s="125">
        <f t="shared" si="18"/>
        <v>0</v>
      </c>
      <c r="Y220" s="125">
        <f t="shared" si="18"/>
        <v>0</v>
      </c>
      <c r="Z220" s="125">
        <f t="shared" si="18"/>
        <v>0</v>
      </c>
      <c r="AA220" s="125">
        <f t="shared" si="18"/>
        <v>0</v>
      </c>
      <c r="AB220" s="125">
        <f t="shared" si="18"/>
        <v>0</v>
      </c>
      <c r="AC220" s="125">
        <f t="shared" si="18"/>
        <v>0</v>
      </c>
      <c r="AD220" s="125">
        <f t="shared" si="18"/>
        <v>0</v>
      </c>
      <c r="AE220" s="125">
        <f t="shared" si="18"/>
        <v>0</v>
      </c>
      <c r="AF220" s="126">
        <f t="shared" si="18"/>
        <v>0</v>
      </c>
      <c r="AG220" s="127">
        <f t="shared" si="18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19">AF222</f>
        <v>0</v>
      </c>
      <c r="C222" s="129">
        <v>0.3</v>
      </c>
      <c r="D222" s="129">
        <f t="shared" ref="D222:P227" si="20">C222</f>
        <v>0.3</v>
      </c>
      <c r="E222" s="129">
        <f t="shared" si="20"/>
        <v>0.3</v>
      </c>
      <c r="F222" s="129">
        <f t="shared" si="20"/>
        <v>0.3</v>
      </c>
      <c r="G222" s="129">
        <f t="shared" si="20"/>
        <v>0.3</v>
      </c>
      <c r="H222" s="129">
        <f t="shared" si="20"/>
        <v>0.3</v>
      </c>
      <c r="I222" s="129">
        <f t="shared" si="20"/>
        <v>0.3</v>
      </c>
      <c r="J222" s="129">
        <f t="shared" si="20"/>
        <v>0.3</v>
      </c>
      <c r="K222" s="129">
        <f t="shared" si="20"/>
        <v>0.3</v>
      </c>
      <c r="L222" s="129">
        <f t="shared" si="20"/>
        <v>0.3</v>
      </c>
      <c r="M222" s="129">
        <f t="shared" si="20"/>
        <v>0.3</v>
      </c>
      <c r="N222" s="129">
        <f t="shared" si="20"/>
        <v>0.3</v>
      </c>
      <c r="O222" s="129">
        <f t="shared" si="20"/>
        <v>0.3</v>
      </c>
      <c r="P222" s="129">
        <f t="shared" si="20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19"/>
        <v>0</v>
      </c>
      <c r="C223" s="117">
        <v>0.4</v>
      </c>
      <c r="D223" s="117">
        <f t="shared" si="20"/>
        <v>0.4</v>
      </c>
      <c r="E223" s="117">
        <f t="shared" si="20"/>
        <v>0.4</v>
      </c>
      <c r="F223" s="117">
        <f t="shared" si="20"/>
        <v>0.4</v>
      </c>
      <c r="G223" s="117">
        <f t="shared" si="20"/>
        <v>0.4</v>
      </c>
      <c r="H223" s="117">
        <f t="shared" si="20"/>
        <v>0.4</v>
      </c>
      <c r="I223" s="117">
        <f t="shared" si="20"/>
        <v>0.4</v>
      </c>
      <c r="J223" s="117">
        <f t="shared" si="20"/>
        <v>0.4</v>
      </c>
      <c r="K223" s="117">
        <f t="shared" si="20"/>
        <v>0.4</v>
      </c>
      <c r="L223" s="117">
        <f t="shared" si="20"/>
        <v>0.4</v>
      </c>
      <c r="M223" s="117">
        <f t="shared" si="20"/>
        <v>0.4</v>
      </c>
      <c r="N223" s="117">
        <f t="shared" si="20"/>
        <v>0.4</v>
      </c>
      <c r="O223" s="117">
        <f t="shared" si="20"/>
        <v>0.4</v>
      </c>
      <c r="P223" s="117">
        <f t="shared" si="20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19"/>
        <v>0</v>
      </c>
      <c r="C224" s="117">
        <v>1.5</v>
      </c>
      <c r="D224" s="117">
        <f t="shared" si="20"/>
        <v>1.5</v>
      </c>
      <c r="E224" s="117">
        <f t="shared" si="20"/>
        <v>1.5</v>
      </c>
      <c r="F224" s="117">
        <f t="shared" si="20"/>
        <v>1.5</v>
      </c>
      <c r="G224" s="117">
        <f t="shared" si="20"/>
        <v>1.5</v>
      </c>
      <c r="H224" s="117">
        <f t="shared" si="20"/>
        <v>1.5</v>
      </c>
      <c r="I224" s="100">
        <f t="shared" ref="I224" ca="1" si="21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20"/>
        <v>1.5</v>
      </c>
      <c r="K224" s="117">
        <f t="shared" ca="1" si="20"/>
        <v>1.5</v>
      </c>
      <c r="L224" s="117">
        <f t="shared" ca="1" si="20"/>
        <v>1.5</v>
      </c>
      <c r="M224" s="117">
        <f t="shared" ca="1" si="20"/>
        <v>1.5</v>
      </c>
      <c r="N224" s="117">
        <f t="shared" ca="1" si="20"/>
        <v>1.5</v>
      </c>
      <c r="O224" s="117">
        <f t="shared" ca="1" si="20"/>
        <v>1.5</v>
      </c>
      <c r="P224" s="117">
        <f t="shared" ca="1" si="20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19"/>
        <v>0</v>
      </c>
      <c r="C225" s="117">
        <v>0.3</v>
      </c>
      <c r="D225" s="117">
        <f t="shared" si="20"/>
        <v>0.3</v>
      </c>
      <c r="E225" s="117">
        <f t="shared" si="20"/>
        <v>0.3</v>
      </c>
      <c r="F225" s="117">
        <f t="shared" si="20"/>
        <v>0.3</v>
      </c>
      <c r="G225" s="117">
        <f t="shared" si="20"/>
        <v>0.3</v>
      </c>
      <c r="H225" s="117">
        <f t="shared" si="20"/>
        <v>0.3</v>
      </c>
      <c r="I225" s="117">
        <f t="shared" si="20"/>
        <v>0.3</v>
      </c>
      <c r="J225" s="117">
        <f t="shared" si="20"/>
        <v>0.3</v>
      </c>
      <c r="K225" s="117">
        <f t="shared" si="20"/>
        <v>0.3</v>
      </c>
      <c r="L225" s="117">
        <f t="shared" si="20"/>
        <v>0.3</v>
      </c>
      <c r="M225" s="117">
        <f t="shared" si="20"/>
        <v>0.3</v>
      </c>
      <c r="N225" s="117">
        <f t="shared" si="20"/>
        <v>0.3</v>
      </c>
      <c r="O225" s="117">
        <f t="shared" si="20"/>
        <v>0.3</v>
      </c>
      <c r="P225" s="117">
        <f t="shared" si="20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19"/>
        <v>0</v>
      </c>
      <c r="C226" s="117">
        <v>0.4</v>
      </c>
      <c r="D226" s="117">
        <f t="shared" si="20"/>
        <v>0.4</v>
      </c>
      <c r="E226" s="117">
        <f t="shared" si="20"/>
        <v>0.4</v>
      </c>
      <c r="F226" s="117">
        <f t="shared" si="20"/>
        <v>0.4</v>
      </c>
      <c r="G226" s="117">
        <f t="shared" si="20"/>
        <v>0.4</v>
      </c>
      <c r="H226" s="117">
        <f t="shared" si="20"/>
        <v>0.4</v>
      </c>
      <c r="I226" s="117">
        <f t="shared" si="20"/>
        <v>0.4</v>
      </c>
      <c r="J226" s="117">
        <f t="shared" si="20"/>
        <v>0.4</v>
      </c>
      <c r="K226" s="117">
        <f t="shared" si="20"/>
        <v>0.4</v>
      </c>
      <c r="L226" s="117">
        <f t="shared" si="20"/>
        <v>0.4</v>
      </c>
      <c r="M226" s="117">
        <f t="shared" si="20"/>
        <v>0.4</v>
      </c>
      <c r="N226" s="117">
        <f t="shared" si="20"/>
        <v>0.4</v>
      </c>
      <c r="O226" s="117">
        <f t="shared" si="20"/>
        <v>0.4</v>
      </c>
      <c r="P226" s="117">
        <f t="shared" si="20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19"/>
        <v>0</v>
      </c>
      <c r="C227" s="121">
        <v>0.64</v>
      </c>
      <c r="D227" s="121">
        <f t="shared" si="20"/>
        <v>0.64</v>
      </c>
      <c r="E227" s="121">
        <f t="shared" si="20"/>
        <v>0.64</v>
      </c>
      <c r="F227" s="121">
        <f t="shared" si="20"/>
        <v>0.64</v>
      </c>
      <c r="G227" s="121">
        <f t="shared" si="20"/>
        <v>0.64</v>
      </c>
      <c r="H227" s="121">
        <f t="shared" si="20"/>
        <v>0.64</v>
      </c>
      <c r="I227" s="121">
        <f t="shared" si="20"/>
        <v>0.64</v>
      </c>
      <c r="J227" s="121">
        <f t="shared" si="20"/>
        <v>0.64</v>
      </c>
      <c r="K227" s="121">
        <f t="shared" si="20"/>
        <v>0.64</v>
      </c>
      <c r="L227" s="121">
        <f t="shared" si="20"/>
        <v>0.64</v>
      </c>
      <c r="M227" s="121">
        <f t="shared" si="20"/>
        <v>0.64</v>
      </c>
      <c r="N227" s="121">
        <f t="shared" si="20"/>
        <v>0.64</v>
      </c>
      <c r="O227" s="121">
        <f t="shared" si="20"/>
        <v>0.64</v>
      </c>
      <c r="P227" s="121">
        <f t="shared" si="20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2">SUM(B222:B227)</f>
        <v>0</v>
      </c>
      <c r="C228" s="125">
        <f t="shared" si="22"/>
        <v>3.54</v>
      </c>
      <c r="D228" s="125">
        <f t="shared" si="22"/>
        <v>3.54</v>
      </c>
      <c r="E228" s="125">
        <f t="shared" si="22"/>
        <v>3.54</v>
      </c>
      <c r="F228" s="125">
        <f t="shared" si="22"/>
        <v>3.54</v>
      </c>
      <c r="G228" s="125">
        <f t="shared" si="22"/>
        <v>3.54</v>
      </c>
      <c r="H228" s="125">
        <f t="shared" si="22"/>
        <v>3.54</v>
      </c>
      <c r="I228" s="125">
        <f t="shared" ca="1" si="22"/>
        <v>3.54</v>
      </c>
      <c r="J228" s="125">
        <f t="shared" ca="1" si="22"/>
        <v>3.54</v>
      </c>
      <c r="K228" s="125">
        <f t="shared" ca="1" si="22"/>
        <v>3.54</v>
      </c>
      <c r="L228" s="125">
        <f t="shared" ca="1" si="22"/>
        <v>3.54</v>
      </c>
      <c r="M228" s="125">
        <f t="shared" ca="1" si="22"/>
        <v>3.54</v>
      </c>
      <c r="N228" s="125">
        <f t="shared" ca="1" si="22"/>
        <v>3.54</v>
      </c>
      <c r="O228" s="125">
        <f t="shared" ca="1" si="22"/>
        <v>3.54</v>
      </c>
      <c r="P228" s="125">
        <f t="shared" ca="1" si="22"/>
        <v>3.54</v>
      </c>
      <c r="Q228" s="125">
        <f t="shared" si="22"/>
        <v>0</v>
      </c>
      <c r="R228" s="125">
        <f t="shared" si="22"/>
        <v>0</v>
      </c>
      <c r="S228" s="125">
        <f t="shared" si="22"/>
        <v>0</v>
      </c>
      <c r="T228" s="125">
        <f t="shared" si="22"/>
        <v>0</v>
      </c>
      <c r="U228" s="125">
        <f t="shared" si="22"/>
        <v>0</v>
      </c>
      <c r="V228" s="125">
        <f t="shared" si="22"/>
        <v>0</v>
      </c>
      <c r="W228" s="125">
        <f t="shared" si="22"/>
        <v>0</v>
      </c>
      <c r="X228" s="125">
        <f t="shared" si="22"/>
        <v>0</v>
      </c>
      <c r="Y228" s="125">
        <f t="shared" si="22"/>
        <v>0</v>
      </c>
      <c r="Z228" s="125">
        <f t="shared" si="22"/>
        <v>0</v>
      </c>
      <c r="AA228" s="125">
        <f t="shared" si="22"/>
        <v>0</v>
      </c>
      <c r="AB228" s="125">
        <f t="shared" si="22"/>
        <v>0</v>
      </c>
      <c r="AC228" s="125">
        <f t="shared" si="22"/>
        <v>0</v>
      </c>
      <c r="AD228" s="125">
        <f t="shared" si="22"/>
        <v>0</v>
      </c>
      <c r="AE228" s="125">
        <f t="shared" si="22"/>
        <v>0</v>
      </c>
      <c r="AF228" s="125">
        <f t="shared" si="22"/>
        <v>0</v>
      </c>
      <c r="AG228" s="134">
        <f t="shared" si="22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1657.5400000000002</v>
      </c>
      <c r="C237" s="150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11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2079/09/11)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2079/09/11)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3">B85</f>
        <v>1082.6399999999999</v>
      </c>
      <c r="U242" s="159">
        <f t="shared" si="23"/>
        <v>1022.24</v>
      </c>
      <c r="V242" s="159">
        <f t="shared" si="23"/>
        <v>984.74</v>
      </c>
      <c r="W242" s="159">
        <f t="shared" si="23"/>
        <v>1000.5399999999998</v>
      </c>
      <c r="X242" s="159">
        <f t="shared" si="23"/>
        <v>993.24</v>
      </c>
      <c r="Y242" s="159">
        <f t="shared" si="23"/>
        <v>1030.74</v>
      </c>
      <c r="Z242" s="159">
        <f t="shared" si="23"/>
        <v>1135.3400000000001</v>
      </c>
      <c r="AA242" s="159">
        <f t="shared" si="23"/>
        <v>1225.0400000000002</v>
      </c>
      <c r="AB242" s="159">
        <f t="shared" si="23"/>
        <v>1334.84</v>
      </c>
      <c r="AC242" s="159">
        <f t="shared" si="23"/>
        <v>1416.2400000000002</v>
      </c>
      <c r="AD242" s="159">
        <f t="shared" si="23"/>
        <v>1657.5400000000002</v>
      </c>
      <c r="AE242" s="159">
        <f t="shared" si="23"/>
        <v>1637.74</v>
      </c>
      <c r="AF242" s="159">
        <f t="shared" si="23"/>
        <v>1603.34</v>
      </c>
      <c r="AG242" s="159">
        <f t="shared" si="23"/>
        <v>1480.7400000000002</v>
      </c>
      <c r="AH242" s="159">
        <f t="shared" si="23"/>
        <v>1408.04</v>
      </c>
      <c r="AI242" s="159">
        <f t="shared" si="23"/>
        <v>1309.8850000000002</v>
      </c>
      <c r="AJ242" s="159">
        <f t="shared" si="23"/>
        <v>1273.04</v>
      </c>
      <c r="AK242" s="159">
        <f t="shared" si="23"/>
        <v>1288.74</v>
      </c>
      <c r="AL242" s="159">
        <f t="shared" si="23"/>
        <v>1321.6399999999999</v>
      </c>
      <c r="AM242" s="159">
        <f t="shared" si="23"/>
        <v>1332.8400000000001</v>
      </c>
      <c r="AN242" s="159">
        <f t="shared" si="23"/>
        <v>1372.7400000000002</v>
      </c>
      <c r="AO242" s="159">
        <f t="shared" si="23"/>
        <v>1529.0400000000002</v>
      </c>
      <c r="AP242" s="159">
        <f t="shared" si="23"/>
        <v>1704.6399999999999</v>
      </c>
      <c r="AQ242" s="159">
        <f t="shared" si="23"/>
        <v>1558.4400000000003</v>
      </c>
      <c r="AR242" s="159">
        <f t="shared" si="23"/>
        <v>1477.94</v>
      </c>
      <c r="AS242" s="159">
        <f t="shared" si="23"/>
        <v>1432.44</v>
      </c>
      <c r="AT242" s="159">
        <f t="shared" si="23"/>
        <v>1378.44</v>
      </c>
      <c r="AU242" s="159">
        <f t="shared" si="23"/>
        <v>1378.44</v>
      </c>
      <c r="AV242" s="159">
        <f t="shared" si="23"/>
        <v>1230.54</v>
      </c>
      <c r="AW242" s="159">
        <f t="shared" si="23"/>
        <v>1136.94</v>
      </c>
      <c r="AX242" s="159">
        <f t="shared" si="23"/>
        <v>1037.8400000000001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4">C227</f>
        <v>0.64</v>
      </c>
      <c r="C263" s="162">
        <f t="shared" si="24"/>
        <v>0.64</v>
      </c>
      <c r="D263" s="162">
        <f t="shared" si="24"/>
        <v>0.64</v>
      </c>
      <c r="E263" s="162">
        <f t="shared" si="24"/>
        <v>0.64</v>
      </c>
      <c r="F263" s="162">
        <f t="shared" si="24"/>
        <v>0.64</v>
      </c>
      <c r="G263" s="162">
        <f t="shared" si="24"/>
        <v>0.64</v>
      </c>
      <c r="H263" s="162">
        <f t="shared" si="24"/>
        <v>0.64</v>
      </c>
      <c r="I263" s="162">
        <f t="shared" si="24"/>
        <v>0.64</v>
      </c>
      <c r="J263" s="162">
        <f t="shared" si="24"/>
        <v>0.64</v>
      </c>
      <c r="K263" s="162">
        <f t="shared" si="24"/>
        <v>0.64</v>
      </c>
      <c r="L263" s="162">
        <f t="shared" si="24"/>
        <v>0.64</v>
      </c>
      <c r="M263" s="162">
        <f t="shared" si="24"/>
        <v>0.64</v>
      </c>
      <c r="N263" s="162">
        <f t="shared" si="24"/>
        <v>0.64</v>
      </c>
      <c r="O263" s="162">
        <f t="shared" si="24"/>
        <v>0.64</v>
      </c>
      <c r="P263" s="162">
        <f t="shared" si="24"/>
        <v>0</v>
      </c>
      <c r="Q263" s="162">
        <f t="shared" si="24"/>
        <v>0</v>
      </c>
      <c r="R263" s="162">
        <f t="shared" si="24"/>
        <v>0</v>
      </c>
      <c r="S263" s="162">
        <f t="shared" si="24"/>
        <v>0</v>
      </c>
      <c r="T263" s="162">
        <f t="shared" si="24"/>
        <v>0</v>
      </c>
      <c r="U263" s="162">
        <f t="shared" si="24"/>
        <v>0</v>
      </c>
      <c r="V263" s="162">
        <f t="shared" si="24"/>
        <v>0</v>
      </c>
      <c r="W263" s="162">
        <f t="shared" si="24"/>
        <v>0</v>
      </c>
      <c r="X263" s="162">
        <f t="shared" si="24"/>
        <v>0</v>
      </c>
      <c r="Y263" s="162">
        <f t="shared" si="24"/>
        <v>0</v>
      </c>
      <c r="Z263" s="162">
        <f t="shared" si="24"/>
        <v>0</v>
      </c>
      <c r="AA263" s="162">
        <f t="shared" si="24"/>
        <v>0</v>
      </c>
      <c r="AB263" s="162">
        <f t="shared" si="24"/>
        <v>0</v>
      </c>
      <c r="AC263" s="162">
        <f t="shared" si="24"/>
        <v>0</v>
      </c>
      <c r="AD263" s="162">
        <f t="shared" si="24"/>
        <v>0</v>
      </c>
      <c r="AE263" s="162">
        <f t="shared" si="24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5">IF(B231&lt;100,"",B231-520)</f>
        <v/>
      </c>
      <c r="C264" s="163" t="str">
        <f t="shared" si="25"/>
        <v/>
      </c>
      <c r="D264" s="163" t="str">
        <f t="shared" si="25"/>
        <v/>
      </c>
      <c r="E264" s="163" t="str">
        <f t="shared" si="25"/>
        <v/>
      </c>
      <c r="F264" s="163" t="str">
        <f t="shared" si="25"/>
        <v/>
      </c>
      <c r="G264" s="163" t="str">
        <f t="shared" si="25"/>
        <v/>
      </c>
      <c r="H264" s="163" t="str">
        <f t="shared" si="25"/>
        <v/>
      </c>
      <c r="I264" s="163" t="str">
        <f t="shared" si="25"/>
        <v/>
      </c>
      <c r="J264" s="163" t="str">
        <f t="shared" si="25"/>
        <v/>
      </c>
      <c r="K264" s="163" t="str">
        <f t="shared" si="25"/>
        <v/>
      </c>
      <c r="L264" s="163" t="str">
        <f t="shared" si="25"/>
        <v/>
      </c>
      <c r="M264" s="163" t="str">
        <f t="shared" si="25"/>
        <v/>
      </c>
      <c r="N264" s="163" t="str">
        <f t="shared" si="25"/>
        <v/>
      </c>
      <c r="O264" s="163" t="str">
        <f t="shared" si="25"/>
        <v/>
      </c>
      <c r="P264" s="163" t="str">
        <f t="shared" si="25"/>
        <v/>
      </c>
      <c r="Q264" s="163" t="str">
        <f t="shared" si="25"/>
        <v/>
      </c>
      <c r="R264" s="163" t="str">
        <f t="shared" si="25"/>
        <v/>
      </c>
      <c r="S264" s="163" t="str">
        <f t="shared" si="25"/>
        <v/>
      </c>
      <c r="T264" s="163" t="str">
        <f t="shared" si="25"/>
        <v/>
      </c>
      <c r="U264" s="163" t="str">
        <f t="shared" si="25"/>
        <v/>
      </c>
      <c r="V264" s="163" t="str">
        <f t="shared" si="25"/>
        <v/>
      </c>
      <c r="W264" s="163" t="str">
        <f t="shared" si="25"/>
        <v/>
      </c>
      <c r="X264" s="163" t="str">
        <f t="shared" si="25"/>
        <v/>
      </c>
      <c r="Y264" s="163" t="str">
        <f t="shared" si="25"/>
        <v/>
      </c>
      <c r="Z264" s="163" t="str">
        <f t="shared" si="25"/>
        <v/>
      </c>
      <c r="AA264" s="163" t="str">
        <f t="shared" si="25"/>
        <v/>
      </c>
      <c r="AB264" s="163" t="str">
        <f t="shared" si="25"/>
        <v/>
      </c>
      <c r="AC264" s="163" t="str">
        <f t="shared" si="25"/>
        <v/>
      </c>
      <c r="AD264" s="163" t="str">
        <f t="shared" si="25"/>
        <v/>
      </c>
      <c r="AE264" s="163" t="str">
        <f t="shared" si="25"/>
        <v/>
      </c>
      <c r="AF264" s="163" t="str">
        <f t="shared" si="25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6">IF(B232&lt;100,"",B232-620)</f>
        <v/>
      </c>
      <c r="C265" s="163" t="str">
        <f t="shared" si="26"/>
        <v/>
      </c>
      <c r="D265" s="163" t="str">
        <f t="shared" si="26"/>
        <v/>
      </c>
      <c r="E265" s="163" t="str">
        <f t="shared" si="26"/>
        <v/>
      </c>
      <c r="F265" s="163" t="str">
        <f t="shared" si="26"/>
        <v/>
      </c>
      <c r="G265" s="163" t="str">
        <f t="shared" si="26"/>
        <v/>
      </c>
      <c r="H265" s="163" t="str">
        <f t="shared" si="26"/>
        <v/>
      </c>
      <c r="I265" s="163" t="str">
        <f t="shared" si="26"/>
        <v/>
      </c>
      <c r="J265" s="163" t="str">
        <f t="shared" si="26"/>
        <v/>
      </c>
      <c r="K265" s="163" t="str">
        <f t="shared" si="26"/>
        <v/>
      </c>
      <c r="L265" s="163" t="str">
        <f t="shared" si="26"/>
        <v/>
      </c>
      <c r="M265" s="163" t="str">
        <f t="shared" si="26"/>
        <v/>
      </c>
      <c r="N265" s="163" t="str">
        <f t="shared" si="26"/>
        <v/>
      </c>
      <c r="O265" s="163" t="str">
        <f t="shared" si="26"/>
        <v/>
      </c>
      <c r="P265" s="163" t="str">
        <f t="shared" si="26"/>
        <v/>
      </c>
      <c r="Q265" s="163" t="str">
        <f t="shared" si="26"/>
        <v/>
      </c>
      <c r="R265" s="163" t="str">
        <f t="shared" si="26"/>
        <v/>
      </c>
      <c r="S265" s="163" t="str">
        <f t="shared" si="26"/>
        <v/>
      </c>
      <c r="T265" s="163" t="str">
        <f t="shared" si="26"/>
        <v/>
      </c>
      <c r="U265" s="163" t="str">
        <f t="shared" si="26"/>
        <v/>
      </c>
      <c r="V265" s="163" t="str">
        <f t="shared" si="26"/>
        <v/>
      </c>
      <c r="W265" s="163" t="str">
        <f t="shared" si="26"/>
        <v/>
      </c>
      <c r="X265" s="163" t="str">
        <f t="shared" si="26"/>
        <v/>
      </c>
      <c r="Y265" s="163" t="str">
        <f t="shared" si="26"/>
        <v/>
      </c>
      <c r="Z265" s="163" t="str">
        <f t="shared" si="26"/>
        <v/>
      </c>
      <c r="AA265" s="163" t="str">
        <f t="shared" si="26"/>
        <v/>
      </c>
      <c r="AB265" s="163" t="str">
        <f t="shared" si="26"/>
        <v/>
      </c>
      <c r="AC265" s="163" t="str">
        <f t="shared" si="26"/>
        <v/>
      </c>
      <c r="AD265" s="163" t="str">
        <f t="shared" si="26"/>
        <v/>
      </c>
      <c r="AE265" s="163" t="str">
        <f t="shared" si="26"/>
        <v/>
      </c>
      <c r="AF265" s="163" t="str">
        <f t="shared" si="26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27">IF(B233&lt;100,"",B233-330)</f>
        <v/>
      </c>
      <c r="C266" s="163" t="str">
        <f t="shared" si="27"/>
        <v/>
      </c>
      <c r="D266" s="163" t="str">
        <f t="shared" si="27"/>
        <v/>
      </c>
      <c r="E266" s="163" t="str">
        <f t="shared" si="27"/>
        <v/>
      </c>
      <c r="F266" s="163" t="str">
        <f t="shared" si="27"/>
        <v/>
      </c>
      <c r="G266" s="163" t="str">
        <f t="shared" si="27"/>
        <v/>
      </c>
      <c r="H266" s="163" t="str">
        <f t="shared" si="27"/>
        <v/>
      </c>
      <c r="I266" s="163" t="str">
        <f t="shared" si="27"/>
        <v/>
      </c>
      <c r="J266" s="163" t="str">
        <f t="shared" si="27"/>
        <v/>
      </c>
      <c r="K266" s="163" t="str">
        <f t="shared" si="27"/>
        <v/>
      </c>
      <c r="L266" s="163" t="str">
        <f t="shared" si="27"/>
        <v/>
      </c>
      <c r="M266" s="163" t="str">
        <f t="shared" si="27"/>
        <v/>
      </c>
      <c r="N266" s="163" t="str">
        <f t="shared" si="27"/>
        <v/>
      </c>
      <c r="O266" s="163" t="str">
        <f t="shared" si="27"/>
        <v/>
      </c>
      <c r="P266" s="163" t="str">
        <f t="shared" si="27"/>
        <v/>
      </c>
      <c r="Q266" s="163" t="str">
        <f t="shared" si="27"/>
        <v/>
      </c>
      <c r="R266" s="163" t="str">
        <f t="shared" si="27"/>
        <v/>
      </c>
      <c r="S266" s="163" t="str">
        <f t="shared" si="27"/>
        <v/>
      </c>
      <c r="T266" s="163" t="str">
        <f t="shared" si="27"/>
        <v/>
      </c>
      <c r="U266" s="163" t="str">
        <f t="shared" si="27"/>
        <v/>
      </c>
      <c r="V266" s="163" t="str">
        <f t="shared" si="27"/>
        <v/>
      </c>
      <c r="W266" s="163" t="str">
        <f t="shared" si="27"/>
        <v/>
      </c>
      <c r="X266" s="163" t="str">
        <f t="shared" si="27"/>
        <v/>
      </c>
      <c r="Y266" s="163" t="str">
        <f t="shared" si="27"/>
        <v/>
      </c>
      <c r="Z266" s="163" t="str">
        <f t="shared" si="27"/>
        <v/>
      </c>
      <c r="AA266" s="163" t="str">
        <f t="shared" si="27"/>
        <v/>
      </c>
      <c r="AB266" s="163" t="str">
        <f t="shared" si="27"/>
        <v/>
      </c>
      <c r="AC266" s="163" t="str">
        <f t="shared" si="27"/>
        <v/>
      </c>
      <c r="AD266" s="163" t="str">
        <f t="shared" si="27"/>
        <v/>
      </c>
      <c r="AE266" s="163" t="str">
        <f t="shared" si="27"/>
        <v/>
      </c>
      <c r="AF266" s="163" t="str">
        <f t="shared" si="27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28">IF(B234&lt;100,"",B234-1500)</f>
        <v/>
      </c>
      <c r="C267" s="163" t="str">
        <f t="shared" si="28"/>
        <v/>
      </c>
      <c r="D267" s="163" t="str">
        <f t="shared" si="28"/>
        <v/>
      </c>
      <c r="E267" s="163" t="str">
        <f t="shared" si="28"/>
        <v/>
      </c>
      <c r="F267" s="163" t="str">
        <f t="shared" si="28"/>
        <v/>
      </c>
      <c r="G267" s="163" t="str">
        <f t="shared" si="28"/>
        <v/>
      </c>
      <c r="H267" s="163" t="str">
        <f t="shared" si="28"/>
        <v/>
      </c>
      <c r="I267" s="163" t="str">
        <f t="shared" si="28"/>
        <v/>
      </c>
      <c r="J267" s="163" t="str">
        <f t="shared" si="28"/>
        <v/>
      </c>
      <c r="K267" s="163" t="str">
        <f t="shared" si="28"/>
        <v/>
      </c>
      <c r="L267" s="163" t="str">
        <f t="shared" si="28"/>
        <v/>
      </c>
      <c r="M267" s="163" t="str">
        <f t="shared" si="28"/>
        <v/>
      </c>
      <c r="N267" s="163" t="str">
        <f t="shared" si="28"/>
        <v/>
      </c>
      <c r="O267" s="163" t="str">
        <f t="shared" si="28"/>
        <v/>
      </c>
      <c r="P267" s="163" t="str">
        <f t="shared" si="28"/>
        <v/>
      </c>
      <c r="Q267" s="163" t="str">
        <f t="shared" si="28"/>
        <v/>
      </c>
      <c r="R267" s="163" t="str">
        <f t="shared" si="28"/>
        <v/>
      </c>
      <c r="S267" s="163" t="str">
        <f t="shared" si="28"/>
        <v/>
      </c>
      <c r="T267" s="163" t="str">
        <f t="shared" si="28"/>
        <v/>
      </c>
      <c r="U267" s="163" t="str">
        <f t="shared" si="28"/>
        <v/>
      </c>
      <c r="V267" s="163" t="str">
        <f t="shared" si="28"/>
        <v/>
      </c>
      <c r="W267" s="163" t="str">
        <f t="shared" si="28"/>
        <v/>
      </c>
      <c r="X267" s="163" t="str">
        <f t="shared" si="28"/>
        <v/>
      </c>
      <c r="Y267" s="163" t="str">
        <f t="shared" si="28"/>
        <v/>
      </c>
      <c r="Z267" s="163" t="str">
        <f t="shared" si="28"/>
        <v/>
      </c>
      <c r="AA267" s="163" t="str">
        <f t="shared" si="28"/>
        <v/>
      </c>
      <c r="AB267" s="163" t="str">
        <f t="shared" si="28"/>
        <v/>
      </c>
      <c r="AC267" s="163" t="str">
        <f t="shared" si="28"/>
        <v/>
      </c>
      <c r="AD267" s="163" t="str">
        <f t="shared" si="28"/>
        <v/>
      </c>
      <c r="AE267" s="163" t="str">
        <f t="shared" si="28"/>
        <v/>
      </c>
      <c r="AF267" s="163" t="str">
        <f t="shared" si="28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680" priority="120">
      <formula>$AH11=0</formula>
    </cfRule>
  </conditionalFormatting>
  <conditionalFormatting sqref="B8 M8 S8 AB8">
    <cfRule type="expression" dxfId="679" priority="241">
      <formula>AND(C$9&gt;=14/24,C$9&lt;20/24)</formula>
    </cfRule>
    <cfRule type="expression" dxfId="678" priority="243">
      <formula>C$9&lt;8/24</formula>
    </cfRule>
    <cfRule type="expression" dxfId="677" priority="242">
      <formula>AND(C$9&gt;=8/24,C$9&lt;14/24)</formula>
    </cfRule>
  </conditionalFormatting>
  <conditionalFormatting sqref="B67:D72 E70:W72 X71:AF72">
    <cfRule type="expression" dxfId="672" priority="89">
      <formula>B$9&lt;8/24</formula>
    </cfRule>
  </conditionalFormatting>
  <conditionalFormatting sqref="B68:D72 E70:W72 X71:AF72">
    <cfRule type="expression" dxfId="671" priority="88">
      <formula>AND(B$9&gt;=8/24,B$9&lt;14/24)</formula>
    </cfRule>
    <cfRule type="expression" dxfId="670" priority="86">
      <formula>B$9&gt;=20/24</formula>
    </cfRule>
    <cfRule type="expression" dxfId="669" priority="87">
      <formula>AND(B$9&gt;=14/24,B$9&lt;20/24)</formula>
    </cfRule>
  </conditionalFormatting>
  <conditionalFormatting sqref="B11:W11">
    <cfRule type="expression" dxfId="668" priority="25">
      <formula>B$9&lt;8/24</formula>
    </cfRule>
    <cfRule type="expression" dxfId="667" priority="24">
      <formula>AND(B$9&gt;=8/24,B$9&lt;14/24)</formula>
    </cfRule>
    <cfRule type="expression" dxfId="666" priority="22">
      <formula>B$9&gt;=20/24</formula>
    </cfRule>
    <cfRule type="expression" dxfId="665" priority="23">
      <formula>AND(B$9&gt;=14/24,B$9&lt;20/24)</formula>
    </cfRule>
  </conditionalFormatting>
  <conditionalFormatting sqref="B12:W14">
    <cfRule type="expression" dxfId="664" priority="18">
      <formula>AND(B$9&gt;=14/24,B$9&lt;20/24)</formula>
    </cfRule>
    <cfRule type="expression" dxfId="663" priority="17">
      <formula>B$9&gt;=20/24</formula>
    </cfRule>
    <cfRule type="expression" dxfId="662" priority="19">
      <formula>AND(B$9&gt;=8/24,B$9&lt;14/24)</formula>
    </cfRule>
    <cfRule type="expression" dxfId="661" priority="20">
      <formula>B$9&lt;8/24</formula>
    </cfRule>
  </conditionalFormatting>
  <conditionalFormatting sqref="B15:W40">
    <cfRule type="expression" dxfId="660" priority="111">
      <formula>B$9&lt;8/24</formula>
    </cfRule>
    <cfRule type="expression" dxfId="659" priority="110">
      <formula>AND(B$9&gt;=8/24,B$9&lt;14/24)</formula>
    </cfRule>
    <cfRule type="expression" dxfId="658" priority="109">
      <formula>AND(B$9&gt;=14/24,B$9&lt;20/24)</formula>
    </cfRule>
    <cfRule type="expression" dxfId="657" priority="108">
      <formula>B$9&gt;=20/24</formula>
    </cfRule>
  </conditionalFormatting>
  <conditionalFormatting sqref="B41:W41">
    <cfRule type="expression" dxfId="656" priority="14">
      <formula>AND(B$9&gt;=14/24,B$9&lt;20/24)</formula>
    </cfRule>
    <cfRule type="expression" dxfId="655" priority="16">
      <formula>B$9&lt;8/24</formula>
    </cfRule>
    <cfRule type="expression" dxfId="654" priority="15">
      <formula>AND(B$9&gt;=8/24,B$9&lt;14/24)</formula>
    </cfRule>
    <cfRule type="expression" dxfId="653" priority="13">
      <formula>B$9&gt;=20/24</formula>
    </cfRule>
  </conditionalFormatting>
  <conditionalFormatting sqref="B42:W42">
    <cfRule type="expression" dxfId="652" priority="75">
      <formula>B$9&lt;8/24</formula>
    </cfRule>
    <cfRule type="expression" dxfId="651" priority="73">
      <formula>AND(B$9&gt;=14/24,B$9&lt;20/24)</formula>
    </cfRule>
    <cfRule type="expression" dxfId="650" priority="72">
      <formula>B$9&gt;=20/24</formula>
    </cfRule>
    <cfRule type="expression" dxfId="649" priority="74">
      <formula>AND(B$9&gt;=8/24,B$9&lt;14/24)</formula>
    </cfRule>
  </conditionalFormatting>
  <conditionalFormatting sqref="B49:AA51">
    <cfRule type="expression" dxfId="648" priority="94">
      <formula>B$9&lt;8/24</formula>
    </cfRule>
    <cfRule type="expression" dxfId="647" priority="91">
      <formula>B$9&gt;=20/24</formula>
    </cfRule>
    <cfRule type="expression" dxfId="646" priority="92">
      <formula>AND(B$9&gt;=14/24,B$9&lt;20/24)</formula>
    </cfRule>
    <cfRule type="expression" dxfId="645" priority="93">
      <formula>AND(B$9&gt;=8/24,B$9&lt;14/24)</formula>
    </cfRule>
  </conditionalFormatting>
  <conditionalFormatting sqref="B9:AF10 B220:AF220 D222:AF223 B222:B228 D224:H224 J224:AF224 D225:AF228 U241:AF241">
    <cfRule type="expression" dxfId="644" priority="237">
      <formula>B$9&lt;8/24</formula>
    </cfRule>
    <cfRule type="expression" dxfId="643" priority="236">
      <formula>AND(B$9&gt;=8/24,B$9&lt;14/24)</formula>
    </cfRule>
    <cfRule type="expression" dxfId="642" priority="235">
      <formula>AND(B$9&gt;=14/24,B$9&lt;20/24)</formula>
    </cfRule>
    <cfRule type="expression" dxfId="641" priority="234">
      <formula>B$9&gt;=20/24</formula>
    </cfRule>
  </conditionalFormatting>
  <conditionalFormatting sqref="B11:AF66">
    <cfRule type="expression" dxfId="640" priority="21">
      <formula>B11&gt;$AG11</formula>
    </cfRule>
  </conditionalFormatting>
  <conditionalFormatting sqref="B43:AF43">
    <cfRule type="expression" dxfId="639" priority="104">
      <formula>B$9&gt;=20/24</formula>
    </cfRule>
    <cfRule type="expression" dxfId="638" priority="106">
      <formula>AND(B$9&gt;=8/24,B$9&lt;14/24)</formula>
    </cfRule>
    <cfRule type="expression" dxfId="637" priority="107">
      <formula>B$9&lt;8/24</formula>
    </cfRule>
    <cfRule type="expression" dxfId="636" priority="105">
      <formula>AND(B$9&gt;=14/24,B$9&lt;20/24)</formula>
    </cfRule>
  </conditionalFormatting>
  <conditionalFormatting sqref="B45:AF48">
    <cfRule type="expression" dxfId="635" priority="51">
      <formula>AND(B$9&gt;=8/24,B$9&lt;14/24)</formula>
    </cfRule>
    <cfRule type="expression" dxfId="634" priority="52">
      <formula>B$9&lt;8/24</formula>
    </cfRule>
    <cfRule type="expression" dxfId="633" priority="49">
      <formula>B$9&gt;=20/24</formula>
    </cfRule>
    <cfRule type="expression" dxfId="632" priority="50">
      <formula>AND(B$9&gt;=14/24,B$9&lt;20/24)</formula>
    </cfRule>
  </conditionalFormatting>
  <conditionalFormatting sqref="B54:AF60">
    <cfRule type="expression" dxfId="631" priority="30">
      <formula>AND(B$9&gt;=8/24,B$9&lt;14/24)</formula>
    </cfRule>
    <cfRule type="expression" dxfId="630" priority="29">
      <formula>AND(B$9&gt;=14/24,B$9&lt;20/24)</formula>
    </cfRule>
    <cfRule type="expression" dxfId="629" priority="31">
      <formula>B$9&lt;8/24</formula>
    </cfRule>
    <cfRule type="expression" dxfId="628" priority="28">
      <formula>B$9&gt;=20/24</formula>
    </cfRule>
  </conditionalFormatting>
  <conditionalFormatting sqref="B63:AF66">
    <cfRule type="expression" dxfId="627" priority="70">
      <formula>B$9&lt;8/24</formula>
    </cfRule>
  </conditionalFormatting>
  <conditionalFormatting sqref="B63:AF67">
    <cfRule type="expression" dxfId="626" priority="67">
      <formula>B$9&gt;=20/24</formula>
    </cfRule>
    <cfRule type="expression" dxfId="625" priority="68">
      <formula>AND(B$9&gt;=14/24,B$9&lt;20/24)</formula>
    </cfRule>
    <cfRule type="expression" dxfId="624" priority="69">
      <formula>AND(B$9&gt;=8/24,B$9&lt;14/24)</formula>
    </cfRule>
  </conditionalFormatting>
  <conditionalFormatting sqref="B73:AF85">
    <cfRule type="expression" dxfId="623" priority="11">
      <formula>AND(B$9&gt;=8/24,B$9&lt;14/24)</formula>
    </cfRule>
    <cfRule type="expression" dxfId="622" priority="12">
      <formula>B$9&lt;8/24</formula>
    </cfRule>
    <cfRule type="expression" dxfId="621" priority="10">
      <formula>AND(B$9&gt;=14/24,B$9&lt;20/24)</formula>
    </cfRule>
    <cfRule type="expression" dxfId="620" priority="9">
      <formula>B$9&gt;=20/24</formula>
    </cfRule>
  </conditionalFormatting>
  <conditionalFormatting sqref="B87:AF103">
    <cfRule type="expression" dxfId="615" priority="44">
      <formula>B$9&gt;=20/24</formula>
    </cfRule>
    <cfRule type="expression" dxfId="614" priority="45">
      <formula>AND(B$9&gt;=14/24,B$9&lt;20/24)</formula>
    </cfRule>
    <cfRule type="expression" dxfId="613" priority="46">
      <formula>AND(B$9&gt;=8/24,B$9&lt;14/24)</formula>
    </cfRule>
    <cfRule type="expression" dxfId="612" priority="47">
      <formula>B$9&lt;8/24</formula>
    </cfRule>
  </conditionalFormatting>
  <conditionalFormatting sqref="B105:AF112">
    <cfRule type="expression" dxfId="611" priority="32">
      <formula>B$9&gt;=20/24</formula>
    </cfRule>
    <cfRule type="expression" dxfId="610" priority="35">
      <formula>B$9&lt;8/24</formula>
    </cfRule>
    <cfRule type="expression" dxfId="609" priority="34">
      <formula>AND(B$9&gt;=8/24,B$9&lt;14/24)</formula>
    </cfRule>
    <cfRule type="expression" dxfId="608" priority="33">
      <formula>AND(B$9&gt;=14/24,B$9&lt;20/24)</formula>
    </cfRule>
  </conditionalFormatting>
  <conditionalFormatting sqref="E68:AE69 AF68:AF70 X70:AE70">
    <cfRule type="expression" dxfId="603" priority="197">
      <formula>AND(E$9&gt;=8/24,E$9&lt;14/24)</formula>
    </cfRule>
    <cfRule type="expression" dxfId="602" priority="196">
      <formula>AND(E$9&gt;=14/24,E$9&lt;20/24)</formula>
    </cfRule>
    <cfRule type="expression" dxfId="601" priority="198">
      <formula>E$9&lt;8/24</formula>
    </cfRule>
    <cfRule type="expression" dxfId="600" priority="195">
      <formula>E$9&gt;=20/24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599" priority="240">
      <formula>C$9&gt;=20/24</formula>
    </cfRule>
  </conditionalFormatting>
  <conditionalFormatting sqref="S8">
    <cfRule type="expression" dxfId="598" priority="213">
      <formula>U$9&gt;=20/24</formula>
    </cfRule>
    <cfRule type="expression" dxfId="597" priority="216">
      <formula>U$9&lt;8/24</formula>
    </cfRule>
    <cfRule type="expression" dxfId="596" priority="214">
      <formula>AND(U$9&gt;=14/24,U$9&lt;20/24)</formula>
    </cfRule>
    <cfRule type="expression" dxfId="595" priority="215">
      <formula>AND(U$9&gt;=8/24,U$9&lt;14/24)</formula>
    </cfRule>
  </conditionalFormatting>
  <conditionalFormatting sqref="T241">
    <cfRule type="expression" dxfId="594" priority="254">
      <formula>AND(AX$9&gt;=14/24,AX$9&lt;20/24)</formula>
    </cfRule>
    <cfRule type="expression" dxfId="593" priority="256">
      <formula>AX$9&lt;8/24</formula>
    </cfRule>
    <cfRule type="expression" dxfId="592" priority="255">
      <formula>AND(AX$9&gt;=8/24,AX$9&lt;14/24)</formula>
    </cfRule>
    <cfRule type="expression" dxfId="591" priority="253">
      <formula>AX$9&gt;=20/24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X11:AF42">
    <cfRule type="expression" dxfId="590" priority="179">
      <formula>X$9&lt;8/24</formula>
    </cfRule>
    <cfRule type="expression" dxfId="589" priority="178">
      <formula>AND(X$9&gt;=8/24,X$9&lt;14/24)</formula>
    </cfRule>
    <cfRule type="expression" dxfId="588" priority="177">
      <formula>AND(X$9&gt;=14/24,X$9&lt;20/24)</formula>
    </cfRule>
    <cfRule type="expression" dxfId="587" priority="176">
      <formula>X$9&gt;=20/24</formula>
    </cfRule>
  </conditionalFormatting>
  <conditionalFormatting sqref="AB8">
    <cfRule type="expression" dxfId="586" priority="211">
      <formula>AND(AD$9&gt;=8/24,AD$9&lt;14/24)</formula>
    </cfRule>
    <cfRule type="expression" dxfId="585" priority="210">
      <formula>AND(AD$9&gt;=14/24,AD$9&lt;20/24)</formula>
    </cfRule>
    <cfRule type="expression" dxfId="584" priority="212">
      <formula>AD$9&lt;8/24</formula>
    </cfRule>
    <cfRule type="expression" dxfId="583" priority="209">
      <formula>AD$9&gt;=20/24</formula>
    </cfRule>
  </conditionalFormatting>
  <conditionalFormatting sqref="AB50:AE51 AF50:AF53 P52:AE52 V53:AE53 E67:AF67">
    <cfRule type="expression" dxfId="582" priority="207">
      <formula>E$9&lt;8/24</formula>
    </cfRule>
  </conditionalFormatting>
  <conditionalFormatting sqref="AB50:AE51 AF50:AF53 P52:AE52 V53:AE53">
    <cfRule type="expression" dxfId="581" priority="204">
      <formula>P$9&gt;=20/24</formula>
    </cfRule>
    <cfRule type="expression" dxfId="580" priority="206">
      <formula>AND(P$9&gt;=8/24,P$9&lt;14/24)</formula>
    </cfRule>
    <cfRule type="expression" dxfId="579" priority="205">
      <formula>AND(P$9&gt;=14/24,P$9&lt;20/24)</formula>
    </cfRule>
  </conditionalFormatting>
  <conditionalFormatting sqref="AB49:AF49">
    <cfRule type="expression" dxfId="578" priority="201">
      <formula>AND(AB$9&gt;=14/24,AB$9&lt;20/24)</formula>
    </cfRule>
    <cfRule type="expression" dxfId="577" priority="202">
      <formula>AND(AB$9&gt;=8/24,AB$9&lt;14/24)</formula>
    </cfRule>
    <cfRule type="expression" dxfId="576" priority="203">
      <formula>AB$9&lt;8/24</formula>
    </cfRule>
    <cfRule type="expression" dxfId="575" priority="200">
      <formula>AB$9&gt;=20/24</formula>
    </cfRule>
  </conditionalFormatting>
  <conditionalFormatting sqref="AG44 AG61:AG62 AG66">
    <cfRule type="expression" dxfId="574" priority="166">
      <formula>AG44&gt;$AG44</formula>
    </cfRule>
  </conditionalFormatting>
  <conditionalFormatting sqref="AG48">
    <cfRule type="expression" dxfId="573" priority="150">
      <formula>AG$9&lt;8/24</formula>
    </cfRule>
    <cfRule type="expression" dxfId="572" priority="149">
      <formula>AND(AG$9&gt;=8/24,AG$9&lt;14/24)</formula>
    </cfRule>
    <cfRule type="expression" dxfId="571" priority="148">
      <formula>AND(AG$9&gt;=14/24,AG$9&lt;20/24)</formula>
    </cfRule>
    <cfRule type="expression" dxfId="570" priority="147">
      <formula>AG$9&gt;=20/24</formula>
    </cfRule>
    <cfRule type="expression" dxfId="569" priority="146">
      <formula>AG48&gt;$AG48</formula>
    </cfRule>
  </conditionalFormatting>
  <conditionalFormatting sqref="AG66 AG83">
    <cfRule type="expression" dxfId="568" priority="168">
      <formula>AND(AG$9&gt;=14/24,AG$9&lt;20/24)</formula>
    </cfRule>
    <cfRule type="expression" dxfId="567" priority="170">
      <formula>AG$9&lt;8/24</formula>
    </cfRule>
    <cfRule type="expression" dxfId="566" priority="167">
      <formula>AG$9&gt;=20/24</formula>
    </cfRule>
    <cfRule type="expression" dxfId="565" priority="169">
      <formula>AND(AG$9&gt;=8/24,AG$9&lt;14/24)</formula>
    </cfRule>
  </conditionalFormatting>
  <conditionalFormatting sqref="AG241">
    <cfRule type="expression" dxfId="564" priority="245">
      <formula>B$9&gt;=20/24</formula>
    </cfRule>
    <cfRule type="expression" dxfId="563" priority="248">
      <formula>B$9&lt;8/24</formula>
    </cfRule>
    <cfRule type="expression" dxfId="562" priority="246">
      <formula>AND(B$9&gt;=14/24,B$9&lt;20/24)</formula>
    </cfRule>
    <cfRule type="expression" dxfId="561" priority="247">
      <formula>AND(B$9&gt;=8/24,B$9&lt;14/24)</formula>
    </cfRule>
  </conditionalFormatting>
  <conditionalFormatting sqref="AH241:AX241">
    <cfRule type="expression" dxfId="560" priority="249">
      <formula>AG$9&gt;=20/24</formula>
    </cfRule>
    <cfRule type="expression" dxfId="559" priority="250">
      <formula>AND(AG$9&gt;=14/24,AG$9&lt;20/24)</formula>
    </cfRule>
    <cfRule type="expression" dxfId="558" priority="251">
      <formula>AND(AG$9&gt;=8/24,AG$9&lt;14/24)</formula>
    </cfRule>
    <cfRule type="expression" dxfId="557" priority="252">
      <formula>AG$9&lt;8/24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556" priority="258">
      <formula>AJ$9&gt;=20/24</formula>
    </cfRule>
    <cfRule type="expression" dxfId="555" priority="259">
      <formula>AND(AJ$9&gt;=14/24,AJ$9&lt;20/24)</formula>
    </cfRule>
    <cfRule type="expression" dxfId="554" priority="260">
      <formula>AND(AJ$9&gt;=8/24,AJ$9&lt;14/24)</formula>
    </cfRule>
    <cfRule type="expression" dxfId="553" priority="261">
      <formula>AJ$9&lt;8/24</formula>
    </cfRule>
  </conditionalFormatting>
  <conditionalFormatting sqref="AL74:AN74 AL80:AN80">
    <cfRule type="expression" dxfId="552" priority="7">
      <formula>AND(AL$9&gt;=8/24,AL$9&lt;14/24)</formula>
    </cfRule>
    <cfRule type="expression" dxfId="551" priority="8">
      <formula>AL$9&lt;8/24</formula>
    </cfRule>
    <cfRule type="expression" dxfId="550" priority="6">
      <formula>AND(AL$9&gt;=14/24,AL$9&lt;20/24)</formula>
    </cfRule>
    <cfRule type="expression" dxfId="549" priority="5">
      <formula>AL$9&gt;=20/24</formula>
    </cfRule>
  </conditionalFormatting>
  <conditionalFormatting sqref="AN75:AN78">
    <cfRule type="expression" dxfId="548" priority="2">
      <formula>AND(AN$9&gt;=14/24,AN$9&lt;20/24)</formula>
    </cfRule>
    <cfRule type="expression" dxfId="547" priority="3">
      <formula>AND(AN$9&gt;=8/24,AN$9&lt;14/24)</formula>
    </cfRule>
    <cfRule type="expression" dxfId="546" priority="4">
      <formula>AN$9&lt;8/24</formula>
    </cfRule>
    <cfRule type="expression" dxfId="545" priority="1">
      <formula>AN$9&gt;=20/24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" id="{A17E8F1A-5F6C-413F-B64E-F6BEC985D2B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385C2D1E-5972-40BF-8204-70A4C37774E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6" id="{82581FE0-4DFB-4715-A20E-79F29A228AA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" id="{AA900B48-E880-4915-A8EB-C17B965C623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2" id="{F7E37011-64B6-4E44-8FC7-F8118EA7124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5AFE8251-4258-41AE-99EE-53CB22D70E1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40" id="{B8FABB7D-931F-4DB4-BA9F-3614553108C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46B533FE-E283-4B04-959E-F550B5450A5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4" id="{8134EF8F-7DA5-43B9-8129-B14F0B9DF34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C2B87CF1-777E-4362-830E-84CB91ECBEF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7" id="{BD5FE806-3A2A-4BBE-ACFF-246D49F52F2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6" id="{DD950854-A48A-41AD-AE64-06948C150A4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J274"/>
  <sheetViews>
    <sheetView topLeftCell="A43" workbookViewId="0">
      <selection activeCell="AE63" sqref="AE6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2079/09/12</v>
      </c>
      <c r="C4" s="197"/>
      <c r="D4" s="197"/>
      <c r="E4" s="198" t="str">
        <f ca="1">"2079/"&amp;"09/"&amp;INT(MID(CELL("filename",G6),FIND("]",CELL("filename",G6))+1,200))</f>
        <v>2079/09/12</v>
      </c>
      <c r="F4" s="198"/>
      <c r="G4" s="198"/>
      <c r="H4" s="198" t="str">
        <f ca="1">TEXT(E4,"dddd")</f>
        <v>Tuesday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196</v>
      </c>
      <c r="C5" s="30">
        <f t="shared" si="0"/>
        <v>215</v>
      </c>
      <c r="D5" s="30">
        <f t="shared" si="0"/>
        <v>212</v>
      </c>
      <c r="E5" s="30">
        <f t="shared" si="0"/>
        <v>204.31</v>
      </c>
      <c r="F5" s="30">
        <f t="shared" si="0"/>
        <v>206</v>
      </c>
      <c r="G5" s="30">
        <f t="shared" si="0"/>
        <v>220</v>
      </c>
      <c r="H5" s="30">
        <f t="shared" si="0"/>
        <v>209.3</v>
      </c>
      <c r="I5" s="30">
        <f t="shared" si="0"/>
        <v>288</v>
      </c>
      <c r="J5" s="30">
        <f t="shared" si="0"/>
        <v>281</v>
      </c>
      <c r="K5" s="30">
        <f t="shared" si="0"/>
        <v>74</v>
      </c>
      <c r="L5" s="30">
        <f t="shared" si="0"/>
        <v>69.3</v>
      </c>
      <c r="M5" s="30">
        <f t="shared" si="0"/>
        <v>68.2</v>
      </c>
      <c r="N5" s="30">
        <f t="shared" si="0"/>
        <v>237.9</v>
      </c>
      <c r="O5" s="30">
        <f t="shared" si="0"/>
        <v>235.7</v>
      </c>
      <c r="P5" s="30">
        <f t="shared" si="0"/>
        <v>300.3</v>
      </c>
      <c r="Q5" s="30">
        <f t="shared" si="0"/>
        <v>314.10000000000002</v>
      </c>
      <c r="R5" s="30">
        <f t="shared" si="0"/>
        <v>358.5</v>
      </c>
      <c r="S5" s="30">
        <f t="shared" si="0"/>
        <v>395.5</v>
      </c>
      <c r="T5" s="30">
        <f t="shared" si="0"/>
        <v>412.2</v>
      </c>
      <c r="U5" s="30">
        <f t="shared" si="0"/>
        <v>165.5</v>
      </c>
      <c r="V5" s="30">
        <f t="shared" si="0"/>
        <v>166.8</v>
      </c>
      <c r="W5" s="30">
        <f t="shared" si="0"/>
        <v>167.4</v>
      </c>
      <c r="X5" s="30">
        <f t="shared" si="0"/>
        <v>125.9</v>
      </c>
      <c r="Y5" s="30">
        <f t="shared" si="0"/>
        <v>126</v>
      </c>
      <c r="Z5" s="30">
        <f t="shared" si="0"/>
        <v>173</v>
      </c>
      <c r="AA5" s="30">
        <f t="shared" si="0"/>
        <v>207.2</v>
      </c>
      <c r="AB5" s="30">
        <f t="shared" si="0"/>
        <v>312.09999999999997</v>
      </c>
      <c r="AC5" s="30">
        <f t="shared" si="0"/>
        <v>277.89999999999998</v>
      </c>
      <c r="AD5" s="30">
        <f t="shared" si="0"/>
        <v>281.8</v>
      </c>
      <c r="AE5" s="30">
        <f t="shared" si="0"/>
        <v>289.5</v>
      </c>
      <c r="AF5" s="30">
        <f>B78</f>
        <v>205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1594MW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Load=951</v>
      </c>
      <c r="B7" s="35">
        <f t="shared" ref="B7:AF7" si="1">B85</f>
        <v>1000.8399999999999</v>
      </c>
      <c r="C7" s="35">
        <f t="shared" si="1"/>
        <v>966.83999999999992</v>
      </c>
      <c r="D7" s="35">
        <f t="shared" si="1"/>
        <v>950.83999999999992</v>
      </c>
      <c r="E7" s="35">
        <f t="shared" si="1"/>
        <v>986.53899999999999</v>
      </c>
      <c r="F7" s="35">
        <f t="shared" si="1"/>
        <v>968.65000000000009</v>
      </c>
      <c r="G7" s="35">
        <f t="shared" si="1"/>
        <v>1035.94</v>
      </c>
      <c r="H7" s="35">
        <f t="shared" si="1"/>
        <v>1108.0399</v>
      </c>
      <c r="I7" s="35">
        <f t="shared" si="1"/>
        <v>1196.8399000000002</v>
      </c>
      <c r="J7" s="35">
        <f t="shared" si="1"/>
        <v>1377.4399000000001</v>
      </c>
      <c r="K7" s="35">
        <f t="shared" si="1"/>
        <v>1470.6399000000001</v>
      </c>
      <c r="L7" s="35">
        <f t="shared" si="1"/>
        <v>1569.4399000000001</v>
      </c>
      <c r="M7" s="35">
        <f t="shared" si="1"/>
        <v>1594.24</v>
      </c>
      <c r="N7" s="35">
        <f>N85</f>
        <v>1490.44</v>
      </c>
      <c r="O7" s="35">
        <f t="shared" si="1"/>
        <v>1410.44</v>
      </c>
      <c r="P7" s="35">
        <f t="shared" si="1"/>
        <v>1408.34</v>
      </c>
      <c r="Q7" s="35">
        <f t="shared" si="1"/>
        <v>1267.3399999999999</v>
      </c>
      <c r="R7" s="35">
        <f t="shared" si="1"/>
        <v>1236.44</v>
      </c>
      <c r="S7" s="35">
        <f t="shared" si="1"/>
        <v>1282.24</v>
      </c>
      <c r="T7" s="35">
        <f t="shared" si="1"/>
        <v>1315.6399999999999</v>
      </c>
      <c r="U7" s="35">
        <f t="shared" si="1"/>
        <v>1340.44</v>
      </c>
      <c r="V7" s="35">
        <f t="shared" si="1"/>
        <v>1409.24</v>
      </c>
      <c r="W7" s="35">
        <f t="shared" si="1"/>
        <v>1480.64</v>
      </c>
      <c r="X7" s="35">
        <f>X85</f>
        <v>1637.74</v>
      </c>
      <c r="Y7" s="35">
        <f t="shared" si="1"/>
        <v>1621.3400000000001</v>
      </c>
      <c r="Z7" s="35">
        <f t="shared" si="1"/>
        <v>1581.44</v>
      </c>
      <c r="AA7" s="35">
        <f t="shared" si="1"/>
        <v>1471.8400000000001</v>
      </c>
      <c r="AB7" s="35">
        <f t="shared" si="1"/>
        <v>1360.64</v>
      </c>
      <c r="AC7" s="35">
        <f t="shared" si="1"/>
        <v>1337.3400000000001</v>
      </c>
      <c r="AD7" s="35">
        <f t="shared" si="1"/>
        <v>1312.3400000000001</v>
      </c>
      <c r="AE7" s="35">
        <f t="shared" si="1"/>
        <v>1132.8400000000001</v>
      </c>
      <c r="AF7" s="35">
        <f t="shared" si="1"/>
        <v>1051.3400000000001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s="180" customFormat="1" ht="13.5" customHeight="1" thickTop="1" x14ac:dyDescent="0.25">
      <c r="A9" s="207" t="s">
        <v>18</v>
      </c>
      <c r="B9" s="217">
        <v>0</v>
      </c>
      <c r="C9" s="217">
        <v>4.1666666666666664E-2</v>
      </c>
      <c r="D9" s="217">
        <v>8.3333333333333301E-2</v>
      </c>
      <c r="E9" s="217">
        <v>0.125</v>
      </c>
      <c r="F9" s="217">
        <v>0.16666666666666699</v>
      </c>
      <c r="G9" s="217">
        <v>0.20833333333333301</v>
      </c>
      <c r="H9" s="217">
        <v>0.22916666666666666</v>
      </c>
      <c r="I9" s="217">
        <v>0.25</v>
      </c>
      <c r="J9" s="217">
        <v>0.27083333333333331</v>
      </c>
      <c r="K9" s="217">
        <v>0.29166666666666669</v>
      </c>
      <c r="L9" s="217">
        <v>0.3125</v>
      </c>
      <c r="M9" s="219">
        <v>0.33333333333333331</v>
      </c>
      <c r="N9" s="219">
        <v>0.375</v>
      </c>
      <c r="O9" s="219">
        <v>0.41666666666666702</v>
      </c>
      <c r="P9" s="219">
        <v>0.45833333333333298</v>
      </c>
      <c r="Q9" s="219">
        <v>0.5</v>
      </c>
      <c r="R9" s="219">
        <v>0.54166666666666696</v>
      </c>
      <c r="S9" s="221">
        <v>0.58333333333333304</v>
      </c>
      <c r="T9" s="221">
        <v>0.625</v>
      </c>
      <c r="U9" s="221">
        <v>0.66666666666666696</v>
      </c>
      <c r="V9" s="221">
        <v>0.70833333333333304</v>
      </c>
      <c r="W9" s="221">
        <v>0.72916666666666663</v>
      </c>
      <c r="X9" s="221">
        <v>0.75</v>
      </c>
      <c r="Y9" s="221">
        <v>0.77083333333333337</v>
      </c>
      <c r="Z9" s="221">
        <v>0.79166666666666663</v>
      </c>
      <c r="AA9" s="221">
        <v>0.8125</v>
      </c>
      <c r="AB9" s="221">
        <v>0.83333333333333337</v>
      </c>
      <c r="AC9" s="221">
        <v>0.85416666666666663</v>
      </c>
      <c r="AD9" s="221">
        <v>0.875</v>
      </c>
      <c r="AE9" s="221">
        <v>0.91666666666666696</v>
      </c>
      <c r="AF9" s="221">
        <v>0.95833333333333304</v>
      </c>
      <c r="AG9" s="212" t="s">
        <v>1</v>
      </c>
      <c r="AH9" s="178"/>
      <c r="AI9" s="179"/>
      <c r="AL9" s="181"/>
      <c r="AM9" s="182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82"/>
      <c r="BG9" s="182"/>
      <c r="BH9" s="182"/>
      <c r="BI9" s="182"/>
      <c r="BJ9" s="182"/>
      <c r="BK9" s="182"/>
      <c r="BL9" s="182"/>
      <c r="BM9" s="182"/>
      <c r="BN9" s="182"/>
      <c r="BO9" s="182"/>
      <c r="BP9" s="182"/>
      <c r="BQ9" s="182"/>
      <c r="BR9" s="182"/>
      <c r="BS9" s="182"/>
      <c r="BT9" s="182"/>
      <c r="BU9" s="182"/>
      <c r="BV9" s="182"/>
      <c r="BW9" s="182"/>
      <c r="BX9" s="182"/>
      <c r="BY9" s="182"/>
      <c r="BZ9" s="182"/>
      <c r="CA9" s="182"/>
      <c r="CB9" s="182"/>
      <c r="CC9" s="182"/>
      <c r="CD9" s="182"/>
      <c r="CE9" s="182"/>
      <c r="CF9" s="182"/>
      <c r="CG9" s="182"/>
      <c r="CH9" s="182"/>
      <c r="CI9" s="182"/>
      <c r="CJ9" s="182"/>
    </row>
    <row r="10" spans="1:88" s="180" customFormat="1" ht="15.75" thickBot="1" x14ac:dyDescent="0.3">
      <c r="A10" s="208"/>
      <c r="B10" s="218"/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20"/>
      <c r="N10" s="220"/>
      <c r="O10" s="220"/>
      <c r="P10" s="220"/>
      <c r="Q10" s="220"/>
      <c r="R10" s="220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  <c r="AE10" s="218"/>
      <c r="AF10" s="218"/>
      <c r="AG10" s="213"/>
      <c r="AH10" s="183"/>
      <c r="AL10" s="181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2"/>
      <c r="BD10" s="182"/>
      <c r="BE10" s="182"/>
      <c r="BF10" s="182"/>
      <c r="BG10" s="182"/>
      <c r="BH10" s="182"/>
      <c r="BI10" s="182"/>
      <c r="BJ10" s="182"/>
      <c r="BK10" s="182"/>
      <c r="BL10" s="182"/>
      <c r="BM10" s="182"/>
      <c r="BN10" s="182"/>
      <c r="BO10" s="182"/>
      <c r="BP10" s="182"/>
      <c r="BQ10" s="182"/>
      <c r="BR10" s="182"/>
      <c r="BS10" s="182"/>
      <c r="BT10" s="182"/>
      <c r="BU10" s="182"/>
      <c r="BV10" s="182"/>
      <c r="BW10" s="182"/>
      <c r="BX10" s="182"/>
      <c r="BY10" s="182"/>
      <c r="BZ10" s="182"/>
      <c r="CA10" s="182"/>
      <c r="CB10" s="182"/>
      <c r="CC10" s="182"/>
      <c r="CD10" s="182"/>
      <c r="CE10" s="182"/>
      <c r="CF10" s="182"/>
      <c r="CG10" s="182"/>
      <c r="CH10" s="182"/>
      <c r="CI10" s="182"/>
      <c r="CJ10" s="182"/>
    </row>
    <row r="11" spans="1:88" ht="15.75" thickTop="1" x14ac:dyDescent="0.25">
      <c r="A11" s="44" t="s">
        <v>19</v>
      </c>
      <c r="B11" s="45">
        <v>24</v>
      </c>
      <c r="C11" s="45">
        <v>24</v>
      </c>
      <c r="D11" s="45">
        <v>24</v>
      </c>
      <c r="E11" s="45">
        <v>24.3</v>
      </c>
      <c r="F11" s="45">
        <v>24.5</v>
      </c>
      <c r="G11" s="45">
        <v>25</v>
      </c>
      <c r="H11" s="45">
        <v>24.099900000000002</v>
      </c>
      <c r="I11" s="45">
        <v>24.099900000000002</v>
      </c>
      <c r="J11" s="45">
        <v>24.099900000000002</v>
      </c>
      <c r="K11" s="45">
        <v>24.099900000000002</v>
      </c>
      <c r="L11" s="45">
        <v>24.099900000000002</v>
      </c>
      <c r="M11" s="45">
        <v>24.4</v>
      </c>
      <c r="N11" s="45">
        <v>24.4</v>
      </c>
      <c r="O11" s="45">
        <v>24.4</v>
      </c>
      <c r="P11" s="45">
        <v>24.4</v>
      </c>
      <c r="Q11" s="45">
        <v>24.4</v>
      </c>
      <c r="R11" s="45">
        <v>24.4</v>
      </c>
      <c r="S11" s="45">
        <v>24.4</v>
      </c>
      <c r="T11" s="45">
        <v>26.1</v>
      </c>
      <c r="U11" s="45">
        <v>26.1</v>
      </c>
      <c r="V11" s="45">
        <v>26.1</v>
      </c>
      <c r="W11" s="45">
        <v>26.1</v>
      </c>
      <c r="X11" s="45">
        <v>26.1</v>
      </c>
      <c r="Y11" s="45">
        <v>26.1</v>
      </c>
      <c r="Z11" s="45">
        <v>26.1</v>
      </c>
      <c r="AA11" s="45">
        <v>26.1</v>
      </c>
      <c r="AB11" s="45">
        <v>26.1</v>
      </c>
      <c r="AC11" s="45">
        <v>26.1</v>
      </c>
      <c r="AD11" s="45">
        <v>26.1</v>
      </c>
      <c r="AE11" s="45">
        <v>23.7</v>
      </c>
      <c r="AF11" s="45">
        <v>23.7</v>
      </c>
      <c r="AG11" s="47">
        <v>52.4</v>
      </c>
      <c r="AH11" s="48">
        <f t="shared" ref="AH11:AH74" si="2">MAX(B11:AF11)</f>
        <v>26.1</v>
      </c>
      <c r="AI11" s="49">
        <f t="shared" ref="AI11:AI74" si="3">MIN(B11:AF11)</f>
        <v>23.7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45</v>
      </c>
      <c r="C12" s="45">
        <v>45</v>
      </c>
      <c r="D12" s="45">
        <v>45</v>
      </c>
      <c r="E12" s="45">
        <v>44.8</v>
      </c>
      <c r="F12" s="45">
        <v>44.9</v>
      </c>
      <c r="G12" s="45">
        <v>44.9</v>
      </c>
      <c r="H12" s="45">
        <v>44.9</v>
      </c>
      <c r="I12" s="45">
        <v>44.9</v>
      </c>
      <c r="J12" s="45">
        <v>44.9</v>
      </c>
      <c r="K12" s="45">
        <v>44.9</v>
      </c>
      <c r="L12" s="45">
        <v>44.9</v>
      </c>
      <c r="M12" s="45">
        <v>44.9</v>
      </c>
      <c r="N12" s="45">
        <v>44.9</v>
      </c>
      <c r="O12" s="45">
        <v>44.9</v>
      </c>
      <c r="P12" s="45">
        <v>44.9</v>
      </c>
      <c r="Q12" s="45">
        <v>44.9</v>
      </c>
      <c r="R12" s="45">
        <v>44.9</v>
      </c>
      <c r="S12" s="45">
        <v>44.9</v>
      </c>
      <c r="T12" s="45">
        <v>46</v>
      </c>
      <c r="U12" s="45">
        <v>46</v>
      </c>
      <c r="V12" s="45">
        <v>46</v>
      </c>
      <c r="W12" s="45">
        <v>46</v>
      </c>
      <c r="X12" s="45">
        <v>46</v>
      </c>
      <c r="Y12" s="45">
        <v>46</v>
      </c>
      <c r="Z12" s="45">
        <v>46</v>
      </c>
      <c r="AA12" s="45">
        <v>46</v>
      </c>
      <c r="AB12" s="45">
        <v>46</v>
      </c>
      <c r="AC12" s="45">
        <v>46</v>
      </c>
      <c r="AD12" s="45">
        <v>46</v>
      </c>
      <c r="AE12" s="45">
        <v>45</v>
      </c>
      <c r="AF12" s="45">
        <v>45</v>
      </c>
      <c r="AG12" s="51">
        <v>50</v>
      </c>
      <c r="AH12" s="48">
        <f t="shared" si="2"/>
        <v>46</v>
      </c>
      <c r="AI12" s="49">
        <f t="shared" si="3"/>
        <v>44.8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24.4</v>
      </c>
      <c r="C13" s="45">
        <v>24.4</v>
      </c>
      <c r="D13" s="45">
        <v>24.4</v>
      </c>
      <c r="E13" s="45">
        <v>22.9</v>
      </c>
      <c r="F13" s="45">
        <v>23.7</v>
      </c>
      <c r="G13" s="45">
        <v>23.7</v>
      </c>
      <c r="H13" s="45">
        <v>23.7</v>
      </c>
      <c r="I13" s="45">
        <v>23.7</v>
      </c>
      <c r="J13" s="45">
        <v>23.7</v>
      </c>
      <c r="K13" s="45">
        <v>23.7</v>
      </c>
      <c r="L13" s="45">
        <v>23.7</v>
      </c>
      <c r="M13" s="45">
        <v>22.8</v>
      </c>
      <c r="N13" s="45">
        <v>22.8</v>
      </c>
      <c r="O13" s="45">
        <v>22.8</v>
      </c>
      <c r="P13" s="45">
        <v>22.8</v>
      </c>
      <c r="Q13" s="45">
        <v>22.8</v>
      </c>
      <c r="R13" s="45">
        <v>22.8</v>
      </c>
      <c r="S13" s="45">
        <v>22.8</v>
      </c>
      <c r="T13" s="45">
        <v>22.5</v>
      </c>
      <c r="U13" s="45">
        <v>22.5</v>
      </c>
      <c r="V13" s="45">
        <v>22.5</v>
      </c>
      <c r="W13" s="45">
        <v>22.5</v>
      </c>
      <c r="X13" s="45">
        <v>22.5</v>
      </c>
      <c r="Y13" s="45">
        <v>22.5</v>
      </c>
      <c r="Z13" s="45">
        <v>22.5</v>
      </c>
      <c r="AA13" s="45">
        <v>22.5</v>
      </c>
      <c r="AB13" s="45">
        <v>22.5</v>
      </c>
      <c r="AC13" s="45">
        <v>22.5</v>
      </c>
      <c r="AD13" s="45">
        <v>22.5</v>
      </c>
      <c r="AE13" s="45">
        <v>24.7</v>
      </c>
      <c r="AF13" s="45">
        <v>24.7</v>
      </c>
      <c r="AG13" s="51">
        <v>45</v>
      </c>
      <c r="AH13" s="48">
        <f t="shared" si="2"/>
        <v>24.7</v>
      </c>
      <c r="AI13" s="49">
        <f t="shared" si="3"/>
        <v>22.5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11.8</v>
      </c>
      <c r="C14" s="45">
        <v>11.8</v>
      </c>
      <c r="D14" s="45">
        <v>11.8</v>
      </c>
      <c r="E14" s="45">
        <v>11.8</v>
      </c>
      <c r="F14" s="45">
        <v>11.8</v>
      </c>
      <c r="G14" s="45">
        <v>11.8</v>
      </c>
      <c r="H14" s="45">
        <v>11.8</v>
      </c>
      <c r="I14" s="45">
        <v>11.8</v>
      </c>
      <c r="J14" s="45">
        <v>11.8</v>
      </c>
      <c r="K14" s="45">
        <v>11.8</v>
      </c>
      <c r="L14" s="45">
        <v>11.8</v>
      </c>
      <c r="M14" s="45">
        <v>11.8</v>
      </c>
      <c r="N14" s="45">
        <v>11.8</v>
      </c>
      <c r="O14" s="45">
        <v>11.8</v>
      </c>
      <c r="P14" s="45">
        <v>11.8</v>
      </c>
      <c r="Q14" s="45">
        <v>11.8</v>
      </c>
      <c r="R14" s="45">
        <v>11.8</v>
      </c>
      <c r="S14" s="45">
        <v>11.8</v>
      </c>
      <c r="T14" s="45">
        <v>11.8</v>
      </c>
      <c r="U14" s="45">
        <v>11.8</v>
      </c>
      <c r="V14" s="45">
        <v>11.8</v>
      </c>
      <c r="W14" s="45">
        <v>11.8</v>
      </c>
      <c r="X14" s="45">
        <v>11.8</v>
      </c>
      <c r="Y14" s="45">
        <v>11.8</v>
      </c>
      <c r="Z14" s="45">
        <v>11.8</v>
      </c>
      <c r="AA14" s="45">
        <v>11.8</v>
      </c>
      <c r="AB14" s="45">
        <v>11.8</v>
      </c>
      <c r="AC14" s="45">
        <v>11.8</v>
      </c>
      <c r="AD14" s="45">
        <v>11.8</v>
      </c>
      <c r="AE14" s="45">
        <v>11.8</v>
      </c>
      <c r="AF14" s="45">
        <v>11.8</v>
      </c>
      <c r="AG14" s="51">
        <v>42</v>
      </c>
      <c r="AH14" s="48">
        <f t="shared" si="2"/>
        <v>11.8</v>
      </c>
      <c r="AI14" s="49">
        <f t="shared" si="3"/>
        <v>11.8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17.3</v>
      </c>
      <c r="C15" s="45">
        <v>17.3</v>
      </c>
      <c r="D15" s="45">
        <v>17.3</v>
      </c>
      <c r="E15" s="45">
        <v>17.3</v>
      </c>
      <c r="F15" s="45">
        <v>17.3</v>
      </c>
      <c r="G15" s="45">
        <v>17.3</v>
      </c>
      <c r="H15" s="45">
        <v>17.3</v>
      </c>
      <c r="I15" s="45">
        <v>17.3</v>
      </c>
      <c r="J15" s="45">
        <v>17.3</v>
      </c>
      <c r="K15" s="45">
        <v>17.3</v>
      </c>
      <c r="L15" s="45">
        <v>17.3</v>
      </c>
      <c r="M15" s="45">
        <v>17.3</v>
      </c>
      <c r="N15" s="45">
        <v>17.3</v>
      </c>
      <c r="O15" s="45">
        <v>17.3</v>
      </c>
      <c r="P15" s="45">
        <v>17.3</v>
      </c>
      <c r="Q15" s="45">
        <v>17.3</v>
      </c>
      <c r="R15" s="45">
        <v>17.3</v>
      </c>
      <c r="S15" s="45">
        <v>17.3</v>
      </c>
      <c r="T15" s="45">
        <v>17.3</v>
      </c>
      <c r="U15" s="45">
        <v>17.3</v>
      </c>
      <c r="V15" s="45">
        <v>17.3</v>
      </c>
      <c r="W15" s="45">
        <v>17.3</v>
      </c>
      <c r="X15" s="45">
        <v>17.3</v>
      </c>
      <c r="Y15" s="45">
        <v>17.3</v>
      </c>
      <c r="Z15" s="45">
        <v>17.3</v>
      </c>
      <c r="AA15" s="45">
        <v>17.3</v>
      </c>
      <c r="AB15" s="45">
        <v>17.3</v>
      </c>
      <c r="AC15" s="45">
        <v>17.3</v>
      </c>
      <c r="AD15" s="45">
        <v>17.3</v>
      </c>
      <c r="AE15" s="45">
        <v>17.3</v>
      </c>
      <c r="AF15" s="45">
        <v>17.3</v>
      </c>
      <c r="AG15" s="51">
        <v>36</v>
      </c>
      <c r="AH15" s="48">
        <f t="shared" si="2"/>
        <v>17.3</v>
      </c>
      <c r="AI15" s="49">
        <f t="shared" si="3"/>
        <v>17.3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12</v>
      </c>
      <c r="C16" s="45">
        <v>12</v>
      </c>
      <c r="D16" s="45">
        <v>12</v>
      </c>
      <c r="E16" s="45">
        <v>12</v>
      </c>
      <c r="F16" s="45">
        <v>12</v>
      </c>
      <c r="G16" s="45">
        <v>12</v>
      </c>
      <c r="H16" s="45">
        <v>12</v>
      </c>
      <c r="I16" s="45">
        <v>12</v>
      </c>
      <c r="J16" s="45">
        <v>12</v>
      </c>
      <c r="K16" s="45">
        <v>12</v>
      </c>
      <c r="L16" s="45">
        <v>12</v>
      </c>
      <c r="M16" s="45">
        <v>12</v>
      </c>
      <c r="N16" s="45">
        <v>12</v>
      </c>
      <c r="O16" s="45">
        <v>12</v>
      </c>
      <c r="P16" s="45">
        <v>12</v>
      </c>
      <c r="Q16" s="45">
        <v>12</v>
      </c>
      <c r="R16" s="45">
        <v>12</v>
      </c>
      <c r="S16" s="45">
        <v>12</v>
      </c>
      <c r="T16" s="45">
        <v>10.6</v>
      </c>
      <c r="U16" s="45">
        <v>10.6</v>
      </c>
      <c r="V16" s="45">
        <v>10.6</v>
      </c>
      <c r="W16" s="45">
        <v>10.6</v>
      </c>
      <c r="X16" s="45">
        <v>10.6</v>
      </c>
      <c r="Y16" s="45">
        <v>10.6</v>
      </c>
      <c r="Z16" s="45">
        <v>10.6</v>
      </c>
      <c r="AA16" s="45">
        <v>10.6</v>
      </c>
      <c r="AB16" s="45">
        <v>10.6</v>
      </c>
      <c r="AC16" s="45">
        <v>10.6</v>
      </c>
      <c r="AD16" s="45">
        <v>10.6</v>
      </c>
      <c r="AE16" s="45">
        <v>12</v>
      </c>
      <c r="AF16" s="45">
        <v>12</v>
      </c>
      <c r="AG16" s="52">
        <v>30</v>
      </c>
      <c r="AH16" s="48">
        <f t="shared" si="2"/>
        <v>12</v>
      </c>
      <c r="AI16" s="49">
        <f t="shared" si="3"/>
        <v>10.6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11.1</v>
      </c>
      <c r="C17" s="45">
        <v>11.1</v>
      </c>
      <c r="D17" s="45">
        <v>11.1</v>
      </c>
      <c r="E17" s="45">
        <v>10.9</v>
      </c>
      <c r="F17" s="45">
        <v>10.9</v>
      </c>
      <c r="G17" s="45">
        <v>10.9</v>
      </c>
      <c r="H17" s="45">
        <v>10.9</v>
      </c>
      <c r="I17" s="45">
        <v>10.9</v>
      </c>
      <c r="J17" s="45">
        <v>10.9</v>
      </c>
      <c r="K17" s="45">
        <v>10.9</v>
      </c>
      <c r="L17" s="45">
        <v>10.9</v>
      </c>
      <c r="M17" s="45">
        <v>10.9</v>
      </c>
      <c r="N17" s="45">
        <v>10.9</v>
      </c>
      <c r="O17" s="45">
        <v>10.9</v>
      </c>
      <c r="P17" s="45">
        <v>10.9</v>
      </c>
      <c r="Q17" s="45">
        <v>10.9</v>
      </c>
      <c r="R17" s="45">
        <v>10.9</v>
      </c>
      <c r="S17" s="45">
        <v>10.9</v>
      </c>
      <c r="T17" s="45">
        <v>10.9</v>
      </c>
      <c r="U17" s="45">
        <v>10.9</v>
      </c>
      <c r="V17" s="45">
        <v>10.9</v>
      </c>
      <c r="W17" s="45">
        <v>10.9</v>
      </c>
      <c r="X17" s="45">
        <v>10.9</v>
      </c>
      <c r="Y17" s="45">
        <v>10.9</v>
      </c>
      <c r="Z17" s="45">
        <v>10.9</v>
      </c>
      <c r="AA17" s="45">
        <v>10.9</v>
      </c>
      <c r="AB17" s="45">
        <v>10.9</v>
      </c>
      <c r="AC17" s="45">
        <v>10.9</v>
      </c>
      <c r="AD17" s="45">
        <v>10.9</v>
      </c>
      <c r="AE17" s="45">
        <v>11.4</v>
      </c>
      <c r="AF17" s="45">
        <v>11.4</v>
      </c>
      <c r="AG17" s="51">
        <v>24.2</v>
      </c>
      <c r="AH17" s="48">
        <f t="shared" si="2"/>
        <v>11.4</v>
      </c>
      <c r="AI17" s="49">
        <f t="shared" si="3"/>
        <v>10.9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</v>
      </c>
      <c r="C20" s="45">
        <v>13</v>
      </c>
      <c r="D20" s="45">
        <v>13</v>
      </c>
      <c r="E20" s="45">
        <v>13</v>
      </c>
      <c r="F20" s="45">
        <v>13</v>
      </c>
      <c r="G20" s="45">
        <v>13</v>
      </c>
      <c r="H20" s="45">
        <v>13</v>
      </c>
      <c r="I20" s="45">
        <v>13</v>
      </c>
      <c r="J20" s="45">
        <v>13</v>
      </c>
      <c r="K20" s="45">
        <v>13</v>
      </c>
      <c r="L20" s="45">
        <v>13</v>
      </c>
      <c r="M20" s="45">
        <v>13</v>
      </c>
      <c r="N20" s="45">
        <v>13</v>
      </c>
      <c r="O20" s="45">
        <v>13</v>
      </c>
      <c r="P20" s="45">
        <v>13</v>
      </c>
      <c r="Q20" s="45">
        <v>13</v>
      </c>
      <c r="R20" s="45">
        <v>13</v>
      </c>
      <c r="S20" s="45">
        <v>13</v>
      </c>
      <c r="T20" s="45">
        <v>13</v>
      </c>
      <c r="U20" s="45">
        <v>13</v>
      </c>
      <c r="V20" s="45">
        <v>13</v>
      </c>
      <c r="W20" s="45">
        <v>13</v>
      </c>
      <c r="X20" s="45">
        <v>13</v>
      </c>
      <c r="Y20" s="45">
        <v>13</v>
      </c>
      <c r="Z20" s="45">
        <v>13</v>
      </c>
      <c r="AA20" s="45">
        <v>13</v>
      </c>
      <c r="AB20" s="45">
        <v>13</v>
      </c>
      <c r="AC20" s="45">
        <v>13</v>
      </c>
      <c r="AD20" s="45">
        <v>13</v>
      </c>
      <c r="AE20" s="45">
        <v>13</v>
      </c>
      <c r="AF20" s="45">
        <v>13</v>
      </c>
      <c r="AG20" s="51">
        <v>25</v>
      </c>
      <c r="AH20" s="48">
        <f t="shared" si="2"/>
        <v>13</v>
      </c>
      <c r="AI20" s="49">
        <f t="shared" si="3"/>
        <v>13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11</v>
      </c>
      <c r="C24" s="45">
        <v>11</v>
      </c>
      <c r="D24" s="45">
        <v>11</v>
      </c>
      <c r="E24" s="45">
        <v>11.1</v>
      </c>
      <c r="F24" s="45">
        <v>11.1</v>
      </c>
      <c r="G24" s="45">
        <v>11.1</v>
      </c>
      <c r="H24" s="45">
        <v>11.1</v>
      </c>
      <c r="I24" s="45">
        <v>11.1</v>
      </c>
      <c r="J24" s="45">
        <v>11.1</v>
      </c>
      <c r="K24" s="45">
        <v>11.1</v>
      </c>
      <c r="L24" s="45">
        <v>11.1</v>
      </c>
      <c r="M24" s="45">
        <v>11.1</v>
      </c>
      <c r="N24" s="45">
        <v>11.1</v>
      </c>
      <c r="O24" s="45">
        <v>11.1</v>
      </c>
      <c r="P24" s="45">
        <v>11.1</v>
      </c>
      <c r="Q24" s="45">
        <v>11.1</v>
      </c>
      <c r="R24" s="45">
        <v>11.1</v>
      </c>
      <c r="S24" s="45">
        <v>11.1</v>
      </c>
      <c r="T24" s="45">
        <v>11.1</v>
      </c>
      <c r="U24" s="45">
        <v>11.1</v>
      </c>
      <c r="V24" s="45">
        <v>11.1</v>
      </c>
      <c r="W24" s="45">
        <v>11.1</v>
      </c>
      <c r="X24" s="45">
        <v>11.1</v>
      </c>
      <c r="Y24" s="45">
        <v>11.1</v>
      </c>
      <c r="Z24" s="45">
        <v>11.1</v>
      </c>
      <c r="AA24" s="45">
        <v>11.1</v>
      </c>
      <c r="AB24" s="45">
        <v>11.1</v>
      </c>
      <c r="AC24" s="45">
        <v>11.1</v>
      </c>
      <c r="AD24" s="45">
        <v>11.1</v>
      </c>
      <c r="AE24" s="45">
        <v>11.1</v>
      </c>
      <c r="AF24" s="45">
        <v>11.1</v>
      </c>
      <c r="AG24" s="51">
        <v>23.5</v>
      </c>
      <c r="AH24" s="48">
        <f t="shared" si="2"/>
        <v>11.1</v>
      </c>
      <c r="AI24" s="49">
        <f t="shared" si="3"/>
        <v>11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0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1</v>
      </c>
      <c r="C41" s="45">
        <v>1</v>
      </c>
      <c r="D41" s="45">
        <v>1</v>
      </c>
      <c r="E41" s="45">
        <v>1</v>
      </c>
      <c r="F41" s="45">
        <v>1</v>
      </c>
      <c r="G41" s="45">
        <v>1</v>
      </c>
      <c r="H41" s="45">
        <v>1</v>
      </c>
      <c r="I41" s="45">
        <v>1</v>
      </c>
      <c r="J41" s="45">
        <v>1</v>
      </c>
      <c r="K41" s="45">
        <v>1</v>
      </c>
      <c r="L41" s="45">
        <v>1</v>
      </c>
      <c r="M41" s="45">
        <v>1</v>
      </c>
      <c r="N41" s="45">
        <v>2</v>
      </c>
      <c r="O41" s="45">
        <v>2</v>
      </c>
      <c r="P41" s="45">
        <v>2</v>
      </c>
      <c r="Q41" s="45">
        <v>2</v>
      </c>
      <c r="R41" s="45">
        <v>2</v>
      </c>
      <c r="S41" s="45">
        <v>1</v>
      </c>
      <c r="T41" s="45">
        <v>1</v>
      </c>
      <c r="U41" s="45">
        <v>1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2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180</v>
      </c>
      <c r="C42" s="57">
        <v>180</v>
      </c>
      <c r="D42" s="57">
        <v>180</v>
      </c>
      <c r="E42" s="57">
        <v>180</v>
      </c>
      <c r="F42" s="57">
        <v>180</v>
      </c>
      <c r="G42" s="57">
        <v>180</v>
      </c>
      <c r="H42" s="57">
        <v>180</v>
      </c>
      <c r="I42" s="57">
        <v>180</v>
      </c>
      <c r="J42" s="57">
        <v>180</v>
      </c>
      <c r="K42" s="57">
        <v>180</v>
      </c>
      <c r="L42" s="57">
        <v>180</v>
      </c>
      <c r="M42" s="57">
        <v>180</v>
      </c>
      <c r="N42" s="57">
        <v>180</v>
      </c>
      <c r="O42" s="57">
        <v>180</v>
      </c>
      <c r="P42" s="57">
        <v>180</v>
      </c>
      <c r="Q42" s="57">
        <v>180</v>
      </c>
      <c r="R42" s="57">
        <v>180</v>
      </c>
      <c r="S42" s="57">
        <v>180</v>
      </c>
      <c r="T42" s="57">
        <v>180</v>
      </c>
      <c r="U42" s="57">
        <v>180</v>
      </c>
      <c r="V42" s="57">
        <v>180</v>
      </c>
      <c r="W42" s="57">
        <v>180</v>
      </c>
      <c r="X42" s="57">
        <v>180</v>
      </c>
      <c r="Y42" s="57">
        <v>180</v>
      </c>
      <c r="Z42" s="57">
        <v>180</v>
      </c>
      <c r="AA42" s="57">
        <v>180</v>
      </c>
      <c r="AB42" s="57">
        <v>180</v>
      </c>
      <c r="AC42" s="57">
        <v>180</v>
      </c>
      <c r="AD42" s="57">
        <v>180</v>
      </c>
      <c r="AE42" s="57">
        <v>180</v>
      </c>
      <c r="AF42" s="57">
        <v>180</v>
      </c>
      <c r="AG42" s="55">
        <v>85</v>
      </c>
      <c r="AH42" s="48">
        <f t="shared" si="2"/>
        <v>180</v>
      </c>
      <c r="AI42" s="49">
        <f t="shared" si="3"/>
        <v>180</v>
      </c>
      <c r="AK42" s="50"/>
    </row>
    <row r="43" spans="1:88" ht="15.75" thickBot="1" x14ac:dyDescent="0.3">
      <c r="A43" s="58" t="s">
        <v>51</v>
      </c>
      <c r="B43" s="59">
        <f>29+25.5</f>
        <v>54.5</v>
      </c>
      <c r="C43" s="59">
        <f>30+26</f>
        <v>56</v>
      </c>
      <c r="D43" s="59">
        <v>56.3</v>
      </c>
      <c r="E43" s="59">
        <v>56.8</v>
      </c>
      <c r="F43" s="59">
        <v>56.8</v>
      </c>
      <c r="G43" s="59">
        <v>55.3</v>
      </c>
      <c r="H43" s="59">
        <v>55.3</v>
      </c>
      <c r="I43" s="59">
        <v>50.2</v>
      </c>
      <c r="J43" s="59">
        <v>50.2</v>
      </c>
      <c r="K43" s="59">
        <v>50.2</v>
      </c>
      <c r="L43" s="59">
        <v>50.2</v>
      </c>
      <c r="M43" s="59">
        <f>26.3+25.1</f>
        <v>51.400000000000006</v>
      </c>
      <c r="N43" s="59">
        <f>27.4+25.7</f>
        <v>53.099999999999994</v>
      </c>
      <c r="O43" s="59">
        <f>28.4+25.9</f>
        <v>54.3</v>
      </c>
      <c r="P43" s="59">
        <f>25.7+26.3</f>
        <v>52</v>
      </c>
      <c r="Q43" s="59">
        <f>26.4+29.4</f>
        <v>55.8</v>
      </c>
      <c r="R43" s="59">
        <f>29.3+26.5</f>
        <v>55.8</v>
      </c>
      <c r="S43" s="59">
        <v>55.2</v>
      </c>
      <c r="T43" s="59">
        <f>25.8+30.1</f>
        <v>55.900000000000006</v>
      </c>
      <c r="U43" s="59">
        <v>54.2</v>
      </c>
      <c r="V43" s="59">
        <f>25.2+26.5</f>
        <v>51.7</v>
      </c>
      <c r="W43" s="59">
        <f>25.2+26.5</f>
        <v>51.7</v>
      </c>
      <c r="X43" s="57">
        <v>46</v>
      </c>
      <c r="Y43" s="57">
        <f>46</f>
        <v>46</v>
      </c>
      <c r="Z43" s="57">
        <f>46</f>
        <v>46</v>
      </c>
      <c r="AA43" s="57">
        <f>46</f>
        <v>46</v>
      </c>
      <c r="AB43" s="57"/>
      <c r="AC43" s="57"/>
      <c r="AD43" s="57"/>
      <c r="AE43" s="57"/>
      <c r="AF43" s="57"/>
      <c r="AG43" s="55">
        <v>240</v>
      </c>
      <c r="AH43" s="48">
        <f t="shared" si="2"/>
        <v>56.8</v>
      </c>
      <c r="AI43" s="49">
        <f t="shared" si="3"/>
        <v>46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522.79999999999995</v>
      </c>
      <c r="C44" s="61">
        <f t="shared" si="4"/>
        <v>522.79999999999995</v>
      </c>
      <c r="D44" s="61">
        <f t="shared" si="4"/>
        <v>522.79999999999995</v>
      </c>
      <c r="E44" s="61">
        <f t="shared" si="4"/>
        <v>521.29999999999995</v>
      </c>
      <c r="F44" s="61">
        <f t="shared" si="4"/>
        <v>522.4</v>
      </c>
      <c r="G44" s="61">
        <f t="shared" si="4"/>
        <v>522.9</v>
      </c>
      <c r="H44" s="61">
        <f t="shared" si="4"/>
        <v>521.99990000000003</v>
      </c>
      <c r="I44" s="61">
        <f t="shared" si="4"/>
        <v>521.99990000000003</v>
      </c>
      <c r="J44" s="61">
        <f t="shared" si="4"/>
        <v>521.99990000000003</v>
      </c>
      <c r="K44" s="61">
        <f t="shared" si="4"/>
        <v>521.99990000000003</v>
      </c>
      <c r="L44" s="61">
        <f t="shared" si="4"/>
        <v>521.99990000000003</v>
      </c>
      <c r="M44" s="61">
        <f t="shared" si="4"/>
        <v>521.4</v>
      </c>
      <c r="N44" s="61">
        <f t="shared" si="4"/>
        <v>522.4</v>
      </c>
      <c r="O44" s="61">
        <f t="shared" si="4"/>
        <v>522.4</v>
      </c>
      <c r="P44" s="61">
        <f t="shared" si="4"/>
        <v>522.4</v>
      </c>
      <c r="Q44" s="61">
        <f t="shared" si="4"/>
        <v>522.4</v>
      </c>
      <c r="R44" s="61">
        <f t="shared" si="4"/>
        <v>522.4</v>
      </c>
      <c r="S44" s="61">
        <f t="shared" si="4"/>
        <v>525.4</v>
      </c>
      <c r="T44" s="61">
        <f t="shared" si="4"/>
        <v>526.5</v>
      </c>
      <c r="U44" s="61">
        <f t="shared" si="4"/>
        <v>526.5</v>
      </c>
      <c r="V44" s="61">
        <f t="shared" si="4"/>
        <v>525.5</v>
      </c>
      <c r="W44" s="61">
        <f t="shared" si="4"/>
        <v>525.5</v>
      </c>
      <c r="X44" s="61">
        <f t="shared" si="4"/>
        <v>525.5</v>
      </c>
      <c r="Y44" s="61">
        <f t="shared" si="4"/>
        <v>525.5</v>
      </c>
      <c r="Z44" s="61">
        <f t="shared" si="4"/>
        <v>525.5</v>
      </c>
      <c r="AA44" s="61">
        <f t="shared" si="4"/>
        <v>525.5</v>
      </c>
      <c r="AB44" s="61">
        <f t="shared" si="4"/>
        <v>525.5</v>
      </c>
      <c r="AC44" s="61">
        <f t="shared" si="4"/>
        <v>525.5</v>
      </c>
      <c r="AD44" s="61">
        <f t="shared" si="4"/>
        <v>525.5</v>
      </c>
      <c r="AE44" s="61">
        <f t="shared" si="4"/>
        <v>526.20000000000005</v>
      </c>
      <c r="AF44" s="61">
        <f t="shared" si="4"/>
        <v>526.20000000000005</v>
      </c>
      <c r="AG44" s="62">
        <f t="shared" si="4"/>
        <v>814.78000000000009</v>
      </c>
      <c r="AH44" s="48">
        <f t="shared" si="2"/>
        <v>526.5</v>
      </c>
      <c r="AI44" s="49">
        <f t="shared" si="3"/>
        <v>521.29999999999995</v>
      </c>
      <c r="AK44" s="50"/>
    </row>
    <row r="45" spans="1:88" x14ac:dyDescent="0.25">
      <c r="A45" s="63" t="s">
        <v>53</v>
      </c>
      <c r="B45" s="45">
        <v>15</v>
      </c>
      <c r="C45" s="45">
        <v>25</v>
      </c>
      <c r="D45" s="45">
        <v>15</v>
      </c>
      <c r="E45" s="45">
        <v>40</v>
      </c>
      <c r="F45" s="45">
        <v>30</v>
      </c>
      <c r="G45" s="45">
        <v>60</v>
      </c>
      <c r="H45" s="45">
        <v>76</v>
      </c>
      <c r="I45" s="45">
        <v>95</v>
      </c>
      <c r="J45" s="45">
        <v>135</v>
      </c>
      <c r="K45" s="45">
        <v>155</v>
      </c>
      <c r="L45" s="45">
        <v>430</v>
      </c>
      <c r="M45" s="164">
        <v>456</v>
      </c>
      <c r="N45" s="164">
        <v>365</v>
      </c>
      <c r="O45" s="45">
        <v>100</v>
      </c>
      <c r="P45" s="45">
        <v>100</v>
      </c>
      <c r="Q45" s="45">
        <v>25</v>
      </c>
      <c r="R45" s="45">
        <v>15</v>
      </c>
      <c r="S45" s="45">
        <v>15</v>
      </c>
      <c r="T45" s="45">
        <v>15</v>
      </c>
      <c r="U45" s="45">
        <v>15</v>
      </c>
      <c r="V45" s="45">
        <v>220</v>
      </c>
      <c r="W45" s="45">
        <v>250</v>
      </c>
      <c r="X45" s="45">
        <v>400</v>
      </c>
      <c r="Y45" s="45">
        <v>420</v>
      </c>
      <c r="Z45" s="45">
        <v>380</v>
      </c>
      <c r="AA45" s="45">
        <v>150</v>
      </c>
      <c r="AB45" s="45">
        <v>90</v>
      </c>
      <c r="AC45" s="45">
        <v>55</v>
      </c>
      <c r="AD45" s="45">
        <v>76</v>
      </c>
      <c r="AE45" s="45">
        <v>20</v>
      </c>
      <c r="AF45" s="45">
        <v>15</v>
      </c>
      <c r="AG45" s="52">
        <v>456</v>
      </c>
      <c r="AH45" s="48">
        <f t="shared" si="2"/>
        <v>456</v>
      </c>
      <c r="AI45" s="49">
        <f t="shared" si="3"/>
        <v>15</v>
      </c>
      <c r="AK45" s="50"/>
    </row>
    <row r="46" spans="1:88" x14ac:dyDescent="0.25">
      <c r="A46" s="64" t="s">
        <v>54</v>
      </c>
      <c r="B46" s="65">
        <v>46</v>
      </c>
      <c r="C46" s="65">
        <v>46</v>
      </c>
      <c r="D46" s="65">
        <v>46</v>
      </c>
      <c r="E46" s="65">
        <v>46</v>
      </c>
      <c r="F46" s="65">
        <v>46</v>
      </c>
      <c r="G46" s="65">
        <v>46</v>
      </c>
      <c r="H46" s="65">
        <v>46.1</v>
      </c>
      <c r="I46" s="65">
        <v>46</v>
      </c>
      <c r="J46" s="65">
        <v>46</v>
      </c>
      <c r="K46" s="65">
        <v>46</v>
      </c>
      <c r="L46" s="65">
        <v>46</v>
      </c>
      <c r="M46" s="65">
        <v>46</v>
      </c>
      <c r="N46" s="65">
        <v>46</v>
      </c>
      <c r="O46" s="65">
        <v>46</v>
      </c>
      <c r="P46" s="65">
        <v>46</v>
      </c>
      <c r="Q46" s="65">
        <v>46</v>
      </c>
      <c r="R46" s="65">
        <v>46</v>
      </c>
      <c r="S46" s="65">
        <v>46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46.1</v>
      </c>
      <c r="AI46" s="49">
        <f t="shared" si="3"/>
        <v>41</v>
      </c>
      <c r="AK46" s="50"/>
    </row>
    <row r="47" spans="1:88" ht="15.75" thickBot="1" x14ac:dyDescent="0.3">
      <c r="A47" s="66" t="s">
        <v>55</v>
      </c>
      <c r="B47" s="67">
        <v>13.6</v>
      </c>
      <c r="C47" s="67">
        <v>13.6</v>
      </c>
      <c r="D47" s="67">
        <v>13.6</v>
      </c>
      <c r="E47" s="67">
        <v>13.999000000000001</v>
      </c>
      <c r="F47" s="67">
        <v>14.2</v>
      </c>
      <c r="G47" s="67">
        <v>14.3</v>
      </c>
      <c r="H47" s="67">
        <v>14.2</v>
      </c>
      <c r="I47" s="67">
        <v>14.1</v>
      </c>
      <c r="J47" s="67">
        <v>14.1</v>
      </c>
      <c r="K47" s="67">
        <v>14.1</v>
      </c>
      <c r="L47" s="67">
        <v>14.1</v>
      </c>
      <c r="M47" s="67">
        <v>14.1</v>
      </c>
      <c r="N47" s="67">
        <v>14.1</v>
      </c>
      <c r="O47" s="67">
        <v>14.1</v>
      </c>
      <c r="P47" s="67">
        <v>14.2</v>
      </c>
      <c r="Q47" s="67">
        <v>14.1</v>
      </c>
      <c r="R47" s="67">
        <v>14.1</v>
      </c>
      <c r="S47" s="67">
        <v>13.2</v>
      </c>
      <c r="T47" s="67">
        <v>13.2</v>
      </c>
      <c r="U47" s="67">
        <v>13.2</v>
      </c>
      <c r="V47" s="67">
        <v>13.1</v>
      </c>
      <c r="W47" s="67">
        <v>13.1</v>
      </c>
      <c r="X47" s="67">
        <v>20.8</v>
      </c>
      <c r="Y47" s="67">
        <v>20.8</v>
      </c>
      <c r="Z47" s="67">
        <v>20.8</v>
      </c>
      <c r="AA47" s="67">
        <v>14.2</v>
      </c>
      <c r="AB47" s="67">
        <v>14.2</v>
      </c>
      <c r="AC47" s="67">
        <v>14.2</v>
      </c>
      <c r="AD47" s="67">
        <v>14.2</v>
      </c>
      <c r="AE47" s="67">
        <v>14.2</v>
      </c>
      <c r="AF47" s="67">
        <v>14.2</v>
      </c>
      <c r="AG47" s="68">
        <v>22.1</v>
      </c>
      <c r="AH47" s="48">
        <f t="shared" si="2"/>
        <v>20.8</v>
      </c>
      <c r="AI47" s="49">
        <f t="shared" si="3"/>
        <v>13.1</v>
      </c>
      <c r="AK47" s="50"/>
    </row>
    <row r="48" spans="1:88" ht="15.75" thickBot="1" x14ac:dyDescent="0.3">
      <c r="A48" s="69" t="s">
        <v>56</v>
      </c>
      <c r="B48" s="61">
        <f t="shared" ref="B48:AG48" si="5">SUM(B45:B47)</f>
        <v>74.599999999999994</v>
      </c>
      <c r="C48" s="61">
        <f t="shared" si="5"/>
        <v>84.6</v>
      </c>
      <c r="D48" s="61">
        <f t="shared" si="5"/>
        <v>74.599999999999994</v>
      </c>
      <c r="E48" s="61">
        <f t="shared" si="5"/>
        <v>99.998999999999995</v>
      </c>
      <c r="F48" s="61">
        <f t="shared" si="5"/>
        <v>90.2</v>
      </c>
      <c r="G48" s="61">
        <f t="shared" si="5"/>
        <v>120.3</v>
      </c>
      <c r="H48" s="61">
        <f t="shared" si="5"/>
        <v>136.29999999999998</v>
      </c>
      <c r="I48" s="61">
        <f t="shared" si="5"/>
        <v>155.1</v>
      </c>
      <c r="J48" s="61">
        <f t="shared" si="5"/>
        <v>195.1</v>
      </c>
      <c r="K48" s="61">
        <f t="shared" si="5"/>
        <v>215.1</v>
      </c>
      <c r="L48" s="61">
        <f t="shared" si="5"/>
        <v>490.1</v>
      </c>
      <c r="M48" s="61">
        <f t="shared" si="5"/>
        <v>516.1</v>
      </c>
      <c r="N48" s="61">
        <f t="shared" si="5"/>
        <v>425.1</v>
      </c>
      <c r="O48" s="61">
        <f t="shared" si="5"/>
        <v>160.1</v>
      </c>
      <c r="P48" s="61">
        <f t="shared" si="5"/>
        <v>160.19999999999999</v>
      </c>
      <c r="Q48" s="61">
        <f t="shared" si="5"/>
        <v>85.1</v>
      </c>
      <c r="R48" s="61">
        <f t="shared" si="5"/>
        <v>75.099999999999994</v>
      </c>
      <c r="S48" s="61">
        <f t="shared" si="5"/>
        <v>74.2</v>
      </c>
      <c r="T48" s="61">
        <f t="shared" si="5"/>
        <v>69.2</v>
      </c>
      <c r="U48" s="61">
        <f t="shared" si="5"/>
        <v>69.2</v>
      </c>
      <c r="V48" s="61">
        <f t="shared" si="5"/>
        <v>274.10000000000002</v>
      </c>
      <c r="W48" s="61">
        <f t="shared" si="5"/>
        <v>304.10000000000002</v>
      </c>
      <c r="X48" s="61">
        <f>SUM(X45:X47)</f>
        <v>461.8</v>
      </c>
      <c r="Y48" s="61">
        <f t="shared" si="5"/>
        <v>481.8</v>
      </c>
      <c r="Z48" s="61">
        <f t="shared" si="5"/>
        <v>441.8</v>
      </c>
      <c r="AA48" s="61">
        <f t="shared" si="5"/>
        <v>205.2</v>
      </c>
      <c r="AB48" s="61">
        <f t="shared" si="5"/>
        <v>145.19999999999999</v>
      </c>
      <c r="AC48" s="61">
        <f t="shared" si="5"/>
        <v>110.2</v>
      </c>
      <c r="AD48" s="61">
        <f t="shared" si="5"/>
        <v>131.19999999999999</v>
      </c>
      <c r="AE48" s="61">
        <f t="shared" si="5"/>
        <v>75.2</v>
      </c>
      <c r="AF48" s="61">
        <f t="shared" si="5"/>
        <v>70.2</v>
      </c>
      <c r="AG48" s="62">
        <f t="shared" si="5"/>
        <v>538.1</v>
      </c>
      <c r="AH48" s="48">
        <f t="shared" si="2"/>
        <v>516.1</v>
      </c>
      <c r="AI48" s="49">
        <f t="shared" si="3"/>
        <v>69.2</v>
      </c>
      <c r="AK48" s="50"/>
    </row>
    <row r="49" spans="1:41" x14ac:dyDescent="0.25">
      <c r="A49" s="44" t="s">
        <v>57</v>
      </c>
      <c r="B49" s="45">
        <v>35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43.2</v>
      </c>
      <c r="I49" s="45">
        <v>96.6</v>
      </c>
      <c r="J49" s="45">
        <v>125</v>
      </c>
      <c r="K49" s="45">
        <v>142.30000000000001</v>
      </c>
      <c r="L49" s="45">
        <v>143</v>
      </c>
      <c r="M49" s="45">
        <v>141.6</v>
      </c>
      <c r="N49" s="45">
        <v>141.4</v>
      </c>
      <c r="O49" s="45">
        <v>141.1</v>
      </c>
      <c r="P49" s="45">
        <v>141.1</v>
      </c>
      <c r="Q49" s="45">
        <v>90</v>
      </c>
      <c r="R49" s="45">
        <v>71.2</v>
      </c>
      <c r="S49" s="45">
        <v>61</v>
      </c>
      <c r="T49" s="45">
        <v>61</v>
      </c>
      <c r="U49" s="45">
        <v>71.5</v>
      </c>
      <c r="V49" s="45">
        <v>122.7</v>
      </c>
      <c r="W49" s="45">
        <v>141.80000000000001</v>
      </c>
      <c r="X49" s="45">
        <v>141.80000000000001</v>
      </c>
      <c r="Y49" s="45">
        <v>141.80000000000001</v>
      </c>
      <c r="Z49" s="45">
        <v>141.80000000000001</v>
      </c>
      <c r="AA49" s="45">
        <v>141.80000000000001</v>
      </c>
      <c r="AB49" s="45">
        <v>141.80000000000001</v>
      </c>
      <c r="AC49" s="45">
        <v>103</v>
      </c>
      <c r="AD49" s="45">
        <v>91.4</v>
      </c>
      <c r="AE49" s="45">
        <v>62.9</v>
      </c>
      <c r="AF49" s="45">
        <v>21.7</v>
      </c>
      <c r="AG49" s="52">
        <v>144</v>
      </c>
      <c r="AH49" s="48">
        <f t="shared" si="2"/>
        <v>143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25</v>
      </c>
      <c r="C50" s="65">
        <v>25</v>
      </c>
      <c r="D50" s="65">
        <v>0</v>
      </c>
      <c r="E50" s="65">
        <v>0</v>
      </c>
      <c r="F50" s="65">
        <v>0</v>
      </c>
      <c r="G50" s="65">
        <v>35</v>
      </c>
      <c r="H50" s="65">
        <v>33.9</v>
      </c>
      <c r="I50" s="65">
        <v>60</v>
      </c>
      <c r="J50" s="65">
        <v>69.099999999999994</v>
      </c>
      <c r="K50" s="65">
        <v>70</v>
      </c>
      <c r="L50" s="65">
        <v>70</v>
      </c>
      <c r="M50" s="65">
        <v>69.7</v>
      </c>
      <c r="N50" s="65">
        <v>70.099999999999994</v>
      </c>
      <c r="O50" s="65">
        <v>69.5</v>
      </c>
      <c r="P50" s="65">
        <v>69.5</v>
      </c>
      <c r="Q50" s="65">
        <v>24</v>
      </c>
      <c r="R50" s="45">
        <v>23.2</v>
      </c>
      <c r="S50" s="45">
        <v>22</v>
      </c>
      <c r="T50" s="45">
        <v>22</v>
      </c>
      <c r="U50" s="45">
        <v>25.3</v>
      </c>
      <c r="V50" s="45">
        <v>70.5</v>
      </c>
      <c r="W50" s="45">
        <v>70.400000000000006</v>
      </c>
      <c r="X50" s="45">
        <v>70.400000000000006</v>
      </c>
      <c r="Y50" s="45">
        <v>70.400000000000006</v>
      </c>
      <c r="Z50" s="45">
        <v>70.400000000000006</v>
      </c>
      <c r="AA50" s="45">
        <v>70.400000000000006</v>
      </c>
      <c r="AB50" s="45">
        <v>70.400000000000006</v>
      </c>
      <c r="AC50" s="65">
        <v>70</v>
      </c>
      <c r="AD50" s="65">
        <v>69.5</v>
      </c>
      <c r="AE50" s="65">
        <v>25.8</v>
      </c>
      <c r="AF50" s="65">
        <v>0</v>
      </c>
      <c r="AG50" s="55">
        <v>70</v>
      </c>
      <c r="AH50" s="48">
        <f t="shared" si="2"/>
        <v>70.5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32</v>
      </c>
      <c r="C51" s="65">
        <v>32</v>
      </c>
      <c r="D51" s="65">
        <v>32</v>
      </c>
      <c r="E51" s="65">
        <v>45</v>
      </c>
      <c r="F51" s="65">
        <v>43.5</v>
      </c>
      <c r="G51" s="65">
        <v>43.5</v>
      </c>
      <c r="H51" s="65">
        <v>44.4</v>
      </c>
      <c r="I51" s="65">
        <v>45.6</v>
      </c>
      <c r="J51" s="65">
        <v>56</v>
      </c>
      <c r="K51" s="65">
        <v>62</v>
      </c>
      <c r="L51" s="65">
        <v>64</v>
      </c>
      <c r="M51" s="65">
        <v>64</v>
      </c>
      <c r="N51" s="65">
        <v>56.7</v>
      </c>
      <c r="O51" s="65">
        <v>65.900000000000006</v>
      </c>
      <c r="P51" s="65">
        <v>65.900000000000006</v>
      </c>
      <c r="Q51" s="65">
        <v>33.4</v>
      </c>
      <c r="R51" s="45">
        <v>33.700000000000003</v>
      </c>
      <c r="S51" s="45">
        <v>33</v>
      </c>
      <c r="T51" s="45">
        <v>33</v>
      </c>
      <c r="U51" s="45">
        <v>36</v>
      </c>
      <c r="V51" s="45">
        <v>46.3</v>
      </c>
      <c r="W51" s="45">
        <v>67.400000000000006</v>
      </c>
      <c r="X51" s="45">
        <v>67.400000000000006</v>
      </c>
      <c r="Y51" s="45">
        <v>67.400000000000006</v>
      </c>
      <c r="Z51" s="45">
        <v>67.400000000000006</v>
      </c>
      <c r="AA51" s="45">
        <v>67.400000000000006</v>
      </c>
      <c r="AB51" s="45">
        <v>62</v>
      </c>
      <c r="AC51" s="65">
        <v>66</v>
      </c>
      <c r="AD51" s="65">
        <v>66.3</v>
      </c>
      <c r="AE51" s="65">
        <v>50.5</v>
      </c>
      <c r="AF51" s="65">
        <v>33.299999999999997</v>
      </c>
      <c r="AG51" s="55">
        <v>69</v>
      </c>
      <c r="AH51" s="48">
        <f t="shared" si="2"/>
        <v>67.400000000000006</v>
      </c>
      <c r="AI51" s="49">
        <f t="shared" si="3"/>
        <v>32</v>
      </c>
      <c r="AK51" s="50"/>
    </row>
    <row r="52" spans="1:41" x14ac:dyDescent="0.25">
      <c r="A52" s="54" t="s">
        <v>60</v>
      </c>
      <c r="B52" s="57">
        <v>58.2</v>
      </c>
      <c r="C52" s="57">
        <v>58.2</v>
      </c>
      <c r="D52" s="57">
        <v>58.2</v>
      </c>
      <c r="E52" s="57">
        <v>60</v>
      </c>
      <c r="F52" s="57">
        <v>60</v>
      </c>
      <c r="G52" s="57">
        <v>60</v>
      </c>
      <c r="H52" s="57">
        <v>60</v>
      </c>
      <c r="I52" s="57">
        <v>60</v>
      </c>
      <c r="J52" s="57">
        <v>60</v>
      </c>
      <c r="K52" s="57">
        <v>60</v>
      </c>
      <c r="L52" s="57">
        <v>60</v>
      </c>
      <c r="M52" s="57">
        <v>60</v>
      </c>
      <c r="N52" s="65">
        <v>60</v>
      </c>
      <c r="O52" s="65">
        <v>60</v>
      </c>
      <c r="P52" s="65">
        <v>60</v>
      </c>
      <c r="Q52" s="65">
        <v>60.4</v>
      </c>
      <c r="R52" s="65">
        <v>60.4</v>
      </c>
      <c r="S52" s="45">
        <v>58.7</v>
      </c>
      <c r="T52" s="45">
        <v>58.7</v>
      </c>
      <c r="U52" s="45">
        <v>57.2</v>
      </c>
      <c r="V52" s="45">
        <v>58.9</v>
      </c>
      <c r="W52" s="45">
        <v>58.9</v>
      </c>
      <c r="X52" s="45">
        <v>58.9</v>
      </c>
      <c r="Y52" s="45">
        <v>58.9</v>
      </c>
      <c r="Z52" s="45">
        <v>58.9</v>
      </c>
      <c r="AA52" s="45">
        <v>58.9</v>
      </c>
      <c r="AB52" s="45">
        <v>58.9</v>
      </c>
      <c r="AC52" s="65">
        <v>59.2</v>
      </c>
      <c r="AD52" s="65">
        <v>59.2</v>
      </c>
      <c r="AE52" s="65">
        <v>59.2</v>
      </c>
      <c r="AF52" s="65">
        <v>59.2</v>
      </c>
      <c r="AG52" s="55">
        <v>60</v>
      </c>
      <c r="AH52" s="48">
        <f t="shared" si="2"/>
        <v>60.4</v>
      </c>
      <c r="AI52" s="49">
        <f t="shared" si="3"/>
        <v>57.2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45">
        <v>0</v>
      </c>
      <c r="T53" s="45">
        <v>0</v>
      </c>
      <c r="U53" s="45">
        <v>0</v>
      </c>
      <c r="V53" s="45">
        <v>0</v>
      </c>
      <c r="W53" s="45">
        <v>0</v>
      </c>
      <c r="X53" s="45">
        <v>0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65">
        <v>0</v>
      </c>
      <c r="AF53" s="65">
        <v>0</v>
      </c>
      <c r="AG53" s="55">
        <v>30</v>
      </c>
      <c r="AH53" s="48">
        <f t="shared" si="2"/>
        <v>0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4</v>
      </c>
      <c r="N54" s="65">
        <v>4</v>
      </c>
      <c r="O54" s="65">
        <v>4</v>
      </c>
      <c r="P54" s="65">
        <v>4</v>
      </c>
      <c r="Q54" s="65">
        <v>4</v>
      </c>
      <c r="R54" s="65">
        <v>4</v>
      </c>
      <c r="S54" s="45">
        <v>4</v>
      </c>
      <c r="T54" s="45">
        <v>4</v>
      </c>
      <c r="U54" s="45">
        <v>4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65">
        <v>0</v>
      </c>
      <c r="AF54" s="65">
        <v>0</v>
      </c>
      <c r="AG54" s="55">
        <v>25</v>
      </c>
      <c r="AH54" s="48">
        <f t="shared" si="2"/>
        <v>4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17.100000000000001</v>
      </c>
      <c r="S55" s="65">
        <v>17.100000000000001</v>
      </c>
      <c r="T55" s="65">
        <v>17.100000000000001</v>
      </c>
      <c r="U55" s="65">
        <v>17.100000000000001</v>
      </c>
      <c r="V55" s="65">
        <v>17.100000000000001</v>
      </c>
      <c r="W55" s="65">
        <v>17.100000000000001</v>
      </c>
      <c r="X55" s="65">
        <v>17.100000000000001</v>
      </c>
      <c r="Y55" s="65">
        <v>17.100000000000001</v>
      </c>
      <c r="Z55" s="65">
        <v>17.100000000000001</v>
      </c>
      <c r="AA55" s="65">
        <v>17.100000000000001</v>
      </c>
      <c r="AB55" s="65">
        <v>17.100000000000001</v>
      </c>
      <c r="AC55" s="65">
        <v>17.100000000000001</v>
      </c>
      <c r="AD55" s="65">
        <v>17.100000000000001</v>
      </c>
      <c r="AE55" s="65">
        <v>17.100000000000001</v>
      </c>
      <c r="AF55" s="65">
        <v>17.100000000000001</v>
      </c>
      <c r="AG55" s="55">
        <v>24</v>
      </c>
      <c r="AH55" s="48">
        <f t="shared" si="2"/>
        <v>17.100000000000001</v>
      </c>
      <c r="AI55" s="49">
        <f t="shared" si="3"/>
        <v>17.100000000000001</v>
      </c>
      <c r="AK55" s="50"/>
    </row>
    <row r="56" spans="1:41" x14ac:dyDescent="0.25">
      <c r="A56" s="54" t="s">
        <v>64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2.5</v>
      </c>
      <c r="N56" s="65">
        <v>2.5</v>
      </c>
      <c r="O56" s="65">
        <v>2.5</v>
      </c>
      <c r="P56" s="65">
        <v>2.5</v>
      </c>
      <c r="Q56" s="65">
        <v>2.5</v>
      </c>
      <c r="R56" s="65">
        <v>2.5</v>
      </c>
      <c r="S56" s="65">
        <v>0</v>
      </c>
      <c r="T56" s="65">
        <v>0</v>
      </c>
      <c r="U56" s="65">
        <v>2.8</v>
      </c>
      <c r="V56" s="65">
        <v>2.8</v>
      </c>
      <c r="W56" s="65">
        <v>2.8</v>
      </c>
      <c r="X56" s="65">
        <v>2.8</v>
      </c>
      <c r="Y56" s="65">
        <v>2.8</v>
      </c>
      <c r="Z56" s="65">
        <v>2.8</v>
      </c>
      <c r="AA56" s="65">
        <v>2.8</v>
      </c>
      <c r="AB56" s="65">
        <v>2.8</v>
      </c>
      <c r="AC56" s="65">
        <v>2.8</v>
      </c>
      <c r="AD56" s="65">
        <v>2.8</v>
      </c>
      <c r="AE56" s="65">
        <v>2.8</v>
      </c>
      <c r="AF56" s="65">
        <v>2.8</v>
      </c>
      <c r="AG56" s="55">
        <v>15</v>
      </c>
      <c r="AH56" s="48">
        <f t="shared" si="2"/>
        <v>2.8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14.1</v>
      </c>
      <c r="C57" s="65">
        <v>14.1</v>
      </c>
      <c r="D57" s="65">
        <v>14.1</v>
      </c>
      <c r="E57" s="65">
        <v>14.1</v>
      </c>
      <c r="F57" s="65">
        <v>14.1</v>
      </c>
      <c r="G57" s="65">
        <v>14.1</v>
      </c>
      <c r="H57" s="65">
        <v>14.1</v>
      </c>
      <c r="I57" s="65">
        <v>14.1</v>
      </c>
      <c r="J57" s="65">
        <v>14.1</v>
      </c>
      <c r="K57" s="65">
        <v>14.1</v>
      </c>
      <c r="L57" s="65">
        <v>14.1</v>
      </c>
      <c r="M57" s="65">
        <v>14.1</v>
      </c>
      <c r="N57" s="65">
        <v>14.1</v>
      </c>
      <c r="O57" s="65">
        <v>14.1</v>
      </c>
      <c r="P57" s="65">
        <v>14.1</v>
      </c>
      <c r="Q57" s="65">
        <v>14.1</v>
      </c>
      <c r="R57" s="65">
        <v>14.1</v>
      </c>
      <c r="S57" s="65">
        <v>14.1</v>
      </c>
      <c r="T57" s="65">
        <v>14.1</v>
      </c>
      <c r="U57" s="65">
        <v>14.1</v>
      </c>
      <c r="V57" s="65">
        <v>14.1</v>
      </c>
      <c r="W57" s="65">
        <v>14.1</v>
      </c>
      <c r="X57" s="65">
        <v>14.1</v>
      </c>
      <c r="Y57" s="65">
        <v>14.1</v>
      </c>
      <c r="Z57" s="65">
        <v>14.1</v>
      </c>
      <c r="AA57" s="65">
        <v>14.1</v>
      </c>
      <c r="AB57" s="65">
        <v>14.1</v>
      </c>
      <c r="AC57" s="65">
        <v>14.1</v>
      </c>
      <c r="AD57" s="65">
        <v>14.1</v>
      </c>
      <c r="AE57" s="65">
        <v>14.1</v>
      </c>
      <c r="AF57" s="65">
        <v>14.1</v>
      </c>
      <c r="AG57" s="55">
        <v>14.1</v>
      </c>
      <c r="AH57" s="48">
        <f t="shared" si="2"/>
        <v>14.1</v>
      </c>
      <c r="AI57" s="49">
        <f t="shared" si="3"/>
        <v>14.1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7</v>
      </c>
      <c r="C58" s="65">
        <v>7</v>
      </c>
      <c r="D58" s="65">
        <v>7</v>
      </c>
      <c r="E58" s="65">
        <v>7</v>
      </c>
      <c r="F58" s="65">
        <v>7</v>
      </c>
      <c r="G58" s="65">
        <v>7</v>
      </c>
      <c r="H58" s="65">
        <v>7</v>
      </c>
      <c r="I58" s="65">
        <v>7</v>
      </c>
      <c r="J58" s="65">
        <v>7</v>
      </c>
      <c r="K58" s="65">
        <v>7</v>
      </c>
      <c r="L58" s="65">
        <v>7</v>
      </c>
      <c r="M58" s="65">
        <v>7</v>
      </c>
      <c r="N58" s="65">
        <v>7</v>
      </c>
      <c r="O58" s="65">
        <v>7</v>
      </c>
      <c r="P58" s="65">
        <v>7</v>
      </c>
      <c r="Q58" s="65">
        <v>7</v>
      </c>
      <c r="R58" s="65">
        <v>7</v>
      </c>
      <c r="S58" s="65">
        <v>7</v>
      </c>
      <c r="T58" s="65">
        <v>7</v>
      </c>
      <c r="U58" s="65">
        <v>7</v>
      </c>
      <c r="V58" s="65">
        <v>7.2</v>
      </c>
      <c r="W58" s="65">
        <v>7.2</v>
      </c>
      <c r="X58" s="65">
        <v>7.2</v>
      </c>
      <c r="Y58" s="65">
        <v>7.2</v>
      </c>
      <c r="Z58" s="65">
        <v>7.2</v>
      </c>
      <c r="AA58" s="65">
        <v>7.2</v>
      </c>
      <c r="AB58" s="65">
        <v>7.2</v>
      </c>
      <c r="AC58" s="65">
        <v>7.2</v>
      </c>
      <c r="AD58" s="65">
        <v>7.2</v>
      </c>
      <c r="AE58" s="65">
        <v>7.2</v>
      </c>
      <c r="AF58" s="65">
        <v>7.2</v>
      </c>
      <c r="AG58" s="55">
        <v>14</v>
      </c>
      <c r="AH58" s="48">
        <f t="shared" si="2"/>
        <v>7.2</v>
      </c>
      <c r="AI58" s="49">
        <f t="shared" si="3"/>
        <v>7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6.2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6">SUM(B49:B61)</f>
        <v>198.43999999999997</v>
      </c>
      <c r="C62" s="61">
        <f t="shared" si="6"/>
        <v>163.44</v>
      </c>
      <c r="D62" s="61">
        <f t="shared" si="6"/>
        <v>138.44</v>
      </c>
      <c r="E62" s="61">
        <f t="shared" si="6"/>
        <v>153.23999999999998</v>
      </c>
      <c r="F62" s="61">
        <f t="shared" si="6"/>
        <v>151.73999999999998</v>
      </c>
      <c r="G62" s="61">
        <f t="shared" si="6"/>
        <v>186.73999999999998</v>
      </c>
      <c r="H62" s="61">
        <f t="shared" si="6"/>
        <v>229.73999999999998</v>
      </c>
      <c r="I62" s="61">
        <f t="shared" si="6"/>
        <v>310.44000000000005</v>
      </c>
      <c r="J62" s="61">
        <f t="shared" si="6"/>
        <v>358.34000000000009</v>
      </c>
      <c r="K62" s="61">
        <f t="shared" si="6"/>
        <v>382.54000000000008</v>
      </c>
      <c r="L62" s="61">
        <f t="shared" si="6"/>
        <v>385.24000000000007</v>
      </c>
      <c r="M62" s="61">
        <f t="shared" si="6"/>
        <v>390.04000000000008</v>
      </c>
      <c r="N62" s="61">
        <f t="shared" si="6"/>
        <v>382.94000000000005</v>
      </c>
      <c r="O62" s="61">
        <f t="shared" si="6"/>
        <v>391.24000000000007</v>
      </c>
      <c r="P62" s="61">
        <f t="shared" si="6"/>
        <v>391.24000000000007</v>
      </c>
      <c r="Q62" s="61">
        <f t="shared" si="6"/>
        <v>262.54000000000002</v>
      </c>
      <c r="R62" s="61">
        <f t="shared" si="6"/>
        <v>243.24</v>
      </c>
      <c r="S62" s="61">
        <f t="shared" si="6"/>
        <v>226.93999999999997</v>
      </c>
      <c r="T62" s="61">
        <f t="shared" si="6"/>
        <v>226.93999999999997</v>
      </c>
      <c r="U62" s="61">
        <f t="shared" si="6"/>
        <v>245.04</v>
      </c>
      <c r="V62" s="61">
        <f t="shared" si="6"/>
        <v>349.64000000000004</v>
      </c>
      <c r="W62" s="61">
        <f t="shared" si="6"/>
        <v>389.74000000000007</v>
      </c>
      <c r="X62" s="61">
        <v>388.24000000000007</v>
      </c>
      <c r="Y62" s="61">
        <f t="shared" si="6"/>
        <v>389.74000000000007</v>
      </c>
      <c r="Z62" s="61">
        <f t="shared" si="6"/>
        <v>389.74000000000007</v>
      </c>
      <c r="AA62" s="61">
        <f t="shared" si="6"/>
        <v>389.74000000000007</v>
      </c>
      <c r="AB62" s="61">
        <f t="shared" si="6"/>
        <v>384.34000000000009</v>
      </c>
      <c r="AC62" s="61">
        <f t="shared" si="6"/>
        <v>349.44000000000005</v>
      </c>
      <c r="AD62" s="61">
        <f t="shared" si="6"/>
        <v>337.64000000000004</v>
      </c>
      <c r="AE62" s="61">
        <f t="shared" si="6"/>
        <v>249.63999999999996</v>
      </c>
      <c r="AF62" s="61">
        <f t="shared" si="6"/>
        <v>165.44</v>
      </c>
      <c r="AG62" s="62">
        <f t="shared" si="6"/>
        <v>489.91</v>
      </c>
      <c r="AH62" s="48">
        <f t="shared" si="2"/>
        <v>391.24000000000007</v>
      </c>
      <c r="AI62" s="49">
        <f t="shared" si="3"/>
        <v>138.44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14</v>
      </c>
      <c r="K63" s="45">
        <v>40</v>
      </c>
      <c r="L63" s="45">
        <v>60</v>
      </c>
      <c r="M63" s="45">
        <v>60</v>
      </c>
      <c r="N63" s="45">
        <v>50</v>
      </c>
      <c r="O63" s="45">
        <v>60</v>
      </c>
      <c r="P63" s="45">
        <v>60</v>
      </c>
      <c r="Q63" s="45">
        <v>60</v>
      </c>
      <c r="R63" s="45">
        <v>50</v>
      </c>
      <c r="S63" s="45">
        <v>59</v>
      </c>
      <c r="T63" s="45">
        <v>60</v>
      </c>
      <c r="U63" s="45">
        <v>55</v>
      </c>
      <c r="V63" s="45">
        <v>60</v>
      </c>
      <c r="W63" s="45">
        <v>60</v>
      </c>
      <c r="X63" s="45">
        <v>60</v>
      </c>
      <c r="Y63" s="45">
        <v>60</v>
      </c>
      <c r="Z63" s="45">
        <v>60</v>
      </c>
      <c r="AA63" s="45">
        <v>60</v>
      </c>
      <c r="AB63" s="45">
        <v>60</v>
      </c>
      <c r="AC63" s="45">
        <v>20</v>
      </c>
      <c r="AD63" s="45">
        <v>20</v>
      </c>
      <c r="AE63" s="45">
        <v>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45">
        <v>0</v>
      </c>
      <c r="C64" s="45">
        <v>0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65">
        <v>0</v>
      </c>
      <c r="J64" s="65">
        <v>0</v>
      </c>
      <c r="K64" s="65">
        <v>20</v>
      </c>
      <c r="L64" s="65">
        <v>28</v>
      </c>
      <c r="M64" s="65">
        <v>27.4</v>
      </c>
      <c r="N64" s="65">
        <v>30.6</v>
      </c>
      <c r="O64" s="65">
        <v>28.4</v>
      </c>
      <c r="P64" s="65">
        <v>28.4</v>
      </c>
      <c r="Q64" s="45">
        <v>27.1</v>
      </c>
      <c r="R64" s="45">
        <v>23.2</v>
      </c>
      <c r="S64" s="65">
        <v>28</v>
      </c>
      <c r="T64" s="65">
        <v>27.5</v>
      </c>
      <c r="U64" s="65">
        <v>23.8</v>
      </c>
      <c r="V64" s="65">
        <v>25.3</v>
      </c>
      <c r="W64" s="65">
        <v>25.3</v>
      </c>
      <c r="X64" s="65">
        <v>27.7</v>
      </c>
      <c r="Y64" s="65">
        <v>28.1</v>
      </c>
      <c r="Z64" s="65">
        <v>28.1</v>
      </c>
      <c r="AA64" s="65">
        <v>28.1</v>
      </c>
      <c r="AB64" s="65">
        <v>28.1</v>
      </c>
      <c r="AC64" s="65">
        <v>14.7</v>
      </c>
      <c r="AD64" s="65">
        <v>14.7</v>
      </c>
      <c r="AE64" s="65">
        <v>0</v>
      </c>
      <c r="AF64" s="65">
        <v>0</v>
      </c>
      <c r="AG64" s="55">
        <v>32</v>
      </c>
      <c r="AH64" s="48">
        <f t="shared" si="2"/>
        <v>30.6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45">
        <v>0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67">
        <v>0</v>
      </c>
      <c r="J65" s="67">
        <v>0</v>
      </c>
      <c r="K65" s="67">
        <v>10</v>
      </c>
      <c r="L65" s="67">
        <v>10.1</v>
      </c>
      <c r="M65" s="67">
        <v>10</v>
      </c>
      <c r="N65" s="67">
        <v>11.2</v>
      </c>
      <c r="O65" s="67">
        <v>10.4</v>
      </c>
      <c r="P65" s="67">
        <v>10.4</v>
      </c>
      <c r="Q65" s="45">
        <v>9.9</v>
      </c>
      <c r="R65" s="45">
        <v>8.4</v>
      </c>
      <c r="S65" s="67">
        <v>10.199999999999999</v>
      </c>
      <c r="T65" s="67">
        <v>10</v>
      </c>
      <c r="U65" s="67">
        <v>8.6999999999999993</v>
      </c>
      <c r="V65" s="67">
        <v>9.1999999999999993</v>
      </c>
      <c r="W65" s="67">
        <v>9.1999999999999993</v>
      </c>
      <c r="X65" s="67">
        <v>9.9</v>
      </c>
      <c r="Y65" s="67">
        <v>10.3</v>
      </c>
      <c r="Z65" s="67">
        <v>10.3</v>
      </c>
      <c r="AA65" s="67">
        <v>10.3</v>
      </c>
      <c r="AB65" s="67">
        <v>10.3</v>
      </c>
      <c r="AC65" s="67">
        <v>5.4</v>
      </c>
      <c r="AD65" s="67">
        <v>5.4</v>
      </c>
      <c r="AE65" s="67">
        <v>0</v>
      </c>
      <c r="AF65" s="67">
        <v>0</v>
      </c>
      <c r="AG65" s="68">
        <v>14</v>
      </c>
      <c r="AH65" s="48">
        <f t="shared" si="2"/>
        <v>11.2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f t="shared" ref="I66:K66" si="7">I63+I64+I65</f>
        <v>0</v>
      </c>
      <c r="J66" s="61">
        <f t="shared" si="7"/>
        <v>14</v>
      </c>
      <c r="K66" s="61">
        <f t="shared" si="7"/>
        <v>70</v>
      </c>
      <c r="L66" s="61">
        <f>L63+L64+L65</f>
        <v>98.1</v>
      </c>
      <c r="M66" s="61">
        <f t="shared" ref="M66:AF66" si="8">M63+M64+M65</f>
        <v>97.4</v>
      </c>
      <c r="N66" s="61">
        <f t="shared" si="8"/>
        <v>91.8</v>
      </c>
      <c r="O66" s="61">
        <f t="shared" si="8"/>
        <v>98.800000000000011</v>
      </c>
      <c r="P66" s="61">
        <f t="shared" si="8"/>
        <v>98.800000000000011</v>
      </c>
      <c r="Q66" s="61">
        <f t="shared" si="8"/>
        <v>97</v>
      </c>
      <c r="R66" s="61">
        <f t="shared" si="8"/>
        <v>81.600000000000009</v>
      </c>
      <c r="S66" s="61">
        <f t="shared" si="8"/>
        <v>97.2</v>
      </c>
      <c r="T66" s="61">
        <f t="shared" si="8"/>
        <v>97.5</v>
      </c>
      <c r="U66" s="61">
        <f t="shared" si="8"/>
        <v>87.5</v>
      </c>
      <c r="V66" s="61">
        <f t="shared" si="8"/>
        <v>94.5</v>
      </c>
      <c r="W66" s="61">
        <f t="shared" si="8"/>
        <v>94.5</v>
      </c>
      <c r="X66" s="61">
        <v>94.8</v>
      </c>
      <c r="Y66" s="61">
        <f t="shared" si="8"/>
        <v>98.399999999999991</v>
      </c>
      <c r="Z66" s="61">
        <f t="shared" si="8"/>
        <v>98.399999999999991</v>
      </c>
      <c r="AA66" s="61">
        <f t="shared" si="8"/>
        <v>98.399999999999991</v>
      </c>
      <c r="AB66" s="61">
        <f t="shared" si="8"/>
        <v>98.399999999999991</v>
      </c>
      <c r="AC66" s="61">
        <f t="shared" si="8"/>
        <v>40.1</v>
      </c>
      <c r="AD66" s="61">
        <f t="shared" si="8"/>
        <v>40.1</v>
      </c>
      <c r="AE66" s="61">
        <f t="shared" si="8"/>
        <v>0</v>
      </c>
      <c r="AF66" s="61">
        <f t="shared" si="8"/>
        <v>0</v>
      </c>
      <c r="AG66" s="62">
        <f t="shared" ref="AG66" si="9">SUM(AG63:AG65)</f>
        <v>106</v>
      </c>
      <c r="AH66" s="48">
        <f t="shared" si="2"/>
        <v>98.800000000000011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59</v>
      </c>
      <c r="C67" s="45">
        <v>55</v>
      </c>
      <c r="D67" s="45">
        <v>66</v>
      </c>
      <c r="E67" s="45">
        <v>62</v>
      </c>
      <c r="F67" s="45">
        <v>62.1</v>
      </c>
      <c r="G67" s="45">
        <v>60</v>
      </c>
      <c r="H67" s="45">
        <v>70</v>
      </c>
      <c r="I67" s="45">
        <v>62.3</v>
      </c>
      <c r="J67" s="45">
        <v>70</v>
      </c>
      <c r="K67" s="45">
        <v>61</v>
      </c>
      <c r="L67" s="45">
        <v>64</v>
      </c>
      <c r="M67" s="45">
        <v>63.3</v>
      </c>
      <c r="N67" s="45">
        <v>64.2</v>
      </c>
      <c r="O67" s="45">
        <v>63.9</v>
      </c>
      <c r="P67" s="45">
        <v>66.8</v>
      </c>
      <c r="Q67" s="45">
        <v>61.3</v>
      </c>
      <c r="R67" s="45">
        <v>60.1</v>
      </c>
      <c r="S67" s="45">
        <v>70</v>
      </c>
      <c r="T67" s="45">
        <v>66.8</v>
      </c>
      <c r="U67" s="45">
        <v>76</v>
      </c>
      <c r="V67" s="45">
        <v>74.3</v>
      </c>
      <c r="W67" s="45">
        <v>68</v>
      </c>
      <c r="X67" s="45">
        <v>71.5</v>
      </c>
      <c r="Y67" s="45">
        <v>69.3</v>
      </c>
      <c r="Z67" s="45">
        <v>69.400000000000006</v>
      </c>
      <c r="AA67" s="45">
        <v>69.400000000000006</v>
      </c>
      <c r="AB67" s="45">
        <v>62.5</v>
      </c>
      <c r="AC67" s="45">
        <v>72.7</v>
      </c>
      <c r="AD67" s="45">
        <v>65.400000000000006</v>
      </c>
      <c r="AE67" s="45">
        <v>57.3</v>
      </c>
      <c r="AF67" s="45">
        <v>55</v>
      </c>
      <c r="AG67" s="52"/>
      <c r="AH67" s="48">
        <f t="shared" si="2"/>
        <v>76</v>
      </c>
      <c r="AI67" s="49">
        <f t="shared" si="3"/>
        <v>55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146</v>
      </c>
      <c r="C69" s="65">
        <v>141</v>
      </c>
      <c r="D69" s="65">
        <v>149</v>
      </c>
      <c r="E69" s="65">
        <v>150</v>
      </c>
      <c r="F69" s="65">
        <v>142.21</v>
      </c>
      <c r="G69" s="65">
        <v>146</v>
      </c>
      <c r="H69" s="65">
        <v>150</v>
      </c>
      <c r="I69" s="65">
        <v>147</v>
      </c>
      <c r="J69" s="65">
        <v>218</v>
      </c>
      <c r="K69" s="65">
        <v>220</v>
      </c>
      <c r="L69" s="65">
        <v>10</v>
      </c>
      <c r="M69" s="65">
        <v>2</v>
      </c>
      <c r="N69" s="65">
        <v>0</v>
      </c>
      <c r="O69" s="65">
        <v>170</v>
      </c>
      <c r="P69" s="65">
        <v>164.9</v>
      </c>
      <c r="Q69" s="65">
        <v>235</v>
      </c>
      <c r="R69" s="65">
        <v>250</v>
      </c>
      <c r="S69" s="65">
        <v>242</v>
      </c>
      <c r="T69" s="65">
        <v>235.2</v>
      </c>
      <c r="U69" s="65">
        <v>243</v>
      </c>
      <c r="V69" s="65">
        <v>0</v>
      </c>
      <c r="W69" s="65">
        <v>7.7</v>
      </c>
      <c r="X69" s="65">
        <v>0</v>
      </c>
      <c r="Y69" s="65">
        <v>0</v>
      </c>
      <c r="Z69" s="65">
        <v>0</v>
      </c>
      <c r="AA69" s="65">
        <v>47</v>
      </c>
      <c r="AB69" s="65">
        <v>66</v>
      </c>
      <c r="AC69" s="65">
        <v>156</v>
      </c>
      <c r="AD69" s="65">
        <v>130</v>
      </c>
      <c r="AE69" s="65">
        <v>142</v>
      </c>
      <c r="AF69" s="65">
        <v>145</v>
      </c>
      <c r="AG69" s="75"/>
      <c r="AH69" s="48">
        <f t="shared" si="2"/>
        <v>250</v>
      </c>
      <c r="AI69" s="49">
        <f t="shared" si="3"/>
        <v>0</v>
      </c>
      <c r="AK69" s="50"/>
    </row>
    <row r="70" spans="1:40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42.5</v>
      </c>
      <c r="T70" s="76">
        <v>59.5</v>
      </c>
      <c r="U70" s="76">
        <v>57.2</v>
      </c>
      <c r="V70" s="76">
        <v>57.2</v>
      </c>
      <c r="W70" s="76">
        <v>57.1</v>
      </c>
      <c r="X70" s="65">
        <v>58.9</v>
      </c>
      <c r="Y70" s="65">
        <v>21.6</v>
      </c>
      <c r="Z70" s="65">
        <v>21.6</v>
      </c>
      <c r="AA70" s="65">
        <v>21.6</v>
      </c>
      <c r="AB70" s="65">
        <v>43.7</v>
      </c>
      <c r="AC70" s="65">
        <v>48.4</v>
      </c>
      <c r="AD70" s="65">
        <v>47.5</v>
      </c>
      <c r="AE70" s="65">
        <v>47.5</v>
      </c>
      <c r="AF70" s="65">
        <v>54.5</v>
      </c>
      <c r="AG70" s="75"/>
      <c r="AH70" s="48">
        <f t="shared" si="2"/>
        <v>59.5</v>
      </c>
      <c r="AI70" s="49">
        <f t="shared" si="3"/>
        <v>0</v>
      </c>
      <c r="AK70" s="50"/>
    </row>
    <row r="71" spans="1:40" x14ac:dyDescent="0.25">
      <c r="A71" s="54" t="s">
        <v>79</v>
      </c>
      <c r="B71" s="76">
        <v>0</v>
      </c>
      <c r="C71" s="76">
        <v>0</v>
      </c>
      <c r="D71" s="76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30</v>
      </c>
      <c r="U71" s="45">
        <v>32</v>
      </c>
      <c r="V71" s="45">
        <v>30</v>
      </c>
      <c r="W71" s="45">
        <v>30</v>
      </c>
      <c r="X71" s="45">
        <v>32</v>
      </c>
      <c r="Y71" s="45">
        <v>30</v>
      </c>
      <c r="Z71" s="45">
        <v>30</v>
      </c>
      <c r="AA71" s="45">
        <v>30</v>
      </c>
      <c r="AB71" s="45">
        <v>30</v>
      </c>
      <c r="AC71" s="45">
        <v>30</v>
      </c>
      <c r="AD71" s="45">
        <v>30</v>
      </c>
      <c r="AE71" s="45">
        <v>30</v>
      </c>
      <c r="AF71" s="45">
        <v>30</v>
      </c>
      <c r="AG71" s="75"/>
      <c r="AH71" s="48">
        <f t="shared" si="2"/>
        <v>32</v>
      </c>
      <c r="AI71" s="49">
        <f t="shared" si="3"/>
        <v>0</v>
      </c>
      <c r="AK71" s="50"/>
    </row>
    <row r="72" spans="1:40" x14ac:dyDescent="0.25">
      <c r="A72" s="54" t="s">
        <v>80</v>
      </c>
      <c r="B72" s="76">
        <v>0</v>
      </c>
      <c r="C72" s="76">
        <v>0</v>
      </c>
      <c r="D72" s="76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4</v>
      </c>
      <c r="N72" s="77">
        <v>4</v>
      </c>
      <c r="O72" s="77">
        <v>4</v>
      </c>
      <c r="P72" s="77">
        <v>4</v>
      </c>
      <c r="Q72" s="77">
        <v>4</v>
      </c>
      <c r="R72" s="77">
        <v>4</v>
      </c>
      <c r="S72" s="77">
        <v>4</v>
      </c>
      <c r="T72" s="77">
        <v>4</v>
      </c>
      <c r="U72" s="77">
        <v>4</v>
      </c>
      <c r="V72" s="77">
        <v>4</v>
      </c>
      <c r="W72" s="77">
        <v>4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5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6">
        <v>0</v>
      </c>
      <c r="C73" s="76">
        <v>0</v>
      </c>
      <c r="D73" s="76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6">
        <v>0</v>
      </c>
      <c r="C74" s="76">
        <v>0</v>
      </c>
      <c r="D74" s="76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6">
        <v>0</v>
      </c>
      <c r="C75" s="76">
        <v>0</v>
      </c>
      <c r="D75" s="76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10">MAX(B75:AF75)</f>
        <v>0</v>
      </c>
      <c r="AI75" s="49">
        <f t="shared" ref="AI75:AI113" si="11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6">
        <v>0</v>
      </c>
      <c r="C76" s="76">
        <v>0</v>
      </c>
      <c r="D76" s="76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10"/>
        <v>0</v>
      </c>
      <c r="AI76" s="49">
        <f t="shared" si="11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6">
        <v>0</v>
      </c>
      <c r="C77" s="76">
        <v>0</v>
      </c>
      <c r="D77" s="76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10"/>
        <v>0</v>
      </c>
      <c r="AI77" s="49">
        <f t="shared" si="11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2">SUMIF(B67:B77,"&gt;0")</f>
        <v>205</v>
      </c>
      <c r="C78" s="61">
        <f t="shared" si="12"/>
        <v>196</v>
      </c>
      <c r="D78" s="61">
        <f t="shared" si="12"/>
        <v>215</v>
      </c>
      <c r="E78" s="61">
        <f t="shared" si="12"/>
        <v>212</v>
      </c>
      <c r="F78" s="61">
        <f t="shared" si="12"/>
        <v>204.31</v>
      </c>
      <c r="G78" s="61">
        <f t="shared" si="12"/>
        <v>206</v>
      </c>
      <c r="H78" s="61">
        <f t="shared" si="12"/>
        <v>220</v>
      </c>
      <c r="I78" s="61">
        <f t="shared" si="12"/>
        <v>209.3</v>
      </c>
      <c r="J78" s="61">
        <f t="shared" si="12"/>
        <v>288</v>
      </c>
      <c r="K78" s="61">
        <f t="shared" si="12"/>
        <v>281</v>
      </c>
      <c r="L78" s="61">
        <f t="shared" si="12"/>
        <v>74</v>
      </c>
      <c r="M78" s="61">
        <f t="shared" si="12"/>
        <v>69.3</v>
      </c>
      <c r="N78" s="61">
        <f t="shared" si="12"/>
        <v>68.2</v>
      </c>
      <c r="O78" s="61">
        <f t="shared" si="12"/>
        <v>237.9</v>
      </c>
      <c r="P78" s="61">
        <f t="shared" si="12"/>
        <v>235.7</v>
      </c>
      <c r="Q78" s="61">
        <f t="shared" si="12"/>
        <v>300.3</v>
      </c>
      <c r="R78" s="61">
        <f t="shared" si="12"/>
        <v>314.10000000000002</v>
      </c>
      <c r="S78" s="61">
        <f t="shared" si="12"/>
        <v>358.5</v>
      </c>
      <c r="T78" s="61">
        <f t="shared" si="12"/>
        <v>395.5</v>
      </c>
      <c r="U78" s="61">
        <f t="shared" si="12"/>
        <v>412.2</v>
      </c>
      <c r="V78" s="61">
        <f t="shared" si="12"/>
        <v>165.5</v>
      </c>
      <c r="W78" s="61">
        <f t="shared" si="12"/>
        <v>166.8</v>
      </c>
      <c r="X78" s="61">
        <f t="shared" si="12"/>
        <v>167.4</v>
      </c>
      <c r="Y78" s="61">
        <f t="shared" si="12"/>
        <v>125.9</v>
      </c>
      <c r="Z78" s="61">
        <f t="shared" si="12"/>
        <v>126</v>
      </c>
      <c r="AA78" s="61">
        <f t="shared" si="12"/>
        <v>173</v>
      </c>
      <c r="AB78" s="61">
        <f t="shared" si="12"/>
        <v>207.2</v>
      </c>
      <c r="AC78" s="61">
        <f t="shared" si="12"/>
        <v>312.09999999999997</v>
      </c>
      <c r="AD78" s="61">
        <f t="shared" si="12"/>
        <v>277.89999999999998</v>
      </c>
      <c r="AE78" s="61">
        <f t="shared" si="12"/>
        <v>281.8</v>
      </c>
      <c r="AF78" s="61">
        <f t="shared" si="12"/>
        <v>289.5</v>
      </c>
      <c r="AG78" s="81">
        <f>SUM(AG67:AG77)</f>
        <v>0</v>
      </c>
      <c r="AH78" s="48">
        <f t="shared" si="10"/>
        <v>412.2</v>
      </c>
      <c r="AI78" s="49">
        <f t="shared" si="11"/>
        <v>68.2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10"/>
        <v>0</v>
      </c>
      <c r="AI79" s="49">
        <f t="shared" si="11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10"/>
        <v>0</v>
      </c>
      <c r="AI80" s="49">
        <f t="shared" si="11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0"/>
        <v>0</v>
      </c>
      <c r="AI81" s="49">
        <f t="shared" si="11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10"/>
        <v>0</v>
      </c>
      <c r="AI82" s="49">
        <f t="shared" si="11"/>
        <v>0</v>
      </c>
    </row>
    <row r="83" spans="1:37" ht="15.75" thickBot="1" x14ac:dyDescent="0.3">
      <c r="A83" s="74" t="s">
        <v>91</v>
      </c>
      <c r="B83" s="83">
        <f>B44+B48+B66+B62+B78+B82</f>
        <v>1000.8399999999999</v>
      </c>
      <c r="C83" s="83">
        <f t="shared" ref="C83:AG83" si="13">C44+C48+C66+C62+C78+C82</f>
        <v>966.83999999999992</v>
      </c>
      <c r="D83" s="83">
        <f t="shared" si="13"/>
        <v>950.83999999999992</v>
      </c>
      <c r="E83" s="83">
        <f t="shared" si="13"/>
        <v>986.53899999999999</v>
      </c>
      <c r="F83" s="83">
        <f t="shared" si="13"/>
        <v>968.65000000000009</v>
      </c>
      <c r="G83" s="83">
        <f t="shared" si="13"/>
        <v>1035.94</v>
      </c>
      <c r="H83" s="83">
        <f t="shared" si="13"/>
        <v>1108.0399</v>
      </c>
      <c r="I83" s="83">
        <f t="shared" si="13"/>
        <v>1196.8399000000002</v>
      </c>
      <c r="J83" s="83">
        <f t="shared" si="13"/>
        <v>1377.4399000000001</v>
      </c>
      <c r="K83" s="83">
        <f t="shared" si="13"/>
        <v>1470.6399000000001</v>
      </c>
      <c r="L83" s="83">
        <f t="shared" si="13"/>
        <v>1569.4399000000001</v>
      </c>
      <c r="M83" s="83">
        <f t="shared" si="13"/>
        <v>1594.24</v>
      </c>
      <c r="N83" s="83">
        <f t="shared" si="13"/>
        <v>1490.44</v>
      </c>
      <c r="O83" s="83">
        <f t="shared" si="13"/>
        <v>1410.44</v>
      </c>
      <c r="P83" s="83">
        <f t="shared" si="13"/>
        <v>1408.34</v>
      </c>
      <c r="Q83" s="83">
        <f t="shared" si="13"/>
        <v>1267.3399999999999</v>
      </c>
      <c r="R83" s="83">
        <f t="shared" si="13"/>
        <v>1236.44</v>
      </c>
      <c r="S83" s="83">
        <f t="shared" si="13"/>
        <v>1282.24</v>
      </c>
      <c r="T83" s="83">
        <f t="shared" si="13"/>
        <v>1315.6399999999999</v>
      </c>
      <c r="U83" s="83">
        <f t="shared" si="13"/>
        <v>1340.44</v>
      </c>
      <c r="V83" s="83">
        <f t="shared" si="13"/>
        <v>1409.24</v>
      </c>
      <c r="W83" s="83">
        <f t="shared" si="13"/>
        <v>1480.64</v>
      </c>
      <c r="X83" s="83">
        <f t="shared" si="13"/>
        <v>1637.74</v>
      </c>
      <c r="Y83" s="83">
        <f t="shared" si="13"/>
        <v>1621.3400000000001</v>
      </c>
      <c r="Z83" s="83">
        <f t="shared" si="13"/>
        <v>1581.44</v>
      </c>
      <c r="AA83" s="83">
        <f t="shared" si="13"/>
        <v>1391.8400000000001</v>
      </c>
      <c r="AB83" s="83">
        <f t="shared" si="13"/>
        <v>1360.64</v>
      </c>
      <c r="AC83" s="83">
        <f t="shared" si="13"/>
        <v>1337.3400000000001</v>
      </c>
      <c r="AD83" s="83">
        <f t="shared" si="13"/>
        <v>1312.3400000000001</v>
      </c>
      <c r="AE83" s="83">
        <f t="shared" si="13"/>
        <v>1132.8400000000001</v>
      </c>
      <c r="AF83" s="83">
        <f t="shared" si="13"/>
        <v>1051.3400000000001</v>
      </c>
      <c r="AG83" s="62">
        <f t="shared" si="13"/>
        <v>2004.1900000000003</v>
      </c>
      <c r="AH83" s="48">
        <f>MAX(B83:AF83)</f>
        <v>1637.74</v>
      </c>
      <c r="AI83" s="49">
        <f>MIN(B83:AF83)</f>
        <v>950.83999999999992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>
        <v>80</v>
      </c>
      <c r="AB84" s="85"/>
      <c r="AC84" s="85"/>
      <c r="AD84" s="85"/>
      <c r="AE84" s="85"/>
      <c r="AF84" s="85"/>
      <c r="AG84" s="81"/>
      <c r="AH84" s="48">
        <f t="shared" si="10"/>
        <v>80</v>
      </c>
      <c r="AI84" s="49">
        <f t="shared" si="11"/>
        <v>80</v>
      </c>
    </row>
    <row r="85" spans="1:37" ht="15.75" thickBot="1" x14ac:dyDescent="0.3">
      <c r="A85" s="74" t="s">
        <v>93</v>
      </c>
      <c r="B85" s="83">
        <f>B83+B84</f>
        <v>1000.8399999999999</v>
      </c>
      <c r="C85" s="83">
        <f t="shared" ref="C85:AF85" si="14">C83+C84</f>
        <v>966.83999999999992</v>
      </c>
      <c r="D85" s="83">
        <f t="shared" si="14"/>
        <v>950.83999999999992</v>
      </c>
      <c r="E85" s="83">
        <f t="shared" si="14"/>
        <v>986.53899999999999</v>
      </c>
      <c r="F85" s="83">
        <f t="shared" si="14"/>
        <v>968.65000000000009</v>
      </c>
      <c r="G85" s="83">
        <f t="shared" si="14"/>
        <v>1035.94</v>
      </c>
      <c r="H85" s="83">
        <f t="shared" si="14"/>
        <v>1108.0399</v>
      </c>
      <c r="I85" s="83">
        <f t="shared" si="14"/>
        <v>1196.8399000000002</v>
      </c>
      <c r="J85" s="83">
        <f t="shared" si="14"/>
        <v>1377.4399000000001</v>
      </c>
      <c r="K85" s="83">
        <f t="shared" si="14"/>
        <v>1470.6399000000001</v>
      </c>
      <c r="L85" s="83">
        <f t="shared" si="14"/>
        <v>1569.4399000000001</v>
      </c>
      <c r="M85" s="83">
        <f t="shared" si="14"/>
        <v>1594.24</v>
      </c>
      <c r="N85" s="83">
        <f t="shared" si="14"/>
        <v>1490.44</v>
      </c>
      <c r="O85" s="83">
        <f t="shared" si="14"/>
        <v>1410.44</v>
      </c>
      <c r="P85" s="83">
        <f t="shared" si="14"/>
        <v>1408.34</v>
      </c>
      <c r="Q85" s="83">
        <f t="shared" si="14"/>
        <v>1267.3399999999999</v>
      </c>
      <c r="R85" s="83">
        <f t="shared" si="14"/>
        <v>1236.44</v>
      </c>
      <c r="S85" s="83">
        <f t="shared" si="14"/>
        <v>1282.24</v>
      </c>
      <c r="T85" s="83">
        <f t="shared" si="14"/>
        <v>1315.6399999999999</v>
      </c>
      <c r="U85" s="83">
        <f t="shared" si="14"/>
        <v>1340.44</v>
      </c>
      <c r="V85" s="83">
        <f t="shared" si="14"/>
        <v>1409.24</v>
      </c>
      <c r="W85" s="83">
        <f t="shared" si="14"/>
        <v>1480.64</v>
      </c>
      <c r="X85" s="83">
        <f t="shared" si="14"/>
        <v>1637.74</v>
      </c>
      <c r="Y85" s="83">
        <f t="shared" si="14"/>
        <v>1621.3400000000001</v>
      </c>
      <c r="Z85" s="83">
        <f t="shared" si="14"/>
        <v>1581.44</v>
      </c>
      <c r="AA85" s="83">
        <f t="shared" si="14"/>
        <v>1471.8400000000001</v>
      </c>
      <c r="AB85" s="83">
        <f t="shared" si="14"/>
        <v>1360.64</v>
      </c>
      <c r="AC85" s="83">
        <f t="shared" si="14"/>
        <v>1337.3400000000001</v>
      </c>
      <c r="AD85" s="83">
        <f t="shared" si="14"/>
        <v>1312.3400000000001</v>
      </c>
      <c r="AE85" s="83">
        <f t="shared" si="14"/>
        <v>1132.8400000000001</v>
      </c>
      <c r="AF85" s="83">
        <f t="shared" si="14"/>
        <v>1051.3400000000001</v>
      </c>
      <c r="AG85" s="81">
        <f>AG82+AG78+AG66+AG62+AG44+AG84</f>
        <v>1466.0900000000001</v>
      </c>
      <c r="AH85" s="48">
        <f t="shared" si="10"/>
        <v>1637.74</v>
      </c>
      <c r="AI85" s="49">
        <f t="shared" si="11"/>
        <v>950.83999999999992</v>
      </c>
    </row>
    <row r="86" spans="1:37" ht="15.75" thickBot="1" x14ac:dyDescent="0.3">
      <c r="A86" s="74" t="s">
        <v>94</v>
      </c>
      <c r="B86" s="83">
        <f t="shared" ref="B86:AF86" si="15">B85-B93</f>
        <v>1000.8399999999999</v>
      </c>
      <c r="C86" s="83">
        <f t="shared" si="15"/>
        <v>966.83999999999992</v>
      </c>
      <c r="D86" s="83">
        <f t="shared" si="15"/>
        <v>950.83999999999992</v>
      </c>
      <c r="E86" s="83">
        <f t="shared" si="15"/>
        <v>986.53899999999999</v>
      </c>
      <c r="F86" s="83">
        <f t="shared" si="15"/>
        <v>968.65000000000009</v>
      </c>
      <c r="G86" s="83">
        <f t="shared" si="15"/>
        <v>1035.94</v>
      </c>
      <c r="H86" s="83">
        <f t="shared" si="15"/>
        <v>1108.0399</v>
      </c>
      <c r="I86" s="83">
        <f t="shared" si="15"/>
        <v>1196.8399000000002</v>
      </c>
      <c r="J86" s="83">
        <f t="shared" si="15"/>
        <v>1377.4399000000001</v>
      </c>
      <c r="K86" s="83">
        <f t="shared" si="15"/>
        <v>1470.6399000000001</v>
      </c>
      <c r="L86" s="83">
        <f t="shared" si="15"/>
        <v>1569.4399000000001</v>
      </c>
      <c r="M86" s="83">
        <f t="shared" si="15"/>
        <v>1594.24</v>
      </c>
      <c r="N86" s="83">
        <f t="shared" si="15"/>
        <v>1490.44</v>
      </c>
      <c r="O86" s="83">
        <f t="shared" si="15"/>
        <v>1410.44</v>
      </c>
      <c r="P86" s="83">
        <f t="shared" si="15"/>
        <v>1408.34</v>
      </c>
      <c r="Q86" s="83">
        <f t="shared" si="15"/>
        <v>1267.3399999999999</v>
      </c>
      <c r="R86" s="83">
        <f t="shared" si="15"/>
        <v>1236.44</v>
      </c>
      <c r="S86" s="83">
        <f t="shared" si="15"/>
        <v>1282.24</v>
      </c>
      <c r="T86" s="83">
        <f t="shared" si="15"/>
        <v>1315.6399999999999</v>
      </c>
      <c r="U86" s="83">
        <f t="shared" si="15"/>
        <v>1340.44</v>
      </c>
      <c r="V86" s="83">
        <f t="shared" si="15"/>
        <v>1409.24</v>
      </c>
      <c r="W86" s="83">
        <f t="shared" si="15"/>
        <v>1480.64</v>
      </c>
      <c r="X86" s="83">
        <f t="shared" si="15"/>
        <v>1637.74</v>
      </c>
      <c r="Y86" s="83">
        <f t="shared" si="15"/>
        <v>1571.3400000000001</v>
      </c>
      <c r="Z86" s="83">
        <f t="shared" si="15"/>
        <v>1581.44</v>
      </c>
      <c r="AA86" s="83">
        <f t="shared" si="15"/>
        <v>1471.8400000000001</v>
      </c>
      <c r="AB86" s="83">
        <f t="shared" si="15"/>
        <v>1360.64</v>
      </c>
      <c r="AC86" s="83">
        <f t="shared" si="15"/>
        <v>1337.3400000000001</v>
      </c>
      <c r="AD86" s="83">
        <f t="shared" si="15"/>
        <v>1312.3400000000001</v>
      </c>
      <c r="AE86" s="83">
        <f t="shared" si="15"/>
        <v>1132.8400000000001</v>
      </c>
      <c r="AF86" s="83">
        <f t="shared" si="15"/>
        <v>1051.3400000000001</v>
      </c>
      <c r="AG86" s="81"/>
      <c r="AH86" s="48">
        <f t="shared" si="10"/>
        <v>1637.74</v>
      </c>
      <c r="AI86" s="49">
        <f t="shared" si="11"/>
        <v>950.83999999999992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10"/>
        <v>0</v>
      </c>
      <c r="AI87" s="49">
        <f t="shared" si="11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10"/>
        <v>0</v>
      </c>
      <c r="AI88" s="49">
        <f t="shared" si="11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10"/>
        <v>0</v>
      </c>
      <c r="AI89" s="49">
        <f t="shared" si="11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10"/>
        <v>0</v>
      </c>
      <c r="AI90" s="49">
        <f t="shared" si="11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10"/>
        <v>0</v>
      </c>
      <c r="AI91" s="49">
        <f t="shared" si="11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10"/>
        <v>0</v>
      </c>
      <c r="AI92" s="49">
        <f t="shared" si="11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>
        <v>50</v>
      </c>
      <c r="Z93" s="61"/>
      <c r="AA93" s="61"/>
      <c r="AB93" s="61"/>
      <c r="AC93" s="61"/>
      <c r="AD93" s="61"/>
      <c r="AE93" s="61"/>
      <c r="AF93" s="61"/>
      <c r="AG93" s="81"/>
      <c r="AH93" s="48">
        <f t="shared" si="10"/>
        <v>50</v>
      </c>
      <c r="AI93" s="49">
        <f t="shared" si="11"/>
        <v>0</v>
      </c>
      <c r="AK93" s="50"/>
    </row>
    <row r="94" spans="1:37" ht="15.75" thickBot="1" x14ac:dyDescent="0.3">
      <c r="A94" s="74" t="s">
        <v>99</v>
      </c>
      <c r="B94" s="61">
        <f t="shared" ref="B94:AF94" si="16">B78-B93</f>
        <v>205</v>
      </c>
      <c r="C94" s="61">
        <f t="shared" si="16"/>
        <v>196</v>
      </c>
      <c r="D94" s="61">
        <f t="shared" si="16"/>
        <v>215</v>
      </c>
      <c r="E94" s="61">
        <f t="shared" si="16"/>
        <v>212</v>
      </c>
      <c r="F94" s="61">
        <f t="shared" si="16"/>
        <v>204.31</v>
      </c>
      <c r="G94" s="61">
        <f t="shared" si="16"/>
        <v>206</v>
      </c>
      <c r="H94" s="61">
        <f t="shared" si="16"/>
        <v>220</v>
      </c>
      <c r="I94" s="61">
        <f t="shared" si="16"/>
        <v>209.3</v>
      </c>
      <c r="J94" s="61">
        <f t="shared" si="16"/>
        <v>288</v>
      </c>
      <c r="K94" s="61">
        <f t="shared" si="16"/>
        <v>281</v>
      </c>
      <c r="L94" s="61">
        <f t="shared" si="16"/>
        <v>74</v>
      </c>
      <c r="M94" s="61">
        <f t="shared" si="16"/>
        <v>69.3</v>
      </c>
      <c r="N94" s="61">
        <f t="shared" si="16"/>
        <v>68.2</v>
      </c>
      <c r="O94" s="61">
        <f t="shared" si="16"/>
        <v>237.9</v>
      </c>
      <c r="P94" s="61">
        <f t="shared" si="16"/>
        <v>235.7</v>
      </c>
      <c r="Q94" s="61">
        <f t="shared" si="16"/>
        <v>300.3</v>
      </c>
      <c r="R94" s="61">
        <f t="shared" si="16"/>
        <v>314.10000000000002</v>
      </c>
      <c r="S94" s="61">
        <f t="shared" si="16"/>
        <v>358.5</v>
      </c>
      <c r="T94" s="61">
        <f t="shared" si="16"/>
        <v>395.5</v>
      </c>
      <c r="U94" s="61">
        <f t="shared" si="16"/>
        <v>412.2</v>
      </c>
      <c r="V94" s="61">
        <f t="shared" si="16"/>
        <v>165.5</v>
      </c>
      <c r="W94" s="61">
        <f t="shared" si="16"/>
        <v>166.8</v>
      </c>
      <c r="X94" s="61">
        <v>151.6</v>
      </c>
      <c r="Y94" s="61">
        <f t="shared" si="16"/>
        <v>75.900000000000006</v>
      </c>
      <c r="Z94" s="61">
        <f t="shared" si="16"/>
        <v>126</v>
      </c>
      <c r="AA94" s="61">
        <f t="shared" si="16"/>
        <v>173</v>
      </c>
      <c r="AB94" s="61">
        <f t="shared" si="16"/>
        <v>207.2</v>
      </c>
      <c r="AC94" s="61">
        <f t="shared" si="16"/>
        <v>312.09999999999997</v>
      </c>
      <c r="AD94" s="61">
        <f t="shared" si="16"/>
        <v>277.89999999999998</v>
      </c>
      <c r="AE94" s="61">
        <f t="shared" si="16"/>
        <v>281.8</v>
      </c>
      <c r="AF94" s="61">
        <f t="shared" si="16"/>
        <v>289.5</v>
      </c>
      <c r="AG94" s="81"/>
      <c r="AH94" s="48">
        <f t="shared" si="10"/>
        <v>412.2</v>
      </c>
      <c r="AI94" s="49">
        <f t="shared" si="11"/>
        <v>68.2</v>
      </c>
    </row>
    <row r="95" spans="1:37" x14ac:dyDescent="0.25">
      <c r="A95" s="88" t="s">
        <v>100</v>
      </c>
      <c r="B95" s="89">
        <v>49.985999999999997</v>
      </c>
      <c r="C95" s="89">
        <v>50.018999999999998</v>
      </c>
      <c r="D95" s="89">
        <v>49.768999999999998</v>
      </c>
      <c r="E95" s="89">
        <v>50.094999999999999</v>
      </c>
      <c r="F95" s="89">
        <v>50.048999999999999</v>
      </c>
      <c r="G95" s="89">
        <v>50</v>
      </c>
      <c r="H95" s="89">
        <v>50.122999999999998</v>
      </c>
      <c r="I95" s="89">
        <v>50.207999999999998</v>
      </c>
      <c r="J95" s="89">
        <v>50.207999999999998</v>
      </c>
      <c r="K95" s="89">
        <v>50.207999999999998</v>
      </c>
      <c r="L95" s="89">
        <v>49.954000000000001</v>
      </c>
      <c r="M95" s="89">
        <v>50.171999999999997</v>
      </c>
      <c r="N95" s="89">
        <v>49.994</v>
      </c>
      <c r="O95" s="89">
        <v>50.029000000000003</v>
      </c>
      <c r="P95" s="89">
        <v>50.284999999999997</v>
      </c>
      <c r="Q95" s="89">
        <v>50.326999999999998</v>
      </c>
      <c r="R95" s="89">
        <v>50.082999999999998</v>
      </c>
      <c r="S95" s="89">
        <v>50.029000000000003</v>
      </c>
      <c r="T95" s="89">
        <v>49.731999999999999</v>
      </c>
      <c r="U95" s="89">
        <v>49.96</v>
      </c>
      <c r="V95" s="89">
        <v>49.860999999999997</v>
      </c>
      <c r="W95" s="89">
        <v>49.860999999999997</v>
      </c>
      <c r="X95" s="89">
        <v>49.993000000000002</v>
      </c>
      <c r="Y95" s="89">
        <v>49.945</v>
      </c>
      <c r="Z95" s="89">
        <v>50.024000000000001</v>
      </c>
      <c r="AA95" s="89">
        <v>49.976999999999997</v>
      </c>
      <c r="AB95" s="89">
        <v>49.945999999999998</v>
      </c>
      <c r="AC95" s="89">
        <v>49.948</v>
      </c>
      <c r="AD95" s="89">
        <v>49.951999999999998</v>
      </c>
      <c r="AE95" s="89">
        <v>49.905999999999999</v>
      </c>
      <c r="AF95" s="89">
        <v>49.962000000000003</v>
      </c>
      <c r="AG95" s="90"/>
      <c r="AH95" s="48">
        <f t="shared" si="10"/>
        <v>50.326999999999998</v>
      </c>
      <c r="AI95" s="49">
        <f t="shared" si="11"/>
        <v>49.731999999999999</v>
      </c>
    </row>
    <row r="96" spans="1:37" x14ac:dyDescent="0.25">
      <c r="A96" s="91" t="s">
        <v>101</v>
      </c>
      <c r="B96" s="65">
        <v>128.5</v>
      </c>
      <c r="C96" s="65">
        <v>129.80000000000001</v>
      </c>
      <c r="D96" s="65">
        <v>129.69999999999999</v>
      </c>
      <c r="E96" s="65">
        <v>129.35</v>
      </c>
      <c r="F96" s="65">
        <v>130.1</v>
      </c>
      <c r="G96" s="65">
        <v>129.1</v>
      </c>
      <c r="H96" s="65">
        <v>126.8</v>
      </c>
      <c r="I96" s="65">
        <v>125.4</v>
      </c>
      <c r="J96" s="65">
        <v>125.4</v>
      </c>
      <c r="K96" s="65">
        <v>125.4</v>
      </c>
      <c r="L96" s="65">
        <v>125.7</v>
      </c>
      <c r="M96" s="65">
        <v>126.6</v>
      </c>
      <c r="N96" s="65">
        <v>125.3</v>
      </c>
      <c r="O96" s="65">
        <v>124.1</v>
      </c>
      <c r="P96" s="65">
        <v>125.5</v>
      </c>
      <c r="Q96" s="65">
        <v>126.5</v>
      </c>
      <c r="R96" s="65">
        <v>126.3</v>
      </c>
      <c r="S96" s="65">
        <v>125</v>
      </c>
      <c r="T96" s="65">
        <v>126.7</v>
      </c>
      <c r="U96" s="65">
        <v>126</v>
      </c>
      <c r="V96" s="65">
        <v>125.8</v>
      </c>
      <c r="W96" s="65">
        <v>125.8</v>
      </c>
      <c r="X96" s="65">
        <v>125.9</v>
      </c>
      <c r="Y96" s="65">
        <v>126.1</v>
      </c>
      <c r="Z96" s="65">
        <v>128.30000000000001</v>
      </c>
      <c r="AA96" s="65">
        <v>128.30000000000001</v>
      </c>
      <c r="AB96" s="65">
        <v>128.69999999999999</v>
      </c>
      <c r="AC96" s="65">
        <v>128.5</v>
      </c>
      <c r="AD96" s="65">
        <v>128.30000000000001</v>
      </c>
      <c r="AE96" s="65">
        <v>129.6</v>
      </c>
      <c r="AF96" s="65">
        <v>129.69999999999999</v>
      </c>
      <c r="AG96" s="92"/>
      <c r="AH96" s="48">
        <f t="shared" si="10"/>
        <v>130.1</v>
      </c>
      <c r="AI96" s="49">
        <f t="shared" si="11"/>
        <v>124.1</v>
      </c>
    </row>
    <row r="97" spans="1:35" x14ac:dyDescent="0.25">
      <c r="A97" s="91" t="s">
        <v>102</v>
      </c>
      <c r="B97" s="65">
        <v>132.4</v>
      </c>
      <c r="C97" s="65">
        <v>133.4</v>
      </c>
      <c r="D97" s="65">
        <v>133.30000000000001</v>
      </c>
      <c r="E97" s="65">
        <v>133.4</v>
      </c>
      <c r="F97" s="65">
        <v>133.6</v>
      </c>
      <c r="G97" s="65">
        <v>132.69999999999999</v>
      </c>
      <c r="H97" s="65">
        <v>131</v>
      </c>
      <c r="I97" s="65">
        <v>129.5</v>
      </c>
      <c r="J97" s="65">
        <v>129.5</v>
      </c>
      <c r="K97" s="65">
        <v>129.5</v>
      </c>
      <c r="L97" s="65">
        <v>128.1</v>
      </c>
      <c r="M97" s="65">
        <v>129</v>
      </c>
      <c r="N97" s="65">
        <v>127.7</v>
      </c>
      <c r="O97" s="65">
        <v>126.1</v>
      </c>
      <c r="P97" s="65">
        <v>127.4</v>
      </c>
      <c r="Q97" s="65">
        <v>128.30000000000001</v>
      </c>
      <c r="R97" s="65">
        <v>128.30000000000001</v>
      </c>
      <c r="S97" s="65">
        <v>127.9</v>
      </c>
      <c r="T97" s="65">
        <v>128.4</v>
      </c>
      <c r="U97" s="65">
        <v>128</v>
      </c>
      <c r="V97" s="65">
        <v>127.1</v>
      </c>
      <c r="W97" s="65">
        <v>127.1</v>
      </c>
      <c r="X97" s="65">
        <v>127.1</v>
      </c>
      <c r="Y97" s="65">
        <v>127.8</v>
      </c>
      <c r="Z97" s="65">
        <v>129.80000000000001</v>
      </c>
      <c r="AA97" s="65">
        <v>129.80000000000001</v>
      </c>
      <c r="AB97" s="65">
        <v>129.6</v>
      </c>
      <c r="AC97" s="65">
        <v>129.80000000000001</v>
      </c>
      <c r="AD97" s="65">
        <v>130.30000000000001</v>
      </c>
      <c r="AE97" s="65">
        <v>132.1</v>
      </c>
      <c r="AF97" s="65">
        <v>132.4</v>
      </c>
      <c r="AG97" s="92"/>
      <c r="AH97" s="48">
        <f t="shared" si="10"/>
        <v>133.6</v>
      </c>
      <c r="AI97" s="49">
        <f t="shared" si="11"/>
        <v>126.1</v>
      </c>
    </row>
    <row r="98" spans="1:35" x14ac:dyDescent="0.25">
      <c r="A98" s="91" t="s">
        <v>103</v>
      </c>
      <c r="B98" s="65">
        <v>132.6</v>
      </c>
      <c r="C98" s="65">
        <v>133.4</v>
      </c>
      <c r="D98" s="65">
        <v>132.5</v>
      </c>
      <c r="E98" s="65">
        <v>133.5</v>
      </c>
      <c r="F98" s="65">
        <v>133.5</v>
      </c>
      <c r="G98" s="65">
        <v>131.1</v>
      </c>
      <c r="H98" s="65">
        <v>135.4</v>
      </c>
      <c r="I98" s="65">
        <v>129.19999999999999</v>
      </c>
      <c r="J98" s="65">
        <v>129.19999999999999</v>
      </c>
      <c r="K98" s="65">
        <v>129.19999999999999</v>
      </c>
      <c r="L98" s="65">
        <v>128</v>
      </c>
      <c r="M98" s="65">
        <v>128.1</v>
      </c>
      <c r="N98" s="65">
        <v>127.4</v>
      </c>
      <c r="O98" s="65">
        <v>131.37</v>
      </c>
      <c r="P98" s="65">
        <v>130.9</v>
      </c>
      <c r="Q98" s="65">
        <v>131.9</v>
      </c>
      <c r="R98" s="65">
        <v>130.1</v>
      </c>
      <c r="S98" s="65">
        <v>130.80000000000001</v>
      </c>
      <c r="T98" s="65">
        <v>130.19999999999999</v>
      </c>
      <c r="U98" s="65">
        <v>126.9</v>
      </c>
      <c r="V98" s="65">
        <v>128.9</v>
      </c>
      <c r="W98" s="65">
        <v>128.9</v>
      </c>
      <c r="X98" s="65">
        <v>129</v>
      </c>
      <c r="Y98" s="65">
        <v>129.9</v>
      </c>
      <c r="Z98" s="65">
        <v>133</v>
      </c>
      <c r="AA98" s="65">
        <v>133</v>
      </c>
      <c r="AB98" s="65">
        <v>130.6</v>
      </c>
      <c r="AC98" s="65">
        <v>130.6</v>
      </c>
      <c r="AD98" s="65">
        <v>132.69999999999999</v>
      </c>
      <c r="AE98" s="65">
        <v>131.5</v>
      </c>
      <c r="AF98" s="65">
        <v>131.80000000000001</v>
      </c>
      <c r="AG98" s="92"/>
      <c r="AH98" s="48">
        <f t="shared" si="10"/>
        <v>135.4</v>
      </c>
      <c r="AI98" s="49">
        <f t="shared" si="11"/>
        <v>126.9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0"/>
        <v>0</v>
      </c>
      <c r="AI99" s="49">
        <f t="shared" si="11"/>
        <v>0</v>
      </c>
    </row>
    <row r="100" spans="1:35" x14ac:dyDescent="0.25">
      <c r="A100" s="93" t="s">
        <v>105</v>
      </c>
      <c r="B100" s="94">
        <v>133.6</v>
      </c>
      <c r="C100" s="94">
        <v>132.80000000000001</v>
      </c>
      <c r="D100" s="94">
        <v>133</v>
      </c>
      <c r="E100" s="94">
        <v>134.80000000000001</v>
      </c>
      <c r="F100" s="94">
        <v>133.80000000000001</v>
      </c>
      <c r="G100" s="94">
        <v>135.80000000000001</v>
      </c>
      <c r="H100" s="94">
        <v>133.4</v>
      </c>
      <c r="I100" s="94">
        <v>133.5</v>
      </c>
      <c r="J100" s="94">
        <v>133.5</v>
      </c>
      <c r="K100" s="94">
        <v>133.5</v>
      </c>
      <c r="L100" s="94">
        <v>134</v>
      </c>
      <c r="M100" s="94">
        <v>136</v>
      </c>
      <c r="N100" s="94">
        <v>141.6</v>
      </c>
      <c r="O100" s="94">
        <v>136</v>
      </c>
      <c r="P100" s="94">
        <v>134.9</v>
      </c>
      <c r="Q100" s="94">
        <v>133.6</v>
      </c>
      <c r="R100" s="94">
        <v>131.9</v>
      </c>
      <c r="S100" s="94">
        <v>131</v>
      </c>
      <c r="T100" s="94">
        <v>133.30000000000001</v>
      </c>
      <c r="U100" s="94">
        <v>131.9</v>
      </c>
      <c r="V100" s="94">
        <v>133.4</v>
      </c>
      <c r="W100" s="94">
        <v>133.4</v>
      </c>
      <c r="X100" s="94">
        <v>134</v>
      </c>
      <c r="Y100" s="94">
        <v>132.4</v>
      </c>
      <c r="Z100" s="94">
        <v>137.19999999999999</v>
      </c>
      <c r="AA100" s="94">
        <v>137.19999999999999</v>
      </c>
      <c r="AB100" s="94">
        <v>132</v>
      </c>
      <c r="AC100" s="94">
        <v>133.6</v>
      </c>
      <c r="AD100" s="94">
        <v>131.69999999999999</v>
      </c>
      <c r="AE100" s="94">
        <v>136.19999999999999</v>
      </c>
      <c r="AF100" s="94">
        <v>134.5</v>
      </c>
      <c r="AG100" s="95"/>
      <c r="AH100" s="48">
        <f t="shared" si="10"/>
        <v>141.6</v>
      </c>
      <c r="AI100" s="49">
        <f t="shared" si="11"/>
        <v>131</v>
      </c>
    </row>
    <row r="101" spans="1:35" x14ac:dyDescent="0.25">
      <c r="A101" s="91" t="s">
        <v>106</v>
      </c>
      <c r="B101" s="65">
        <v>126.3</v>
      </c>
      <c r="C101" s="65">
        <v>134.69999999999999</v>
      </c>
      <c r="D101" s="65">
        <v>125</v>
      </c>
      <c r="E101" s="65">
        <v>129</v>
      </c>
      <c r="F101" s="65">
        <v>131</v>
      </c>
      <c r="G101" s="65">
        <v>126.8</v>
      </c>
      <c r="H101" s="65">
        <v>131.9</v>
      </c>
      <c r="I101" s="65">
        <v>131.6</v>
      </c>
      <c r="J101" s="65">
        <v>131.6</v>
      </c>
      <c r="K101" s="65">
        <v>131.6</v>
      </c>
      <c r="L101" s="65">
        <v>127.3</v>
      </c>
      <c r="M101" s="65">
        <v>128.4</v>
      </c>
      <c r="N101" s="65"/>
      <c r="O101" s="65">
        <v>123.8</v>
      </c>
      <c r="P101" s="65">
        <v>126.5</v>
      </c>
      <c r="Q101" s="65">
        <v>125.4</v>
      </c>
      <c r="R101" s="65">
        <v>127</v>
      </c>
      <c r="S101" s="65">
        <v>130</v>
      </c>
      <c r="T101" s="65">
        <v>131.69999999999999</v>
      </c>
      <c r="U101" s="65">
        <v>126</v>
      </c>
      <c r="V101" s="65">
        <v>129.5</v>
      </c>
      <c r="W101" s="65">
        <v>129.5</v>
      </c>
      <c r="X101" s="65">
        <v>128.5</v>
      </c>
      <c r="Y101" s="65">
        <v>126.9</v>
      </c>
      <c r="Z101" s="65">
        <v>133.69999999999999</v>
      </c>
      <c r="AA101" s="65">
        <v>133.69999999999999</v>
      </c>
      <c r="AB101" s="65">
        <v>130</v>
      </c>
      <c r="AC101" s="65">
        <v>132.5</v>
      </c>
      <c r="AD101" s="65">
        <v>127.7</v>
      </c>
      <c r="AE101" s="65">
        <v>136.69999999999999</v>
      </c>
      <c r="AF101" s="65">
        <v>133.80000000000001</v>
      </c>
      <c r="AG101" s="92"/>
      <c r="AH101" s="48">
        <f t="shared" si="10"/>
        <v>136.69999999999999</v>
      </c>
      <c r="AI101" s="49">
        <f t="shared" si="11"/>
        <v>123.8</v>
      </c>
    </row>
    <row r="102" spans="1:35" ht="15.75" thickBot="1" x14ac:dyDescent="0.3">
      <c r="A102" s="91" t="s">
        <v>107</v>
      </c>
      <c r="B102" s="96">
        <v>132.4</v>
      </c>
      <c r="C102" s="96">
        <v>66.900000000000006</v>
      </c>
      <c r="D102" s="96">
        <v>66.900000000000006</v>
      </c>
      <c r="E102" s="96">
        <v>67</v>
      </c>
      <c r="F102" s="96">
        <v>67.3</v>
      </c>
      <c r="G102" s="96">
        <v>66.5</v>
      </c>
      <c r="H102" s="96">
        <v>65.599999999999994</v>
      </c>
      <c r="I102" s="96">
        <v>64.7</v>
      </c>
      <c r="J102" s="96">
        <v>64.7</v>
      </c>
      <c r="K102" s="96">
        <v>64.7</v>
      </c>
      <c r="L102" s="96">
        <v>63.9</v>
      </c>
      <c r="M102" s="96">
        <v>64.2</v>
      </c>
      <c r="N102" s="96">
        <v>63.8</v>
      </c>
      <c r="O102" s="96">
        <v>62.9</v>
      </c>
      <c r="P102" s="96">
        <v>63.6</v>
      </c>
      <c r="Q102" s="96">
        <v>64</v>
      </c>
      <c r="R102" s="96">
        <v>64.2</v>
      </c>
      <c r="S102" s="96">
        <v>64</v>
      </c>
      <c r="T102" s="96">
        <v>64</v>
      </c>
      <c r="U102" s="96">
        <v>63.8</v>
      </c>
      <c r="V102" s="96">
        <v>63.4</v>
      </c>
      <c r="W102" s="96">
        <v>63.4</v>
      </c>
      <c r="X102" s="96">
        <v>63.6</v>
      </c>
      <c r="Y102" s="96">
        <v>63.7</v>
      </c>
      <c r="Z102" s="96">
        <v>64.7</v>
      </c>
      <c r="AA102" s="96">
        <v>64.7</v>
      </c>
      <c r="AB102" s="96">
        <v>65</v>
      </c>
      <c r="AC102" s="96">
        <v>65.3</v>
      </c>
      <c r="AD102" s="96">
        <v>65.5</v>
      </c>
      <c r="AE102" s="96">
        <v>66.5</v>
      </c>
      <c r="AF102" s="96">
        <v>66.5</v>
      </c>
      <c r="AG102" s="97"/>
      <c r="AH102" s="48">
        <f t="shared" si="10"/>
        <v>132.4</v>
      </c>
      <c r="AI102" s="49">
        <f t="shared" si="11"/>
        <v>62.9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0"/>
        <v>0</v>
      </c>
      <c r="AI103" s="49">
        <f t="shared" si="11"/>
        <v>0</v>
      </c>
    </row>
    <row r="104" spans="1:35" ht="15.75" thickBot="1" x14ac:dyDescent="0.3">
      <c r="A104" s="99" t="s">
        <v>108</v>
      </c>
      <c r="B104" s="100">
        <f t="shared" ref="B104:AF104" si="17">SUM(B16,B22,B25:B26,B52,B54:B55,B57,B59,B105:B109,B131,B137,B143,B152,B154,B166,B173,B176:B177,B184,B186,B188,B192:B194,B196:B198,B203,B209:B210,B212:B214,B222,B227)</f>
        <v>119</v>
      </c>
      <c r="C104" s="100">
        <f t="shared" si="17"/>
        <v>103.14000000000001</v>
      </c>
      <c r="D104" s="100">
        <f t="shared" si="17"/>
        <v>102.04000000000002</v>
      </c>
      <c r="E104" s="100">
        <f t="shared" si="17"/>
        <v>101.03999999999999</v>
      </c>
      <c r="F104" s="100">
        <f t="shared" si="17"/>
        <v>103.13999999999999</v>
      </c>
      <c r="G104" s="100">
        <f t="shared" si="17"/>
        <v>139.69999999999999</v>
      </c>
      <c r="H104" s="100">
        <f t="shared" si="17"/>
        <v>174.24</v>
      </c>
      <c r="I104" s="100">
        <f t="shared" si="17"/>
        <v>209.84000000000003</v>
      </c>
      <c r="J104" s="100">
        <f t="shared" si="17"/>
        <v>213.74</v>
      </c>
      <c r="K104" s="100">
        <f t="shared" si="17"/>
        <v>311.14</v>
      </c>
      <c r="L104" s="100">
        <f t="shared" si="17"/>
        <v>325.33999999999997</v>
      </c>
      <c r="M104" s="100">
        <f t="shared" si="17"/>
        <v>375.64000000000004</v>
      </c>
      <c r="N104" s="100">
        <f t="shared" si="17"/>
        <v>343.34</v>
      </c>
      <c r="O104" s="100">
        <f t="shared" si="17"/>
        <v>289.94</v>
      </c>
      <c r="P104" s="100">
        <v>42</v>
      </c>
      <c r="Q104" s="100">
        <f t="shared" si="17"/>
        <v>281.49999999999994</v>
      </c>
      <c r="R104" s="100">
        <f t="shared" si="17"/>
        <v>263.10000000000002</v>
      </c>
      <c r="S104" s="100">
        <f t="shared" si="17"/>
        <v>271.8</v>
      </c>
      <c r="T104" s="100">
        <f t="shared" si="17"/>
        <v>229.8</v>
      </c>
      <c r="U104" s="100">
        <f t="shared" si="17"/>
        <v>284.8</v>
      </c>
      <c r="V104" s="100">
        <f t="shared" si="17"/>
        <v>288.89999999999998</v>
      </c>
      <c r="W104" s="100">
        <f t="shared" si="17"/>
        <v>288.89999999999998</v>
      </c>
      <c r="X104" s="100">
        <v>390.59708333333339</v>
      </c>
      <c r="Y104" s="100">
        <f t="shared" si="17"/>
        <v>389.4</v>
      </c>
      <c r="Z104" s="100">
        <f t="shared" si="17"/>
        <v>370.9</v>
      </c>
      <c r="AA104" s="100">
        <f t="shared" si="17"/>
        <v>372.5</v>
      </c>
      <c r="AB104" s="100">
        <f t="shared" si="17"/>
        <v>382.29999999999995</v>
      </c>
      <c r="AC104" s="100">
        <f t="shared" si="17"/>
        <v>359.4</v>
      </c>
      <c r="AD104" s="100">
        <f t="shared" si="17"/>
        <v>322</v>
      </c>
      <c r="AE104" s="100">
        <f t="shared" si="17"/>
        <v>231.90000000000003</v>
      </c>
      <c r="AF104" s="100">
        <f t="shared" si="17"/>
        <v>166.6</v>
      </c>
      <c r="AG104" s="101"/>
      <c r="AH104" s="48">
        <f t="shared" si="10"/>
        <v>390.59708333333339</v>
      </c>
      <c r="AI104" s="49">
        <f t="shared" si="11"/>
        <v>42</v>
      </c>
    </row>
    <row r="105" spans="1:35" x14ac:dyDescent="0.25">
      <c r="A105" s="88" t="s">
        <v>109</v>
      </c>
      <c r="B105" s="102">
        <v>9.6999999999999993</v>
      </c>
      <c r="C105" s="102">
        <v>1.4</v>
      </c>
      <c r="D105" s="102">
        <v>-1.2</v>
      </c>
      <c r="E105" s="102">
        <v>-3.7</v>
      </c>
      <c r="F105" s="102">
        <v>-1.6</v>
      </c>
      <c r="G105" s="102">
        <v>10.9</v>
      </c>
      <c r="H105" s="102">
        <v>10.8</v>
      </c>
      <c r="I105" s="102">
        <v>20.8</v>
      </c>
      <c r="J105" s="102">
        <v>23.5</v>
      </c>
      <c r="K105" s="102">
        <v>21.4</v>
      </c>
      <c r="L105" s="102">
        <v>21.9</v>
      </c>
      <c r="M105" s="102">
        <v>28.9</v>
      </c>
      <c r="N105" s="102">
        <v>37</v>
      </c>
      <c r="O105" s="102">
        <v>48.1</v>
      </c>
      <c r="P105" s="102">
        <v>45.6</v>
      </c>
      <c r="Q105" s="102">
        <v>20.7</v>
      </c>
      <c r="R105" s="102">
        <v>15.9</v>
      </c>
      <c r="S105" s="102">
        <v>22.7</v>
      </c>
      <c r="T105" s="102">
        <v>17.399999999999999</v>
      </c>
      <c r="U105" s="102">
        <v>22.8</v>
      </c>
      <c r="V105" s="102">
        <v>46.9</v>
      </c>
      <c r="W105" s="102">
        <v>46.9</v>
      </c>
      <c r="X105" s="102">
        <v>38.5</v>
      </c>
      <c r="Y105" s="102">
        <v>32.200000000000003</v>
      </c>
      <c r="Z105" s="102">
        <v>35.1</v>
      </c>
      <c r="AA105" s="102">
        <v>52.2</v>
      </c>
      <c r="AB105" s="102">
        <v>55.1</v>
      </c>
      <c r="AC105" s="102">
        <v>54.5</v>
      </c>
      <c r="AD105" s="102">
        <v>41.3</v>
      </c>
      <c r="AE105" s="102">
        <v>33.5</v>
      </c>
      <c r="AF105" s="102">
        <v>14</v>
      </c>
      <c r="AG105" s="103">
        <v>75</v>
      </c>
      <c r="AH105" s="48">
        <f t="shared" si="10"/>
        <v>55.1</v>
      </c>
      <c r="AI105" s="49">
        <f t="shared" si="11"/>
        <v>-3.7</v>
      </c>
    </row>
    <row r="106" spans="1:35" x14ac:dyDescent="0.25">
      <c r="A106" s="91" t="s">
        <v>110</v>
      </c>
      <c r="B106" s="104">
        <v>18.899999999999999</v>
      </c>
      <c r="C106" s="104">
        <v>8.3000000000000007</v>
      </c>
      <c r="D106" s="104">
        <v>2.4</v>
      </c>
      <c r="E106" s="104">
        <v>3.7</v>
      </c>
      <c r="F106" s="104">
        <v>2.1</v>
      </c>
      <c r="G106" s="104">
        <v>21.5</v>
      </c>
      <c r="H106" s="104">
        <v>22.4</v>
      </c>
      <c r="I106" s="104">
        <v>34.299999999999997</v>
      </c>
      <c r="J106" s="104">
        <v>38.1</v>
      </c>
      <c r="K106" s="104">
        <v>33.5</v>
      </c>
      <c r="L106" s="104">
        <v>31.9</v>
      </c>
      <c r="M106" s="104">
        <v>41.7</v>
      </c>
      <c r="N106" s="104">
        <v>55.2</v>
      </c>
      <c r="O106" s="104">
        <v>68</v>
      </c>
      <c r="P106" s="104">
        <v>65.900000000000006</v>
      </c>
      <c r="Q106" s="104">
        <v>28.6</v>
      </c>
      <c r="R106" s="104">
        <v>23.1</v>
      </c>
      <c r="S106" s="104">
        <v>33.6</v>
      </c>
      <c r="T106" s="104">
        <v>24</v>
      </c>
      <c r="U106" s="104">
        <v>31.6</v>
      </c>
      <c r="V106" s="104">
        <v>65.3</v>
      </c>
      <c r="W106" s="104">
        <v>65.3</v>
      </c>
      <c r="X106" s="104">
        <v>50.7</v>
      </c>
      <c r="Y106" s="104">
        <v>41.1</v>
      </c>
      <c r="Z106" s="104">
        <v>46.4</v>
      </c>
      <c r="AA106" s="104">
        <v>72.2</v>
      </c>
      <c r="AB106" s="104">
        <v>76</v>
      </c>
      <c r="AC106" s="104">
        <v>73.900000000000006</v>
      </c>
      <c r="AD106" s="104">
        <v>56.1</v>
      </c>
      <c r="AE106" s="104">
        <v>44.7</v>
      </c>
      <c r="AF106" s="104">
        <v>21.7</v>
      </c>
      <c r="AG106" s="103">
        <v>240</v>
      </c>
      <c r="AH106" s="48">
        <f t="shared" si="10"/>
        <v>76</v>
      </c>
      <c r="AI106" s="49">
        <f t="shared" si="11"/>
        <v>2.1</v>
      </c>
    </row>
    <row r="107" spans="1:35" x14ac:dyDescent="0.25">
      <c r="A107" s="91" t="s">
        <v>111</v>
      </c>
      <c r="B107" s="104">
        <v>-81</v>
      </c>
      <c r="C107" s="104">
        <v>-80</v>
      </c>
      <c r="D107" s="104">
        <v>-75</v>
      </c>
      <c r="E107" s="104">
        <v>-79</v>
      </c>
      <c r="F107" s="104">
        <v>-73.2</v>
      </c>
      <c r="G107" s="104">
        <v>-74.5</v>
      </c>
      <c r="H107" s="104">
        <v>-62.5</v>
      </c>
      <c r="I107" s="104">
        <v>-58.1</v>
      </c>
      <c r="J107" s="104">
        <v>-26</v>
      </c>
      <c r="K107" s="104">
        <v>-30.5</v>
      </c>
      <c r="L107" s="104">
        <v>-29.9</v>
      </c>
      <c r="M107" s="104">
        <f>-6.2-1.2</f>
        <v>-7.4</v>
      </c>
      <c r="N107" s="104">
        <f>-3.6-13.8</f>
        <v>-17.400000000000002</v>
      </c>
      <c r="O107" s="104">
        <f>-14-7.2</f>
        <v>-21.2</v>
      </c>
      <c r="P107" s="104">
        <f>-4-3.3</f>
        <v>-7.3</v>
      </c>
      <c r="Q107" s="104">
        <f>22.1+16.6</f>
        <v>38.700000000000003</v>
      </c>
      <c r="R107" s="104">
        <f>21+16</f>
        <v>37</v>
      </c>
      <c r="S107" s="104">
        <v>25.4</v>
      </c>
      <c r="T107" s="104">
        <v>2.7</v>
      </c>
      <c r="U107" s="104">
        <v>42</v>
      </c>
      <c r="V107" s="104">
        <v>-13</v>
      </c>
      <c r="W107" s="104">
        <v>-13</v>
      </c>
      <c r="X107" s="104">
        <v>-18</v>
      </c>
      <c r="Y107" s="104">
        <v>3.2</v>
      </c>
      <c r="Z107" s="104">
        <v>-13</v>
      </c>
      <c r="AA107" s="104">
        <v>-48</v>
      </c>
      <c r="AB107" s="104">
        <v>8</v>
      </c>
      <c r="AC107" s="104">
        <v>1.4</v>
      </c>
      <c r="AD107" s="104">
        <v>-3</v>
      </c>
      <c r="AE107" s="104">
        <v>-40</v>
      </c>
      <c r="AF107" s="104">
        <v>-53</v>
      </c>
      <c r="AG107" s="103">
        <v>240</v>
      </c>
      <c r="AH107" s="48">
        <f t="shared" si="10"/>
        <v>42</v>
      </c>
      <c r="AI107" s="49">
        <f t="shared" si="11"/>
        <v>-81</v>
      </c>
    </row>
    <row r="108" spans="1:35" x14ac:dyDescent="0.25">
      <c r="A108" s="91" t="s">
        <v>112</v>
      </c>
      <c r="B108" s="104">
        <v>-0.8</v>
      </c>
      <c r="C108" s="104">
        <v>-1.3</v>
      </c>
      <c r="D108" s="104">
        <v>-4.4000000000000004</v>
      </c>
      <c r="E108" s="104">
        <v>-3</v>
      </c>
      <c r="F108" s="104">
        <v>-4</v>
      </c>
      <c r="G108" s="104">
        <v>0.36</v>
      </c>
      <c r="H108" s="104">
        <v>1</v>
      </c>
      <c r="I108" s="104">
        <v>0</v>
      </c>
      <c r="J108" s="104">
        <v>-0.7</v>
      </c>
      <c r="K108" s="104">
        <v>36.1</v>
      </c>
      <c r="L108" s="104">
        <v>53.8</v>
      </c>
      <c r="M108" s="104">
        <v>52.9</v>
      </c>
      <c r="N108" s="104">
        <v>41.6</v>
      </c>
      <c r="O108" s="104">
        <v>55.4</v>
      </c>
      <c r="P108" s="104">
        <v>53.9</v>
      </c>
      <c r="Q108" s="104">
        <v>54.4</v>
      </c>
      <c r="R108" s="104">
        <v>48</v>
      </c>
      <c r="S108" s="104">
        <v>52.7</v>
      </c>
      <c r="T108" s="104">
        <v>49.7</v>
      </c>
      <c r="U108" s="104">
        <v>53.9</v>
      </c>
      <c r="V108" s="104">
        <v>57.5</v>
      </c>
      <c r="W108" s="104">
        <v>57.5</v>
      </c>
      <c r="X108" s="104">
        <v>62</v>
      </c>
      <c r="Y108" s="104">
        <v>64.400000000000006</v>
      </c>
      <c r="Z108" s="104">
        <v>61.8</v>
      </c>
      <c r="AA108" s="104">
        <v>62.1</v>
      </c>
      <c r="AB108" s="104">
        <v>63</v>
      </c>
      <c r="AC108" s="104">
        <v>36</v>
      </c>
      <c r="AD108" s="104">
        <v>20</v>
      </c>
      <c r="AE108" s="104">
        <v>9.8000000000000007</v>
      </c>
      <c r="AF108" s="104">
        <v>2</v>
      </c>
      <c r="AG108" s="103">
        <v>60</v>
      </c>
      <c r="AH108" s="48">
        <f t="shared" si="10"/>
        <v>64.400000000000006</v>
      </c>
      <c r="AI108" s="49">
        <f t="shared" si="11"/>
        <v>-4.4000000000000004</v>
      </c>
    </row>
    <row r="109" spans="1:35" x14ac:dyDescent="0.25">
      <c r="A109" s="105" t="s">
        <v>113</v>
      </c>
      <c r="B109" s="106">
        <v>39.299999999999997</v>
      </c>
      <c r="C109" s="106">
        <v>40.9</v>
      </c>
      <c r="D109" s="106">
        <v>46.4</v>
      </c>
      <c r="E109" s="106">
        <v>47.4</v>
      </c>
      <c r="F109" s="106">
        <v>44.2</v>
      </c>
      <c r="G109" s="106">
        <v>45.8</v>
      </c>
      <c r="H109" s="106">
        <v>66.900000000000006</v>
      </c>
      <c r="I109" s="106">
        <v>77.2</v>
      </c>
      <c r="J109" s="106">
        <v>43.2</v>
      </c>
      <c r="K109" s="106">
        <v>115</v>
      </c>
      <c r="L109" s="106">
        <v>112</v>
      </c>
      <c r="M109" s="106">
        <v>119.9</v>
      </c>
      <c r="N109" s="106">
        <v>87.3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0</v>
      </c>
      <c r="W109" s="106">
        <v>0</v>
      </c>
      <c r="X109" s="106">
        <v>107</v>
      </c>
      <c r="Y109" s="106">
        <v>116.3</v>
      </c>
      <c r="Z109" s="106">
        <v>108.4</v>
      </c>
      <c r="AA109" s="106">
        <v>101.8</v>
      </c>
      <c r="AB109" s="106">
        <v>48</v>
      </c>
      <c r="AC109" s="106">
        <v>61.1</v>
      </c>
      <c r="AD109" s="106">
        <v>75.099999999999994</v>
      </c>
      <c r="AE109" s="106">
        <v>50</v>
      </c>
      <c r="AF109" s="106">
        <v>48</v>
      </c>
      <c r="AG109" s="107">
        <v>120</v>
      </c>
      <c r="AH109" s="48">
        <f t="shared" si="10"/>
        <v>119.9</v>
      </c>
      <c r="AI109" s="49">
        <f t="shared" si="11"/>
        <v>0</v>
      </c>
    </row>
    <row r="110" spans="1:35" x14ac:dyDescent="0.25">
      <c r="A110" s="105" t="s">
        <v>115</v>
      </c>
      <c r="B110" s="106">
        <v>55.3</v>
      </c>
      <c r="C110" s="106">
        <v>54.6</v>
      </c>
      <c r="D110" s="106">
        <v>59.7</v>
      </c>
      <c r="E110" s="106">
        <v>59.99</v>
      </c>
      <c r="F110" s="106">
        <v>53.8</v>
      </c>
      <c r="G110" s="106">
        <v>42.6</v>
      </c>
      <c r="H110" s="106">
        <v>70.099999999999994</v>
      </c>
      <c r="I110" s="106">
        <v>76.2</v>
      </c>
      <c r="J110" s="106">
        <v>47.4</v>
      </c>
      <c r="K110" s="106">
        <v>98.3</v>
      </c>
      <c r="L110" s="106">
        <v>99</v>
      </c>
      <c r="M110" s="106">
        <v>80.900000000000006</v>
      </c>
      <c r="N110" s="106">
        <v>80.599999999999994</v>
      </c>
      <c r="O110" s="106">
        <v>88.2</v>
      </c>
      <c r="P110" s="106">
        <v>73.099999999999994</v>
      </c>
      <c r="Q110" s="106">
        <v>93.7</v>
      </c>
      <c r="R110" s="106">
        <v>101.2</v>
      </c>
      <c r="S110" s="106">
        <v>103</v>
      </c>
      <c r="T110" s="106">
        <v>101.9</v>
      </c>
      <c r="U110" s="106">
        <v>91.9</v>
      </c>
      <c r="V110" s="106">
        <v>48.3</v>
      </c>
      <c r="W110" s="106">
        <v>48.3</v>
      </c>
      <c r="X110" s="106">
        <v>59.7</v>
      </c>
      <c r="Y110" s="106">
        <v>79.5</v>
      </c>
      <c r="Z110" s="106">
        <v>67</v>
      </c>
      <c r="AA110" s="106">
        <v>12</v>
      </c>
      <c r="AB110" s="106">
        <v>23</v>
      </c>
      <c r="AC110" s="106">
        <v>38.4</v>
      </c>
      <c r="AD110" s="106">
        <v>57</v>
      </c>
      <c r="AE110" s="106">
        <v>43</v>
      </c>
      <c r="AF110" s="106">
        <v>48</v>
      </c>
      <c r="AG110" s="107"/>
      <c r="AH110" s="48">
        <f t="shared" si="10"/>
        <v>103</v>
      </c>
      <c r="AI110" s="49">
        <f t="shared" si="11"/>
        <v>12</v>
      </c>
    </row>
    <row r="111" spans="1:35" x14ac:dyDescent="0.25">
      <c r="A111" s="105" t="s">
        <v>116</v>
      </c>
      <c r="B111" s="106">
        <v>39.5</v>
      </c>
      <c r="C111" s="106">
        <v>49</v>
      </c>
      <c r="D111" s="106">
        <v>43</v>
      </c>
      <c r="E111" s="106">
        <v>39.799999999999997</v>
      </c>
      <c r="F111" s="106">
        <v>46.7</v>
      </c>
      <c r="G111" s="106">
        <v>54.6</v>
      </c>
      <c r="H111" s="106">
        <v>38.299999999999997</v>
      </c>
      <c r="I111" s="106">
        <v>33.6</v>
      </c>
      <c r="J111" s="106">
        <v>32.700000000000003</v>
      </c>
      <c r="K111" s="106">
        <v>37.799999999999997</v>
      </c>
      <c r="L111" s="106">
        <v>37.4</v>
      </c>
      <c r="M111" s="106">
        <v>29.2</v>
      </c>
      <c r="N111" s="106">
        <v>18.600000000000001</v>
      </c>
      <c r="O111" s="106">
        <v>11.6</v>
      </c>
      <c r="P111" s="106">
        <v>11.2</v>
      </c>
      <c r="Q111" s="106">
        <v>26.9</v>
      </c>
      <c r="R111" s="106">
        <v>32.1</v>
      </c>
      <c r="S111" s="106">
        <v>20</v>
      </c>
      <c r="T111" s="106">
        <v>19.899999999999999</v>
      </c>
      <c r="U111" s="106">
        <v>24.5</v>
      </c>
      <c r="V111" s="106">
        <v>10.3</v>
      </c>
      <c r="W111" s="106">
        <v>10.3</v>
      </c>
      <c r="X111" s="106">
        <v>20.100000000000001</v>
      </c>
      <c r="Y111" s="106">
        <v>34</v>
      </c>
      <c r="Z111" s="106">
        <v>27.3</v>
      </c>
      <c r="AA111" s="106">
        <v>3.6</v>
      </c>
      <c r="AB111" s="106">
        <v>4.7</v>
      </c>
      <c r="AC111" s="106">
        <v>8.4</v>
      </c>
      <c r="AD111" s="106">
        <v>27.3</v>
      </c>
      <c r="AE111" s="106">
        <v>12</v>
      </c>
      <c r="AF111" s="106">
        <v>21</v>
      </c>
      <c r="AG111" s="108"/>
      <c r="AH111" s="48">
        <f t="shared" si="10"/>
        <v>54.6</v>
      </c>
      <c r="AI111" s="49">
        <f t="shared" si="11"/>
        <v>3.6</v>
      </c>
    </row>
    <row r="112" spans="1:35" x14ac:dyDescent="0.25">
      <c r="A112" s="109" t="s">
        <v>117</v>
      </c>
      <c r="B112" s="94">
        <v>58.2</v>
      </c>
      <c r="C112" s="94">
        <v>59.6</v>
      </c>
      <c r="D112" s="94">
        <v>60.4</v>
      </c>
      <c r="E112" s="94">
        <v>61.5</v>
      </c>
      <c r="F112" s="94">
        <v>29</v>
      </c>
      <c r="G112" s="94">
        <v>26</v>
      </c>
      <c r="H112" s="94">
        <v>40.5</v>
      </c>
      <c r="I112" s="94">
        <v>37.1</v>
      </c>
      <c r="J112" s="94">
        <v>42.4</v>
      </c>
      <c r="K112" s="94">
        <v>20.100000000000001</v>
      </c>
      <c r="L112" s="94">
        <v>14.5</v>
      </c>
      <c r="M112" s="94">
        <v>0</v>
      </c>
      <c r="N112" s="94">
        <v>3.1</v>
      </c>
      <c r="O112" s="94">
        <v>12.1</v>
      </c>
      <c r="P112" s="94">
        <v>13.2</v>
      </c>
      <c r="Q112" s="94">
        <v>27.2</v>
      </c>
      <c r="R112" s="94">
        <v>19</v>
      </c>
      <c r="S112" s="94">
        <v>29.8</v>
      </c>
      <c r="T112" s="94">
        <v>30.8</v>
      </c>
      <c r="U112" s="94">
        <v>19.7</v>
      </c>
      <c r="V112" s="94">
        <v>-1.9</v>
      </c>
      <c r="W112" s="94">
        <v>-1.9</v>
      </c>
      <c r="X112" s="94">
        <v>-13.5</v>
      </c>
      <c r="Y112" s="94">
        <v>-12.3</v>
      </c>
      <c r="Z112" s="94">
        <v>-6.6</v>
      </c>
      <c r="AA112" s="94">
        <v>5.4</v>
      </c>
      <c r="AB112" s="94">
        <v>15</v>
      </c>
      <c r="AC112" s="94">
        <v>21.6</v>
      </c>
      <c r="AD112" s="94">
        <v>35</v>
      </c>
      <c r="AE112" s="94">
        <v>52</v>
      </c>
      <c r="AF112" s="94">
        <v>52</v>
      </c>
      <c r="AG112" s="108"/>
      <c r="AH112" s="48">
        <f t="shared" si="10"/>
        <v>61.5</v>
      </c>
      <c r="AI112" s="49">
        <f t="shared" si="11"/>
        <v>-13.5</v>
      </c>
    </row>
    <row r="113" spans="1:37" ht="15.75" thickBot="1" x14ac:dyDescent="0.3">
      <c r="A113" s="109" t="s">
        <v>118</v>
      </c>
      <c r="B113" s="94">
        <v>44.4</v>
      </c>
      <c r="C113" s="94">
        <v>39.299999999999997</v>
      </c>
      <c r="D113" s="94">
        <v>33.700000000000003</v>
      </c>
      <c r="E113" s="94">
        <v>41.4</v>
      </c>
      <c r="F113" s="94">
        <v>35.9</v>
      </c>
      <c r="G113" s="94">
        <v>29.3</v>
      </c>
      <c r="H113" s="94">
        <v>35.1</v>
      </c>
      <c r="I113" s="94">
        <v>29</v>
      </c>
      <c r="J113" s="94">
        <v>45.1</v>
      </c>
      <c r="K113" s="94">
        <v>16.5</v>
      </c>
      <c r="L113" s="94">
        <v>7.3</v>
      </c>
      <c r="M113" s="94">
        <v>19.100000000000001</v>
      </c>
      <c r="N113" s="94">
        <v>38.799999999999997</v>
      </c>
      <c r="O113" s="94">
        <v>21.6</v>
      </c>
      <c r="P113" s="94">
        <v>33.4</v>
      </c>
      <c r="Q113" s="94">
        <v>7.5</v>
      </c>
      <c r="R113" s="94">
        <v>-8.1999999999999993</v>
      </c>
      <c r="S113" s="94">
        <v>4.5999999999999996</v>
      </c>
      <c r="T113" s="94">
        <v>-7.7</v>
      </c>
      <c r="U113" s="94">
        <v>-8.6</v>
      </c>
      <c r="V113" s="94">
        <v>22.1</v>
      </c>
      <c r="W113" s="94">
        <v>22.1</v>
      </c>
      <c r="X113" s="94">
        <v>5.0999999999999996</v>
      </c>
      <c r="Y113" s="94">
        <v>4.4000000000000004</v>
      </c>
      <c r="Z113" s="94">
        <v>12.4</v>
      </c>
      <c r="AA113" s="94">
        <v>39.5</v>
      </c>
      <c r="AB113" s="94">
        <v>30.8</v>
      </c>
      <c r="AC113" s="94">
        <v>22.3</v>
      </c>
      <c r="AD113" s="94">
        <v>7.9</v>
      </c>
      <c r="AE113" s="94">
        <v>29</v>
      </c>
      <c r="AF113" s="94">
        <v>33</v>
      </c>
      <c r="AG113" s="108"/>
      <c r="AH113" s="48">
        <f t="shared" si="10"/>
        <v>45.1</v>
      </c>
      <c r="AI113" s="49">
        <f t="shared" si="11"/>
        <v>-8.6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18">SUM(B115:B219)</f>
        <v>0</v>
      </c>
      <c r="C220" s="125">
        <f t="shared" si="18"/>
        <v>0</v>
      </c>
      <c r="D220" s="125">
        <f t="shared" si="18"/>
        <v>0</v>
      </c>
      <c r="E220" s="125">
        <f t="shared" si="18"/>
        <v>0</v>
      </c>
      <c r="F220" s="125">
        <f t="shared" si="18"/>
        <v>0</v>
      </c>
      <c r="G220" s="125">
        <f t="shared" si="18"/>
        <v>0</v>
      </c>
      <c r="H220" s="125">
        <f t="shared" si="18"/>
        <v>0</v>
      </c>
      <c r="I220" s="125">
        <f t="shared" si="18"/>
        <v>0</v>
      </c>
      <c r="J220" s="125">
        <f t="shared" si="18"/>
        <v>0</v>
      </c>
      <c r="K220" s="125">
        <f t="shared" si="18"/>
        <v>0</v>
      </c>
      <c r="L220" s="125">
        <f t="shared" si="18"/>
        <v>0</v>
      </c>
      <c r="M220" s="125">
        <f t="shared" si="18"/>
        <v>0</v>
      </c>
      <c r="N220" s="125">
        <f t="shared" si="18"/>
        <v>0</v>
      </c>
      <c r="O220" s="125">
        <f t="shared" si="18"/>
        <v>0</v>
      </c>
      <c r="P220" s="125">
        <f t="shared" si="18"/>
        <v>0</v>
      </c>
      <c r="Q220" s="125">
        <f t="shared" si="18"/>
        <v>0</v>
      </c>
      <c r="R220" s="125">
        <f t="shared" si="18"/>
        <v>0</v>
      </c>
      <c r="S220" s="125">
        <f t="shared" si="18"/>
        <v>0</v>
      </c>
      <c r="T220" s="125">
        <f t="shared" si="18"/>
        <v>0</v>
      </c>
      <c r="U220" s="125">
        <f t="shared" si="18"/>
        <v>0</v>
      </c>
      <c r="V220" s="125">
        <f t="shared" si="18"/>
        <v>0</v>
      </c>
      <c r="W220" s="125">
        <f t="shared" si="18"/>
        <v>0</v>
      </c>
      <c r="X220" s="125">
        <f t="shared" si="18"/>
        <v>0</v>
      </c>
      <c r="Y220" s="125">
        <f t="shared" si="18"/>
        <v>0</v>
      </c>
      <c r="Z220" s="125">
        <f t="shared" si="18"/>
        <v>0</v>
      </c>
      <c r="AA220" s="125">
        <f t="shared" si="18"/>
        <v>0</v>
      </c>
      <c r="AB220" s="125">
        <f t="shared" si="18"/>
        <v>0</v>
      </c>
      <c r="AC220" s="125">
        <f t="shared" si="18"/>
        <v>0</v>
      </c>
      <c r="AD220" s="125">
        <f t="shared" si="18"/>
        <v>0</v>
      </c>
      <c r="AE220" s="125">
        <f t="shared" si="18"/>
        <v>0</v>
      </c>
      <c r="AF220" s="126">
        <f t="shared" si="18"/>
        <v>0</v>
      </c>
      <c r="AG220" s="127">
        <f t="shared" si="18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19">AF222</f>
        <v>0</v>
      </c>
      <c r="C222" s="129">
        <v>0.3</v>
      </c>
      <c r="D222" s="129">
        <f t="shared" ref="D222:P227" si="20">C222</f>
        <v>0.3</v>
      </c>
      <c r="E222" s="129">
        <f t="shared" si="20"/>
        <v>0.3</v>
      </c>
      <c r="F222" s="129">
        <f t="shared" si="20"/>
        <v>0.3</v>
      </c>
      <c r="G222" s="129">
        <f t="shared" si="20"/>
        <v>0.3</v>
      </c>
      <c r="H222" s="129">
        <f t="shared" si="20"/>
        <v>0.3</v>
      </c>
      <c r="I222" s="129">
        <f t="shared" si="20"/>
        <v>0.3</v>
      </c>
      <c r="J222" s="129">
        <f t="shared" si="20"/>
        <v>0.3</v>
      </c>
      <c r="K222" s="129">
        <f t="shared" si="20"/>
        <v>0.3</v>
      </c>
      <c r="L222" s="129">
        <f t="shared" si="20"/>
        <v>0.3</v>
      </c>
      <c r="M222" s="129">
        <f t="shared" si="20"/>
        <v>0.3</v>
      </c>
      <c r="N222" s="129">
        <f t="shared" si="20"/>
        <v>0.3</v>
      </c>
      <c r="O222" s="129">
        <f t="shared" si="20"/>
        <v>0.3</v>
      </c>
      <c r="P222" s="129">
        <f t="shared" si="20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19"/>
        <v>0</v>
      </c>
      <c r="C223" s="117">
        <v>0.4</v>
      </c>
      <c r="D223" s="117">
        <f t="shared" si="20"/>
        <v>0.4</v>
      </c>
      <c r="E223" s="117">
        <f t="shared" si="20"/>
        <v>0.4</v>
      </c>
      <c r="F223" s="117">
        <f t="shared" si="20"/>
        <v>0.4</v>
      </c>
      <c r="G223" s="117">
        <f t="shared" si="20"/>
        <v>0.4</v>
      </c>
      <c r="H223" s="117">
        <f t="shared" si="20"/>
        <v>0.4</v>
      </c>
      <c r="I223" s="117">
        <f t="shared" si="20"/>
        <v>0.4</v>
      </c>
      <c r="J223" s="117">
        <f t="shared" si="20"/>
        <v>0.4</v>
      </c>
      <c r="K223" s="117">
        <f t="shared" si="20"/>
        <v>0.4</v>
      </c>
      <c r="L223" s="117">
        <f t="shared" si="20"/>
        <v>0.4</v>
      </c>
      <c r="M223" s="117">
        <f t="shared" si="20"/>
        <v>0.4</v>
      </c>
      <c r="N223" s="117">
        <f t="shared" si="20"/>
        <v>0.4</v>
      </c>
      <c r="O223" s="117">
        <f t="shared" si="20"/>
        <v>0.4</v>
      </c>
      <c r="P223" s="117">
        <f t="shared" si="20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19"/>
        <v>0</v>
      </c>
      <c r="C224" s="117">
        <v>1.5</v>
      </c>
      <c r="D224" s="117">
        <f t="shared" si="20"/>
        <v>1.5</v>
      </c>
      <c r="E224" s="117">
        <f t="shared" si="20"/>
        <v>1.5</v>
      </c>
      <c r="F224" s="117">
        <f t="shared" si="20"/>
        <v>1.5</v>
      </c>
      <c r="G224" s="117">
        <f t="shared" si="20"/>
        <v>1.5</v>
      </c>
      <c r="H224" s="117">
        <f t="shared" si="20"/>
        <v>1.5</v>
      </c>
      <c r="I224" s="100">
        <f t="shared" ref="I224" ca="1" si="21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20"/>
        <v>1.5</v>
      </c>
      <c r="K224" s="117">
        <f t="shared" ca="1" si="20"/>
        <v>1.5</v>
      </c>
      <c r="L224" s="117">
        <f t="shared" ca="1" si="20"/>
        <v>1.5</v>
      </c>
      <c r="M224" s="117">
        <f t="shared" ca="1" si="20"/>
        <v>1.5</v>
      </c>
      <c r="N224" s="117">
        <f t="shared" ca="1" si="20"/>
        <v>1.5</v>
      </c>
      <c r="O224" s="117">
        <f t="shared" ca="1" si="20"/>
        <v>1.5</v>
      </c>
      <c r="P224" s="117">
        <f t="shared" ca="1" si="20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19"/>
        <v>0</v>
      </c>
      <c r="C225" s="117">
        <v>0.3</v>
      </c>
      <c r="D225" s="117">
        <f t="shared" si="20"/>
        <v>0.3</v>
      </c>
      <c r="E225" s="117">
        <f t="shared" si="20"/>
        <v>0.3</v>
      </c>
      <c r="F225" s="117">
        <f t="shared" si="20"/>
        <v>0.3</v>
      </c>
      <c r="G225" s="117">
        <f t="shared" si="20"/>
        <v>0.3</v>
      </c>
      <c r="H225" s="117">
        <f t="shared" si="20"/>
        <v>0.3</v>
      </c>
      <c r="I225" s="117">
        <f t="shared" si="20"/>
        <v>0.3</v>
      </c>
      <c r="J225" s="117">
        <f t="shared" si="20"/>
        <v>0.3</v>
      </c>
      <c r="K225" s="117">
        <f t="shared" si="20"/>
        <v>0.3</v>
      </c>
      <c r="L225" s="117">
        <f t="shared" si="20"/>
        <v>0.3</v>
      </c>
      <c r="M225" s="117">
        <f t="shared" si="20"/>
        <v>0.3</v>
      </c>
      <c r="N225" s="117">
        <f t="shared" si="20"/>
        <v>0.3</v>
      </c>
      <c r="O225" s="117">
        <f t="shared" si="20"/>
        <v>0.3</v>
      </c>
      <c r="P225" s="117">
        <f t="shared" si="20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19"/>
        <v>0</v>
      </c>
      <c r="C226" s="117">
        <v>0.4</v>
      </c>
      <c r="D226" s="117">
        <f t="shared" si="20"/>
        <v>0.4</v>
      </c>
      <c r="E226" s="117">
        <f t="shared" si="20"/>
        <v>0.4</v>
      </c>
      <c r="F226" s="117">
        <f t="shared" si="20"/>
        <v>0.4</v>
      </c>
      <c r="G226" s="117">
        <f t="shared" si="20"/>
        <v>0.4</v>
      </c>
      <c r="H226" s="117">
        <f t="shared" si="20"/>
        <v>0.4</v>
      </c>
      <c r="I226" s="117">
        <f t="shared" si="20"/>
        <v>0.4</v>
      </c>
      <c r="J226" s="117">
        <f t="shared" si="20"/>
        <v>0.4</v>
      </c>
      <c r="K226" s="117">
        <f t="shared" si="20"/>
        <v>0.4</v>
      </c>
      <c r="L226" s="117">
        <f t="shared" si="20"/>
        <v>0.4</v>
      </c>
      <c r="M226" s="117">
        <f t="shared" si="20"/>
        <v>0.4</v>
      </c>
      <c r="N226" s="117">
        <f t="shared" si="20"/>
        <v>0.4</v>
      </c>
      <c r="O226" s="117">
        <f t="shared" si="20"/>
        <v>0.4</v>
      </c>
      <c r="P226" s="117">
        <f t="shared" si="20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19"/>
        <v>0</v>
      </c>
      <c r="C227" s="121">
        <v>0.64</v>
      </c>
      <c r="D227" s="121">
        <f t="shared" si="20"/>
        <v>0.64</v>
      </c>
      <c r="E227" s="121">
        <f t="shared" si="20"/>
        <v>0.64</v>
      </c>
      <c r="F227" s="121">
        <f t="shared" si="20"/>
        <v>0.64</v>
      </c>
      <c r="G227" s="121">
        <f t="shared" si="20"/>
        <v>0.64</v>
      </c>
      <c r="H227" s="121">
        <f t="shared" si="20"/>
        <v>0.64</v>
      </c>
      <c r="I227" s="121">
        <f t="shared" si="20"/>
        <v>0.64</v>
      </c>
      <c r="J227" s="121">
        <f t="shared" si="20"/>
        <v>0.64</v>
      </c>
      <c r="K227" s="121">
        <f t="shared" si="20"/>
        <v>0.64</v>
      </c>
      <c r="L227" s="121">
        <f t="shared" si="20"/>
        <v>0.64</v>
      </c>
      <c r="M227" s="121">
        <f t="shared" si="20"/>
        <v>0.64</v>
      </c>
      <c r="N227" s="121">
        <f t="shared" si="20"/>
        <v>0.64</v>
      </c>
      <c r="O227" s="121">
        <f t="shared" si="20"/>
        <v>0.64</v>
      </c>
      <c r="P227" s="121">
        <f t="shared" si="20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2">SUM(B222:B227)</f>
        <v>0</v>
      </c>
      <c r="C228" s="125">
        <f t="shared" si="22"/>
        <v>3.54</v>
      </c>
      <c r="D228" s="125">
        <f t="shared" si="22"/>
        <v>3.54</v>
      </c>
      <c r="E228" s="125">
        <f t="shared" si="22"/>
        <v>3.54</v>
      </c>
      <c r="F228" s="125">
        <f t="shared" si="22"/>
        <v>3.54</v>
      </c>
      <c r="G228" s="125">
        <f t="shared" si="22"/>
        <v>3.54</v>
      </c>
      <c r="H228" s="125">
        <f t="shared" si="22"/>
        <v>3.54</v>
      </c>
      <c r="I228" s="125">
        <f t="shared" ca="1" si="22"/>
        <v>3.54</v>
      </c>
      <c r="J228" s="125">
        <f t="shared" ca="1" si="22"/>
        <v>3.54</v>
      </c>
      <c r="K228" s="125">
        <f t="shared" ca="1" si="22"/>
        <v>3.54</v>
      </c>
      <c r="L228" s="125">
        <f t="shared" ca="1" si="22"/>
        <v>3.54</v>
      </c>
      <c r="M228" s="125">
        <f t="shared" ca="1" si="22"/>
        <v>3.54</v>
      </c>
      <c r="N228" s="125">
        <f t="shared" ca="1" si="22"/>
        <v>3.54</v>
      </c>
      <c r="O228" s="125">
        <f t="shared" ca="1" si="22"/>
        <v>3.54</v>
      </c>
      <c r="P228" s="125">
        <f t="shared" ca="1" si="22"/>
        <v>3.54</v>
      </c>
      <c r="Q228" s="125">
        <f t="shared" si="22"/>
        <v>0</v>
      </c>
      <c r="R228" s="125">
        <f t="shared" si="22"/>
        <v>0</v>
      </c>
      <c r="S228" s="125">
        <f t="shared" si="22"/>
        <v>0</v>
      </c>
      <c r="T228" s="125">
        <f t="shared" si="22"/>
        <v>0</v>
      </c>
      <c r="U228" s="125">
        <f t="shared" si="22"/>
        <v>0</v>
      </c>
      <c r="V228" s="125">
        <f t="shared" si="22"/>
        <v>0</v>
      </c>
      <c r="W228" s="125">
        <f t="shared" si="22"/>
        <v>0</v>
      </c>
      <c r="X228" s="125">
        <f t="shared" si="22"/>
        <v>0</v>
      </c>
      <c r="Y228" s="125">
        <f t="shared" si="22"/>
        <v>0</v>
      </c>
      <c r="Z228" s="125">
        <f t="shared" si="22"/>
        <v>0</v>
      </c>
      <c r="AA228" s="125">
        <f t="shared" si="22"/>
        <v>0</v>
      </c>
      <c r="AB228" s="125">
        <f t="shared" si="22"/>
        <v>0</v>
      </c>
      <c r="AC228" s="125">
        <f t="shared" si="22"/>
        <v>0</v>
      </c>
      <c r="AD228" s="125">
        <f t="shared" si="22"/>
        <v>0</v>
      </c>
      <c r="AE228" s="125">
        <f t="shared" si="22"/>
        <v>0</v>
      </c>
      <c r="AF228" s="125">
        <f t="shared" si="22"/>
        <v>0</v>
      </c>
      <c r="AG228" s="134">
        <f t="shared" si="22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1594.24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12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2079/09/12)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2079/09/12)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3">B85</f>
        <v>1000.8399999999999</v>
      </c>
      <c r="U242" s="159">
        <f t="shared" si="23"/>
        <v>966.83999999999992</v>
      </c>
      <c r="V242" s="159">
        <f t="shared" si="23"/>
        <v>950.83999999999992</v>
      </c>
      <c r="W242" s="159">
        <f t="shared" si="23"/>
        <v>986.53899999999999</v>
      </c>
      <c r="X242" s="159">
        <f t="shared" si="23"/>
        <v>968.65000000000009</v>
      </c>
      <c r="Y242" s="159">
        <f t="shared" si="23"/>
        <v>1035.94</v>
      </c>
      <c r="Z242" s="159">
        <f t="shared" si="23"/>
        <v>1108.0399</v>
      </c>
      <c r="AA242" s="159">
        <f t="shared" si="23"/>
        <v>1196.8399000000002</v>
      </c>
      <c r="AB242" s="159">
        <f t="shared" si="23"/>
        <v>1377.4399000000001</v>
      </c>
      <c r="AC242" s="159">
        <f t="shared" si="23"/>
        <v>1470.6399000000001</v>
      </c>
      <c r="AD242" s="159">
        <f t="shared" si="23"/>
        <v>1569.4399000000001</v>
      </c>
      <c r="AE242" s="159">
        <f t="shared" si="23"/>
        <v>1594.24</v>
      </c>
      <c r="AF242" s="159">
        <f t="shared" si="23"/>
        <v>1490.44</v>
      </c>
      <c r="AG242" s="159">
        <f t="shared" si="23"/>
        <v>1410.44</v>
      </c>
      <c r="AH242" s="159">
        <f t="shared" si="23"/>
        <v>1408.34</v>
      </c>
      <c r="AI242" s="159">
        <f t="shared" si="23"/>
        <v>1267.3399999999999</v>
      </c>
      <c r="AJ242" s="159">
        <f t="shared" si="23"/>
        <v>1236.44</v>
      </c>
      <c r="AK242" s="159">
        <f t="shared" si="23"/>
        <v>1282.24</v>
      </c>
      <c r="AL242" s="159">
        <f t="shared" si="23"/>
        <v>1315.6399999999999</v>
      </c>
      <c r="AM242" s="159">
        <f t="shared" si="23"/>
        <v>1340.44</v>
      </c>
      <c r="AN242" s="159">
        <f t="shared" si="23"/>
        <v>1409.24</v>
      </c>
      <c r="AO242" s="159">
        <f t="shared" si="23"/>
        <v>1480.64</v>
      </c>
      <c r="AP242" s="159">
        <f t="shared" si="23"/>
        <v>1637.74</v>
      </c>
      <c r="AQ242" s="159">
        <f t="shared" si="23"/>
        <v>1621.3400000000001</v>
      </c>
      <c r="AR242" s="159">
        <f t="shared" si="23"/>
        <v>1581.44</v>
      </c>
      <c r="AS242" s="159">
        <f t="shared" si="23"/>
        <v>1471.8400000000001</v>
      </c>
      <c r="AT242" s="159">
        <f t="shared" si="23"/>
        <v>1360.64</v>
      </c>
      <c r="AU242" s="159">
        <f t="shared" si="23"/>
        <v>1337.3400000000001</v>
      </c>
      <c r="AV242" s="159">
        <f t="shared" si="23"/>
        <v>1312.3400000000001</v>
      </c>
      <c r="AW242" s="159">
        <f t="shared" si="23"/>
        <v>1132.8400000000001</v>
      </c>
      <c r="AX242" s="159">
        <f t="shared" si="23"/>
        <v>1051.3400000000001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4">C227</f>
        <v>0.64</v>
      </c>
      <c r="C263" s="162">
        <f t="shared" si="24"/>
        <v>0.64</v>
      </c>
      <c r="D263" s="162">
        <f t="shared" si="24"/>
        <v>0.64</v>
      </c>
      <c r="E263" s="162">
        <f t="shared" si="24"/>
        <v>0.64</v>
      </c>
      <c r="F263" s="162">
        <f t="shared" si="24"/>
        <v>0.64</v>
      </c>
      <c r="G263" s="162">
        <f t="shared" si="24"/>
        <v>0.64</v>
      </c>
      <c r="H263" s="162">
        <f t="shared" si="24"/>
        <v>0.64</v>
      </c>
      <c r="I263" s="162">
        <f t="shared" si="24"/>
        <v>0.64</v>
      </c>
      <c r="J263" s="162">
        <f t="shared" si="24"/>
        <v>0.64</v>
      </c>
      <c r="K263" s="162">
        <f t="shared" si="24"/>
        <v>0.64</v>
      </c>
      <c r="L263" s="162">
        <f t="shared" si="24"/>
        <v>0.64</v>
      </c>
      <c r="M263" s="162">
        <f t="shared" si="24"/>
        <v>0.64</v>
      </c>
      <c r="N263" s="162">
        <f t="shared" si="24"/>
        <v>0.64</v>
      </c>
      <c r="O263" s="162">
        <f t="shared" si="24"/>
        <v>0.64</v>
      </c>
      <c r="P263" s="162">
        <f t="shared" si="24"/>
        <v>0</v>
      </c>
      <c r="Q263" s="162">
        <f t="shared" si="24"/>
        <v>0</v>
      </c>
      <c r="R263" s="162">
        <f t="shared" si="24"/>
        <v>0</v>
      </c>
      <c r="S263" s="162">
        <f t="shared" si="24"/>
        <v>0</v>
      </c>
      <c r="T263" s="162">
        <f t="shared" si="24"/>
        <v>0</v>
      </c>
      <c r="U263" s="162">
        <f t="shared" si="24"/>
        <v>0</v>
      </c>
      <c r="V263" s="162">
        <f t="shared" si="24"/>
        <v>0</v>
      </c>
      <c r="W263" s="162">
        <f t="shared" si="24"/>
        <v>0</v>
      </c>
      <c r="X263" s="162">
        <f t="shared" si="24"/>
        <v>0</v>
      </c>
      <c r="Y263" s="162">
        <f t="shared" si="24"/>
        <v>0</v>
      </c>
      <c r="Z263" s="162">
        <f t="shared" si="24"/>
        <v>0</v>
      </c>
      <c r="AA263" s="162">
        <f t="shared" si="24"/>
        <v>0</v>
      </c>
      <c r="AB263" s="162">
        <f t="shared" si="24"/>
        <v>0</v>
      </c>
      <c r="AC263" s="162">
        <f t="shared" si="24"/>
        <v>0</v>
      </c>
      <c r="AD263" s="162">
        <f t="shared" si="24"/>
        <v>0</v>
      </c>
      <c r="AE263" s="162">
        <f t="shared" si="24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5">IF(B231&lt;100,"",B231-520)</f>
        <v/>
      </c>
      <c r="C264" s="163" t="str">
        <f t="shared" si="25"/>
        <v/>
      </c>
      <c r="D264" s="163" t="str">
        <f t="shared" si="25"/>
        <v/>
      </c>
      <c r="E264" s="163" t="str">
        <f t="shared" si="25"/>
        <v/>
      </c>
      <c r="F264" s="163" t="str">
        <f t="shared" si="25"/>
        <v/>
      </c>
      <c r="G264" s="163" t="str">
        <f t="shared" si="25"/>
        <v/>
      </c>
      <c r="H264" s="163" t="str">
        <f t="shared" si="25"/>
        <v/>
      </c>
      <c r="I264" s="163" t="str">
        <f t="shared" si="25"/>
        <v/>
      </c>
      <c r="J264" s="163" t="str">
        <f t="shared" si="25"/>
        <v/>
      </c>
      <c r="K264" s="163" t="str">
        <f t="shared" si="25"/>
        <v/>
      </c>
      <c r="L264" s="163" t="str">
        <f t="shared" si="25"/>
        <v/>
      </c>
      <c r="M264" s="163" t="str">
        <f t="shared" si="25"/>
        <v/>
      </c>
      <c r="N264" s="163" t="str">
        <f t="shared" si="25"/>
        <v/>
      </c>
      <c r="O264" s="163" t="str">
        <f t="shared" si="25"/>
        <v/>
      </c>
      <c r="P264" s="163" t="str">
        <f t="shared" si="25"/>
        <v/>
      </c>
      <c r="Q264" s="163" t="str">
        <f t="shared" si="25"/>
        <v/>
      </c>
      <c r="R264" s="163" t="str">
        <f t="shared" si="25"/>
        <v/>
      </c>
      <c r="S264" s="163" t="str">
        <f t="shared" si="25"/>
        <v/>
      </c>
      <c r="T264" s="163" t="str">
        <f t="shared" si="25"/>
        <v/>
      </c>
      <c r="U264" s="163" t="str">
        <f t="shared" si="25"/>
        <v/>
      </c>
      <c r="V264" s="163" t="str">
        <f t="shared" si="25"/>
        <v/>
      </c>
      <c r="W264" s="163" t="str">
        <f t="shared" si="25"/>
        <v/>
      </c>
      <c r="X264" s="163" t="str">
        <f t="shared" si="25"/>
        <v/>
      </c>
      <c r="Y264" s="163" t="str">
        <f t="shared" si="25"/>
        <v/>
      </c>
      <c r="Z264" s="163" t="str">
        <f t="shared" si="25"/>
        <v/>
      </c>
      <c r="AA264" s="163" t="str">
        <f t="shared" si="25"/>
        <v/>
      </c>
      <c r="AB264" s="163" t="str">
        <f t="shared" si="25"/>
        <v/>
      </c>
      <c r="AC264" s="163" t="str">
        <f t="shared" si="25"/>
        <v/>
      </c>
      <c r="AD264" s="163" t="str">
        <f t="shared" si="25"/>
        <v/>
      </c>
      <c r="AE264" s="163" t="str">
        <f t="shared" si="25"/>
        <v/>
      </c>
      <c r="AF264" s="163" t="str">
        <f t="shared" si="25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6">IF(B232&lt;100,"",B232-620)</f>
        <v/>
      </c>
      <c r="C265" s="163" t="str">
        <f t="shared" si="26"/>
        <v/>
      </c>
      <c r="D265" s="163" t="str">
        <f t="shared" si="26"/>
        <v/>
      </c>
      <c r="E265" s="163" t="str">
        <f t="shared" si="26"/>
        <v/>
      </c>
      <c r="F265" s="163" t="str">
        <f t="shared" si="26"/>
        <v/>
      </c>
      <c r="G265" s="163" t="str">
        <f t="shared" si="26"/>
        <v/>
      </c>
      <c r="H265" s="163" t="str">
        <f t="shared" si="26"/>
        <v/>
      </c>
      <c r="I265" s="163" t="str">
        <f t="shared" si="26"/>
        <v/>
      </c>
      <c r="J265" s="163" t="str">
        <f t="shared" si="26"/>
        <v/>
      </c>
      <c r="K265" s="163" t="str">
        <f t="shared" si="26"/>
        <v/>
      </c>
      <c r="L265" s="163" t="str">
        <f t="shared" si="26"/>
        <v/>
      </c>
      <c r="M265" s="163" t="str">
        <f t="shared" si="26"/>
        <v/>
      </c>
      <c r="N265" s="163" t="str">
        <f t="shared" si="26"/>
        <v/>
      </c>
      <c r="O265" s="163" t="str">
        <f t="shared" si="26"/>
        <v/>
      </c>
      <c r="P265" s="163" t="str">
        <f t="shared" si="26"/>
        <v/>
      </c>
      <c r="Q265" s="163" t="str">
        <f t="shared" si="26"/>
        <v/>
      </c>
      <c r="R265" s="163" t="str">
        <f t="shared" si="26"/>
        <v/>
      </c>
      <c r="S265" s="163" t="str">
        <f t="shared" si="26"/>
        <v/>
      </c>
      <c r="T265" s="163" t="str">
        <f t="shared" si="26"/>
        <v/>
      </c>
      <c r="U265" s="163" t="str">
        <f t="shared" si="26"/>
        <v/>
      </c>
      <c r="V265" s="163" t="str">
        <f t="shared" si="26"/>
        <v/>
      </c>
      <c r="W265" s="163" t="str">
        <f t="shared" si="26"/>
        <v/>
      </c>
      <c r="X265" s="163" t="str">
        <f t="shared" si="26"/>
        <v/>
      </c>
      <c r="Y265" s="163" t="str">
        <f t="shared" si="26"/>
        <v/>
      </c>
      <c r="Z265" s="163" t="str">
        <f t="shared" si="26"/>
        <v/>
      </c>
      <c r="AA265" s="163" t="str">
        <f t="shared" si="26"/>
        <v/>
      </c>
      <c r="AB265" s="163" t="str">
        <f t="shared" si="26"/>
        <v/>
      </c>
      <c r="AC265" s="163" t="str">
        <f t="shared" si="26"/>
        <v/>
      </c>
      <c r="AD265" s="163" t="str">
        <f t="shared" si="26"/>
        <v/>
      </c>
      <c r="AE265" s="163" t="str">
        <f t="shared" si="26"/>
        <v/>
      </c>
      <c r="AF265" s="163" t="str">
        <f t="shared" si="26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27">IF(B233&lt;100,"",B233-330)</f>
        <v/>
      </c>
      <c r="C266" s="163" t="str">
        <f t="shared" si="27"/>
        <v/>
      </c>
      <c r="D266" s="163" t="str">
        <f t="shared" si="27"/>
        <v/>
      </c>
      <c r="E266" s="163" t="str">
        <f t="shared" si="27"/>
        <v/>
      </c>
      <c r="F266" s="163" t="str">
        <f t="shared" si="27"/>
        <v/>
      </c>
      <c r="G266" s="163" t="str">
        <f t="shared" si="27"/>
        <v/>
      </c>
      <c r="H266" s="163" t="str">
        <f t="shared" si="27"/>
        <v/>
      </c>
      <c r="I266" s="163" t="str">
        <f t="shared" si="27"/>
        <v/>
      </c>
      <c r="J266" s="163" t="str">
        <f t="shared" si="27"/>
        <v/>
      </c>
      <c r="K266" s="163" t="str">
        <f t="shared" si="27"/>
        <v/>
      </c>
      <c r="L266" s="163" t="str">
        <f t="shared" si="27"/>
        <v/>
      </c>
      <c r="M266" s="163" t="str">
        <f t="shared" si="27"/>
        <v/>
      </c>
      <c r="N266" s="163" t="str">
        <f t="shared" si="27"/>
        <v/>
      </c>
      <c r="O266" s="163" t="str">
        <f t="shared" si="27"/>
        <v/>
      </c>
      <c r="P266" s="163" t="str">
        <f t="shared" si="27"/>
        <v/>
      </c>
      <c r="Q266" s="163" t="str">
        <f t="shared" si="27"/>
        <v/>
      </c>
      <c r="R266" s="163" t="str">
        <f t="shared" si="27"/>
        <v/>
      </c>
      <c r="S266" s="163" t="str">
        <f t="shared" si="27"/>
        <v/>
      </c>
      <c r="T266" s="163" t="str">
        <f t="shared" si="27"/>
        <v/>
      </c>
      <c r="U266" s="163" t="str">
        <f t="shared" si="27"/>
        <v/>
      </c>
      <c r="V266" s="163" t="str">
        <f t="shared" si="27"/>
        <v/>
      </c>
      <c r="W266" s="163" t="str">
        <f t="shared" si="27"/>
        <v/>
      </c>
      <c r="X266" s="163" t="str">
        <f t="shared" si="27"/>
        <v/>
      </c>
      <c r="Y266" s="163" t="str">
        <f t="shared" si="27"/>
        <v/>
      </c>
      <c r="Z266" s="163" t="str">
        <f t="shared" si="27"/>
        <v/>
      </c>
      <c r="AA266" s="163" t="str">
        <f t="shared" si="27"/>
        <v/>
      </c>
      <c r="AB266" s="163" t="str">
        <f t="shared" si="27"/>
        <v/>
      </c>
      <c r="AC266" s="163" t="str">
        <f t="shared" si="27"/>
        <v/>
      </c>
      <c r="AD266" s="163" t="str">
        <f t="shared" si="27"/>
        <v/>
      </c>
      <c r="AE266" s="163" t="str">
        <f t="shared" si="27"/>
        <v/>
      </c>
      <c r="AF266" s="163" t="str">
        <f t="shared" si="27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28">IF(B234&lt;100,"",B234-1500)</f>
        <v/>
      </c>
      <c r="C267" s="163" t="str">
        <f t="shared" si="28"/>
        <v/>
      </c>
      <c r="D267" s="163" t="str">
        <f t="shared" si="28"/>
        <v/>
      </c>
      <c r="E267" s="163" t="str">
        <f t="shared" si="28"/>
        <v/>
      </c>
      <c r="F267" s="163" t="str">
        <f t="shared" si="28"/>
        <v/>
      </c>
      <c r="G267" s="163" t="str">
        <f t="shared" si="28"/>
        <v/>
      </c>
      <c r="H267" s="163" t="str">
        <f t="shared" si="28"/>
        <v/>
      </c>
      <c r="I267" s="163" t="str">
        <f t="shared" si="28"/>
        <v/>
      </c>
      <c r="J267" s="163" t="str">
        <f t="shared" si="28"/>
        <v/>
      </c>
      <c r="K267" s="163" t="str">
        <f t="shared" si="28"/>
        <v/>
      </c>
      <c r="L267" s="163" t="str">
        <f t="shared" si="28"/>
        <v/>
      </c>
      <c r="M267" s="163" t="str">
        <f t="shared" si="28"/>
        <v/>
      </c>
      <c r="N267" s="163" t="str">
        <f t="shared" si="28"/>
        <v/>
      </c>
      <c r="O267" s="163" t="str">
        <f t="shared" si="28"/>
        <v/>
      </c>
      <c r="P267" s="163" t="str">
        <f t="shared" si="28"/>
        <v/>
      </c>
      <c r="Q267" s="163" t="str">
        <f t="shared" si="28"/>
        <v/>
      </c>
      <c r="R267" s="163" t="str">
        <f t="shared" si="28"/>
        <v/>
      </c>
      <c r="S267" s="163" t="str">
        <f t="shared" si="28"/>
        <v/>
      </c>
      <c r="T267" s="163" t="str">
        <f t="shared" si="28"/>
        <v/>
      </c>
      <c r="U267" s="163" t="str">
        <f t="shared" si="28"/>
        <v/>
      </c>
      <c r="V267" s="163" t="str">
        <f t="shared" si="28"/>
        <v/>
      </c>
      <c r="W267" s="163" t="str">
        <f t="shared" si="28"/>
        <v/>
      </c>
      <c r="X267" s="163" t="str">
        <f t="shared" si="28"/>
        <v/>
      </c>
      <c r="Y267" s="163" t="str">
        <f t="shared" si="28"/>
        <v/>
      </c>
      <c r="Z267" s="163" t="str">
        <f t="shared" si="28"/>
        <v/>
      </c>
      <c r="AA267" s="163" t="str">
        <f t="shared" si="28"/>
        <v/>
      </c>
      <c r="AB267" s="163" t="str">
        <f t="shared" si="28"/>
        <v/>
      </c>
      <c r="AC267" s="163" t="str">
        <f t="shared" si="28"/>
        <v/>
      </c>
      <c r="AD267" s="163" t="str">
        <f t="shared" si="28"/>
        <v/>
      </c>
      <c r="AE267" s="163" t="str">
        <f t="shared" si="28"/>
        <v/>
      </c>
      <c r="AF267" s="163" t="str">
        <f t="shared" si="28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544" priority="120">
      <formula>$AH11=0</formula>
    </cfRule>
  </conditionalFormatting>
  <conditionalFormatting sqref="B8 M8 S8 AB8">
    <cfRule type="expression" dxfId="543" priority="241">
      <formula>AND(C$9&gt;=14/24,C$9&lt;20/24)</formula>
    </cfRule>
    <cfRule type="expression" dxfId="542" priority="242">
      <formula>AND(C$9&gt;=8/24,C$9&lt;14/24)</formula>
    </cfRule>
    <cfRule type="expression" dxfId="541" priority="243">
      <formula>C$9&lt;8/24</formula>
    </cfRule>
  </conditionalFormatting>
  <conditionalFormatting sqref="B67:D77 E70:W72 X71:AF72">
    <cfRule type="expression" dxfId="536" priority="89">
      <formula>B$9&lt;8/24</formula>
    </cfRule>
  </conditionalFormatting>
  <conditionalFormatting sqref="B68:D77 E70:W72 X71:AF72">
    <cfRule type="expression" dxfId="535" priority="88">
      <formula>AND(B$9&gt;=8/24,B$9&lt;14/24)</formula>
    </cfRule>
    <cfRule type="expression" dxfId="534" priority="87">
      <formula>AND(B$9&gt;=14/24,B$9&lt;20/24)</formula>
    </cfRule>
    <cfRule type="expression" dxfId="533" priority="86">
      <formula>B$9&gt;=20/24</formula>
    </cfRule>
  </conditionalFormatting>
  <conditionalFormatting sqref="B49:L51">
    <cfRule type="expression" dxfId="532" priority="90">
      <formula>B49&gt;$AG49</formula>
    </cfRule>
    <cfRule type="expression" dxfId="531" priority="93">
      <formula>AND(B$9&gt;=8/24,B$9&lt;14/24)</formula>
    </cfRule>
    <cfRule type="expression" dxfId="530" priority="94">
      <formula>B$9&lt;8/24</formula>
    </cfRule>
    <cfRule type="expression" dxfId="529" priority="92">
      <formula>AND(B$9&gt;=14/24,B$9&lt;20/24)</formula>
    </cfRule>
    <cfRule type="expression" dxfId="528" priority="91">
      <formula>B$9&gt;=20/24</formula>
    </cfRule>
  </conditionalFormatting>
  <conditionalFormatting sqref="B52:M54">
    <cfRule type="expression" dxfId="527" priority="80">
      <formula>B52&gt;$AG52</formula>
    </cfRule>
  </conditionalFormatting>
  <conditionalFormatting sqref="B54:M54">
    <cfRule type="expression" dxfId="526" priority="84">
      <formula>B$9&lt;8/24</formula>
    </cfRule>
    <cfRule type="expression" dxfId="525" priority="83">
      <formula>AND(B$9&gt;=8/24,B$9&lt;14/24)</formula>
    </cfRule>
    <cfRule type="expression" dxfId="524" priority="82">
      <formula>AND(B$9&gt;=14/24,B$9&lt;20/24)</formula>
    </cfRule>
    <cfRule type="expression" dxfId="523" priority="81">
      <formula>B$9&gt;=20/24</formula>
    </cfRule>
  </conditionalFormatting>
  <conditionalFormatting sqref="B11:W11">
    <cfRule type="expression" dxfId="522" priority="22">
      <formula>B$9&gt;=20/24</formula>
    </cfRule>
    <cfRule type="expression" dxfId="521" priority="23">
      <formula>AND(B$9&gt;=14/24,B$9&lt;20/24)</formula>
    </cfRule>
    <cfRule type="expression" dxfId="520" priority="24">
      <formula>AND(B$9&gt;=8/24,B$9&lt;14/24)</formula>
    </cfRule>
    <cfRule type="expression" dxfId="519" priority="25">
      <formula>B$9&lt;8/24</formula>
    </cfRule>
  </conditionalFormatting>
  <conditionalFormatting sqref="B12:W14">
    <cfRule type="expression" dxfId="518" priority="18">
      <formula>AND(B$9&gt;=14/24,B$9&lt;20/24)</formula>
    </cfRule>
    <cfRule type="expression" dxfId="517" priority="17">
      <formula>B$9&gt;=20/24</formula>
    </cfRule>
    <cfRule type="expression" dxfId="516" priority="19">
      <formula>AND(B$9&gt;=8/24,B$9&lt;14/24)</formula>
    </cfRule>
    <cfRule type="expression" dxfId="515" priority="20">
      <formula>B$9&lt;8/24</formula>
    </cfRule>
  </conditionalFormatting>
  <conditionalFormatting sqref="B15:W40">
    <cfRule type="expression" dxfId="514" priority="111">
      <formula>B$9&lt;8/24</formula>
    </cfRule>
    <cfRule type="expression" dxfId="513" priority="110">
      <formula>AND(B$9&gt;=8/24,B$9&lt;14/24)</formula>
    </cfRule>
    <cfRule type="expression" dxfId="512" priority="109">
      <formula>AND(B$9&gt;=14/24,B$9&lt;20/24)</formula>
    </cfRule>
    <cfRule type="expression" dxfId="511" priority="108">
      <formula>B$9&gt;=20/24</formula>
    </cfRule>
  </conditionalFormatting>
  <conditionalFormatting sqref="B41:W41">
    <cfRule type="expression" dxfId="510" priority="13">
      <formula>B$9&gt;=20/24</formula>
    </cfRule>
    <cfRule type="expression" dxfId="509" priority="14">
      <formula>AND(B$9&gt;=14/24,B$9&lt;20/24)</formula>
    </cfRule>
    <cfRule type="expression" dxfId="508" priority="15">
      <formula>AND(B$9&gt;=8/24,B$9&lt;14/24)</formula>
    </cfRule>
    <cfRule type="expression" dxfId="507" priority="16">
      <formula>B$9&lt;8/24</formula>
    </cfRule>
  </conditionalFormatting>
  <conditionalFormatting sqref="B42:W42">
    <cfRule type="expression" dxfId="506" priority="75">
      <formula>B$9&lt;8/24</formula>
    </cfRule>
    <cfRule type="expression" dxfId="505" priority="72">
      <formula>B$9&gt;=20/24</formula>
    </cfRule>
    <cfRule type="expression" dxfId="504" priority="73">
      <formula>AND(B$9&gt;=14/24,B$9&lt;20/24)</formula>
    </cfRule>
    <cfRule type="expression" dxfId="503" priority="74">
      <formula>AND(B$9&gt;=8/24,B$9&lt;14/24)</formula>
    </cfRule>
  </conditionalFormatting>
  <conditionalFormatting sqref="B9:AF10 B220:AF220 D222:AF223 B222:B228 D224:H224 J224:AF224 D225:AF228 U241:AF241">
    <cfRule type="expression" dxfId="502" priority="237">
      <formula>B$9&lt;8/24</formula>
    </cfRule>
    <cfRule type="expression" dxfId="501" priority="236">
      <formula>AND(B$9&gt;=8/24,B$9&lt;14/24)</formula>
    </cfRule>
    <cfRule type="expression" dxfId="500" priority="235">
      <formula>AND(B$9&gt;=14/24,B$9&lt;20/24)</formula>
    </cfRule>
    <cfRule type="expression" dxfId="499" priority="234">
      <formula>B$9&gt;=20/24</formula>
    </cfRule>
  </conditionalFormatting>
  <conditionalFormatting sqref="B11:AF48">
    <cfRule type="expression" dxfId="498" priority="21">
      <formula>B11&gt;$AG11</formula>
    </cfRule>
  </conditionalFormatting>
  <conditionalFormatting sqref="B43:AF43">
    <cfRule type="expression" dxfId="497" priority="104">
      <formula>B$9&gt;=20/24</formula>
    </cfRule>
    <cfRule type="expression" dxfId="496" priority="107">
      <formula>B$9&lt;8/24</formula>
    </cfRule>
    <cfRule type="expression" dxfId="495" priority="106">
      <formula>AND(B$9&gt;=8/24,B$9&lt;14/24)</formula>
    </cfRule>
    <cfRule type="expression" dxfId="494" priority="105">
      <formula>AND(B$9&gt;=14/24,B$9&lt;20/24)</formula>
    </cfRule>
  </conditionalFormatting>
  <conditionalFormatting sqref="B45:AF48">
    <cfRule type="expression" dxfId="493" priority="50">
      <formula>AND(B$9&gt;=14/24,B$9&lt;20/24)</formula>
    </cfRule>
    <cfRule type="expression" dxfId="492" priority="52">
      <formula>B$9&lt;8/24</formula>
    </cfRule>
    <cfRule type="expression" dxfId="491" priority="51">
      <formula>AND(B$9&gt;=8/24,B$9&lt;14/24)</formula>
    </cfRule>
    <cfRule type="expression" dxfId="490" priority="49">
      <formula>B$9&gt;=20/24</formula>
    </cfRule>
  </conditionalFormatting>
  <conditionalFormatting sqref="B55:AF60">
    <cfRule type="expression" dxfId="489" priority="31">
      <formula>B$9&lt;8/24</formula>
    </cfRule>
    <cfRule type="expression" dxfId="488" priority="28">
      <formula>B$9&gt;=20/24</formula>
    </cfRule>
    <cfRule type="expression" dxfId="487" priority="29">
      <formula>AND(B$9&gt;=14/24,B$9&lt;20/24)</formula>
    </cfRule>
    <cfRule type="expression" dxfId="486" priority="30">
      <formula>AND(B$9&gt;=8/24,B$9&lt;14/24)</formula>
    </cfRule>
  </conditionalFormatting>
  <conditionalFormatting sqref="B55:AF66">
    <cfRule type="expression" dxfId="485" priority="27">
      <formula>B55&gt;$AG55</formula>
    </cfRule>
  </conditionalFormatting>
  <conditionalFormatting sqref="B63:AF66">
    <cfRule type="expression" dxfId="484" priority="70">
      <formula>B$9&lt;8/24</formula>
    </cfRule>
  </conditionalFormatting>
  <conditionalFormatting sqref="B63:AF67">
    <cfRule type="expression" dxfId="483" priority="67">
      <formula>B$9&gt;=20/24</formula>
    </cfRule>
    <cfRule type="expression" dxfId="482" priority="68">
      <formula>AND(B$9&gt;=14/24,B$9&lt;20/24)</formula>
    </cfRule>
    <cfRule type="expression" dxfId="481" priority="69">
      <formula>AND(B$9&gt;=8/24,B$9&lt;14/24)</formula>
    </cfRule>
  </conditionalFormatting>
  <conditionalFormatting sqref="B78:AF85">
    <cfRule type="expression" dxfId="480" priority="64">
      <formula>AND(B$9&gt;=8/24,B$9&lt;14/24)</formula>
    </cfRule>
    <cfRule type="expression" dxfId="479" priority="65">
      <formula>B$9&lt;8/24</formula>
    </cfRule>
    <cfRule type="expression" dxfId="478" priority="62">
      <formula>B$9&gt;=20/24</formula>
    </cfRule>
    <cfRule type="expression" dxfId="477" priority="63">
      <formula>AND(B$9&gt;=14/24,B$9&lt;20/24)</formula>
    </cfRule>
  </conditionalFormatting>
  <conditionalFormatting sqref="B87:AF103">
    <cfRule type="expression" dxfId="472" priority="44">
      <formula>B$9&gt;=20/24</formula>
    </cfRule>
    <cfRule type="expression" dxfId="471" priority="45">
      <formula>AND(B$9&gt;=14/24,B$9&lt;20/24)</formula>
    </cfRule>
    <cfRule type="expression" dxfId="470" priority="47">
      <formula>B$9&lt;8/24</formula>
    </cfRule>
    <cfRule type="expression" dxfId="469" priority="46">
      <formula>AND(B$9&gt;=8/24,B$9&lt;14/24)</formula>
    </cfRule>
  </conditionalFormatting>
  <conditionalFormatting sqref="B105:AF112">
    <cfRule type="expression" dxfId="468" priority="32">
      <formula>B$9&gt;=20/24</formula>
    </cfRule>
    <cfRule type="expression" dxfId="467" priority="33">
      <formula>AND(B$9&gt;=14/24,B$9&lt;20/24)</formula>
    </cfRule>
    <cfRule type="expression" dxfId="466" priority="34">
      <formula>AND(B$9&gt;=8/24,B$9&lt;14/24)</formula>
    </cfRule>
    <cfRule type="expression" dxfId="465" priority="35">
      <formula>B$9&lt;8/24</formula>
    </cfRule>
  </conditionalFormatting>
  <conditionalFormatting sqref="E68:Z69 AA68:AF70 X70:Z70">
    <cfRule type="expression" dxfId="460" priority="196">
      <formula>AND(E$9&gt;=14/24,E$9&lt;20/24)</formula>
    </cfRule>
    <cfRule type="expression" dxfId="459" priority="197">
      <formula>AND(E$9&gt;=8/24,E$9&lt;14/24)</formula>
    </cfRule>
    <cfRule type="expression" dxfId="458" priority="195">
      <formula>E$9&gt;=20/24</formula>
    </cfRule>
    <cfRule type="expression" dxfId="457" priority="198">
      <formula>E$9&lt;8/24</formula>
    </cfRule>
  </conditionalFormatting>
  <conditionalFormatting sqref="E73:AF77">
    <cfRule type="expression" dxfId="456" priority="10">
      <formula>AND(E$9&gt;=14/24,E$9&lt;20/24)</formula>
    </cfRule>
    <cfRule type="expression" dxfId="455" priority="9">
      <formula>E$9&gt;=20/24</formula>
    </cfRule>
    <cfRule type="expression" dxfId="454" priority="11">
      <formula>AND(E$9&gt;=8/24,E$9&lt;14/24)</formula>
    </cfRule>
    <cfRule type="expression" dxfId="453" priority="12">
      <formula>E$9&lt;8/24</formula>
    </cfRule>
  </conditionalFormatting>
  <conditionalFormatting sqref="M51 X11:AF42">
    <cfRule type="expression" dxfId="452" priority="176">
      <formula>M$9&gt;=20/24</formula>
    </cfRule>
  </conditionalFormatting>
  <conditionalFormatting sqref="M51">
    <cfRule type="expression" dxfId="451" priority="171">
      <formula>M51&gt;$AG51</formula>
    </cfRule>
  </conditionalFormatting>
  <conditionalFormatting sqref="M49:O50 N51:O54">
    <cfRule type="expression" dxfId="450" priority="199">
      <formula>M49&gt;$AG49</formula>
    </cfRule>
  </conditionalFormatting>
  <conditionalFormatting sqref="M50:O50 N51:O54 P50:Q54">
    <cfRule type="expression" dxfId="449" priority="204">
      <formula>M$9&gt;=20/24</formula>
    </cfRule>
  </conditionalFormatting>
  <conditionalFormatting sqref="M50:O50 P50:Q54 N51:O54 E67:AF67">
    <cfRule type="expression" dxfId="448" priority="207">
      <formula>E$9&lt;8/24</formula>
    </cfRule>
  </conditionalFormatting>
  <conditionalFormatting sqref="M50:O50 P50:Q54 N51:O54">
    <cfRule type="expression" dxfId="447" priority="205">
      <formula>AND(M$9&gt;=14/24,M$9&lt;20/24)</formula>
    </cfRule>
    <cfRule type="expression" dxfId="446" priority="206">
      <formula>AND(M$9&gt;=8/24,M$9&lt;14/24)</formula>
    </cfRule>
  </conditionalFormatting>
  <conditionalFormatting sqref="M49:Q49">
    <cfRule type="expression" dxfId="445" priority="200">
      <formula>M$9&gt;=20/24</formula>
    </cfRule>
    <cfRule type="expression" dxfId="444" priority="201">
      <formula>AND(M$9&gt;=14/24,M$9&lt;20/24)</formula>
    </cfRule>
    <cfRule type="expression" dxfId="443" priority="202">
      <formula>AND(M$9&gt;=8/24,M$9&lt;14/24)</formula>
    </cfRule>
    <cfRule type="expression" dxfId="442" priority="203">
      <formula>M$9&lt;8/24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P49:AF54">
    <cfRule type="expression" dxfId="441" priority="161">
      <formula>P49&gt;$AG49</formula>
    </cfRule>
  </conditionalFormatting>
  <conditionalFormatting sqref="R49:AF54">
    <cfRule type="expression" dxfId="440" priority="165">
      <formula>R$9&lt;8/24</formula>
    </cfRule>
    <cfRule type="expression" dxfId="439" priority="164">
      <formula>AND(R$9&gt;=8/24,R$9&lt;14/24)</formula>
    </cfRule>
    <cfRule type="expression" dxfId="438" priority="162">
      <formula>R$9&gt;=20/24</formula>
    </cfRule>
    <cfRule type="expression" dxfId="437" priority="163">
      <formula>AND(R$9&gt;=14/24,R$9&lt;20/24)</formula>
    </cfRule>
  </conditionalFormatting>
  <conditionalFormatting sqref="S8 AB8 B8 M8">
    <cfRule type="expression" dxfId="436" priority="240">
      <formula>C$9&gt;=20/24</formula>
    </cfRule>
  </conditionalFormatting>
  <conditionalFormatting sqref="S8">
    <cfRule type="expression" dxfId="435" priority="213">
      <formula>U$9&gt;=20/24</formula>
    </cfRule>
    <cfRule type="expression" dxfId="434" priority="214">
      <formula>AND(U$9&gt;=14/24,U$9&lt;20/24)</formula>
    </cfRule>
    <cfRule type="expression" dxfId="433" priority="215">
      <formula>AND(U$9&gt;=8/24,U$9&lt;14/24)</formula>
    </cfRule>
    <cfRule type="expression" dxfId="432" priority="216">
      <formula>U$9&lt;8/24</formula>
    </cfRule>
  </conditionalFormatting>
  <conditionalFormatting sqref="T241">
    <cfRule type="expression" dxfId="431" priority="256">
      <formula>AX$9&lt;8/24</formula>
    </cfRule>
    <cfRule type="expression" dxfId="430" priority="253">
      <formula>AX$9&gt;=20/24</formula>
    </cfRule>
    <cfRule type="expression" dxfId="429" priority="254">
      <formula>AND(AX$9&gt;=14/24,AX$9&lt;20/24)</formula>
    </cfRule>
    <cfRule type="expression" dxfId="428" priority="255">
      <formula>AND(AX$9&gt;=8/24,AX$9&lt;14/24)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X11:AF42 M51">
    <cfRule type="expression" dxfId="427" priority="178">
      <formula>AND(M$9&gt;=8/24,M$9&lt;14/24)</formula>
    </cfRule>
    <cfRule type="expression" dxfId="426" priority="177">
      <formula>AND(M$9&gt;=14/24,M$9&lt;20/24)</formula>
    </cfRule>
    <cfRule type="expression" dxfId="425" priority="179">
      <formula>M$9&lt;8/24</formula>
    </cfRule>
  </conditionalFormatting>
  <conditionalFormatting sqref="AB8">
    <cfRule type="expression" dxfId="424" priority="211">
      <formula>AND(AD$9&gt;=8/24,AD$9&lt;14/24)</formula>
    </cfRule>
    <cfRule type="expression" dxfId="423" priority="209">
      <formula>AD$9&gt;=20/24</formula>
    </cfRule>
    <cfRule type="expression" dxfId="422" priority="212">
      <formula>AD$9&lt;8/24</formula>
    </cfRule>
    <cfRule type="expression" dxfId="421" priority="210">
      <formula>AND(AD$9&gt;=14/24,AD$9&lt;20/24)</formula>
    </cfRule>
  </conditionalFormatting>
  <conditionalFormatting sqref="AG44 AG61:AG62 AG66">
    <cfRule type="expression" dxfId="420" priority="166">
      <formula>AG44&gt;$AG44</formula>
    </cfRule>
  </conditionalFormatting>
  <conditionalFormatting sqref="AG48">
    <cfRule type="expression" dxfId="419" priority="147">
      <formula>AG$9&gt;=20/24</formula>
    </cfRule>
    <cfRule type="expression" dxfId="418" priority="146">
      <formula>AG48&gt;$AG48</formula>
    </cfRule>
    <cfRule type="expression" dxfId="417" priority="150">
      <formula>AG$9&lt;8/24</formula>
    </cfRule>
    <cfRule type="expression" dxfId="416" priority="148">
      <formula>AND(AG$9&gt;=14/24,AG$9&lt;20/24)</formula>
    </cfRule>
    <cfRule type="expression" dxfId="415" priority="149">
      <formula>AND(AG$9&gt;=8/24,AG$9&lt;14/24)</formula>
    </cfRule>
  </conditionalFormatting>
  <conditionalFormatting sqref="AG66 AG83">
    <cfRule type="expression" dxfId="414" priority="170">
      <formula>AG$9&lt;8/24</formula>
    </cfRule>
    <cfRule type="expression" dxfId="413" priority="169">
      <formula>AND(AG$9&gt;=8/24,AG$9&lt;14/24)</formula>
    </cfRule>
    <cfRule type="expression" dxfId="412" priority="168">
      <formula>AND(AG$9&gt;=14/24,AG$9&lt;20/24)</formula>
    </cfRule>
    <cfRule type="expression" dxfId="411" priority="167">
      <formula>AG$9&gt;=20/24</formula>
    </cfRule>
  </conditionalFormatting>
  <conditionalFormatting sqref="AG241">
    <cfRule type="expression" dxfId="410" priority="245">
      <formula>B$9&gt;=20/24</formula>
    </cfRule>
    <cfRule type="expression" dxfId="409" priority="246">
      <formula>AND(B$9&gt;=14/24,B$9&lt;20/24)</formula>
    </cfRule>
    <cfRule type="expression" dxfId="408" priority="247">
      <formula>AND(B$9&gt;=8/24,B$9&lt;14/24)</formula>
    </cfRule>
    <cfRule type="expression" dxfId="407" priority="248">
      <formula>B$9&lt;8/24</formula>
    </cfRule>
  </conditionalFormatting>
  <conditionalFormatting sqref="AH241:AX241">
    <cfRule type="expression" dxfId="406" priority="249">
      <formula>AG$9&gt;=20/24</formula>
    </cfRule>
    <cfRule type="expression" dxfId="405" priority="250">
      <formula>AND(AG$9&gt;=14/24,AG$9&lt;20/24)</formula>
    </cfRule>
    <cfRule type="expression" dxfId="404" priority="251">
      <formula>AND(AG$9&gt;=8/24,AG$9&lt;14/24)</formula>
    </cfRule>
    <cfRule type="expression" dxfId="403" priority="252">
      <formula>AG$9&lt;8/24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402" priority="261">
      <formula>AJ$9&lt;8/24</formula>
    </cfRule>
    <cfRule type="expression" dxfId="401" priority="258">
      <formula>AJ$9&gt;=20/24</formula>
    </cfRule>
    <cfRule type="expression" dxfId="400" priority="259">
      <formula>AND(AJ$9&gt;=14/24,AJ$9&lt;20/24)</formula>
    </cfRule>
    <cfRule type="expression" dxfId="399" priority="260">
      <formula>AND(AJ$9&gt;=8/24,AJ$9&lt;14/24)</formula>
    </cfRule>
  </conditionalFormatting>
  <conditionalFormatting sqref="AL74:AN74 AL80:AN80">
    <cfRule type="expression" dxfId="398" priority="6">
      <formula>AND(AL$9&gt;=14/24,AL$9&lt;20/24)</formula>
    </cfRule>
    <cfRule type="expression" dxfId="397" priority="8">
      <formula>AL$9&lt;8/24</formula>
    </cfRule>
    <cfRule type="expression" dxfId="396" priority="7">
      <formula>AND(AL$9&gt;=8/24,AL$9&lt;14/24)</formula>
    </cfRule>
    <cfRule type="expression" dxfId="395" priority="5">
      <formula>AL$9&gt;=20/24</formula>
    </cfRule>
  </conditionalFormatting>
  <conditionalFormatting sqref="AN75:AN78">
    <cfRule type="expression" dxfId="394" priority="1">
      <formula>AN$9&gt;=20/24</formula>
    </cfRule>
    <cfRule type="expression" dxfId="393" priority="4">
      <formula>AN$9&lt;8/24</formula>
    </cfRule>
    <cfRule type="expression" dxfId="392" priority="3">
      <formula>AND(AN$9&gt;=8/24,AN$9&lt;14/24)</formula>
    </cfRule>
    <cfRule type="expression" dxfId="391" priority="2">
      <formula>AND(AN$9&gt;=14/24,AN$9&lt;20/24)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7" id="{DEFD138D-9717-4C9B-A352-76AA4B8D05D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9" id="{C4277AFE-E892-45B1-92E7-5AEBD31C71A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6" id="{E897E8DE-4F20-4B2A-84DB-128E0D294EB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" id="{853BAF8E-8CC5-4C1D-9EF4-3C972E7C455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0" id="{C4320F0F-AF2C-4834-AF53-94D5D37ADF9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FF572543-D197-46F1-AC34-EABDA1F745B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B541C000-E84B-4AD0-B9DC-CB9A9516A37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63A972D2-1767-4745-BEBB-CF737376307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6" id="{44894885-144A-4D5F-AD90-D644880B56F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CC42E76F-6F03-463F-A948-24FED45D92F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4" id="{802AAC19-1DC2-4319-A7EE-260D3D21B6D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36C74A01-41C3-468F-BB94-19D52C74901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J274"/>
  <sheetViews>
    <sheetView workbookViewId="0">
      <selection activeCell="AF51" sqref="AF5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7.42578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2079/09/13</v>
      </c>
      <c r="C4" s="197"/>
      <c r="D4" s="197"/>
      <c r="E4" s="198" t="str">
        <f ca="1">"2079/"&amp;"09/"&amp;INT(MID(CELL("filename",G6),FIND("]",CELL("filename",G6))+1,200))</f>
        <v>2079/09/13</v>
      </c>
      <c r="F4" s="198"/>
      <c r="G4" s="198"/>
      <c r="H4" s="198" t="str">
        <f ca="1">TEXT(E4,"dddd")</f>
        <v>Wednesday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217</v>
      </c>
      <c r="C5" s="30">
        <f t="shared" si="0"/>
        <v>188</v>
      </c>
      <c r="D5" s="30">
        <f t="shared" si="0"/>
        <v>213.5</v>
      </c>
      <c r="E5" s="30">
        <f t="shared" si="0"/>
        <v>205</v>
      </c>
      <c r="F5" s="30">
        <f t="shared" si="0"/>
        <v>206.2</v>
      </c>
      <c r="G5" s="30">
        <f t="shared" si="0"/>
        <v>254.89999999999998</v>
      </c>
      <c r="H5" s="30">
        <f t="shared" si="0"/>
        <v>263.5</v>
      </c>
      <c r="I5" s="30">
        <f t="shared" si="0"/>
        <v>279.8</v>
      </c>
      <c r="J5" s="30">
        <f t="shared" si="0"/>
        <v>287.5</v>
      </c>
      <c r="K5" s="30">
        <f t="shared" si="0"/>
        <v>83.1</v>
      </c>
      <c r="L5" s="30">
        <f t="shared" si="0"/>
        <v>74.900000000000006</v>
      </c>
      <c r="M5" s="30">
        <f t="shared" si="0"/>
        <v>79</v>
      </c>
      <c r="N5" s="30">
        <f t="shared" si="0"/>
        <v>197</v>
      </c>
      <c r="O5" s="30">
        <f t="shared" si="0"/>
        <v>215.8</v>
      </c>
      <c r="P5" s="30">
        <f t="shared" si="0"/>
        <v>318</v>
      </c>
      <c r="Q5" s="30">
        <f t="shared" si="0"/>
        <v>377.1</v>
      </c>
      <c r="R5" s="30">
        <f t="shared" si="0"/>
        <v>388</v>
      </c>
      <c r="S5" s="30">
        <f t="shared" si="0"/>
        <v>409</v>
      </c>
      <c r="T5" s="30">
        <f t="shared" si="0"/>
        <v>420.3</v>
      </c>
      <c r="U5" s="30">
        <f t="shared" si="0"/>
        <v>144.69999999999999</v>
      </c>
      <c r="V5" s="30">
        <f t="shared" si="0"/>
        <v>114.6</v>
      </c>
      <c r="W5" s="30">
        <f t="shared" si="0"/>
        <v>151.6</v>
      </c>
      <c r="X5" s="30">
        <f t="shared" si="0"/>
        <v>133.6</v>
      </c>
      <c r="Y5" s="30">
        <f t="shared" si="0"/>
        <v>224.6</v>
      </c>
      <c r="Z5" s="30">
        <f t="shared" si="0"/>
        <v>222.4</v>
      </c>
      <c r="AA5" s="30">
        <f t="shared" si="0"/>
        <v>236.20000000000002</v>
      </c>
      <c r="AB5" s="30">
        <f t="shared" si="0"/>
        <v>279.70000000000005</v>
      </c>
      <c r="AC5" s="30">
        <f t="shared" si="0"/>
        <v>268.10000000000002</v>
      </c>
      <c r="AD5" s="30">
        <f t="shared" si="0"/>
        <v>324.8</v>
      </c>
      <c r="AE5" s="30">
        <f t="shared" si="0"/>
        <v>331.3</v>
      </c>
      <c r="AF5" s="30">
        <f>B78</f>
        <v>233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1677MW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Load=968</v>
      </c>
      <c r="B7" s="35">
        <f t="shared" ref="B7:AF7" si="1">B85</f>
        <v>995.54000000000008</v>
      </c>
      <c r="C7" s="35">
        <f t="shared" si="1"/>
        <v>976.54000000000008</v>
      </c>
      <c r="D7" s="35">
        <f t="shared" si="1"/>
        <v>968.44</v>
      </c>
      <c r="E7" s="35">
        <f t="shared" si="1"/>
        <v>993.54000000000008</v>
      </c>
      <c r="F7" s="35">
        <f t="shared" si="1"/>
        <v>980.04000000000008</v>
      </c>
      <c r="G7" s="35">
        <f t="shared" si="1"/>
        <v>1069.94</v>
      </c>
      <c r="H7" s="35">
        <f t="shared" si="1"/>
        <v>1140.1400000000001</v>
      </c>
      <c r="I7" s="35">
        <f t="shared" si="1"/>
        <v>1246.8400000000001</v>
      </c>
      <c r="J7" s="35">
        <f t="shared" si="1"/>
        <v>1357.44</v>
      </c>
      <c r="K7" s="35">
        <f t="shared" si="1"/>
        <v>1453.7400000000002</v>
      </c>
      <c r="L7" s="35">
        <f t="shared" si="1"/>
        <v>1606.64</v>
      </c>
      <c r="M7" s="35">
        <f t="shared" si="1"/>
        <v>1676.7400000000002</v>
      </c>
      <c r="N7" s="35">
        <f>N85</f>
        <v>1569.7400000000002</v>
      </c>
      <c r="O7" s="35">
        <f t="shared" si="1"/>
        <v>1521.8400000000001</v>
      </c>
      <c r="P7" s="35">
        <f t="shared" si="1"/>
        <v>1462.0400000000002</v>
      </c>
      <c r="Q7" s="35">
        <f t="shared" si="1"/>
        <v>1349.5400000000002</v>
      </c>
      <c r="R7" s="35">
        <f t="shared" si="1"/>
        <v>1285.6400000000001</v>
      </c>
      <c r="S7" s="35">
        <f t="shared" si="1"/>
        <v>1293.94</v>
      </c>
      <c r="T7" s="35">
        <f t="shared" si="1"/>
        <v>1365.14</v>
      </c>
      <c r="U7" s="35">
        <f t="shared" si="1"/>
        <v>1378.74</v>
      </c>
      <c r="V7" s="35">
        <f t="shared" si="1"/>
        <v>1453.44</v>
      </c>
      <c r="W7" s="35">
        <f t="shared" si="1"/>
        <v>1570.9399999999998</v>
      </c>
      <c r="X7" s="35">
        <f t="shared" si="1"/>
        <v>1704.6399999999999</v>
      </c>
      <c r="Y7" s="35">
        <f t="shared" si="1"/>
        <v>1595.7399999999998</v>
      </c>
      <c r="Z7" s="35">
        <f t="shared" si="1"/>
        <v>1522.74</v>
      </c>
      <c r="AA7" s="35">
        <f t="shared" si="1"/>
        <v>1476.5400000000002</v>
      </c>
      <c r="AB7" s="35">
        <f t="shared" si="1"/>
        <v>1480.3400000000001</v>
      </c>
      <c r="AC7" s="35">
        <f t="shared" si="1"/>
        <v>1426.54</v>
      </c>
      <c r="AD7" s="35">
        <f t="shared" si="1"/>
        <v>1291.04</v>
      </c>
      <c r="AE7" s="35">
        <f t="shared" si="1"/>
        <v>1167.6399999999999</v>
      </c>
      <c r="AF7" s="35">
        <f t="shared" si="1"/>
        <v>1090.3399999999999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23.7</v>
      </c>
      <c r="C11" s="45">
        <v>23.7</v>
      </c>
      <c r="D11" s="45">
        <v>23.7</v>
      </c>
      <c r="E11" s="45">
        <v>23.7</v>
      </c>
      <c r="F11" s="45">
        <v>23.7</v>
      </c>
      <c r="G11" s="45">
        <v>24</v>
      </c>
      <c r="H11" s="45">
        <v>24</v>
      </c>
      <c r="I11" s="45">
        <v>24</v>
      </c>
      <c r="J11" s="45">
        <v>24</v>
      </c>
      <c r="K11" s="45">
        <v>24</v>
      </c>
      <c r="L11" s="45">
        <v>24</v>
      </c>
      <c r="M11" s="45">
        <v>24</v>
      </c>
      <c r="N11" s="45">
        <v>24</v>
      </c>
      <c r="O11" s="45">
        <v>24</v>
      </c>
      <c r="P11" s="45">
        <v>24</v>
      </c>
      <c r="Q11" s="45">
        <v>24</v>
      </c>
      <c r="R11" s="45">
        <v>24</v>
      </c>
      <c r="S11" s="45">
        <v>24</v>
      </c>
      <c r="T11" s="45">
        <v>24</v>
      </c>
      <c r="U11" s="45">
        <v>23.3</v>
      </c>
      <c r="V11" s="45">
        <v>23.3</v>
      </c>
      <c r="W11" s="45">
        <v>23</v>
      </c>
      <c r="X11" s="45">
        <v>23</v>
      </c>
      <c r="Y11" s="45">
        <v>24.1</v>
      </c>
      <c r="Z11" s="45">
        <v>24.1</v>
      </c>
      <c r="AA11" s="45">
        <v>24.1</v>
      </c>
      <c r="AB11" s="45">
        <v>24.1</v>
      </c>
      <c r="AC11" s="45">
        <v>24.1</v>
      </c>
      <c r="AD11" s="45">
        <v>24.1</v>
      </c>
      <c r="AE11" s="45">
        <v>24.1</v>
      </c>
      <c r="AF11" s="45">
        <v>24.1</v>
      </c>
      <c r="AG11" s="47">
        <v>52.4</v>
      </c>
      <c r="AH11" s="48">
        <f t="shared" ref="AH11:AH74" si="2">MAX(B11:AF11)</f>
        <v>24.1</v>
      </c>
      <c r="AI11" s="49">
        <f t="shared" ref="AI11:AI74" si="3">MIN(B11:AF11)</f>
        <v>23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45</v>
      </c>
      <c r="C12" s="45">
        <v>45</v>
      </c>
      <c r="D12" s="45">
        <v>45</v>
      </c>
      <c r="E12" s="45">
        <v>45</v>
      </c>
      <c r="F12" s="45">
        <v>45</v>
      </c>
      <c r="G12" s="45">
        <v>44.7</v>
      </c>
      <c r="H12" s="45">
        <v>44.7</v>
      </c>
      <c r="I12" s="45">
        <v>44.7</v>
      </c>
      <c r="J12" s="45">
        <v>44.7</v>
      </c>
      <c r="K12" s="45">
        <v>44.7</v>
      </c>
      <c r="L12" s="45">
        <v>44.7</v>
      </c>
      <c r="M12" s="45">
        <v>44.7</v>
      </c>
      <c r="N12" s="45">
        <v>44.7</v>
      </c>
      <c r="O12" s="45">
        <v>44.7</v>
      </c>
      <c r="P12" s="45">
        <v>44.7</v>
      </c>
      <c r="Q12" s="45">
        <v>44.7</v>
      </c>
      <c r="R12" s="45">
        <v>44.7</v>
      </c>
      <c r="S12" s="45">
        <v>44.7</v>
      </c>
      <c r="T12" s="45">
        <v>44.7</v>
      </c>
      <c r="U12" s="45">
        <v>44</v>
      </c>
      <c r="V12" s="45">
        <v>44</v>
      </c>
      <c r="W12" s="45">
        <v>44.5</v>
      </c>
      <c r="X12" s="45">
        <v>44.5</v>
      </c>
      <c r="Y12" s="45">
        <v>44</v>
      </c>
      <c r="Z12" s="45">
        <v>44</v>
      </c>
      <c r="AA12" s="45">
        <v>44</v>
      </c>
      <c r="AB12" s="45">
        <v>44</v>
      </c>
      <c r="AC12" s="45">
        <v>44</v>
      </c>
      <c r="AD12" s="45">
        <v>44</v>
      </c>
      <c r="AE12" s="45">
        <v>44</v>
      </c>
      <c r="AF12" s="45">
        <v>44</v>
      </c>
      <c r="AG12" s="51">
        <v>50</v>
      </c>
      <c r="AH12" s="48">
        <f t="shared" si="2"/>
        <v>45</v>
      </c>
      <c r="AI12" s="49">
        <f t="shared" si="3"/>
        <v>44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24.7</v>
      </c>
      <c r="C13" s="45">
        <v>24.7</v>
      </c>
      <c r="D13" s="45">
        <v>24.7</v>
      </c>
      <c r="E13" s="45">
        <v>24.7</v>
      </c>
      <c r="F13" s="45">
        <v>24.7</v>
      </c>
      <c r="G13" s="45">
        <v>23.1</v>
      </c>
      <c r="H13" s="45">
        <v>23.1</v>
      </c>
      <c r="I13" s="45">
        <v>23.1</v>
      </c>
      <c r="J13" s="45">
        <v>23.1</v>
      </c>
      <c r="K13" s="45">
        <v>23.1</v>
      </c>
      <c r="L13" s="45">
        <v>23.1</v>
      </c>
      <c r="M13" s="45">
        <v>23.1</v>
      </c>
      <c r="N13" s="45">
        <v>23.1</v>
      </c>
      <c r="O13" s="45">
        <v>23.1</v>
      </c>
      <c r="P13" s="45">
        <v>23.1</v>
      </c>
      <c r="Q13" s="45">
        <v>23.1</v>
      </c>
      <c r="R13" s="45">
        <v>23.1</v>
      </c>
      <c r="S13" s="45">
        <v>23.1</v>
      </c>
      <c r="T13" s="45">
        <v>23.1</v>
      </c>
      <c r="U13" s="45">
        <v>24.2</v>
      </c>
      <c r="V13" s="45">
        <v>24.2</v>
      </c>
      <c r="W13" s="45">
        <v>24.5</v>
      </c>
      <c r="X13" s="45">
        <v>24.5</v>
      </c>
      <c r="Y13" s="45">
        <v>23.9</v>
      </c>
      <c r="Z13" s="45">
        <v>23.9</v>
      </c>
      <c r="AA13" s="45">
        <v>23.9</v>
      </c>
      <c r="AB13" s="45">
        <v>23.9</v>
      </c>
      <c r="AC13" s="45">
        <v>23.9</v>
      </c>
      <c r="AD13" s="45">
        <v>23.9</v>
      </c>
      <c r="AE13" s="45">
        <v>23.9</v>
      </c>
      <c r="AF13" s="45">
        <v>23.9</v>
      </c>
      <c r="AG13" s="51">
        <v>45</v>
      </c>
      <c r="AH13" s="48">
        <f t="shared" si="2"/>
        <v>24.7</v>
      </c>
      <c r="AI13" s="49">
        <f t="shared" si="3"/>
        <v>23.1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11.8</v>
      </c>
      <c r="C14" s="45">
        <v>11.8</v>
      </c>
      <c r="D14" s="45">
        <v>11.8</v>
      </c>
      <c r="E14" s="45">
        <v>11.8</v>
      </c>
      <c r="F14" s="45">
        <v>11.8</v>
      </c>
      <c r="G14" s="45">
        <v>11.8</v>
      </c>
      <c r="H14" s="45">
        <v>11.8</v>
      </c>
      <c r="I14" s="45">
        <v>11.8</v>
      </c>
      <c r="J14" s="45">
        <v>11.8</v>
      </c>
      <c r="K14" s="45">
        <v>11.8</v>
      </c>
      <c r="L14" s="45">
        <v>11.8</v>
      </c>
      <c r="M14" s="45">
        <v>11.8</v>
      </c>
      <c r="N14" s="45">
        <v>11.8</v>
      </c>
      <c r="O14" s="45">
        <v>11.8</v>
      </c>
      <c r="P14" s="45">
        <v>11.8</v>
      </c>
      <c r="Q14" s="45">
        <v>11.8</v>
      </c>
      <c r="R14" s="45">
        <v>11.8</v>
      </c>
      <c r="S14" s="45">
        <v>11.8</v>
      </c>
      <c r="T14" s="45">
        <v>11.8</v>
      </c>
      <c r="U14" s="45">
        <v>11.8</v>
      </c>
      <c r="V14" s="45">
        <v>11.8</v>
      </c>
      <c r="W14" s="45">
        <v>11.8</v>
      </c>
      <c r="X14" s="45">
        <v>11.8</v>
      </c>
      <c r="Y14" s="45">
        <v>11.8</v>
      </c>
      <c r="Z14" s="45">
        <v>11.8</v>
      </c>
      <c r="AA14" s="45">
        <v>11.8</v>
      </c>
      <c r="AB14" s="45">
        <v>11.8</v>
      </c>
      <c r="AC14" s="45">
        <v>11.8</v>
      </c>
      <c r="AD14" s="45">
        <v>11.8</v>
      </c>
      <c r="AE14" s="45">
        <v>11.8</v>
      </c>
      <c r="AF14" s="45">
        <v>11.8</v>
      </c>
      <c r="AG14" s="51">
        <v>42</v>
      </c>
      <c r="AH14" s="48">
        <f t="shared" si="2"/>
        <v>11.8</v>
      </c>
      <c r="AI14" s="49">
        <f t="shared" si="3"/>
        <v>11.8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17.3</v>
      </c>
      <c r="C15" s="45">
        <v>17.3</v>
      </c>
      <c r="D15" s="45">
        <v>17.3</v>
      </c>
      <c r="E15" s="45">
        <v>17.3</v>
      </c>
      <c r="F15" s="45">
        <v>17.3</v>
      </c>
      <c r="G15" s="45">
        <v>17.3</v>
      </c>
      <c r="H15" s="45">
        <v>17.3</v>
      </c>
      <c r="I15" s="45">
        <v>17.3</v>
      </c>
      <c r="J15" s="45">
        <v>17.3</v>
      </c>
      <c r="K15" s="45">
        <v>17.3</v>
      </c>
      <c r="L15" s="45">
        <v>17.3</v>
      </c>
      <c r="M15" s="45">
        <v>17.3</v>
      </c>
      <c r="N15" s="45">
        <v>17.3</v>
      </c>
      <c r="O15" s="45">
        <v>17.3</v>
      </c>
      <c r="P15" s="45">
        <v>17.3</v>
      </c>
      <c r="Q15" s="45">
        <v>17.3</v>
      </c>
      <c r="R15" s="45">
        <v>17.3</v>
      </c>
      <c r="S15" s="45">
        <v>17.3</v>
      </c>
      <c r="T15" s="45">
        <v>17.3</v>
      </c>
      <c r="U15" s="45">
        <v>17.3</v>
      </c>
      <c r="V15" s="45">
        <v>17.3</v>
      </c>
      <c r="W15" s="45">
        <v>17.3</v>
      </c>
      <c r="X15" s="45">
        <v>17.3</v>
      </c>
      <c r="Y15" s="45">
        <v>17.3</v>
      </c>
      <c r="Z15" s="45">
        <v>17.3</v>
      </c>
      <c r="AA15" s="45">
        <v>17.3</v>
      </c>
      <c r="AB15" s="45">
        <v>17.3</v>
      </c>
      <c r="AC15" s="45">
        <v>17.3</v>
      </c>
      <c r="AD15" s="45">
        <v>17.3</v>
      </c>
      <c r="AE15" s="45">
        <v>17.3</v>
      </c>
      <c r="AF15" s="45">
        <v>17.3</v>
      </c>
      <c r="AG15" s="51">
        <v>36</v>
      </c>
      <c r="AH15" s="48">
        <f t="shared" si="2"/>
        <v>17.3</v>
      </c>
      <c r="AI15" s="49">
        <f t="shared" si="3"/>
        <v>17.3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12</v>
      </c>
      <c r="C16" s="45">
        <v>12</v>
      </c>
      <c r="D16" s="45">
        <v>12</v>
      </c>
      <c r="E16" s="45">
        <v>12</v>
      </c>
      <c r="F16" s="45">
        <v>12</v>
      </c>
      <c r="G16" s="45">
        <v>11.4</v>
      </c>
      <c r="H16" s="45">
        <v>11.4</v>
      </c>
      <c r="I16" s="45">
        <v>11.4</v>
      </c>
      <c r="J16" s="45">
        <v>11.4</v>
      </c>
      <c r="K16" s="45">
        <v>11.4</v>
      </c>
      <c r="L16" s="45">
        <v>11.4</v>
      </c>
      <c r="M16" s="45">
        <v>11.4</v>
      </c>
      <c r="N16" s="45">
        <v>11.4</v>
      </c>
      <c r="O16" s="45">
        <v>11.4</v>
      </c>
      <c r="P16" s="45">
        <v>11.4</v>
      </c>
      <c r="Q16" s="45">
        <v>11.4</v>
      </c>
      <c r="R16" s="45">
        <v>11.4</v>
      </c>
      <c r="S16" s="45">
        <v>11.4</v>
      </c>
      <c r="T16" s="45">
        <v>11.4</v>
      </c>
      <c r="U16" s="45">
        <v>11.4</v>
      </c>
      <c r="V16" s="45">
        <v>11.4</v>
      </c>
      <c r="W16" s="45">
        <v>11.4</v>
      </c>
      <c r="X16" s="45">
        <v>11.4</v>
      </c>
      <c r="Y16" s="45">
        <v>11.4</v>
      </c>
      <c r="Z16" s="45">
        <v>11.4</v>
      </c>
      <c r="AA16" s="45">
        <v>11.4</v>
      </c>
      <c r="AB16" s="45">
        <v>11.4</v>
      </c>
      <c r="AC16" s="45">
        <v>11.4</v>
      </c>
      <c r="AD16" s="45">
        <v>11.4</v>
      </c>
      <c r="AE16" s="45">
        <v>11.4</v>
      </c>
      <c r="AF16" s="45">
        <v>11.4</v>
      </c>
      <c r="AG16" s="52">
        <v>30</v>
      </c>
      <c r="AH16" s="48">
        <f t="shared" si="2"/>
        <v>12</v>
      </c>
      <c r="AI16" s="49">
        <f t="shared" si="3"/>
        <v>11.4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11.4</v>
      </c>
      <c r="C17" s="45">
        <v>11.4</v>
      </c>
      <c r="D17" s="45">
        <v>11.4</v>
      </c>
      <c r="E17" s="45">
        <v>11.4</v>
      </c>
      <c r="F17" s="45">
        <v>11.4</v>
      </c>
      <c r="G17" s="45">
        <v>10.8</v>
      </c>
      <c r="H17" s="45">
        <v>10.8</v>
      </c>
      <c r="I17" s="45">
        <v>10.8</v>
      </c>
      <c r="J17" s="45">
        <v>10.8</v>
      </c>
      <c r="K17" s="45">
        <v>10.8</v>
      </c>
      <c r="L17" s="45">
        <v>10.8</v>
      </c>
      <c r="M17" s="45">
        <v>10.8</v>
      </c>
      <c r="N17" s="45">
        <v>10.8</v>
      </c>
      <c r="O17" s="45">
        <v>10.8</v>
      </c>
      <c r="P17" s="45">
        <v>10.8</v>
      </c>
      <c r="Q17" s="45">
        <v>10.8</v>
      </c>
      <c r="R17" s="45">
        <v>10.8</v>
      </c>
      <c r="S17" s="45">
        <v>10.8</v>
      </c>
      <c r="T17" s="45">
        <v>10.8</v>
      </c>
      <c r="U17" s="45">
        <v>10.8</v>
      </c>
      <c r="V17" s="45">
        <v>10.8</v>
      </c>
      <c r="W17" s="45">
        <v>10.8</v>
      </c>
      <c r="X17" s="45">
        <v>10.8</v>
      </c>
      <c r="Y17" s="45">
        <v>10.8</v>
      </c>
      <c r="Z17" s="45">
        <v>10.8</v>
      </c>
      <c r="AA17" s="45">
        <v>10.8</v>
      </c>
      <c r="AB17" s="45">
        <v>10.8</v>
      </c>
      <c r="AC17" s="45">
        <v>10.8</v>
      </c>
      <c r="AD17" s="45">
        <v>10.8</v>
      </c>
      <c r="AE17" s="45">
        <v>10.8</v>
      </c>
      <c r="AF17" s="45">
        <v>10.8</v>
      </c>
      <c r="AG17" s="51">
        <v>24.2</v>
      </c>
      <c r="AH17" s="48">
        <f t="shared" si="2"/>
        <v>11.4</v>
      </c>
      <c r="AI17" s="49">
        <f t="shared" si="3"/>
        <v>10.8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13</v>
      </c>
      <c r="C20" s="45">
        <v>13</v>
      </c>
      <c r="D20" s="45">
        <v>13</v>
      </c>
      <c r="E20" s="45">
        <v>13</v>
      </c>
      <c r="F20" s="45">
        <v>13</v>
      </c>
      <c r="G20" s="45">
        <v>13</v>
      </c>
      <c r="H20" s="45">
        <v>13</v>
      </c>
      <c r="I20" s="45">
        <v>13</v>
      </c>
      <c r="J20" s="45">
        <v>13</v>
      </c>
      <c r="K20" s="45">
        <v>13</v>
      </c>
      <c r="L20" s="45">
        <v>13</v>
      </c>
      <c r="M20" s="45">
        <v>13</v>
      </c>
      <c r="N20" s="45">
        <v>13</v>
      </c>
      <c r="O20" s="45">
        <v>13</v>
      </c>
      <c r="P20" s="45">
        <v>13</v>
      </c>
      <c r="Q20" s="45">
        <v>13</v>
      </c>
      <c r="R20" s="45">
        <v>13</v>
      </c>
      <c r="S20" s="45">
        <v>13</v>
      </c>
      <c r="T20" s="45">
        <v>13</v>
      </c>
      <c r="U20" s="45">
        <v>13</v>
      </c>
      <c r="V20" s="45">
        <v>13</v>
      </c>
      <c r="W20" s="45">
        <v>13</v>
      </c>
      <c r="X20" s="45">
        <v>13</v>
      </c>
      <c r="Y20" s="45">
        <v>13</v>
      </c>
      <c r="Z20" s="45">
        <v>13</v>
      </c>
      <c r="AA20" s="45">
        <v>13</v>
      </c>
      <c r="AB20" s="45">
        <v>13</v>
      </c>
      <c r="AC20" s="45">
        <v>13</v>
      </c>
      <c r="AD20" s="45">
        <v>13</v>
      </c>
      <c r="AE20" s="45">
        <v>13</v>
      </c>
      <c r="AF20" s="45">
        <v>13</v>
      </c>
      <c r="AG20" s="51">
        <v>25</v>
      </c>
      <c r="AH20" s="48">
        <f t="shared" si="2"/>
        <v>13</v>
      </c>
      <c r="AI20" s="49">
        <f t="shared" si="3"/>
        <v>13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11.1</v>
      </c>
      <c r="C24" s="45">
        <v>11.1</v>
      </c>
      <c r="D24" s="45">
        <v>11.1</v>
      </c>
      <c r="E24" s="45">
        <v>11.1</v>
      </c>
      <c r="F24" s="45">
        <v>11.1</v>
      </c>
      <c r="G24" s="45">
        <v>11.1</v>
      </c>
      <c r="H24" s="45">
        <v>11.1</v>
      </c>
      <c r="I24" s="45">
        <v>11.1</v>
      </c>
      <c r="J24" s="45">
        <v>11.1</v>
      </c>
      <c r="K24" s="45">
        <v>11.1</v>
      </c>
      <c r="L24" s="45">
        <v>11.1</v>
      </c>
      <c r="M24" s="45">
        <v>11.1</v>
      </c>
      <c r="N24" s="45">
        <v>11.1</v>
      </c>
      <c r="O24" s="45">
        <v>11.1</v>
      </c>
      <c r="P24" s="45">
        <v>11.1</v>
      </c>
      <c r="Q24" s="45">
        <v>11.1</v>
      </c>
      <c r="R24" s="45">
        <v>11.1</v>
      </c>
      <c r="S24" s="45">
        <v>11.1</v>
      </c>
      <c r="T24" s="45">
        <v>11.1</v>
      </c>
      <c r="U24" s="45">
        <v>11.1</v>
      </c>
      <c r="V24" s="45">
        <v>11.1</v>
      </c>
      <c r="W24" s="45">
        <v>11.1</v>
      </c>
      <c r="X24" s="45">
        <v>11.1</v>
      </c>
      <c r="Y24" s="45">
        <v>11.1</v>
      </c>
      <c r="Z24" s="45">
        <v>11.1</v>
      </c>
      <c r="AA24" s="45">
        <v>11.1</v>
      </c>
      <c r="AB24" s="45">
        <v>11.1</v>
      </c>
      <c r="AC24" s="45">
        <v>11.1</v>
      </c>
      <c r="AD24" s="45">
        <v>11.1</v>
      </c>
      <c r="AE24" s="45">
        <v>11.1</v>
      </c>
      <c r="AF24" s="45">
        <v>11.1</v>
      </c>
      <c r="AG24" s="51">
        <v>23.5</v>
      </c>
      <c r="AH24" s="48">
        <f t="shared" si="2"/>
        <v>11.1</v>
      </c>
      <c r="AI24" s="49">
        <f t="shared" si="3"/>
        <v>11.1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180</v>
      </c>
      <c r="C42" s="57">
        <v>180</v>
      </c>
      <c r="D42" s="57">
        <v>180</v>
      </c>
      <c r="E42" s="57">
        <v>180</v>
      </c>
      <c r="F42" s="57">
        <v>180</v>
      </c>
      <c r="G42" s="57">
        <v>180</v>
      </c>
      <c r="H42" s="57">
        <v>180</v>
      </c>
      <c r="I42" s="57">
        <v>180</v>
      </c>
      <c r="J42" s="57">
        <v>180</v>
      </c>
      <c r="K42" s="57">
        <v>180</v>
      </c>
      <c r="L42" s="57">
        <v>180</v>
      </c>
      <c r="M42" s="57">
        <v>180</v>
      </c>
      <c r="N42" s="57">
        <v>180</v>
      </c>
      <c r="O42" s="57">
        <v>180</v>
      </c>
      <c r="P42" s="57">
        <v>180</v>
      </c>
      <c r="Q42" s="57">
        <v>180</v>
      </c>
      <c r="R42" s="57">
        <v>180</v>
      </c>
      <c r="S42" s="57">
        <v>180</v>
      </c>
      <c r="T42" s="57">
        <v>180</v>
      </c>
      <c r="U42" s="57">
        <v>180</v>
      </c>
      <c r="V42" s="57">
        <v>180</v>
      </c>
      <c r="W42" s="57">
        <v>180</v>
      </c>
      <c r="X42" s="57">
        <v>180</v>
      </c>
      <c r="Y42" s="57">
        <v>180</v>
      </c>
      <c r="Z42" s="57">
        <v>180</v>
      </c>
      <c r="AA42" s="57">
        <v>180</v>
      </c>
      <c r="AB42" s="57">
        <v>180</v>
      </c>
      <c r="AC42" s="57">
        <v>180</v>
      </c>
      <c r="AD42" s="57">
        <v>180</v>
      </c>
      <c r="AE42" s="57">
        <v>180</v>
      </c>
      <c r="AF42" s="57">
        <v>180</v>
      </c>
      <c r="AG42" s="55">
        <v>85</v>
      </c>
      <c r="AH42" s="48">
        <f t="shared" si="2"/>
        <v>180</v>
      </c>
      <c r="AI42" s="49">
        <f t="shared" si="3"/>
        <v>180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526.20000000000005</v>
      </c>
      <c r="C44" s="61">
        <f t="shared" si="4"/>
        <v>526.20000000000005</v>
      </c>
      <c r="D44" s="61">
        <f t="shared" si="4"/>
        <v>526.20000000000005</v>
      </c>
      <c r="E44" s="61">
        <f t="shared" si="4"/>
        <v>526.20000000000005</v>
      </c>
      <c r="F44" s="61">
        <f t="shared" si="4"/>
        <v>526.20000000000005</v>
      </c>
      <c r="G44" s="61">
        <f t="shared" si="4"/>
        <v>523.40000000000009</v>
      </c>
      <c r="H44" s="61">
        <f t="shared" si="4"/>
        <v>523.40000000000009</v>
      </c>
      <c r="I44" s="61">
        <f t="shared" si="4"/>
        <v>523.40000000000009</v>
      </c>
      <c r="J44" s="61">
        <f t="shared" si="4"/>
        <v>523.40000000000009</v>
      </c>
      <c r="K44" s="61">
        <f t="shared" si="4"/>
        <v>523.40000000000009</v>
      </c>
      <c r="L44" s="61">
        <f t="shared" si="4"/>
        <v>523.40000000000009</v>
      </c>
      <c r="M44" s="61">
        <f t="shared" si="4"/>
        <v>523.40000000000009</v>
      </c>
      <c r="N44" s="61">
        <f t="shared" si="4"/>
        <v>523.40000000000009</v>
      </c>
      <c r="O44" s="61">
        <f t="shared" si="4"/>
        <v>523.40000000000009</v>
      </c>
      <c r="P44" s="61">
        <f t="shared" si="4"/>
        <v>523.40000000000009</v>
      </c>
      <c r="Q44" s="61">
        <f t="shared" si="4"/>
        <v>523.40000000000009</v>
      </c>
      <c r="R44" s="61">
        <f t="shared" si="4"/>
        <v>523.40000000000009</v>
      </c>
      <c r="S44" s="61">
        <f t="shared" si="4"/>
        <v>523.40000000000009</v>
      </c>
      <c r="T44" s="61">
        <f t="shared" si="4"/>
        <v>523.40000000000009</v>
      </c>
      <c r="U44" s="61">
        <f t="shared" si="4"/>
        <v>523.09999999999991</v>
      </c>
      <c r="V44" s="61">
        <f t="shared" si="4"/>
        <v>523.09999999999991</v>
      </c>
      <c r="W44" s="61">
        <f t="shared" si="4"/>
        <v>523.59999999999991</v>
      </c>
      <c r="X44" s="61">
        <v>554.29999999999995</v>
      </c>
      <c r="Y44" s="61">
        <f t="shared" si="4"/>
        <v>523.59999999999991</v>
      </c>
      <c r="Z44" s="61">
        <f t="shared" si="4"/>
        <v>523.59999999999991</v>
      </c>
      <c r="AA44" s="61">
        <f t="shared" si="4"/>
        <v>523.59999999999991</v>
      </c>
      <c r="AB44" s="61">
        <f t="shared" si="4"/>
        <v>523.59999999999991</v>
      </c>
      <c r="AC44" s="61">
        <f t="shared" si="4"/>
        <v>523.59999999999991</v>
      </c>
      <c r="AD44" s="61">
        <f t="shared" si="4"/>
        <v>523.59999999999991</v>
      </c>
      <c r="AE44" s="61">
        <f t="shared" si="4"/>
        <v>523.59999999999991</v>
      </c>
      <c r="AF44" s="61">
        <f t="shared" si="4"/>
        <v>523.59999999999991</v>
      </c>
      <c r="AG44" s="62">
        <f t="shared" si="4"/>
        <v>814.78000000000009</v>
      </c>
      <c r="AH44" s="48">
        <f t="shared" si="2"/>
        <v>554.29999999999995</v>
      </c>
      <c r="AI44" s="49">
        <f t="shared" si="3"/>
        <v>523.09999999999991</v>
      </c>
      <c r="AK44" s="50"/>
    </row>
    <row r="45" spans="1:88" x14ac:dyDescent="0.25">
      <c r="A45" s="63" t="s">
        <v>53</v>
      </c>
      <c r="B45" s="45">
        <v>0</v>
      </c>
      <c r="C45" s="45">
        <v>0</v>
      </c>
      <c r="D45" s="45">
        <v>0</v>
      </c>
      <c r="E45" s="45">
        <v>25</v>
      </c>
      <c r="F45" s="45">
        <v>30</v>
      </c>
      <c r="G45" s="45">
        <v>75</v>
      </c>
      <c r="H45" s="45">
        <v>90</v>
      </c>
      <c r="I45" s="45">
        <v>120</v>
      </c>
      <c r="J45" s="45">
        <v>130</v>
      </c>
      <c r="K45" s="45">
        <v>140</v>
      </c>
      <c r="L45" s="45">
        <v>456</v>
      </c>
      <c r="M45" s="164">
        <v>456</v>
      </c>
      <c r="N45" s="164">
        <v>345</v>
      </c>
      <c r="O45" s="45">
        <v>180</v>
      </c>
      <c r="P45" s="45">
        <v>110</v>
      </c>
      <c r="Q45" s="45">
        <v>15</v>
      </c>
      <c r="R45" s="45">
        <v>0</v>
      </c>
      <c r="S45" s="45">
        <v>0</v>
      </c>
      <c r="T45" s="45">
        <v>0</v>
      </c>
      <c r="U45" s="45">
        <v>0</v>
      </c>
      <c r="V45" s="45">
        <v>255</v>
      </c>
      <c r="W45" s="45">
        <v>400</v>
      </c>
      <c r="X45" s="45">
        <v>456</v>
      </c>
      <c r="Y45" s="45">
        <v>400</v>
      </c>
      <c r="Z45" s="45">
        <v>150</v>
      </c>
      <c r="AA45" s="45">
        <v>76</v>
      </c>
      <c r="AB45" s="45">
        <v>76</v>
      </c>
      <c r="AC45" s="45">
        <v>90</v>
      </c>
      <c r="AD45" s="45">
        <v>90</v>
      </c>
      <c r="AE45" s="45">
        <v>0</v>
      </c>
      <c r="AF45" s="45">
        <v>0</v>
      </c>
      <c r="AG45" s="52">
        <v>456</v>
      </c>
      <c r="AH45" s="48">
        <f t="shared" si="2"/>
        <v>456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41</v>
      </c>
      <c r="AK46" s="50"/>
    </row>
    <row r="47" spans="1:88" ht="15.75" thickBot="1" x14ac:dyDescent="0.3">
      <c r="A47" s="66" t="s">
        <v>55</v>
      </c>
      <c r="B47" s="67">
        <v>14.2</v>
      </c>
      <c r="C47" s="67">
        <v>14.2</v>
      </c>
      <c r="D47" s="67">
        <v>14.2</v>
      </c>
      <c r="E47" s="67">
        <v>14.1</v>
      </c>
      <c r="F47" s="67">
        <v>14.1</v>
      </c>
      <c r="G47" s="67">
        <v>14.2</v>
      </c>
      <c r="H47" s="67">
        <v>14.1</v>
      </c>
      <c r="I47" s="67">
        <v>14.1</v>
      </c>
      <c r="J47" s="67">
        <v>14.1</v>
      </c>
      <c r="K47" s="67">
        <v>14.1</v>
      </c>
      <c r="L47" s="67">
        <v>14.2</v>
      </c>
      <c r="M47" s="67">
        <v>14.2</v>
      </c>
      <c r="N47" s="67">
        <v>14.1</v>
      </c>
      <c r="O47" s="67">
        <v>14.2</v>
      </c>
      <c r="P47" s="67">
        <v>14.2</v>
      </c>
      <c r="Q47" s="67">
        <v>14.2</v>
      </c>
      <c r="R47" s="67">
        <v>14.1</v>
      </c>
      <c r="S47" s="67">
        <v>14.1</v>
      </c>
      <c r="T47" s="67">
        <v>14.1</v>
      </c>
      <c r="U47" s="67">
        <v>14.1</v>
      </c>
      <c r="V47" s="67">
        <v>14.1</v>
      </c>
      <c r="W47" s="67">
        <v>14.1</v>
      </c>
      <c r="X47" s="67">
        <v>14.1</v>
      </c>
      <c r="Y47" s="67">
        <v>14.1</v>
      </c>
      <c r="Z47" s="67">
        <v>14.1</v>
      </c>
      <c r="AA47" s="67">
        <v>14.1</v>
      </c>
      <c r="AB47" s="67">
        <v>14.1</v>
      </c>
      <c r="AC47" s="67">
        <v>14.1</v>
      </c>
      <c r="AD47" s="67">
        <v>14.2</v>
      </c>
      <c r="AE47" s="67">
        <v>14.1</v>
      </c>
      <c r="AF47" s="67">
        <v>14.2</v>
      </c>
      <c r="AG47" s="68">
        <v>22.1</v>
      </c>
      <c r="AH47" s="48">
        <f t="shared" si="2"/>
        <v>14.2</v>
      </c>
      <c r="AI47" s="49">
        <f t="shared" si="3"/>
        <v>14.1</v>
      </c>
      <c r="AK47" s="50"/>
    </row>
    <row r="48" spans="1:88" ht="15.75" thickBot="1" x14ac:dyDescent="0.3">
      <c r="A48" s="69" t="s">
        <v>56</v>
      </c>
      <c r="B48" s="61">
        <f t="shared" ref="B48:AG48" si="5">SUM(B45:B47)</f>
        <v>55.2</v>
      </c>
      <c r="C48" s="61">
        <f t="shared" si="5"/>
        <v>55.2</v>
      </c>
      <c r="D48" s="61">
        <f t="shared" si="5"/>
        <v>55.2</v>
      </c>
      <c r="E48" s="61">
        <f t="shared" si="5"/>
        <v>80.099999999999994</v>
      </c>
      <c r="F48" s="61">
        <f t="shared" si="5"/>
        <v>85.1</v>
      </c>
      <c r="G48" s="61">
        <f t="shared" si="5"/>
        <v>130.19999999999999</v>
      </c>
      <c r="H48" s="61">
        <f t="shared" si="5"/>
        <v>145.1</v>
      </c>
      <c r="I48" s="61">
        <f t="shared" si="5"/>
        <v>175.1</v>
      </c>
      <c r="J48" s="61">
        <f t="shared" si="5"/>
        <v>185.1</v>
      </c>
      <c r="K48" s="61">
        <f t="shared" si="5"/>
        <v>195.1</v>
      </c>
      <c r="L48" s="61">
        <f t="shared" si="5"/>
        <v>511.2</v>
      </c>
      <c r="M48" s="61">
        <f t="shared" si="5"/>
        <v>511.2</v>
      </c>
      <c r="N48" s="61">
        <f t="shared" si="5"/>
        <v>400.1</v>
      </c>
      <c r="O48" s="61">
        <f t="shared" si="5"/>
        <v>235.2</v>
      </c>
      <c r="P48" s="61">
        <f t="shared" si="5"/>
        <v>165.2</v>
      </c>
      <c r="Q48" s="61">
        <f t="shared" si="5"/>
        <v>70.2</v>
      </c>
      <c r="R48" s="61">
        <f t="shared" si="5"/>
        <v>55.1</v>
      </c>
      <c r="S48" s="61">
        <f t="shared" si="5"/>
        <v>55.1</v>
      </c>
      <c r="T48" s="61">
        <f t="shared" si="5"/>
        <v>55.1</v>
      </c>
      <c r="U48" s="61">
        <f t="shared" si="5"/>
        <v>55.1</v>
      </c>
      <c r="V48" s="61">
        <f t="shared" si="5"/>
        <v>310.10000000000002</v>
      </c>
      <c r="W48" s="61">
        <f t="shared" si="5"/>
        <v>455.1</v>
      </c>
      <c r="X48" s="61">
        <v>515.70000000000005</v>
      </c>
      <c r="Y48" s="61">
        <f t="shared" si="5"/>
        <v>455.1</v>
      </c>
      <c r="Z48" s="61">
        <f t="shared" si="5"/>
        <v>205.1</v>
      </c>
      <c r="AA48" s="61">
        <f t="shared" si="5"/>
        <v>131.1</v>
      </c>
      <c r="AB48" s="61">
        <f t="shared" si="5"/>
        <v>131.1</v>
      </c>
      <c r="AC48" s="61">
        <f t="shared" si="5"/>
        <v>145.1</v>
      </c>
      <c r="AD48" s="61">
        <f t="shared" si="5"/>
        <v>145.19999999999999</v>
      </c>
      <c r="AE48" s="61">
        <f t="shared" si="5"/>
        <v>55.1</v>
      </c>
      <c r="AF48" s="61">
        <f t="shared" si="5"/>
        <v>55.2</v>
      </c>
      <c r="AG48" s="62">
        <f t="shared" si="5"/>
        <v>538.1</v>
      </c>
      <c r="AH48" s="48">
        <f t="shared" si="2"/>
        <v>515.70000000000005</v>
      </c>
      <c r="AI48" s="49">
        <f t="shared" si="3"/>
        <v>55.1</v>
      </c>
      <c r="AK48" s="50"/>
    </row>
    <row r="49" spans="1:41" x14ac:dyDescent="0.25">
      <c r="A49" s="44" t="s">
        <v>57</v>
      </c>
      <c r="B49" s="45">
        <v>29.7</v>
      </c>
      <c r="C49" s="45">
        <v>29.7</v>
      </c>
      <c r="D49" s="45">
        <v>44.6</v>
      </c>
      <c r="E49" s="45">
        <v>0</v>
      </c>
      <c r="F49" s="45">
        <v>0</v>
      </c>
      <c r="G49" s="45">
        <v>31.8</v>
      </c>
      <c r="H49" s="45">
        <v>46.5</v>
      </c>
      <c r="I49" s="45">
        <v>71.2</v>
      </c>
      <c r="J49" s="45">
        <v>102.9</v>
      </c>
      <c r="K49" s="45">
        <v>140</v>
      </c>
      <c r="L49" s="45">
        <v>141.69999999999999</v>
      </c>
      <c r="M49" s="45">
        <v>141.6</v>
      </c>
      <c r="N49" s="45">
        <v>141.6</v>
      </c>
      <c r="O49" s="45">
        <v>140.80000000000001</v>
      </c>
      <c r="P49" s="45">
        <v>140.5</v>
      </c>
      <c r="Q49" s="45">
        <v>90</v>
      </c>
      <c r="R49" s="45">
        <v>61</v>
      </c>
      <c r="S49" s="45">
        <v>61</v>
      </c>
      <c r="T49" s="45">
        <v>91</v>
      </c>
      <c r="U49" s="45">
        <v>87.3</v>
      </c>
      <c r="V49" s="45">
        <v>131.19999999999999</v>
      </c>
      <c r="W49" s="45">
        <v>132.19999999999999</v>
      </c>
      <c r="X49" s="45">
        <v>140</v>
      </c>
      <c r="Y49" s="45">
        <v>138</v>
      </c>
      <c r="Z49" s="45">
        <v>124</v>
      </c>
      <c r="AA49" s="45">
        <v>124</v>
      </c>
      <c r="AB49" s="45">
        <v>124</v>
      </c>
      <c r="AC49" s="45">
        <v>91.4</v>
      </c>
      <c r="AD49" s="45">
        <v>85</v>
      </c>
      <c r="AE49" s="45">
        <v>33.1</v>
      </c>
      <c r="AF49" s="45">
        <v>0</v>
      </c>
      <c r="AG49" s="52">
        <v>144</v>
      </c>
      <c r="AH49" s="48">
        <f t="shared" si="2"/>
        <v>141.69999999999999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34.700000000000003</v>
      </c>
      <c r="F50" s="65">
        <v>21.2</v>
      </c>
      <c r="G50" s="65">
        <v>34.6</v>
      </c>
      <c r="H50" s="65">
        <v>24.5</v>
      </c>
      <c r="I50" s="65">
        <v>70</v>
      </c>
      <c r="J50" s="65">
        <v>70.2</v>
      </c>
      <c r="K50" s="65">
        <v>70.3</v>
      </c>
      <c r="L50" s="65">
        <v>70.900000000000006</v>
      </c>
      <c r="M50" s="65">
        <v>70</v>
      </c>
      <c r="N50" s="65">
        <v>70</v>
      </c>
      <c r="O50" s="65">
        <v>69.599999999999994</v>
      </c>
      <c r="P50" s="65">
        <v>70.900000000000006</v>
      </c>
      <c r="Q50" s="65">
        <v>35</v>
      </c>
      <c r="R50" s="45">
        <v>25.9</v>
      </c>
      <c r="S50" s="45">
        <v>25.9</v>
      </c>
      <c r="T50" s="45">
        <v>34.200000000000003</v>
      </c>
      <c r="U50" s="45">
        <v>35.4</v>
      </c>
      <c r="V50" s="45">
        <v>69.7</v>
      </c>
      <c r="W50" s="45">
        <v>72.3</v>
      </c>
      <c r="X50" s="45">
        <v>72.3</v>
      </c>
      <c r="Y50" s="45">
        <v>72.3</v>
      </c>
      <c r="Z50" s="45">
        <v>72.3</v>
      </c>
      <c r="AA50" s="45">
        <v>72.3</v>
      </c>
      <c r="AB50" s="45">
        <v>72.3</v>
      </c>
      <c r="AC50" s="45">
        <v>36.4</v>
      </c>
      <c r="AD50" s="45">
        <v>25</v>
      </c>
      <c r="AE50" s="45">
        <v>0</v>
      </c>
      <c r="AF50" s="65">
        <v>0</v>
      </c>
      <c r="AG50" s="55">
        <v>70</v>
      </c>
      <c r="AH50" s="48">
        <f t="shared" si="2"/>
        <v>72.3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41</v>
      </c>
      <c r="C51" s="65">
        <v>38</v>
      </c>
      <c r="D51" s="65">
        <v>44</v>
      </c>
      <c r="E51" s="65">
        <v>28.6</v>
      </c>
      <c r="F51" s="65">
        <v>32.1</v>
      </c>
      <c r="G51" s="65">
        <v>33.299999999999997</v>
      </c>
      <c r="H51" s="65">
        <v>35.299999999999997</v>
      </c>
      <c r="I51" s="65">
        <v>33.200000000000003</v>
      </c>
      <c r="J51" s="65">
        <v>33.200000000000003</v>
      </c>
      <c r="K51" s="65">
        <v>32</v>
      </c>
      <c r="L51" s="65">
        <v>66.599999999999994</v>
      </c>
      <c r="M51" s="65">
        <v>65.8</v>
      </c>
      <c r="N51" s="65">
        <v>65.8</v>
      </c>
      <c r="O51" s="65">
        <v>51</v>
      </c>
      <c r="P51" s="65">
        <v>41.1</v>
      </c>
      <c r="Q51" s="65">
        <v>40.6</v>
      </c>
      <c r="R51" s="45">
        <v>32.6</v>
      </c>
      <c r="S51" s="45">
        <v>32.6</v>
      </c>
      <c r="T51" s="45">
        <v>45.8</v>
      </c>
      <c r="U51" s="45">
        <v>50.9</v>
      </c>
      <c r="V51" s="45">
        <v>67</v>
      </c>
      <c r="W51" s="45">
        <v>65.5</v>
      </c>
      <c r="X51" s="45">
        <v>65.5</v>
      </c>
      <c r="Y51" s="45">
        <v>65.5</v>
      </c>
      <c r="Z51" s="45">
        <v>65.5</v>
      </c>
      <c r="AA51" s="45">
        <v>65.5</v>
      </c>
      <c r="AB51" s="45">
        <v>65.5</v>
      </c>
      <c r="AC51" s="45">
        <v>41.2</v>
      </c>
      <c r="AD51" s="45">
        <v>35</v>
      </c>
      <c r="AE51" s="45">
        <v>21.9</v>
      </c>
      <c r="AF51" s="65">
        <v>17.899999999999999</v>
      </c>
      <c r="AG51" s="55">
        <v>69</v>
      </c>
      <c r="AH51" s="48">
        <f t="shared" si="2"/>
        <v>67</v>
      </c>
      <c r="AI51" s="49">
        <f t="shared" si="3"/>
        <v>17.899999999999999</v>
      </c>
      <c r="AK51" s="50"/>
    </row>
    <row r="52" spans="1:41" x14ac:dyDescent="0.25">
      <c r="A52" s="54" t="s">
        <v>60</v>
      </c>
      <c r="B52" s="57">
        <v>59.2</v>
      </c>
      <c r="C52" s="57">
        <v>59.2</v>
      </c>
      <c r="D52" s="57">
        <v>59.2</v>
      </c>
      <c r="E52" s="57">
        <v>59.2</v>
      </c>
      <c r="F52" s="57">
        <v>59.2</v>
      </c>
      <c r="G52" s="57">
        <v>59.2</v>
      </c>
      <c r="H52" s="57">
        <v>59.2</v>
      </c>
      <c r="I52" s="57">
        <v>59.2</v>
      </c>
      <c r="J52" s="57">
        <v>59.2</v>
      </c>
      <c r="K52" s="57">
        <v>59.2</v>
      </c>
      <c r="L52" s="57">
        <v>59.2</v>
      </c>
      <c r="M52" s="57">
        <v>60</v>
      </c>
      <c r="N52" s="57">
        <v>60</v>
      </c>
      <c r="O52" s="57">
        <v>60</v>
      </c>
      <c r="P52" s="65">
        <v>60.7</v>
      </c>
      <c r="Q52" s="65">
        <v>60.7</v>
      </c>
      <c r="R52" s="65">
        <v>58.7</v>
      </c>
      <c r="S52" s="65">
        <v>58.7</v>
      </c>
      <c r="T52" s="65">
        <v>57.4</v>
      </c>
      <c r="U52" s="65">
        <v>57.4</v>
      </c>
      <c r="V52" s="65">
        <v>58.2</v>
      </c>
      <c r="W52" s="65">
        <v>58.2</v>
      </c>
      <c r="X52" s="65">
        <v>58.2</v>
      </c>
      <c r="Y52" s="65">
        <v>58.2</v>
      </c>
      <c r="Z52" s="65">
        <v>58.2</v>
      </c>
      <c r="AA52" s="65">
        <v>58.2</v>
      </c>
      <c r="AB52" s="65">
        <v>58.2</v>
      </c>
      <c r="AC52" s="65">
        <v>59.7</v>
      </c>
      <c r="AD52" s="65">
        <v>59.7</v>
      </c>
      <c r="AE52" s="65">
        <v>59.7</v>
      </c>
      <c r="AF52" s="65">
        <v>59.5</v>
      </c>
      <c r="AG52" s="55">
        <v>60</v>
      </c>
      <c r="AH52" s="48">
        <f t="shared" si="2"/>
        <v>60.7</v>
      </c>
      <c r="AI52" s="49">
        <f t="shared" si="3"/>
        <v>57.4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0</v>
      </c>
      <c r="N53" s="57">
        <v>0</v>
      </c>
      <c r="O53" s="57">
        <v>0</v>
      </c>
      <c r="P53" s="57">
        <v>0</v>
      </c>
      <c r="Q53" s="57">
        <v>0</v>
      </c>
      <c r="R53" s="57">
        <v>0</v>
      </c>
      <c r="S53" s="57">
        <v>0</v>
      </c>
      <c r="T53" s="57">
        <v>0</v>
      </c>
      <c r="U53" s="57">
        <v>0</v>
      </c>
      <c r="V53" s="57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55">
        <v>30</v>
      </c>
      <c r="AH53" s="48">
        <f t="shared" si="2"/>
        <v>0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65">
        <v>0</v>
      </c>
      <c r="AG54" s="55">
        <v>25</v>
      </c>
      <c r="AH54" s="48">
        <f t="shared" si="2"/>
        <v>0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17.100000000000001</v>
      </c>
      <c r="S55" s="65">
        <v>17.100000000000001</v>
      </c>
      <c r="T55" s="65">
        <v>17.100000000000001</v>
      </c>
      <c r="U55" s="65">
        <v>17.100000000000001</v>
      </c>
      <c r="V55" s="65">
        <v>17.100000000000001</v>
      </c>
      <c r="W55" s="65">
        <v>17.100000000000001</v>
      </c>
      <c r="X55" s="65">
        <v>17.100000000000001</v>
      </c>
      <c r="Y55" s="65">
        <v>17.100000000000001</v>
      </c>
      <c r="Z55" s="65">
        <v>17.100000000000001</v>
      </c>
      <c r="AA55" s="65">
        <v>17.100000000000001</v>
      </c>
      <c r="AB55" s="65">
        <v>17.100000000000001</v>
      </c>
      <c r="AC55" s="65">
        <v>17.100000000000001</v>
      </c>
      <c r="AD55" s="65">
        <v>17.100000000000001</v>
      </c>
      <c r="AE55" s="65">
        <v>17.100000000000001</v>
      </c>
      <c r="AF55" s="65">
        <v>17.100000000000001</v>
      </c>
      <c r="AG55" s="55">
        <v>24</v>
      </c>
      <c r="AH55" s="48">
        <f t="shared" si="2"/>
        <v>17.100000000000001</v>
      </c>
      <c r="AI55" s="49">
        <f t="shared" si="3"/>
        <v>17.100000000000001</v>
      </c>
      <c r="AK55" s="50"/>
    </row>
    <row r="56" spans="1:41" x14ac:dyDescent="0.25">
      <c r="A56" s="54" t="s">
        <v>64</v>
      </c>
      <c r="B56" s="65">
        <v>2.8</v>
      </c>
      <c r="C56" s="65">
        <v>2.8</v>
      </c>
      <c r="D56" s="65">
        <v>2.8</v>
      </c>
      <c r="E56" s="65">
        <v>2.8</v>
      </c>
      <c r="F56" s="65">
        <v>2.8</v>
      </c>
      <c r="G56" s="65">
        <v>2.8</v>
      </c>
      <c r="H56" s="65">
        <v>2.8</v>
      </c>
      <c r="I56" s="65">
        <v>2.8</v>
      </c>
      <c r="J56" s="65">
        <v>2.8</v>
      </c>
      <c r="K56" s="65">
        <v>2.8</v>
      </c>
      <c r="L56" s="65">
        <v>2.8</v>
      </c>
      <c r="M56" s="65">
        <v>2.8</v>
      </c>
      <c r="N56" s="65">
        <v>2.8</v>
      </c>
      <c r="O56" s="65">
        <v>2.8</v>
      </c>
      <c r="P56" s="65">
        <v>2.8</v>
      </c>
      <c r="Q56" s="65">
        <v>2.8</v>
      </c>
      <c r="R56" s="65">
        <v>2.8</v>
      </c>
      <c r="S56" s="65">
        <v>2.8</v>
      </c>
      <c r="T56" s="65">
        <v>2.8</v>
      </c>
      <c r="U56" s="65">
        <v>2.8</v>
      </c>
      <c r="V56" s="65">
        <v>2.8</v>
      </c>
      <c r="W56" s="65">
        <v>2.8</v>
      </c>
      <c r="X56" s="65">
        <v>2.8</v>
      </c>
      <c r="Y56" s="65">
        <v>2.8</v>
      </c>
      <c r="Z56" s="65">
        <v>2.8</v>
      </c>
      <c r="AA56" s="65">
        <v>2.8</v>
      </c>
      <c r="AB56" s="65">
        <v>2.8</v>
      </c>
      <c r="AC56" s="65">
        <v>2.8</v>
      </c>
      <c r="AD56" s="65">
        <v>2.8</v>
      </c>
      <c r="AE56" s="65">
        <v>2.8</v>
      </c>
      <c r="AF56" s="65">
        <v>2.8</v>
      </c>
      <c r="AG56" s="55">
        <v>15</v>
      </c>
      <c r="AH56" s="48">
        <f t="shared" si="2"/>
        <v>2.8</v>
      </c>
      <c r="AI56" s="49">
        <f t="shared" si="3"/>
        <v>2.8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14.1</v>
      </c>
      <c r="C57" s="65">
        <v>14.1</v>
      </c>
      <c r="D57" s="65">
        <v>14.1</v>
      </c>
      <c r="E57" s="65">
        <v>14.1</v>
      </c>
      <c r="F57" s="65">
        <v>14.1</v>
      </c>
      <c r="G57" s="65">
        <v>14.1</v>
      </c>
      <c r="H57" s="65">
        <v>14.1</v>
      </c>
      <c r="I57" s="65">
        <v>14.1</v>
      </c>
      <c r="J57" s="65">
        <v>14.1</v>
      </c>
      <c r="K57" s="65">
        <v>14.1</v>
      </c>
      <c r="L57" s="65">
        <v>14.1</v>
      </c>
      <c r="M57" s="65">
        <v>14.1</v>
      </c>
      <c r="N57" s="65">
        <v>14.1</v>
      </c>
      <c r="O57" s="65">
        <v>14.1</v>
      </c>
      <c r="P57" s="65">
        <v>14.1</v>
      </c>
      <c r="Q57" s="65">
        <v>14.1</v>
      </c>
      <c r="R57" s="65">
        <v>14.1</v>
      </c>
      <c r="S57" s="65">
        <v>14.1</v>
      </c>
      <c r="T57" s="65">
        <v>14.1</v>
      </c>
      <c r="U57" s="65">
        <v>14.1</v>
      </c>
      <c r="V57" s="65">
        <v>14.1</v>
      </c>
      <c r="W57" s="65">
        <v>14.1</v>
      </c>
      <c r="X57" s="65">
        <v>14.1</v>
      </c>
      <c r="Y57" s="65">
        <v>14.1</v>
      </c>
      <c r="Z57" s="65">
        <v>14.1</v>
      </c>
      <c r="AA57" s="65">
        <v>14.1</v>
      </c>
      <c r="AB57" s="65">
        <v>14.1</v>
      </c>
      <c r="AC57" s="65">
        <v>14.1</v>
      </c>
      <c r="AD57" s="65">
        <v>14.1</v>
      </c>
      <c r="AE57" s="65">
        <v>14.1</v>
      </c>
      <c r="AF57" s="65">
        <v>14.1</v>
      </c>
      <c r="AG57" s="55">
        <v>14.1</v>
      </c>
      <c r="AH57" s="48">
        <f t="shared" si="2"/>
        <v>14.1</v>
      </c>
      <c r="AI57" s="49">
        <f t="shared" si="3"/>
        <v>14.1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7.2</v>
      </c>
      <c r="C58" s="65">
        <v>7.2</v>
      </c>
      <c r="D58" s="65">
        <v>7.2</v>
      </c>
      <c r="E58" s="65">
        <v>7.2</v>
      </c>
      <c r="F58" s="65">
        <v>7.2</v>
      </c>
      <c r="G58" s="65">
        <v>7.2</v>
      </c>
      <c r="H58" s="65">
        <v>7.2</v>
      </c>
      <c r="I58" s="65">
        <v>7.2</v>
      </c>
      <c r="J58" s="65">
        <v>7.2</v>
      </c>
      <c r="K58" s="65">
        <v>7.2</v>
      </c>
      <c r="L58" s="65">
        <v>7.2</v>
      </c>
      <c r="M58" s="65">
        <v>7.2</v>
      </c>
      <c r="N58" s="65">
        <v>7.2</v>
      </c>
      <c r="O58" s="65">
        <v>7.2</v>
      </c>
      <c r="P58" s="65">
        <v>7.2</v>
      </c>
      <c r="Q58" s="65">
        <v>7.2</v>
      </c>
      <c r="R58" s="65">
        <v>7.2</v>
      </c>
      <c r="S58" s="65">
        <v>7.2</v>
      </c>
      <c r="T58" s="65">
        <v>7.2</v>
      </c>
      <c r="U58" s="65">
        <v>7.2</v>
      </c>
      <c r="V58" s="65">
        <v>7.2</v>
      </c>
      <c r="W58" s="65">
        <v>7.2</v>
      </c>
      <c r="X58" s="65">
        <v>7.2</v>
      </c>
      <c r="Y58" s="65">
        <v>7.2</v>
      </c>
      <c r="Z58" s="65">
        <v>7.2</v>
      </c>
      <c r="AA58" s="65">
        <v>7.2</v>
      </c>
      <c r="AB58" s="65">
        <v>7.2</v>
      </c>
      <c r="AC58" s="65">
        <v>7.2</v>
      </c>
      <c r="AD58" s="65">
        <v>7.2</v>
      </c>
      <c r="AE58" s="65">
        <v>7.2</v>
      </c>
      <c r="AF58" s="65">
        <v>7.2</v>
      </c>
      <c r="AG58" s="55">
        <v>14</v>
      </c>
      <c r="AH58" s="48">
        <f t="shared" si="2"/>
        <v>7.2</v>
      </c>
      <c r="AI58" s="49">
        <f t="shared" si="3"/>
        <v>7.2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6.2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6">SUM(B49:B61)</f>
        <v>181.14</v>
      </c>
      <c r="C62" s="61">
        <f t="shared" si="6"/>
        <v>178.14</v>
      </c>
      <c r="D62" s="61">
        <f t="shared" si="6"/>
        <v>199.04</v>
      </c>
      <c r="E62" s="61">
        <f t="shared" si="6"/>
        <v>173.73999999999998</v>
      </c>
      <c r="F62" s="61">
        <f t="shared" si="6"/>
        <v>163.73999999999998</v>
      </c>
      <c r="G62" s="61">
        <f t="shared" si="6"/>
        <v>210.14</v>
      </c>
      <c r="H62" s="61">
        <f t="shared" si="6"/>
        <v>216.73999999999998</v>
      </c>
      <c r="I62" s="61">
        <f t="shared" si="6"/>
        <v>284.83999999999997</v>
      </c>
      <c r="J62" s="61">
        <f t="shared" si="6"/>
        <v>316.74000000000007</v>
      </c>
      <c r="K62" s="61">
        <f t="shared" si="6"/>
        <v>352.74000000000007</v>
      </c>
      <c r="L62" s="61">
        <f t="shared" si="6"/>
        <v>389.64000000000004</v>
      </c>
      <c r="M62" s="61">
        <f t="shared" si="6"/>
        <v>388.64000000000004</v>
      </c>
      <c r="N62" s="61">
        <f t="shared" si="6"/>
        <v>388.64000000000004</v>
      </c>
      <c r="O62" s="61">
        <f t="shared" si="6"/>
        <v>372.64000000000004</v>
      </c>
      <c r="P62" s="61">
        <f t="shared" si="6"/>
        <v>364.44000000000005</v>
      </c>
      <c r="Q62" s="61">
        <f t="shared" si="6"/>
        <v>277.54000000000002</v>
      </c>
      <c r="R62" s="61">
        <f t="shared" si="6"/>
        <v>229.43999999999997</v>
      </c>
      <c r="S62" s="61">
        <f t="shared" si="6"/>
        <v>229.43999999999997</v>
      </c>
      <c r="T62" s="61">
        <f t="shared" si="6"/>
        <v>279.64000000000004</v>
      </c>
      <c r="U62" s="61">
        <f t="shared" si="6"/>
        <v>282.24</v>
      </c>
      <c r="V62" s="61">
        <f t="shared" si="6"/>
        <v>377.34000000000003</v>
      </c>
      <c r="W62" s="61">
        <f t="shared" si="6"/>
        <v>379.44000000000005</v>
      </c>
      <c r="X62" s="61">
        <v>388.24000000000007</v>
      </c>
      <c r="Y62" s="61">
        <f t="shared" si="6"/>
        <v>385.24000000000007</v>
      </c>
      <c r="Z62" s="61">
        <f t="shared" si="6"/>
        <v>371.24000000000007</v>
      </c>
      <c r="AA62" s="61">
        <f t="shared" si="6"/>
        <v>371.24000000000007</v>
      </c>
      <c r="AB62" s="61">
        <f t="shared" si="6"/>
        <v>371.24000000000007</v>
      </c>
      <c r="AC62" s="61">
        <f t="shared" si="6"/>
        <v>279.94</v>
      </c>
      <c r="AD62" s="61">
        <f t="shared" si="6"/>
        <v>255.93999999999997</v>
      </c>
      <c r="AE62" s="61">
        <f t="shared" si="6"/>
        <v>165.94</v>
      </c>
      <c r="AF62" s="61">
        <f t="shared" si="6"/>
        <v>128.63999999999999</v>
      </c>
      <c r="AG62" s="62">
        <f t="shared" si="6"/>
        <v>489.91</v>
      </c>
      <c r="AH62" s="48">
        <f t="shared" si="2"/>
        <v>389.64000000000004</v>
      </c>
      <c r="AI62" s="49">
        <f t="shared" si="3"/>
        <v>128.63999999999999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34</v>
      </c>
      <c r="K63" s="45">
        <v>60</v>
      </c>
      <c r="L63" s="45">
        <v>60</v>
      </c>
      <c r="M63" s="45">
        <v>60</v>
      </c>
      <c r="N63" s="45">
        <v>60</v>
      </c>
      <c r="O63" s="45">
        <v>60</v>
      </c>
      <c r="P63" s="45">
        <v>60</v>
      </c>
      <c r="Q63" s="45">
        <v>50</v>
      </c>
      <c r="R63" s="45">
        <v>50</v>
      </c>
      <c r="S63" s="45">
        <v>60</v>
      </c>
      <c r="T63" s="45">
        <v>60</v>
      </c>
      <c r="U63" s="45">
        <v>60</v>
      </c>
      <c r="V63" s="45">
        <v>60</v>
      </c>
      <c r="W63" s="45">
        <v>60</v>
      </c>
      <c r="X63" s="45">
        <v>60</v>
      </c>
      <c r="Y63" s="45">
        <v>60</v>
      </c>
      <c r="Z63" s="45">
        <v>60</v>
      </c>
      <c r="AA63" s="45">
        <v>60</v>
      </c>
      <c r="AB63" s="45">
        <v>60</v>
      </c>
      <c r="AC63" s="45">
        <v>60</v>
      </c>
      <c r="AD63" s="45">
        <v>60</v>
      </c>
      <c r="AE63" s="45">
        <v>60</v>
      </c>
      <c r="AF63" s="45">
        <v>30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13.5</v>
      </c>
      <c r="K64" s="65">
        <v>25.5</v>
      </c>
      <c r="L64" s="65">
        <v>28.8</v>
      </c>
      <c r="M64" s="65">
        <v>28.3</v>
      </c>
      <c r="N64" s="65">
        <v>28.3</v>
      </c>
      <c r="O64" s="65">
        <v>28.3</v>
      </c>
      <c r="P64" s="65">
        <v>28</v>
      </c>
      <c r="Q64" s="45">
        <v>22.3</v>
      </c>
      <c r="R64" s="45">
        <v>22.4</v>
      </c>
      <c r="S64" s="65">
        <v>28</v>
      </c>
      <c r="T64" s="65">
        <v>28</v>
      </c>
      <c r="U64" s="65">
        <v>28</v>
      </c>
      <c r="V64" s="65">
        <v>28</v>
      </c>
      <c r="W64" s="65">
        <v>28</v>
      </c>
      <c r="X64" s="65">
        <v>28</v>
      </c>
      <c r="Y64" s="65">
        <v>28</v>
      </c>
      <c r="Z64" s="65">
        <v>28</v>
      </c>
      <c r="AA64" s="65">
        <v>28</v>
      </c>
      <c r="AB64" s="65">
        <v>28</v>
      </c>
      <c r="AC64" s="65">
        <v>28</v>
      </c>
      <c r="AD64" s="65">
        <v>28</v>
      </c>
      <c r="AE64" s="65">
        <v>28</v>
      </c>
      <c r="AF64" s="45">
        <v>15.8</v>
      </c>
      <c r="AG64" s="55">
        <v>32</v>
      </c>
      <c r="AH64" s="48">
        <f t="shared" si="2"/>
        <v>28.8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4.9000000000000004</v>
      </c>
      <c r="K65" s="67">
        <v>9.5</v>
      </c>
      <c r="L65" s="67">
        <v>10.5</v>
      </c>
      <c r="M65" s="67">
        <v>10.3</v>
      </c>
      <c r="N65" s="67">
        <v>10.3</v>
      </c>
      <c r="O65" s="67">
        <v>10.3</v>
      </c>
      <c r="P65" s="67">
        <v>10.199999999999999</v>
      </c>
      <c r="Q65" s="45">
        <v>8.1</v>
      </c>
      <c r="R65" s="45">
        <v>8.1999999999999993</v>
      </c>
      <c r="S65" s="67">
        <v>10</v>
      </c>
      <c r="T65" s="67">
        <v>10</v>
      </c>
      <c r="U65" s="67">
        <v>10</v>
      </c>
      <c r="V65" s="67">
        <v>10.199999999999999</v>
      </c>
      <c r="W65" s="67">
        <v>10.199999999999999</v>
      </c>
      <c r="X65" s="67">
        <v>10.199999999999999</v>
      </c>
      <c r="Y65" s="67">
        <v>10.199999999999999</v>
      </c>
      <c r="Z65" s="67">
        <v>10.199999999999999</v>
      </c>
      <c r="AA65" s="67">
        <v>10.199999999999999</v>
      </c>
      <c r="AB65" s="67">
        <v>10.199999999999999</v>
      </c>
      <c r="AC65" s="67">
        <v>10.199999999999999</v>
      </c>
      <c r="AD65" s="67">
        <v>10.199999999999999</v>
      </c>
      <c r="AE65" s="67">
        <v>10.199999999999999</v>
      </c>
      <c r="AF65" s="45">
        <v>5.8</v>
      </c>
      <c r="AG65" s="68">
        <v>14</v>
      </c>
      <c r="AH65" s="48">
        <f t="shared" si="2"/>
        <v>10.5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f t="shared" ref="B66" si="7">B63+B64+B65</f>
        <v>0</v>
      </c>
      <c r="C66" s="61">
        <f t="shared" ref="C66" si="8">C63+C64+C65</f>
        <v>0</v>
      </c>
      <c r="D66" s="61">
        <f t="shared" ref="D66" si="9">D63+D64+D65</f>
        <v>0</v>
      </c>
      <c r="E66" s="61">
        <f t="shared" ref="E66" si="10">E63+E64+E65</f>
        <v>0</v>
      </c>
      <c r="F66" s="61">
        <f t="shared" ref="F66" si="11">F63+F64+F65</f>
        <v>0</v>
      </c>
      <c r="G66" s="61">
        <f t="shared" ref="G66" si="12">G63+G64+G65</f>
        <v>0</v>
      </c>
      <c r="H66" s="61">
        <f t="shared" ref="H66" si="13">H63+H64+H65</f>
        <v>0</v>
      </c>
      <c r="I66" s="61">
        <f t="shared" ref="I66" si="14">I63+I64+I65</f>
        <v>0</v>
      </c>
      <c r="J66" s="61">
        <f t="shared" ref="J66" si="15">J63+J64+J65</f>
        <v>52.4</v>
      </c>
      <c r="K66" s="61">
        <f t="shared" ref="K66" si="16">K63+K64+K65</f>
        <v>95</v>
      </c>
      <c r="L66" s="61">
        <f t="shared" ref="L66" si="17">L63+L64+L65</f>
        <v>99.3</v>
      </c>
      <c r="M66" s="61">
        <f t="shared" ref="M66:AF66" si="18">M63+M64+M65</f>
        <v>98.6</v>
      </c>
      <c r="N66" s="61">
        <f t="shared" si="18"/>
        <v>98.6</v>
      </c>
      <c r="O66" s="61">
        <f t="shared" si="18"/>
        <v>98.6</v>
      </c>
      <c r="P66" s="61">
        <f t="shared" si="18"/>
        <v>98.2</v>
      </c>
      <c r="Q66" s="61">
        <f t="shared" si="18"/>
        <v>80.399999999999991</v>
      </c>
      <c r="R66" s="61">
        <f t="shared" si="18"/>
        <v>80.600000000000009</v>
      </c>
      <c r="S66" s="61">
        <f t="shared" si="18"/>
        <v>98</v>
      </c>
      <c r="T66" s="61">
        <f t="shared" si="18"/>
        <v>98</v>
      </c>
      <c r="U66" s="61">
        <f t="shared" si="18"/>
        <v>98</v>
      </c>
      <c r="V66" s="61">
        <f t="shared" si="18"/>
        <v>98.2</v>
      </c>
      <c r="W66" s="61">
        <f t="shared" si="18"/>
        <v>98.2</v>
      </c>
      <c r="X66" s="61">
        <v>94.8</v>
      </c>
      <c r="Y66" s="61">
        <f t="shared" si="18"/>
        <v>98.2</v>
      </c>
      <c r="Z66" s="61">
        <f t="shared" si="18"/>
        <v>98.2</v>
      </c>
      <c r="AA66" s="61">
        <f>AA63+AA64+AA65</f>
        <v>98.2</v>
      </c>
      <c r="AB66" s="61">
        <f>AB63+AB64+AB65</f>
        <v>98.2</v>
      </c>
      <c r="AC66" s="61">
        <f t="shared" si="18"/>
        <v>98.2</v>
      </c>
      <c r="AD66" s="61">
        <f t="shared" si="18"/>
        <v>98.2</v>
      </c>
      <c r="AE66" s="61">
        <f t="shared" si="18"/>
        <v>98.2</v>
      </c>
      <c r="AF66" s="61">
        <f t="shared" si="18"/>
        <v>51.599999999999994</v>
      </c>
      <c r="AG66" s="62">
        <f t="shared" ref="AG66" si="19">SUM(AG63:AG65)</f>
        <v>106</v>
      </c>
      <c r="AH66" s="48">
        <f t="shared" si="2"/>
        <v>99.3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58</v>
      </c>
      <c r="C67" s="45">
        <v>52</v>
      </c>
      <c r="D67" s="45">
        <v>48</v>
      </c>
      <c r="E67" s="45">
        <v>57.5</v>
      </c>
      <c r="F67" s="45">
        <v>50</v>
      </c>
      <c r="G67" s="45">
        <v>54.2</v>
      </c>
      <c r="H67" s="45">
        <v>57.3</v>
      </c>
      <c r="I67" s="45">
        <v>65.5</v>
      </c>
      <c r="J67" s="45">
        <v>59.8</v>
      </c>
      <c r="K67" s="45">
        <v>67.5</v>
      </c>
      <c r="L67" s="45">
        <v>64.099999999999994</v>
      </c>
      <c r="M67" s="45">
        <v>66</v>
      </c>
      <c r="N67" s="45">
        <v>74</v>
      </c>
      <c r="O67" s="45">
        <v>74</v>
      </c>
      <c r="P67" s="45">
        <v>72.8</v>
      </c>
      <c r="Q67" s="45">
        <v>63</v>
      </c>
      <c r="R67" s="45">
        <v>69.099999999999994</v>
      </c>
      <c r="S67" s="45">
        <v>75</v>
      </c>
      <c r="T67" s="45">
        <v>72</v>
      </c>
      <c r="U67" s="45">
        <v>70.3</v>
      </c>
      <c r="V67" s="45">
        <v>64.7</v>
      </c>
      <c r="W67" s="45">
        <v>63.6</v>
      </c>
      <c r="X67" s="45">
        <v>72</v>
      </c>
      <c r="Y67" s="45">
        <v>69.7</v>
      </c>
      <c r="Z67" s="45">
        <v>69.7</v>
      </c>
      <c r="AA67" s="45">
        <v>63.5</v>
      </c>
      <c r="AB67" s="45">
        <v>62.4</v>
      </c>
      <c r="AC67" s="45">
        <v>61.9</v>
      </c>
      <c r="AD67" s="45">
        <v>66</v>
      </c>
      <c r="AE67" s="45">
        <v>67</v>
      </c>
      <c r="AF67" s="45">
        <v>56.1</v>
      </c>
      <c r="AG67" s="52"/>
      <c r="AH67" s="48">
        <f t="shared" si="2"/>
        <v>75</v>
      </c>
      <c r="AI67" s="49">
        <f t="shared" si="3"/>
        <v>48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135</v>
      </c>
      <c r="C69" s="65">
        <v>165</v>
      </c>
      <c r="D69" s="65">
        <v>140</v>
      </c>
      <c r="E69" s="65">
        <v>156</v>
      </c>
      <c r="F69" s="65">
        <v>155</v>
      </c>
      <c r="G69" s="65">
        <v>152</v>
      </c>
      <c r="H69" s="65">
        <v>197.6</v>
      </c>
      <c r="I69" s="65">
        <v>198</v>
      </c>
      <c r="J69" s="65">
        <v>220</v>
      </c>
      <c r="K69" s="65">
        <v>220</v>
      </c>
      <c r="L69" s="65">
        <v>19</v>
      </c>
      <c r="M69" s="65">
        <v>3.9</v>
      </c>
      <c r="N69" s="65">
        <v>-5</v>
      </c>
      <c r="O69" s="65">
        <v>118</v>
      </c>
      <c r="P69" s="65">
        <v>138</v>
      </c>
      <c r="Q69" s="65">
        <v>215</v>
      </c>
      <c r="R69" s="65">
        <v>258</v>
      </c>
      <c r="S69" s="65">
        <v>263</v>
      </c>
      <c r="T69" s="65">
        <v>287</v>
      </c>
      <c r="U69" s="65">
        <v>283</v>
      </c>
      <c r="V69" s="65">
        <v>0</v>
      </c>
      <c r="W69" s="65">
        <v>0</v>
      </c>
      <c r="X69" s="65">
        <v>0</v>
      </c>
      <c r="Y69" s="65">
        <v>0</v>
      </c>
      <c r="Z69" s="65">
        <v>85</v>
      </c>
      <c r="AA69" s="65">
        <v>87</v>
      </c>
      <c r="AB69" s="65">
        <v>118</v>
      </c>
      <c r="AC69" s="65">
        <v>159</v>
      </c>
      <c r="AD69" s="65">
        <v>138</v>
      </c>
      <c r="AE69" s="65">
        <v>192.7</v>
      </c>
      <c r="AF69" s="65">
        <v>202</v>
      </c>
      <c r="AG69" s="75"/>
      <c r="AH69" s="48">
        <f t="shared" si="2"/>
        <v>287</v>
      </c>
      <c r="AI69" s="49">
        <f t="shared" si="3"/>
        <v>-5</v>
      </c>
      <c r="AK69" s="50"/>
    </row>
    <row r="70" spans="1:40" x14ac:dyDescent="0.25">
      <c r="A70" s="54" t="s">
        <v>78</v>
      </c>
      <c r="B70" s="76">
        <v>10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10</v>
      </c>
      <c r="R70" s="76">
        <v>10</v>
      </c>
      <c r="S70" s="76">
        <v>10</v>
      </c>
      <c r="T70" s="76">
        <v>10</v>
      </c>
      <c r="U70" s="76">
        <v>27</v>
      </c>
      <c r="V70" s="76">
        <v>40</v>
      </c>
      <c r="W70" s="76">
        <v>46</v>
      </c>
      <c r="X70" s="76">
        <v>47</v>
      </c>
      <c r="Y70" s="76">
        <v>42.9</v>
      </c>
      <c r="Z70" s="76">
        <v>42.9</v>
      </c>
      <c r="AA70" s="76">
        <v>42.9</v>
      </c>
      <c r="AB70" s="65">
        <v>22.8</v>
      </c>
      <c r="AC70" s="65">
        <v>25.8</v>
      </c>
      <c r="AD70" s="65">
        <v>31.1</v>
      </c>
      <c r="AE70" s="65">
        <v>35.1</v>
      </c>
      <c r="AF70" s="65">
        <v>43.2</v>
      </c>
      <c r="AG70" s="75"/>
      <c r="AH70" s="48">
        <f t="shared" si="2"/>
        <v>47</v>
      </c>
      <c r="AI70" s="49">
        <f t="shared" si="3"/>
        <v>0</v>
      </c>
      <c r="AK70" s="50"/>
    </row>
    <row r="71" spans="1:40" x14ac:dyDescent="0.25">
      <c r="A71" s="54" t="s">
        <v>79</v>
      </c>
      <c r="B71" s="45">
        <v>30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25</v>
      </c>
      <c r="R71" s="45">
        <v>35</v>
      </c>
      <c r="S71" s="45">
        <v>35</v>
      </c>
      <c r="T71" s="45">
        <v>35</v>
      </c>
      <c r="U71" s="45">
        <v>35</v>
      </c>
      <c r="V71" s="45">
        <v>35</v>
      </c>
      <c r="W71" s="45">
        <v>0</v>
      </c>
      <c r="X71" s="45">
        <v>0</v>
      </c>
      <c r="Y71" s="45">
        <v>16</v>
      </c>
      <c r="Z71" s="45">
        <v>22</v>
      </c>
      <c r="AA71" s="45">
        <v>24</v>
      </c>
      <c r="AB71" s="45">
        <v>28</v>
      </c>
      <c r="AC71" s="45">
        <v>28</v>
      </c>
      <c r="AD71" s="45">
        <v>28</v>
      </c>
      <c r="AE71" s="45">
        <v>25</v>
      </c>
      <c r="AF71" s="45">
        <v>25</v>
      </c>
      <c r="AG71" s="75"/>
      <c r="AH71" s="48">
        <f t="shared" si="2"/>
        <v>35</v>
      </c>
      <c r="AI71" s="49">
        <f t="shared" si="3"/>
        <v>0</v>
      </c>
      <c r="AK71" s="50"/>
    </row>
    <row r="72" spans="1:40" x14ac:dyDescent="0.25">
      <c r="A72" s="54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5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20">MAX(B75:AF75)</f>
        <v>0</v>
      </c>
      <c r="AI75" s="49">
        <f t="shared" ref="AI75:AI113" si="21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20"/>
        <v>0</v>
      </c>
      <c r="AI76" s="49">
        <f t="shared" si="21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20"/>
        <v>0</v>
      </c>
      <c r="AI77" s="49">
        <f t="shared" si="21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22">SUMIF(B67:B77,"&gt;0")</f>
        <v>233</v>
      </c>
      <c r="C78" s="61">
        <f t="shared" si="22"/>
        <v>217</v>
      </c>
      <c r="D78" s="61">
        <f t="shared" si="22"/>
        <v>188</v>
      </c>
      <c r="E78" s="61">
        <f t="shared" si="22"/>
        <v>213.5</v>
      </c>
      <c r="F78" s="61">
        <f t="shared" si="22"/>
        <v>205</v>
      </c>
      <c r="G78" s="61">
        <f t="shared" si="22"/>
        <v>206.2</v>
      </c>
      <c r="H78" s="61">
        <f t="shared" si="22"/>
        <v>254.89999999999998</v>
      </c>
      <c r="I78" s="61">
        <f t="shared" si="22"/>
        <v>263.5</v>
      </c>
      <c r="J78" s="61">
        <f t="shared" si="22"/>
        <v>279.8</v>
      </c>
      <c r="K78" s="61">
        <f t="shared" si="22"/>
        <v>287.5</v>
      </c>
      <c r="L78" s="61">
        <f t="shared" si="22"/>
        <v>83.1</v>
      </c>
      <c r="M78" s="61">
        <f t="shared" si="22"/>
        <v>74.900000000000006</v>
      </c>
      <c r="N78" s="61">
        <f t="shared" si="22"/>
        <v>79</v>
      </c>
      <c r="O78" s="61">
        <f t="shared" si="22"/>
        <v>197</v>
      </c>
      <c r="P78" s="61">
        <f t="shared" si="22"/>
        <v>215.8</v>
      </c>
      <c r="Q78" s="61">
        <f t="shared" si="22"/>
        <v>318</v>
      </c>
      <c r="R78" s="61">
        <f t="shared" si="22"/>
        <v>377.1</v>
      </c>
      <c r="S78" s="61">
        <f t="shared" si="22"/>
        <v>388</v>
      </c>
      <c r="T78" s="61">
        <f t="shared" si="22"/>
        <v>409</v>
      </c>
      <c r="U78" s="61">
        <f t="shared" si="22"/>
        <v>420.3</v>
      </c>
      <c r="V78" s="61">
        <f t="shared" si="22"/>
        <v>144.69999999999999</v>
      </c>
      <c r="W78" s="61">
        <f t="shared" si="22"/>
        <v>114.6</v>
      </c>
      <c r="X78" s="61">
        <v>151.6</v>
      </c>
      <c r="Y78" s="61">
        <f t="shared" si="22"/>
        <v>133.6</v>
      </c>
      <c r="Z78" s="61">
        <f t="shared" si="22"/>
        <v>224.6</v>
      </c>
      <c r="AA78" s="61">
        <f t="shared" si="22"/>
        <v>222.4</v>
      </c>
      <c r="AB78" s="61">
        <f t="shared" si="22"/>
        <v>236.20000000000002</v>
      </c>
      <c r="AC78" s="61">
        <f t="shared" si="22"/>
        <v>279.70000000000005</v>
      </c>
      <c r="AD78" s="61">
        <f t="shared" si="22"/>
        <v>268.10000000000002</v>
      </c>
      <c r="AE78" s="61">
        <f t="shared" si="22"/>
        <v>324.8</v>
      </c>
      <c r="AF78" s="61">
        <f t="shared" si="22"/>
        <v>331.3</v>
      </c>
      <c r="AG78" s="81">
        <f>SUM(AG67:AG77)</f>
        <v>0</v>
      </c>
      <c r="AH78" s="48">
        <f t="shared" si="20"/>
        <v>420.3</v>
      </c>
      <c r="AI78" s="49">
        <f t="shared" si="21"/>
        <v>74.900000000000006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20"/>
        <v>0</v>
      </c>
      <c r="AI79" s="49">
        <f t="shared" si="21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20"/>
        <v>0</v>
      </c>
      <c r="AI80" s="49">
        <f t="shared" si="21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20"/>
        <v>0</v>
      </c>
      <c r="AI81" s="49">
        <f t="shared" si="21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20"/>
        <v>0</v>
      </c>
      <c r="AI82" s="49">
        <f t="shared" si="21"/>
        <v>0</v>
      </c>
    </row>
    <row r="83" spans="1:37" ht="15.75" thickBot="1" x14ac:dyDescent="0.3">
      <c r="A83" s="74" t="s">
        <v>91</v>
      </c>
      <c r="B83" s="83">
        <f>B44+B48+B66+B62+B78+B82</f>
        <v>995.54000000000008</v>
      </c>
      <c r="C83" s="83">
        <f t="shared" ref="C83:AG83" si="23">C44+C48+C66+C62+C78+C82</f>
        <v>976.54000000000008</v>
      </c>
      <c r="D83" s="83">
        <f t="shared" si="23"/>
        <v>968.44</v>
      </c>
      <c r="E83" s="83">
        <f t="shared" si="23"/>
        <v>993.54000000000008</v>
      </c>
      <c r="F83" s="83">
        <f t="shared" si="23"/>
        <v>980.04000000000008</v>
      </c>
      <c r="G83" s="83">
        <f t="shared" si="23"/>
        <v>1069.94</v>
      </c>
      <c r="H83" s="83">
        <f t="shared" si="23"/>
        <v>1140.1400000000001</v>
      </c>
      <c r="I83" s="83">
        <f t="shared" si="23"/>
        <v>1246.8400000000001</v>
      </c>
      <c r="J83" s="83">
        <f t="shared" si="23"/>
        <v>1357.44</v>
      </c>
      <c r="K83" s="83">
        <f t="shared" si="23"/>
        <v>1453.7400000000002</v>
      </c>
      <c r="L83" s="83">
        <f t="shared" si="23"/>
        <v>1606.64</v>
      </c>
      <c r="M83" s="83">
        <f t="shared" si="23"/>
        <v>1596.7400000000002</v>
      </c>
      <c r="N83" s="83">
        <f t="shared" si="23"/>
        <v>1489.7400000000002</v>
      </c>
      <c r="O83" s="83">
        <f t="shared" si="23"/>
        <v>1426.8400000000001</v>
      </c>
      <c r="P83" s="83">
        <f t="shared" si="23"/>
        <v>1367.0400000000002</v>
      </c>
      <c r="Q83" s="83">
        <f t="shared" si="23"/>
        <v>1269.5400000000002</v>
      </c>
      <c r="R83" s="83">
        <f t="shared" si="23"/>
        <v>1265.6400000000001</v>
      </c>
      <c r="S83" s="83">
        <f t="shared" si="23"/>
        <v>1293.94</v>
      </c>
      <c r="T83" s="83">
        <f t="shared" si="23"/>
        <v>1365.14</v>
      </c>
      <c r="U83" s="83">
        <f t="shared" si="23"/>
        <v>1378.74</v>
      </c>
      <c r="V83" s="83">
        <f t="shared" si="23"/>
        <v>1453.44</v>
      </c>
      <c r="W83" s="83">
        <f t="shared" si="23"/>
        <v>1570.9399999999998</v>
      </c>
      <c r="X83" s="83">
        <v>1704.6399999999999</v>
      </c>
      <c r="Y83" s="83">
        <f t="shared" si="23"/>
        <v>1595.7399999999998</v>
      </c>
      <c r="Z83" s="83">
        <f t="shared" si="23"/>
        <v>1422.74</v>
      </c>
      <c r="AA83" s="83">
        <f t="shared" si="23"/>
        <v>1346.5400000000002</v>
      </c>
      <c r="AB83" s="83">
        <f t="shared" si="23"/>
        <v>1360.3400000000001</v>
      </c>
      <c r="AC83" s="83">
        <f t="shared" si="23"/>
        <v>1326.54</v>
      </c>
      <c r="AD83" s="83">
        <f t="shared" si="23"/>
        <v>1291.04</v>
      </c>
      <c r="AE83" s="83">
        <f t="shared" si="23"/>
        <v>1167.6399999999999</v>
      </c>
      <c r="AF83" s="83">
        <f t="shared" si="23"/>
        <v>1090.3399999999999</v>
      </c>
      <c r="AG83" s="62">
        <f t="shared" si="23"/>
        <v>2004.1900000000003</v>
      </c>
      <c r="AH83" s="48">
        <f>MAX(B83:AF83)</f>
        <v>1704.6399999999999</v>
      </c>
      <c r="AI83" s="49">
        <f>MIN(B83:AF83)</f>
        <v>968.44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>
        <v>80</v>
      </c>
      <c r="N84" s="85">
        <v>80</v>
      </c>
      <c r="O84" s="85">
        <v>95</v>
      </c>
      <c r="P84" s="85">
        <v>95</v>
      </c>
      <c r="Q84" s="85">
        <v>80</v>
      </c>
      <c r="R84" s="85">
        <v>20</v>
      </c>
      <c r="S84" s="85"/>
      <c r="T84" s="85"/>
      <c r="U84" s="85"/>
      <c r="V84" s="85"/>
      <c r="W84" s="85"/>
      <c r="X84" s="85"/>
      <c r="Y84" s="85"/>
      <c r="Z84" s="85">
        <v>100</v>
      </c>
      <c r="AA84" s="85">
        <v>130</v>
      </c>
      <c r="AB84" s="85">
        <v>120</v>
      </c>
      <c r="AC84" s="85">
        <v>100</v>
      </c>
      <c r="AD84" s="85"/>
      <c r="AE84" s="85"/>
      <c r="AF84" s="85"/>
      <c r="AG84" s="81"/>
      <c r="AH84" s="48">
        <f t="shared" si="20"/>
        <v>130</v>
      </c>
      <c r="AI84" s="49">
        <f t="shared" si="21"/>
        <v>20</v>
      </c>
    </row>
    <row r="85" spans="1:37" ht="15.75" thickBot="1" x14ac:dyDescent="0.3">
      <c r="A85" s="74" t="s">
        <v>93</v>
      </c>
      <c r="B85" s="83">
        <f>B83+B84</f>
        <v>995.54000000000008</v>
      </c>
      <c r="C85" s="83">
        <f t="shared" ref="C85:AF85" si="24">C83+C84</f>
        <v>976.54000000000008</v>
      </c>
      <c r="D85" s="83">
        <f t="shared" si="24"/>
        <v>968.44</v>
      </c>
      <c r="E85" s="83">
        <f t="shared" si="24"/>
        <v>993.54000000000008</v>
      </c>
      <c r="F85" s="83">
        <f t="shared" si="24"/>
        <v>980.04000000000008</v>
      </c>
      <c r="G85" s="83">
        <f t="shared" si="24"/>
        <v>1069.94</v>
      </c>
      <c r="H85" s="83">
        <f t="shared" si="24"/>
        <v>1140.1400000000001</v>
      </c>
      <c r="I85" s="83">
        <f t="shared" si="24"/>
        <v>1246.8400000000001</v>
      </c>
      <c r="J85" s="83">
        <f t="shared" si="24"/>
        <v>1357.44</v>
      </c>
      <c r="K85" s="83">
        <f t="shared" si="24"/>
        <v>1453.7400000000002</v>
      </c>
      <c r="L85" s="83">
        <f t="shared" si="24"/>
        <v>1606.64</v>
      </c>
      <c r="M85" s="83">
        <f t="shared" si="24"/>
        <v>1676.7400000000002</v>
      </c>
      <c r="N85" s="83">
        <f t="shared" si="24"/>
        <v>1569.7400000000002</v>
      </c>
      <c r="O85" s="83">
        <f t="shared" si="24"/>
        <v>1521.8400000000001</v>
      </c>
      <c r="P85" s="83">
        <f t="shared" si="24"/>
        <v>1462.0400000000002</v>
      </c>
      <c r="Q85" s="83">
        <f t="shared" si="24"/>
        <v>1349.5400000000002</v>
      </c>
      <c r="R85" s="83">
        <f t="shared" si="24"/>
        <v>1285.6400000000001</v>
      </c>
      <c r="S85" s="83">
        <f t="shared" si="24"/>
        <v>1293.94</v>
      </c>
      <c r="T85" s="83">
        <f t="shared" si="24"/>
        <v>1365.14</v>
      </c>
      <c r="U85" s="83">
        <f t="shared" si="24"/>
        <v>1378.74</v>
      </c>
      <c r="V85" s="83">
        <f t="shared" si="24"/>
        <v>1453.44</v>
      </c>
      <c r="W85" s="83">
        <f t="shared" si="24"/>
        <v>1570.9399999999998</v>
      </c>
      <c r="X85" s="83">
        <v>1704.6399999999999</v>
      </c>
      <c r="Y85" s="83">
        <f t="shared" si="24"/>
        <v>1595.7399999999998</v>
      </c>
      <c r="Z85" s="83">
        <f t="shared" si="24"/>
        <v>1522.74</v>
      </c>
      <c r="AA85" s="83">
        <f t="shared" si="24"/>
        <v>1476.5400000000002</v>
      </c>
      <c r="AB85" s="83">
        <f t="shared" si="24"/>
        <v>1480.3400000000001</v>
      </c>
      <c r="AC85" s="83">
        <f t="shared" si="24"/>
        <v>1426.54</v>
      </c>
      <c r="AD85" s="83">
        <f t="shared" si="24"/>
        <v>1291.04</v>
      </c>
      <c r="AE85" s="83">
        <f t="shared" si="24"/>
        <v>1167.6399999999999</v>
      </c>
      <c r="AF85" s="83">
        <f t="shared" si="24"/>
        <v>1090.3399999999999</v>
      </c>
      <c r="AG85" s="81">
        <f>AG82+AG78+AG66+AG62+AG44+AG84</f>
        <v>1466.0900000000001</v>
      </c>
      <c r="AH85" s="48">
        <f t="shared" si="20"/>
        <v>1704.6399999999999</v>
      </c>
      <c r="AI85" s="49">
        <f t="shared" si="21"/>
        <v>968.44</v>
      </c>
    </row>
    <row r="86" spans="1:37" ht="15.75" thickBot="1" x14ac:dyDescent="0.3">
      <c r="A86" s="74" t="s">
        <v>94</v>
      </c>
      <c r="B86" s="83">
        <f t="shared" ref="B86:AF86" si="25">B85-B93</f>
        <v>995.54000000000008</v>
      </c>
      <c r="C86" s="83">
        <f t="shared" si="25"/>
        <v>976.54000000000008</v>
      </c>
      <c r="D86" s="83">
        <f t="shared" si="25"/>
        <v>968.44</v>
      </c>
      <c r="E86" s="83">
        <f t="shared" si="25"/>
        <v>993.54000000000008</v>
      </c>
      <c r="F86" s="83">
        <f t="shared" si="25"/>
        <v>980.04000000000008</v>
      </c>
      <c r="G86" s="83">
        <f t="shared" si="25"/>
        <v>1069.94</v>
      </c>
      <c r="H86" s="83">
        <f t="shared" si="25"/>
        <v>1140.1400000000001</v>
      </c>
      <c r="I86" s="83">
        <f t="shared" si="25"/>
        <v>1246.8400000000001</v>
      </c>
      <c r="J86" s="83">
        <f t="shared" si="25"/>
        <v>1357.44</v>
      </c>
      <c r="K86" s="83">
        <f t="shared" si="25"/>
        <v>1453.7400000000002</v>
      </c>
      <c r="L86" s="83">
        <f t="shared" si="25"/>
        <v>1606.64</v>
      </c>
      <c r="M86" s="83">
        <f t="shared" si="25"/>
        <v>1676.7400000000002</v>
      </c>
      <c r="N86" s="83">
        <f t="shared" si="25"/>
        <v>1569.7400000000002</v>
      </c>
      <c r="O86" s="83">
        <f t="shared" si="25"/>
        <v>1521.8400000000001</v>
      </c>
      <c r="P86" s="83">
        <f t="shared" si="25"/>
        <v>1462.0400000000002</v>
      </c>
      <c r="Q86" s="83">
        <f t="shared" si="25"/>
        <v>1349.5400000000002</v>
      </c>
      <c r="R86" s="83">
        <f t="shared" si="25"/>
        <v>1285.6400000000001</v>
      </c>
      <c r="S86" s="83">
        <f t="shared" si="25"/>
        <v>1293.94</v>
      </c>
      <c r="T86" s="83">
        <f t="shared" si="25"/>
        <v>1365.14</v>
      </c>
      <c r="U86" s="83">
        <f t="shared" si="25"/>
        <v>1378.74</v>
      </c>
      <c r="V86" s="83">
        <f t="shared" si="25"/>
        <v>1453.44</v>
      </c>
      <c r="W86" s="83">
        <f t="shared" si="25"/>
        <v>1570.9399999999998</v>
      </c>
      <c r="X86" s="83">
        <v>1704.6399999999999</v>
      </c>
      <c r="Y86" s="83">
        <f t="shared" si="25"/>
        <v>1545.7399999999998</v>
      </c>
      <c r="Z86" s="83">
        <f t="shared" si="25"/>
        <v>1522.74</v>
      </c>
      <c r="AA86" s="83">
        <f t="shared" si="25"/>
        <v>1476.5400000000002</v>
      </c>
      <c r="AB86" s="83">
        <f t="shared" si="25"/>
        <v>1480.3400000000001</v>
      </c>
      <c r="AC86" s="83">
        <f t="shared" si="25"/>
        <v>1426.54</v>
      </c>
      <c r="AD86" s="83">
        <f t="shared" si="25"/>
        <v>1291.04</v>
      </c>
      <c r="AE86" s="83">
        <f t="shared" si="25"/>
        <v>1167.6399999999999</v>
      </c>
      <c r="AF86" s="83">
        <f t="shared" si="25"/>
        <v>1090.3399999999999</v>
      </c>
      <c r="AG86" s="81"/>
      <c r="AH86" s="48">
        <f t="shared" si="20"/>
        <v>1704.6399999999999</v>
      </c>
      <c r="AI86" s="49">
        <f t="shared" si="21"/>
        <v>968.44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20"/>
        <v>0</v>
      </c>
      <c r="AI87" s="49">
        <f t="shared" si="21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20"/>
        <v>0</v>
      </c>
      <c r="AI88" s="49">
        <f t="shared" si="21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20"/>
        <v>0</v>
      </c>
      <c r="AI89" s="49">
        <f t="shared" si="21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20"/>
        <v>0</v>
      </c>
      <c r="AI90" s="49">
        <f t="shared" si="21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20"/>
        <v>0</v>
      </c>
      <c r="AI91" s="49">
        <f t="shared" si="21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20"/>
        <v>0</v>
      </c>
      <c r="AI92" s="49">
        <f t="shared" si="21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>
        <v>50</v>
      </c>
      <c r="Z93" s="61"/>
      <c r="AA93" s="61"/>
      <c r="AB93" s="61"/>
      <c r="AC93" s="61"/>
      <c r="AD93" s="61"/>
      <c r="AE93" s="61"/>
      <c r="AF93" s="61"/>
      <c r="AG93" s="81"/>
      <c r="AH93" s="48">
        <f t="shared" si="20"/>
        <v>50</v>
      </c>
      <c r="AI93" s="49">
        <f t="shared" si="21"/>
        <v>0</v>
      </c>
      <c r="AK93" s="50"/>
    </row>
    <row r="94" spans="1:37" ht="15.75" thickBot="1" x14ac:dyDescent="0.3">
      <c r="A94" s="74" t="s">
        <v>99</v>
      </c>
      <c r="B94" s="61">
        <f t="shared" ref="B94:AF94" si="26">B78-B93</f>
        <v>233</v>
      </c>
      <c r="C94" s="61">
        <f t="shared" si="26"/>
        <v>217</v>
      </c>
      <c r="D94" s="61">
        <f t="shared" si="26"/>
        <v>188</v>
      </c>
      <c r="E94" s="61">
        <f t="shared" si="26"/>
        <v>213.5</v>
      </c>
      <c r="F94" s="61">
        <f t="shared" si="26"/>
        <v>205</v>
      </c>
      <c r="G94" s="61">
        <f t="shared" si="26"/>
        <v>206.2</v>
      </c>
      <c r="H94" s="61">
        <f t="shared" si="26"/>
        <v>254.89999999999998</v>
      </c>
      <c r="I94" s="61">
        <f t="shared" si="26"/>
        <v>263.5</v>
      </c>
      <c r="J94" s="61">
        <f t="shared" si="26"/>
        <v>279.8</v>
      </c>
      <c r="K94" s="61">
        <f t="shared" si="26"/>
        <v>287.5</v>
      </c>
      <c r="L94" s="61">
        <f t="shared" si="26"/>
        <v>83.1</v>
      </c>
      <c r="M94" s="61">
        <f t="shared" si="26"/>
        <v>74.900000000000006</v>
      </c>
      <c r="N94" s="61">
        <f t="shared" si="26"/>
        <v>79</v>
      </c>
      <c r="O94" s="61">
        <f t="shared" si="26"/>
        <v>197</v>
      </c>
      <c r="P94" s="61">
        <f t="shared" si="26"/>
        <v>215.8</v>
      </c>
      <c r="Q94" s="61">
        <f t="shared" si="26"/>
        <v>318</v>
      </c>
      <c r="R94" s="61">
        <f t="shared" si="26"/>
        <v>377.1</v>
      </c>
      <c r="S94" s="61">
        <f t="shared" si="26"/>
        <v>388</v>
      </c>
      <c r="T94" s="61">
        <f t="shared" si="26"/>
        <v>409</v>
      </c>
      <c r="U94" s="61">
        <f t="shared" si="26"/>
        <v>420.3</v>
      </c>
      <c r="V94" s="61">
        <f t="shared" si="26"/>
        <v>144.69999999999999</v>
      </c>
      <c r="W94" s="61">
        <f t="shared" si="26"/>
        <v>114.6</v>
      </c>
      <c r="X94" s="61">
        <v>151.6</v>
      </c>
      <c r="Y94" s="61">
        <f t="shared" si="26"/>
        <v>83.6</v>
      </c>
      <c r="Z94" s="61">
        <f t="shared" si="26"/>
        <v>224.6</v>
      </c>
      <c r="AA94" s="61">
        <f t="shared" si="26"/>
        <v>222.4</v>
      </c>
      <c r="AB94" s="61">
        <f t="shared" si="26"/>
        <v>236.20000000000002</v>
      </c>
      <c r="AC94" s="61">
        <f t="shared" si="26"/>
        <v>279.70000000000005</v>
      </c>
      <c r="AD94" s="61">
        <f t="shared" si="26"/>
        <v>268.10000000000002</v>
      </c>
      <c r="AE94" s="61">
        <f t="shared" si="26"/>
        <v>324.8</v>
      </c>
      <c r="AF94" s="61">
        <f t="shared" si="26"/>
        <v>331.3</v>
      </c>
      <c r="AG94" s="81"/>
      <c r="AH94" s="48">
        <f t="shared" si="20"/>
        <v>420.3</v>
      </c>
      <c r="AI94" s="49">
        <f t="shared" si="21"/>
        <v>74.900000000000006</v>
      </c>
    </row>
    <row r="95" spans="1:37" x14ac:dyDescent="0.25">
      <c r="A95" s="88" t="s">
        <v>100</v>
      </c>
      <c r="B95" s="89">
        <v>49.936999999999998</v>
      </c>
      <c r="C95" s="89">
        <v>49.936999999999998</v>
      </c>
      <c r="D95" s="89">
        <v>50.034999999999997</v>
      </c>
      <c r="E95" s="89">
        <v>50.034999999999997</v>
      </c>
      <c r="F95" s="89">
        <v>50.042000000000002</v>
      </c>
      <c r="G95" s="89">
        <v>50</v>
      </c>
      <c r="H95" s="89">
        <v>49.857999999999997</v>
      </c>
      <c r="I95" s="89">
        <v>49.924999999999997</v>
      </c>
      <c r="J95" s="89">
        <v>50.04</v>
      </c>
      <c r="K95" s="89">
        <v>50.04</v>
      </c>
      <c r="L95" s="89">
        <v>49.963999999999999</v>
      </c>
      <c r="M95" s="89">
        <v>50.052</v>
      </c>
      <c r="N95" s="89">
        <v>50.101999999999997</v>
      </c>
      <c r="O95" s="89">
        <v>50.04</v>
      </c>
      <c r="P95" s="89">
        <v>49.947000000000003</v>
      </c>
      <c r="Q95" s="89">
        <v>49.917999999999999</v>
      </c>
      <c r="R95" s="89">
        <v>49.917999999999999</v>
      </c>
      <c r="S95" s="89">
        <v>49.91</v>
      </c>
      <c r="T95" s="89">
        <v>49.66</v>
      </c>
      <c r="U95" s="89">
        <v>49.97</v>
      </c>
      <c r="V95" s="89">
        <v>50.04</v>
      </c>
      <c r="W95" s="89">
        <v>49.97</v>
      </c>
      <c r="X95" s="89">
        <v>49.97</v>
      </c>
      <c r="Y95" s="89">
        <v>49.83</v>
      </c>
      <c r="Z95" s="89">
        <v>50.09</v>
      </c>
      <c r="AA95" s="89">
        <v>49.86</v>
      </c>
      <c r="AB95" s="89">
        <v>50.024999999999999</v>
      </c>
      <c r="AC95" s="89">
        <v>49.914999999999999</v>
      </c>
      <c r="AD95" s="89">
        <v>50.003</v>
      </c>
      <c r="AE95" s="89">
        <v>50.067</v>
      </c>
      <c r="AF95" s="89">
        <v>50.027999999999999</v>
      </c>
      <c r="AG95" s="90"/>
      <c r="AH95" s="48">
        <f t="shared" si="20"/>
        <v>50.101999999999997</v>
      </c>
      <c r="AI95" s="49">
        <f t="shared" si="21"/>
        <v>49.66</v>
      </c>
    </row>
    <row r="96" spans="1:37" x14ac:dyDescent="0.25">
      <c r="A96" s="91" t="s">
        <v>101</v>
      </c>
      <c r="B96" s="65">
        <v>128.6</v>
      </c>
      <c r="C96" s="65">
        <v>128.6</v>
      </c>
      <c r="D96" s="65">
        <v>128.19999999999999</v>
      </c>
      <c r="E96" s="65">
        <v>127.5</v>
      </c>
      <c r="F96" s="65">
        <v>129.5</v>
      </c>
      <c r="G96" s="65">
        <v>127</v>
      </c>
      <c r="H96" s="65">
        <v>124.1</v>
      </c>
      <c r="I96" s="65">
        <v>123.7</v>
      </c>
      <c r="J96" s="65">
        <v>124.4</v>
      </c>
      <c r="K96" s="65">
        <v>124.4</v>
      </c>
      <c r="L96" s="65">
        <v>126.6</v>
      </c>
      <c r="M96" s="65">
        <v>125</v>
      </c>
      <c r="N96" s="65">
        <v>126.6</v>
      </c>
      <c r="O96" s="65">
        <v>125.5</v>
      </c>
      <c r="P96" s="65">
        <v>126.4</v>
      </c>
      <c r="Q96" s="65">
        <v>127.2</v>
      </c>
      <c r="R96" s="65">
        <v>125.9</v>
      </c>
      <c r="S96" s="65">
        <v>125.9</v>
      </c>
      <c r="T96" s="65">
        <v>126</v>
      </c>
      <c r="U96" s="65">
        <v>124.3</v>
      </c>
      <c r="V96" s="65">
        <v>126.4</v>
      </c>
      <c r="W96" s="65">
        <v>125</v>
      </c>
      <c r="X96" s="65">
        <v>125</v>
      </c>
      <c r="Y96" s="65">
        <v>126.5</v>
      </c>
      <c r="Z96" s="65">
        <v>130.9</v>
      </c>
      <c r="AA96" s="65">
        <v>130.5</v>
      </c>
      <c r="AB96" s="65">
        <v>130.19999999999999</v>
      </c>
      <c r="AC96" s="65">
        <v>129.80000000000001</v>
      </c>
      <c r="AD96" s="65">
        <v>130.19999999999999</v>
      </c>
      <c r="AE96" s="65">
        <v>130.69999999999999</v>
      </c>
      <c r="AF96" s="65">
        <v>129.69999999999999</v>
      </c>
      <c r="AG96" s="92"/>
      <c r="AH96" s="48">
        <f t="shared" si="20"/>
        <v>130.9</v>
      </c>
      <c r="AI96" s="49">
        <f t="shared" si="21"/>
        <v>123.7</v>
      </c>
    </row>
    <row r="97" spans="1:35" x14ac:dyDescent="0.25">
      <c r="A97" s="91" t="s">
        <v>102</v>
      </c>
      <c r="B97" s="65">
        <v>132.5</v>
      </c>
      <c r="C97" s="65">
        <v>132.5</v>
      </c>
      <c r="D97" s="65">
        <v>132.1</v>
      </c>
      <c r="E97" s="65">
        <v>131.9</v>
      </c>
      <c r="F97" s="65">
        <v>133</v>
      </c>
      <c r="G97" s="65">
        <v>131.19999999999999</v>
      </c>
      <c r="H97" s="65">
        <v>128.80000000000001</v>
      </c>
      <c r="I97" s="65">
        <v>128.1</v>
      </c>
      <c r="J97" s="65">
        <v>128.30000000000001</v>
      </c>
      <c r="K97" s="65">
        <v>128.30000000000001</v>
      </c>
      <c r="L97" s="65">
        <v>128.69999999999999</v>
      </c>
      <c r="M97" s="65">
        <v>127.3</v>
      </c>
      <c r="N97" s="65">
        <v>128.69999999999999</v>
      </c>
      <c r="O97" s="65">
        <v>126.9</v>
      </c>
      <c r="P97" s="65">
        <v>127.4</v>
      </c>
      <c r="Q97" s="65">
        <v>128.30000000000001</v>
      </c>
      <c r="R97" s="65">
        <v>127.6</v>
      </c>
      <c r="S97" s="65">
        <v>128</v>
      </c>
      <c r="T97" s="65">
        <v>128</v>
      </c>
      <c r="U97" s="65">
        <v>126.8</v>
      </c>
      <c r="V97" s="65">
        <v>128.80000000000001</v>
      </c>
      <c r="W97" s="65">
        <v>127.1</v>
      </c>
      <c r="X97" s="65">
        <v>127.1</v>
      </c>
      <c r="Y97" s="65">
        <v>128.1</v>
      </c>
      <c r="Z97" s="65">
        <v>131.1</v>
      </c>
      <c r="AA97" s="65">
        <v>130.80000000000001</v>
      </c>
      <c r="AB97" s="65">
        <v>131.19999999999999</v>
      </c>
      <c r="AC97" s="65">
        <v>131.4</v>
      </c>
      <c r="AD97" s="65">
        <v>131.69999999999999</v>
      </c>
      <c r="AE97" s="65">
        <v>132.9</v>
      </c>
      <c r="AF97" s="65">
        <v>132.6</v>
      </c>
      <c r="AG97" s="92"/>
      <c r="AH97" s="48">
        <f t="shared" si="20"/>
        <v>133</v>
      </c>
      <c r="AI97" s="49">
        <f t="shared" si="21"/>
        <v>126.8</v>
      </c>
    </row>
    <row r="98" spans="1:35" x14ac:dyDescent="0.25">
      <c r="A98" s="91" t="s">
        <v>103</v>
      </c>
      <c r="B98" s="65">
        <v>129.6</v>
      </c>
      <c r="C98" s="65">
        <v>129.6</v>
      </c>
      <c r="D98" s="65">
        <v>129.69999999999999</v>
      </c>
      <c r="E98" s="65">
        <v>129.4</v>
      </c>
      <c r="F98" s="65">
        <v>129.6</v>
      </c>
      <c r="G98" s="65">
        <v>128</v>
      </c>
      <c r="H98" s="65">
        <v>127.3</v>
      </c>
      <c r="I98" s="65">
        <v>129</v>
      </c>
      <c r="J98" s="65">
        <v>126.2</v>
      </c>
      <c r="K98" s="65">
        <v>126.2</v>
      </c>
      <c r="L98" s="65">
        <v>128.19999999999999</v>
      </c>
      <c r="M98" s="65">
        <v>129.6</v>
      </c>
      <c r="N98" s="65">
        <v>130.5</v>
      </c>
      <c r="O98" s="65">
        <v>130.19999999999999</v>
      </c>
      <c r="P98" s="65">
        <v>130</v>
      </c>
      <c r="Q98" s="65">
        <v>130.9</v>
      </c>
      <c r="R98" s="65">
        <v>131.19999999999999</v>
      </c>
      <c r="S98" s="65">
        <v>128</v>
      </c>
      <c r="T98" s="65">
        <v>128</v>
      </c>
      <c r="U98" s="65">
        <v>129.4</v>
      </c>
      <c r="V98" s="65">
        <v>130.5</v>
      </c>
      <c r="W98" s="65">
        <v>127.8</v>
      </c>
      <c r="X98" s="65">
        <v>127.8</v>
      </c>
      <c r="Y98" s="65">
        <v>131.5</v>
      </c>
      <c r="Z98" s="65">
        <v>133</v>
      </c>
      <c r="AA98" s="65">
        <v>131.80000000000001</v>
      </c>
      <c r="AB98" s="65">
        <v>132.19999999999999</v>
      </c>
      <c r="AC98" s="65">
        <v>129.5</v>
      </c>
      <c r="AD98" s="65">
        <v>129.5</v>
      </c>
      <c r="AE98" s="65">
        <v>129.80000000000001</v>
      </c>
      <c r="AF98" s="65">
        <v>129.4</v>
      </c>
      <c r="AG98" s="92"/>
      <c r="AH98" s="48">
        <f t="shared" si="20"/>
        <v>133</v>
      </c>
      <c r="AI98" s="49">
        <f t="shared" si="21"/>
        <v>126.2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20"/>
        <v>0</v>
      </c>
      <c r="AI99" s="49">
        <f t="shared" si="21"/>
        <v>0</v>
      </c>
    </row>
    <row r="100" spans="1:35" x14ac:dyDescent="0.25">
      <c r="A100" s="93" t="s">
        <v>105</v>
      </c>
      <c r="B100" s="94">
        <v>132.4</v>
      </c>
      <c r="C100" s="94">
        <v>132.4</v>
      </c>
      <c r="D100" s="94">
        <v>131</v>
      </c>
      <c r="E100" s="94">
        <v>131.69999999999999</v>
      </c>
      <c r="F100" s="94">
        <v>134.30000000000001</v>
      </c>
      <c r="G100" s="94">
        <v>133</v>
      </c>
      <c r="H100" s="94">
        <v>130.80000000000001</v>
      </c>
      <c r="I100" s="94">
        <v>132.9</v>
      </c>
      <c r="J100" s="94">
        <v>132.4</v>
      </c>
      <c r="K100" s="94">
        <v>132.4</v>
      </c>
      <c r="L100" s="94">
        <v>135</v>
      </c>
      <c r="M100" s="94">
        <v>132.4</v>
      </c>
      <c r="N100" s="94">
        <v>135</v>
      </c>
      <c r="O100" s="94">
        <v>133.6</v>
      </c>
      <c r="P100" s="94">
        <v>133</v>
      </c>
      <c r="Q100" s="94">
        <v>134.30000000000001</v>
      </c>
      <c r="R100" s="94">
        <v>129.69999999999999</v>
      </c>
      <c r="S100" s="94">
        <v>132.6</v>
      </c>
      <c r="T100" s="94">
        <v>133.6</v>
      </c>
      <c r="U100" s="94">
        <v>130.30000000000001</v>
      </c>
      <c r="V100" s="94">
        <v>135</v>
      </c>
      <c r="W100" s="94">
        <v>132.4</v>
      </c>
      <c r="X100" s="94">
        <v>132.4</v>
      </c>
      <c r="Y100" s="94">
        <v>135.30000000000001</v>
      </c>
      <c r="Z100" s="94">
        <v>134.9</v>
      </c>
      <c r="AA100" s="94">
        <v>134.5</v>
      </c>
      <c r="AB100" s="94">
        <v>135.69999999999999</v>
      </c>
      <c r="AC100" s="94">
        <v>134.19999999999999</v>
      </c>
      <c r="AD100" s="94">
        <v>134.19999999999999</v>
      </c>
      <c r="AE100" s="94">
        <v>134.69999999999999</v>
      </c>
      <c r="AF100" s="94">
        <v>132.80000000000001</v>
      </c>
      <c r="AG100" s="95"/>
      <c r="AH100" s="48">
        <f t="shared" si="20"/>
        <v>135.69999999999999</v>
      </c>
      <c r="AI100" s="49">
        <f t="shared" si="21"/>
        <v>129.69999999999999</v>
      </c>
    </row>
    <row r="101" spans="1:35" x14ac:dyDescent="0.25">
      <c r="A101" s="91" t="s">
        <v>106</v>
      </c>
      <c r="B101" s="65">
        <v>130.19999999999999</v>
      </c>
      <c r="C101" s="65">
        <v>130.19999999999999</v>
      </c>
      <c r="D101" s="65">
        <v>129.19999999999999</v>
      </c>
      <c r="E101" s="65">
        <v>130.5</v>
      </c>
      <c r="F101" s="65">
        <v>133.69999999999999</v>
      </c>
      <c r="G101" s="65">
        <v>131</v>
      </c>
      <c r="H101" s="65">
        <v>128</v>
      </c>
      <c r="I101" s="65">
        <v>129.9</v>
      </c>
      <c r="J101" s="65">
        <v>127.4</v>
      </c>
      <c r="K101" s="65">
        <v>127.4</v>
      </c>
      <c r="L101" s="65">
        <v>130.30000000000001</v>
      </c>
      <c r="M101" s="65">
        <v>129.80000000000001</v>
      </c>
      <c r="N101" s="65">
        <v>122.7</v>
      </c>
      <c r="O101" s="65">
        <v>123.7</v>
      </c>
      <c r="P101" s="65">
        <v>121.5</v>
      </c>
      <c r="Q101" s="65">
        <v>130.1</v>
      </c>
      <c r="R101" s="65">
        <v>125.8</v>
      </c>
      <c r="S101" s="65">
        <v>129.5</v>
      </c>
      <c r="T101" s="65">
        <v>131</v>
      </c>
      <c r="U101" s="65">
        <v>125.6</v>
      </c>
      <c r="V101" s="65">
        <v>130.6</v>
      </c>
      <c r="W101" s="65">
        <v>132</v>
      </c>
      <c r="X101" s="65">
        <v>132</v>
      </c>
      <c r="Y101" s="65">
        <v>129.1</v>
      </c>
      <c r="Z101" s="65">
        <v>130.80000000000001</v>
      </c>
      <c r="AA101" s="65">
        <v>128.30000000000001</v>
      </c>
      <c r="AB101" s="65">
        <v>134.80000000000001</v>
      </c>
      <c r="AC101" s="65">
        <v>133.5</v>
      </c>
      <c r="AD101" s="65">
        <v>133.5</v>
      </c>
      <c r="AE101" s="65">
        <v>135.80000000000001</v>
      </c>
      <c r="AF101" s="65">
        <v>134.30000000000001</v>
      </c>
      <c r="AG101" s="92"/>
      <c r="AH101" s="48">
        <f t="shared" si="20"/>
        <v>135.80000000000001</v>
      </c>
      <c r="AI101" s="49">
        <f t="shared" si="21"/>
        <v>121.5</v>
      </c>
    </row>
    <row r="102" spans="1:35" ht="15.75" thickBot="1" x14ac:dyDescent="0.3">
      <c r="A102" s="91" t="s">
        <v>107</v>
      </c>
      <c r="B102" s="96">
        <v>66.8</v>
      </c>
      <c r="C102" s="96">
        <v>66.8</v>
      </c>
      <c r="D102" s="96">
        <v>66.599999999999994</v>
      </c>
      <c r="E102" s="96">
        <v>66.5</v>
      </c>
      <c r="F102" s="96">
        <v>66.8</v>
      </c>
      <c r="G102" s="96">
        <v>66.099999999999994</v>
      </c>
      <c r="H102" s="96">
        <v>64.900000000000006</v>
      </c>
      <c r="I102" s="96">
        <v>64.400000000000006</v>
      </c>
      <c r="J102" s="96">
        <v>64.8</v>
      </c>
      <c r="K102" s="96">
        <v>64.8</v>
      </c>
      <c r="L102" s="96">
        <v>64.2</v>
      </c>
      <c r="M102" s="96">
        <v>63.4</v>
      </c>
      <c r="N102" s="96">
        <v>64</v>
      </c>
      <c r="O102" s="96">
        <v>63.4</v>
      </c>
      <c r="P102" s="96">
        <v>63.6</v>
      </c>
      <c r="Q102" s="96">
        <v>64.099999999999994</v>
      </c>
      <c r="R102" s="96">
        <v>63.7</v>
      </c>
      <c r="S102" s="96">
        <v>64</v>
      </c>
      <c r="T102" s="96">
        <v>64</v>
      </c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20"/>
        <v>66.8</v>
      </c>
      <c r="AI102" s="49">
        <f t="shared" si="21"/>
        <v>63.4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20"/>
        <v>0</v>
      </c>
      <c r="AI103" s="49">
        <f t="shared" si="21"/>
        <v>0</v>
      </c>
    </row>
    <row r="104" spans="1:35" ht="15.75" thickBot="1" x14ac:dyDescent="0.3">
      <c r="A104" s="99" t="s">
        <v>108</v>
      </c>
      <c r="B104" s="100">
        <f t="shared" ref="B104:AF104" si="27">SUM(B16,B22,B25:B26,B52,B54:B55,B57,B59,B105:B109,B131,B137,B143,B152,B154,B166,B173,B176:B177,B184,B186,B188,B192:B194,B196:B198,B203,B209:B210,B212:B214,B222,B227)</f>
        <v>112.5</v>
      </c>
      <c r="C104" s="100">
        <f t="shared" si="27"/>
        <v>113.44</v>
      </c>
      <c r="D104" s="100">
        <f t="shared" si="27"/>
        <v>105.54</v>
      </c>
      <c r="E104" s="100">
        <f t="shared" si="27"/>
        <v>102.94000000000001</v>
      </c>
      <c r="F104" s="100">
        <f t="shared" si="27"/>
        <v>107.44</v>
      </c>
      <c r="G104" s="100">
        <f t="shared" si="27"/>
        <v>129.73999999999995</v>
      </c>
      <c r="H104" s="100">
        <f t="shared" si="27"/>
        <v>167.43999999999997</v>
      </c>
      <c r="I104" s="100">
        <f t="shared" si="27"/>
        <v>194.83999999999997</v>
      </c>
      <c r="J104" s="100">
        <f t="shared" si="27"/>
        <v>260.53999999999996</v>
      </c>
      <c r="K104" s="100">
        <f t="shared" si="27"/>
        <v>260.53999999999996</v>
      </c>
      <c r="L104" s="100">
        <f t="shared" si="27"/>
        <v>383.03999999999996</v>
      </c>
      <c r="M104" s="100">
        <f t="shared" si="27"/>
        <v>381.44</v>
      </c>
      <c r="N104" s="100">
        <f t="shared" si="27"/>
        <v>361.64</v>
      </c>
      <c r="O104" s="100">
        <f t="shared" si="27"/>
        <v>326.94</v>
      </c>
      <c r="P104" s="100">
        <v>42</v>
      </c>
      <c r="Q104" s="100">
        <f t="shared" si="27"/>
        <v>292.29999999999995</v>
      </c>
      <c r="R104" s="100">
        <f t="shared" si="27"/>
        <v>268.89999999999998</v>
      </c>
      <c r="S104" s="100">
        <f t="shared" si="27"/>
        <v>222.99999999999997</v>
      </c>
      <c r="T104" s="100">
        <f t="shared" si="27"/>
        <v>222.9</v>
      </c>
      <c r="U104" s="100">
        <f t="shared" si="27"/>
        <v>195.90000000000003</v>
      </c>
      <c r="V104" s="100">
        <f t="shared" si="27"/>
        <v>228.89999999999998</v>
      </c>
      <c r="W104" s="100">
        <f t="shared" si="27"/>
        <v>301.29999999999995</v>
      </c>
      <c r="X104" s="100">
        <v>390.59708333333339</v>
      </c>
      <c r="Y104" s="100">
        <f t="shared" si="27"/>
        <v>387.90000000000003</v>
      </c>
      <c r="Z104" s="100">
        <f t="shared" si="27"/>
        <v>377.19999999999993</v>
      </c>
      <c r="AA104" s="100">
        <f t="shared" si="27"/>
        <v>377.1</v>
      </c>
      <c r="AB104" s="100">
        <f t="shared" si="27"/>
        <v>356.29999999999995</v>
      </c>
      <c r="AC104" s="100">
        <f t="shared" si="27"/>
        <v>328.09999999999997</v>
      </c>
      <c r="AD104" s="100">
        <f t="shared" si="27"/>
        <v>288.99999999999994</v>
      </c>
      <c r="AE104" s="100">
        <f t="shared" si="27"/>
        <v>192.29999999999998</v>
      </c>
      <c r="AF104" s="100">
        <f t="shared" si="27"/>
        <v>144.80000000000001</v>
      </c>
      <c r="AG104" s="101"/>
      <c r="AH104" s="48">
        <f t="shared" si="20"/>
        <v>390.59708333333339</v>
      </c>
      <c r="AI104" s="49">
        <f t="shared" si="21"/>
        <v>42</v>
      </c>
    </row>
    <row r="105" spans="1:35" x14ac:dyDescent="0.25">
      <c r="A105" s="88" t="s">
        <v>109</v>
      </c>
      <c r="B105" s="102">
        <v>6.4</v>
      </c>
      <c r="C105" s="102">
        <v>6.4</v>
      </c>
      <c r="D105" s="102">
        <v>12.7</v>
      </c>
      <c r="E105" s="102">
        <v>3.8</v>
      </c>
      <c r="F105" s="102">
        <v>6.9</v>
      </c>
      <c r="G105" s="102">
        <v>15.7</v>
      </c>
      <c r="H105" s="102">
        <v>10.5</v>
      </c>
      <c r="I105" s="102">
        <v>17.7</v>
      </c>
      <c r="J105" s="102">
        <v>13.4</v>
      </c>
      <c r="K105" s="102">
        <v>13.4</v>
      </c>
      <c r="L105" s="102">
        <v>21.5</v>
      </c>
      <c r="M105" s="102">
        <v>17</v>
      </c>
      <c r="N105" s="102">
        <v>27.4</v>
      </c>
      <c r="O105" s="102">
        <v>33.6</v>
      </c>
      <c r="P105" s="102">
        <v>34.799999999999997</v>
      </c>
      <c r="Q105" s="102">
        <v>21.6</v>
      </c>
      <c r="R105" s="102">
        <v>10.5</v>
      </c>
      <c r="S105" s="102">
        <v>9.1999999999999993</v>
      </c>
      <c r="T105" s="102">
        <v>20.399999999999999</v>
      </c>
      <c r="U105" s="102">
        <v>16.399999999999999</v>
      </c>
      <c r="V105" s="102">
        <v>44.7</v>
      </c>
      <c r="W105" s="102">
        <v>38</v>
      </c>
      <c r="X105" s="102">
        <v>35.9</v>
      </c>
      <c r="Y105" s="102">
        <v>38.200000000000003</v>
      </c>
      <c r="Z105" s="102">
        <v>39.5</v>
      </c>
      <c r="AA105" s="102">
        <v>43.2</v>
      </c>
      <c r="AB105" s="102">
        <v>40.1</v>
      </c>
      <c r="AC105" s="102">
        <v>26</v>
      </c>
      <c r="AD105" s="102">
        <v>26.1</v>
      </c>
      <c r="AE105" s="102">
        <v>5.2</v>
      </c>
      <c r="AF105" s="102">
        <v>-3.9</v>
      </c>
      <c r="AG105" s="103">
        <v>75</v>
      </c>
      <c r="AH105" s="48">
        <f t="shared" si="20"/>
        <v>44.7</v>
      </c>
      <c r="AI105" s="49">
        <f t="shared" si="21"/>
        <v>-3.9</v>
      </c>
    </row>
    <row r="106" spans="1:35" x14ac:dyDescent="0.25">
      <c r="A106" s="91" t="s">
        <v>110</v>
      </c>
      <c r="B106" s="104">
        <v>10.6</v>
      </c>
      <c r="C106" s="104">
        <v>10.6</v>
      </c>
      <c r="D106" s="104">
        <v>23.3</v>
      </c>
      <c r="E106" s="104">
        <v>9.5</v>
      </c>
      <c r="F106" s="104">
        <v>1.2</v>
      </c>
      <c r="G106" s="104">
        <v>7.5</v>
      </c>
      <c r="H106" s="104">
        <v>4.0999999999999996</v>
      </c>
      <c r="I106" s="104">
        <v>8.8000000000000007</v>
      </c>
      <c r="J106" s="104">
        <v>25.1</v>
      </c>
      <c r="K106" s="104">
        <v>25.1</v>
      </c>
      <c r="L106" s="104">
        <v>31.6</v>
      </c>
      <c r="M106" s="104">
        <v>24.8</v>
      </c>
      <c r="N106" s="104">
        <v>41.3</v>
      </c>
      <c r="O106" s="104">
        <v>48</v>
      </c>
      <c r="P106" s="104">
        <v>50.8</v>
      </c>
      <c r="Q106" s="104">
        <v>31.4</v>
      </c>
      <c r="R106" s="104">
        <v>15.6</v>
      </c>
      <c r="S106" s="104">
        <v>15</v>
      </c>
      <c r="T106" s="104">
        <v>30</v>
      </c>
      <c r="U106" s="104">
        <v>22.8</v>
      </c>
      <c r="V106" s="104">
        <v>62.2</v>
      </c>
      <c r="W106" s="104">
        <v>46.6</v>
      </c>
      <c r="X106" s="104">
        <v>46.6</v>
      </c>
      <c r="Y106" s="104">
        <v>50</v>
      </c>
      <c r="Z106" s="104">
        <v>53.3</v>
      </c>
      <c r="AA106" s="104">
        <v>58.7</v>
      </c>
      <c r="AB106" s="104">
        <v>52.5</v>
      </c>
      <c r="AC106" s="104">
        <v>33</v>
      </c>
      <c r="AD106" s="104">
        <v>35</v>
      </c>
      <c r="AE106" s="104">
        <v>6.3</v>
      </c>
      <c r="AF106" s="104">
        <v>-2.6</v>
      </c>
      <c r="AG106" s="103">
        <v>240</v>
      </c>
      <c r="AH106" s="48">
        <f t="shared" si="20"/>
        <v>62.2</v>
      </c>
      <c r="AI106" s="49">
        <f t="shared" si="21"/>
        <v>-2.6</v>
      </c>
    </row>
    <row r="107" spans="1:35" x14ac:dyDescent="0.25">
      <c r="A107" s="91" t="s">
        <v>111</v>
      </c>
      <c r="B107" s="104">
        <v>-77</v>
      </c>
      <c r="C107" s="104">
        <v>-77</v>
      </c>
      <c r="D107" s="104">
        <v>-84</v>
      </c>
      <c r="E107" s="104">
        <v>-83</v>
      </c>
      <c r="F107" s="104">
        <f>-37.1-40.4</f>
        <v>-77.5</v>
      </c>
      <c r="G107" s="104">
        <f>-36.9-39.5</f>
        <v>-76.400000000000006</v>
      </c>
      <c r="H107" s="104">
        <f>-28.8-31.6</f>
        <v>-60.400000000000006</v>
      </c>
      <c r="I107" s="104">
        <f>-25.2-27.9</f>
        <v>-53.099999999999994</v>
      </c>
      <c r="J107" s="104">
        <f>-15-20.9</f>
        <v>-35.9</v>
      </c>
      <c r="K107" s="104">
        <f>-15-20.9</f>
        <v>-35.9</v>
      </c>
      <c r="L107" s="104">
        <f>15.7+8</f>
        <v>23.7</v>
      </c>
      <c r="M107" s="104">
        <v>29.2</v>
      </c>
      <c r="N107" s="104">
        <f>3.8+5.4</f>
        <v>9.1999999999999993</v>
      </c>
      <c r="O107" s="104">
        <f>29+22</f>
        <v>51</v>
      </c>
      <c r="P107" s="104">
        <f>21.4+14.7</f>
        <v>36.099999999999994</v>
      </c>
      <c r="Q107" s="104">
        <f>28.6+24.4</f>
        <v>53</v>
      </c>
      <c r="R107" s="104">
        <f>31+27</f>
        <v>58</v>
      </c>
      <c r="S107" s="104">
        <v>10</v>
      </c>
      <c r="T107" s="104">
        <v>-15</v>
      </c>
      <c r="U107" s="104">
        <f>-9-23.3</f>
        <v>-32.299999999999997</v>
      </c>
      <c r="V107" s="104">
        <f>-44.8-15.1</f>
        <v>-59.9</v>
      </c>
      <c r="W107" s="104">
        <v>-62</v>
      </c>
      <c r="X107" s="104">
        <f t="shared" ref="X107" si="28">-23.7+8</f>
        <v>-15.7</v>
      </c>
      <c r="Y107" s="104">
        <f>-16.9+14.2</f>
        <v>-2.6999999999999993</v>
      </c>
      <c r="Z107" s="104">
        <f>-21.2+9.3</f>
        <v>-11.899999999999999</v>
      </c>
      <c r="AA107" s="104">
        <f>-25.5+5.2</f>
        <v>-20.3</v>
      </c>
      <c r="AB107" s="104">
        <v>-25</v>
      </c>
      <c r="AC107" s="104">
        <v>-4.9000000000000004</v>
      </c>
      <c r="AD107" s="104">
        <v>-26</v>
      </c>
      <c r="AE107" s="104">
        <v>-55</v>
      </c>
      <c r="AF107" s="104">
        <v>-58</v>
      </c>
      <c r="AG107" s="103">
        <v>240</v>
      </c>
      <c r="AH107" s="48">
        <f t="shared" si="20"/>
        <v>58</v>
      </c>
      <c r="AI107" s="49">
        <f t="shared" si="21"/>
        <v>-84</v>
      </c>
    </row>
    <row r="108" spans="1:35" x14ac:dyDescent="0.25">
      <c r="A108" s="91" t="s">
        <v>112</v>
      </c>
      <c r="B108" s="104">
        <v>-4.4000000000000004</v>
      </c>
      <c r="C108" s="104">
        <v>-4.4000000000000004</v>
      </c>
      <c r="D108" s="104">
        <v>-9.3000000000000007</v>
      </c>
      <c r="E108" s="104">
        <v>-5</v>
      </c>
      <c r="F108" s="104">
        <v>-4.4000000000000004</v>
      </c>
      <c r="G108" s="104">
        <v>-5.0999999999999996</v>
      </c>
      <c r="H108" s="104">
        <v>-1.6</v>
      </c>
      <c r="I108" s="104">
        <v>-1.3</v>
      </c>
      <c r="J108" s="104">
        <v>25.7</v>
      </c>
      <c r="K108" s="104">
        <v>25.7</v>
      </c>
      <c r="L108" s="104">
        <v>56</v>
      </c>
      <c r="M108" s="104">
        <v>57.6</v>
      </c>
      <c r="N108" s="104">
        <v>51.9</v>
      </c>
      <c r="O108" s="104">
        <v>59.3</v>
      </c>
      <c r="P108" s="104">
        <v>58.9</v>
      </c>
      <c r="Q108" s="104">
        <v>51.5</v>
      </c>
      <c r="R108" s="104">
        <v>52</v>
      </c>
      <c r="S108" s="104">
        <v>56</v>
      </c>
      <c r="T108" s="104">
        <v>56</v>
      </c>
      <c r="U108" s="104">
        <v>57.5</v>
      </c>
      <c r="V108" s="104">
        <v>49.6</v>
      </c>
      <c r="W108" s="104">
        <v>58.2</v>
      </c>
      <c r="X108" s="104">
        <v>58.2</v>
      </c>
      <c r="Y108" s="104">
        <v>61.6</v>
      </c>
      <c r="Z108" s="104">
        <v>63.6</v>
      </c>
      <c r="AA108" s="104">
        <v>63.8</v>
      </c>
      <c r="AB108" s="104">
        <v>60.9</v>
      </c>
      <c r="AC108" s="104">
        <v>61.9</v>
      </c>
      <c r="AD108" s="104">
        <v>56.7</v>
      </c>
      <c r="AE108" s="104">
        <v>45.9</v>
      </c>
      <c r="AF108" s="104">
        <v>23.2</v>
      </c>
      <c r="AG108" s="103">
        <v>60</v>
      </c>
      <c r="AH108" s="48">
        <f t="shared" si="20"/>
        <v>63.8</v>
      </c>
      <c r="AI108" s="49">
        <f t="shared" si="21"/>
        <v>-9.3000000000000007</v>
      </c>
    </row>
    <row r="109" spans="1:35" x14ac:dyDescent="0.25">
      <c r="A109" s="105" t="s">
        <v>113</v>
      </c>
      <c r="B109" s="106">
        <v>43</v>
      </c>
      <c r="C109" s="106">
        <v>43</v>
      </c>
      <c r="D109" s="106">
        <v>28</v>
      </c>
      <c r="E109" s="106">
        <v>42.8</v>
      </c>
      <c r="F109" s="106">
        <v>46.4</v>
      </c>
      <c r="G109" s="106">
        <v>53.8</v>
      </c>
      <c r="H109" s="106">
        <v>80.599999999999994</v>
      </c>
      <c r="I109" s="106">
        <v>88.5</v>
      </c>
      <c r="J109" s="106">
        <v>98</v>
      </c>
      <c r="K109" s="106">
        <v>98</v>
      </c>
      <c r="L109" s="106">
        <v>116</v>
      </c>
      <c r="M109" s="106">
        <v>117.8</v>
      </c>
      <c r="N109" s="106">
        <v>96.8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0</v>
      </c>
      <c r="W109" s="106">
        <v>88.2</v>
      </c>
      <c r="X109" s="106">
        <v>88.2</v>
      </c>
      <c r="Y109" s="106">
        <v>108.5</v>
      </c>
      <c r="Z109" s="106">
        <v>100.4</v>
      </c>
      <c r="AA109" s="106">
        <v>99.4</v>
      </c>
      <c r="AB109" s="106">
        <v>95.5</v>
      </c>
      <c r="AC109" s="106">
        <v>78.3</v>
      </c>
      <c r="AD109" s="106">
        <v>63.4</v>
      </c>
      <c r="AE109" s="106">
        <v>56.1</v>
      </c>
      <c r="AF109" s="106">
        <v>52.5</v>
      </c>
      <c r="AG109" s="107">
        <v>120</v>
      </c>
      <c r="AH109" s="48">
        <f t="shared" si="20"/>
        <v>117.8</v>
      </c>
      <c r="AI109" s="49">
        <f t="shared" si="21"/>
        <v>0</v>
      </c>
    </row>
    <row r="110" spans="1:35" x14ac:dyDescent="0.25">
      <c r="A110" s="105" t="s">
        <v>115</v>
      </c>
      <c r="B110" s="106">
        <v>54</v>
      </c>
      <c r="C110" s="106">
        <v>54</v>
      </c>
      <c r="D110" s="106">
        <v>43</v>
      </c>
      <c r="E110" s="106">
        <v>56.4</v>
      </c>
      <c r="F110" s="106">
        <v>59.5</v>
      </c>
      <c r="G110" s="106">
        <v>51.2</v>
      </c>
      <c r="H110" s="106">
        <v>85.8</v>
      </c>
      <c r="I110" s="106">
        <v>87.6</v>
      </c>
      <c r="J110" s="106">
        <v>91.7</v>
      </c>
      <c r="K110" s="106">
        <v>91.7</v>
      </c>
      <c r="L110" s="106">
        <v>107</v>
      </c>
      <c r="M110" s="106">
        <v>100.4</v>
      </c>
      <c r="N110" s="106">
        <v>72.7</v>
      </c>
      <c r="O110" s="106">
        <v>92.8</v>
      </c>
      <c r="P110" s="106">
        <v>73.7</v>
      </c>
      <c r="Q110" s="106">
        <v>78.599999999999994</v>
      </c>
      <c r="R110" s="106">
        <v>94.2</v>
      </c>
      <c r="S110" s="106">
        <v>96</v>
      </c>
      <c r="T110" s="106">
        <v>93</v>
      </c>
      <c r="U110" s="106">
        <v>103</v>
      </c>
      <c r="V110" s="106">
        <v>36.799999999999997</v>
      </c>
      <c r="W110" s="106">
        <v>80.400000000000006</v>
      </c>
      <c r="X110" s="106">
        <v>80.400000000000006</v>
      </c>
      <c r="Y110" s="106">
        <v>75.5</v>
      </c>
      <c r="Z110" s="106">
        <v>19.5</v>
      </c>
      <c r="AA110" s="106">
        <v>10</v>
      </c>
      <c r="AB110" s="106">
        <v>32.799999999999997</v>
      </c>
      <c r="AC110" s="106">
        <v>65</v>
      </c>
      <c r="AD110" s="106">
        <v>50.8</v>
      </c>
      <c r="AE110" s="106">
        <v>52.1</v>
      </c>
      <c r="AF110" s="106">
        <v>53.8</v>
      </c>
      <c r="AG110" s="107"/>
      <c r="AH110" s="48">
        <f t="shared" si="20"/>
        <v>107</v>
      </c>
      <c r="AI110" s="49">
        <f t="shared" si="21"/>
        <v>10</v>
      </c>
    </row>
    <row r="111" spans="1:35" x14ac:dyDescent="0.25">
      <c r="A111" s="105" t="s">
        <v>116</v>
      </c>
      <c r="B111" s="106">
        <v>41</v>
      </c>
      <c r="C111" s="106">
        <v>41</v>
      </c>
      <c r="D111" s="106">
        <v>40</v>
      </c>
      <c r="E111" s="106">
        <v>51.4</v>
      </c>
      <c r="F111" s="106">
        <v>46.5</v>
      </c>
      <c r="G111" s="106">
        <v>42.8</v>
      </c>
      <c r="H111" s="106">
        <v>45.1</v>
      </c>
      <c r="I111" s="106">
        <v>44.1</v>
      </c>
      <c r="J111" s="106">
        <v>43.6</v>
      </c>
      <c r="K111" s="106">
        <v>43.6</v>
      </c>
      <c r="L111" s="106">
        <v>40.9</v>
      </c>
      <c r="M111" s="106">
        <v>46.9</v>
      </c>
      <c r="N111" s="106">
        <v>33</v>
      </c>
      <c r="O111" s="106">
        <v>31.6</v>
      </c>
      <c r="P111" s="106">
        <v>25.9</v>
      </c>
      <c r="Q111" s="106">
        <v>33.200000000000003</v>
      </c>
      <c r="R111" s="106">
        <v>42.6</v>
      </c>
      <c r="S111" s="106">
        <v>42.4</v>
      </c>
      <c r="T111" s="106">
        <v>32</v>
      </c>
      <c r="U111" s="106">
        <v>40.1</v>
      </c>
      <c r="V111" s="106">
        <v>14.7</v>
      </c>
      <c r="W111" s="106">
        <v>26.1</v>
      </c>
      <c r="X111" s="106">
        <v>26.1</v>
      </c>
      <c r="Y111" s="106">
        <v>22.7</v>
      </c>
      <c r="Z111" s="106">
        <v>41.5</v>
      </c>
      <c r="AA111" s="106">
        <v>14.8</v>
      </c>
      <c r="AB111" s="106">
        <v>16.100000000000001</v>
      </c>
      <c r="AC111" s="106">
        <v>28.6</v>
      </c>
      <c r="AD111" s="106">
        <v>23.7</v>
      </c>
      <c r="AE111" s="106">
        <v>31.2</v>
      </c>
      <c r="AF111" s="106">
        <v>38</v>
      </c>
      <c r="AG111" s="108"/>
      <c r="AH111" s="48">
        <f t="shared" si="20"/>
        <v>51.4</v>
      </c>
      <c r="AI111" s="49">
        <f t="shared" si="21"/>
        <v>14.7</v>
      </c>
    </row>
    <row r="112" spans="1:35" x14ac:dyDescent="0.25">
      <c r="A112" s="109" t="s">
        <v>117</v>
      </c>
      <c r="B112" s="94">
        <v>54</v>
      </c>
      <c r="C112" s="94">
        <v>54</v>
      </c>
      <c r="D112" s="94">
        <v>55</v>
      </c>
      <c r="E112" s="94">
        <v>56.1</v>
      </c>
      <c r="F112" s="94">
        <v>53.9</v>
      </c>
      <c r="G112" s="94">
        <v>53.8</v>
      </c>
      <c r="H112" s="94">
        <v>38.1</v>
      </c>
      <c r="I112" s="94">
        <v>36.299999999999997</v>
      </c>
      <c r="J112" s="94">
        <v>20.5</v>
      </c>
      <c r="K112" s="94">
        <v>20.5</v>
      </c>
      <c r="L112" s="94">
        <v>-6.5</v>
      </c>
      <c r="M112" s="94">
        <v>9.3000000000000007</v>
      </c>
      <c r="N112" s="94">
        <v>4.8</v>
      </c>
      <c r="O112" s="94">
        <v>13.6</v>
      </c>
      <c r="P112" s="94">
        <v>17.5</v>
      </c>
      <c r="Q112" s="94">
        <v>24.3</v>
      </c>
      <c r="R112" s="94">
        <v>27.3</v>
      </c>
      <c r="S112" s="94">
        <v>23</v>
      </c>
      <c r="T112" s="94">
        <v>29</v>
      </c>
      <c r="U112" s="94">
        <v>20.3</v>
      </c>
      <c r="V112" s="94">
        <v>-5.0999999999999996</v>
      </c>
      <c r="W112" s="94">
        <v>-28.2</v>
      </c>
      <c r="X112" s="94">
        <v>-28.2</v>
      </c>
      <c r="Y112" s="94">
        <v>-15.4</v>
      </c>
      <c r="Z112" s="94">
        <v>-5.7</v>
      </c>
      <c r="AA112" s="94">
        <v>-54.9</v>
      </c>
      <c r="AB112" s="94">
        <v>19.2</v>
      </c>
      <c r="AC112" s="94">
        <v>26.9</v>
      </c>
      <c r="AD112" s="94">
        <v>34</v>
      </c>
      <c r="AE112" s="94">
        <v>51.3</v>
      </c>
      <c r="AF112" s="94">
        <v>51.2</v>
      </c>
      <c r="AG112" s="108"/>
      <c r="AH112" s="48">
        <f t="shared" si="20"/>
        <v>56.1</v>
      </c>
      <c r="AI112" s="49">
        <f t="shared" si="21"/>
        <v>-54.9</v>
      </c>
    </row>
    <row r="113" spans="1:37" ht="15.75" thickBot="1" x14ac:dyDescent="0.3">
      <c r="A113" s="109" t="s">
        <v>118</v>
      </c>
      <c r="B113" s="94">
        <v>39</v>
      </c>
      <c r="C113" s="94">
        <v>39</v>
      </c>
      <c r="D113" s="94">
        <v>48</v>
      </c>
      <c r="E113" s="94">
        <v>43.6</v>
      </c>
      <c r="F113" s="94">
        <v>41.7</v>
      </c>
      <c r="G113" s="94">
        <v>42.8</v>
      </c>
      <c r="H113" s="94">
        <v>29.8</v>
      </c>
      <c r="I113" s="94">
        <v>23.4</v>
      </c>
      <c r="J113" s="94">
        <v>28.3</v>
      </c>
      <c r="K113" s="94">
        <v>28.3</v>
      </c>
      <c r="L113" s="94">
        <v>-2.2000000000000002</v>
      </c>
      <c r="M113" s="94">
        <v>-2.9</v>
      </c>
      <c r="N113" s="94">
        <v>21.1</v>
      </c>
      <c r="O113" s="94">
        <v>-12.7</v>
      </c>
      <c r="P113" s="94">
        <v>1.9</v>
      </c>
      <c r="Q113" s="94">
        <v>-25.9</v>
      </c>
      <c r="R113" s="94">
        <v>-33.6</v>
      </c>
      <c r="S113" s="94">
        <v>17</v>
      </c>
      <c r="T113" s="94">
        <v>2</v>
      </c>
      <c r="U113" s="94">
        <v>-17.399999999999999</v>
      </c>
      <c r="V113" s="94">
        <v>43.2</v>
      </c>
      <c r="W113" s="94">
        <v>6.6</v>
      </c>
      <c r="X113" s="94">
        <v>6.6</v>
      </c>
      <c r="Y113" s="94">
        <v>2.9</v>
      </c>
      <c r="Z113" s="94">
        <v>9.5</v>
      </c>
      <c r="AA113" s="94">
        <v>16.899999999999999</v>
      </c>
      <c r="AB113" s="94">
        <v>19.600000000000001</v>
      </c>
      <c r="AC113" s="94">
        <v>3.9</v>
      </c>
      <c r="AD113" s="94">
        <v>17.2</v>
      </c>
      <c r="AE113" s="94">
        <v>30</v>
      </c>
      <c r="AF113" s="94">
        <v>26.8</v>
      </c>
      <c r="AG113" s="108"/>
      <c r="AH113" s="48">
        <f t="shared" si="20"/>
        <v>48</v>
      </c>
      <c r="AI113" s="49">
        <f t="shared" si="21"/>
        <v>-33.6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29">SUM(B115:B219)</f>
        <v>0</v>
      </c>
      <c r="C220" s="125">
        <f t="shared" si="29"/>
        <v>0</v>
      </c>
      <c r="D220" s="125">
        <f t="shared" si="29"/>
        <v>0</v>
      </c>
      <c r="E220" s="125">
        <f t="shared" si="29"/>
        <v>0</v>
      </c>
      <c r="F220" s="125">
        <f t="shared" si="29"/>
        <v>0</v>
      </c>
      <c r="G220" s="125">
        <f t="shared" si="29"/>
        <v>0</v>
      </c>
      <c r="H220" s="125">
        <f t="shared" si="29"/>
        <v>0</v>
      </c>
      <c r="I220" s="125">
        <f t="shared" si="29"/>
        <v>0</v>
      </c>
      <c r="J220" s="125">
        <f t="shared" si="29"/>
        <v>0</v>
      </c>
      <c r="K220" s="125">
        <f t="shared" si="29"/>
        <v>0</v>
      </c>
      <c r="L220" s="125">
        <f t="shared" si="29"/>
        <v>0</v>
      </c>
      <c r="M220" s="125">
        <f t="shared" si="29"/>
        <v>0</v>
      </c>
      <c r="N220" s="125">
        <f t="shared" si="29"/>
        <v>0</v>
      </c>
      <c r="O220" s="125">
        <f t="shared" si="29"/>
        <v>0</v>
      </c>
      <c r="P220" s="125">
        <f t="shared" si="29"/>
        <v>0</v>
      </c>
      <c r="Q220" s="125">
        <f t="shared" si="29"/>
        <v>0</v>
      </c>
      <c r="R220" s="125">
        <f t="shared" si="29"/>
        <v>0</v>
      </c>
      <c r="S220" s="125">
        <f t="shared" si="29"/>
        <v>0</v>
      </c>
      <c r="T220" s="125">
        <f t="shared" si="29"/>
        <v>0</v>
      </c>
      <c r="U220" s="125">
        <f t="shared" si="29"/>
        <v>0</v>
      </c>
      <c r="V220" s="125">
        <f t="shared" si="29"/>
        <v>0</v>
      </c>
      <c r="W220" s="125">
        <f t="shared" si="29"/>
        <v>0</v>
      </c>
      <c r="X220" s="125">
        <f t="shared" si="29"/>
        <v>0</v>
      </c>
      <c r="Y220" s="125">
        <f t="shared" si="29"/>
        <v>0</v>
      </c>
      <c r="Z220" s="125">
        <f t="shared" si="29"/>
        <v>0</v>
      </c>
      <c r="AA220" s="125">
        <f t="shared" si="29"/>
        <v>0</v>
      </c>
      <c r="AB220" s="125">
        <f t="shared" si="29"/>
        <v>0</v>
      </c>
      <c r="AC220" s="125">
        <f t="shared" si="29"/>
        <v>0</v>
      </c>
      <c r="AD220" s="125">
        <f t="shared" si="29"/>
        <v>0</v>
      </c>
      <c r="AE220" s="125">
        <f t="shared" si="29"/>
        <v>0</v>
      </c>
      <c r="AF220" s="126">
        <f t="shared" si="29"/>
        <v>0</v>
      </c>
      <c r="AG220" s="127">
        <f t="shared" si="29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30">AF222</f>
        <v>0</v>
      </c>
      <c r="C222" s="129">
        <v>0.3</v>
      </c>
      <c r="D222" s="129">
        <f t="shared" ref="D222:P227" si="31">C222</f>
        <v>0.3</v>
      </c>
      <c r="E222" s="129">
        <f t="shared" si="31"/>
        <v>0.3</v>
      </c>
      <c r="F222" s="129">
        <f t="shared" si="31"/>
        <v>0.3</v>
      </c>
      <c r="G222" s="129">
        <f t="shared" si="31"/>
        <v>0.3</v>
      </c>
      <c r="H222" s="129">
        <f t="shared" si="31"/>
        <v>0.3</v>
      </c>
      <c r="I222" s="129">
        <f t="shared" si="31"/>
        <v>0.3</v>
      </c>
      <c r="J222" s="129">
        <f t="shared" si="31"/>
        <v>0.3</v>
      </c>
      <c r="K222" s="129">
        <f t="shared" si="31"/>
        <v>0.3</v>
      </c>
      <c r="L222" s="129">
        <f t="shared" si="31"/>
        <v>0.3</v>
      </c>
      <c r="M222" s="129">
        <f t="shared" si="31"/>
        <v>0.3</v>
      </c>
      <c r="N222" s="129">
        <f t="shared" si="31"/>
        <v>0.3</v>
      </c>
      <c r="O222" s="129">
        <f t="shared" si="31"/>
        <v>0.3</v>
      </c>
      <c r="P222" s="129">
        <f t="shared" si="31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30"/>
        <v>0</v>
      </c>
      <c r="C223" s="117">
        <v>0.4</v>
      </c>
      <c r="D223" s="117">
        <f t="shared" si="31"/>
        <v>0.4</v>
      </c>
      <c r="E223" s="117">
        <f t="shared" si="31"/>
        <v>0.4</v>
      </c>
      <c r="F223" s="117">
        <f t="shared" si="31"/>
        <v>0.4</v>
      </c>
      <c r="G223" s="117">
        <f t="shared" si="31"/>
        <v>0.4</v>
      </c>
      <c r="H223" s="117">
        <f t="shared" si="31"/>
        <v>0.4</v>
      </c>
      <c r="I223" s="117">
        <f t="shared" si="31"/>
        <v>0.4</v>
      </c>
      <c r="J223" s="117">
        <f t="shared" si="31"/>
        <v>0.4</v>
      </c>
      <c r="K223" s="117">
        <f t="shared" si="31"/>
        <v>0.4</v>
      </c>
      <c r="L223" s="117">
        <f t="shared" si="31"/>
        <v>0.4</v>
      </c>
      <c r="M223" s="117">
        <f t="shared" si="31"/>
        <v>0.4</v>
      </c>
      <c r="N223" s="117">
        <f t="shared" si="31"/>
        <v>0.4</v>
      </c>
      <c r="O223" s="117">
        <f t="shared" si="31"/>
        <v>0.4</v>
      </c>
      <c r="P223" s="117">
        <f t="shared" si="31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30"/>
        <v>0</v>
      </c>
      <c r="C224" s="117">
        <v>1.5</v>
      </c>
      <c r="D224" s="117">
        <f t="shared" si="31"/>
        <v>1.5</v>
      </c>
      <c r="E224" s="117">
        <f t="shared" si="31"/>
        <v>1.5</v>
      </c>
      <c r="F224" s="117">
        <f t="shared" si="31"/>
        <v>1.5</v>
      </c>
      <c r="G224" s="117">
        <f t="shared" si="31"/>
        <v>1.5</v>
      </c>
      <c r="H224" s="117">
        <f t="shared" si="31"/>
        <v>1.5</v>
      </c>
      <c r="I224" s="100">
        <f t="shared" ref="I224" ca="1" si="32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31"/>
        <v>1.5</v>
      </c>
      <c r="K224" s="117">
        <f t="shared" ca="1" si="31"/>
        <v>1.5</v>
      </c>
      <c r="L224" s="117">
        <f t="shared" ca="1" si="31"/>
        <v>1.5</v>
      </c>
      <c r="M224" s="117">
        <f t="shared" ca="1" si="31"/>
        <v>1.5</v>
      </c>
      <c r="N224" s="117">
        <f t="shared" ca="1" si="31"/>
        <v>1.5</v>
      </c>
      <c r="O224" s="117">
        <f t="shared" ca="1" si="31"/>
        <v>1.5</v>
      </c>
      <c r="P224" s="117">
        <f t="shared" ca="1" si="31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30"/>
        <v>0</v>
      </c>
      <c r="C225" s="117">
        <v>0.3</v>
      </c>
      <c r="D225" s="117">
        <f t="shared" si="31"/>
        <v>0.3</v>
      </c>
      <c r="E225" s="117">
        <f t="shared" si="31"/>
        <v>0.3</v>
      </c>
      <c r="F225" s="117">
        <f t="shared" si="31"/>
        <v>0.3</v>
      </c>
      <c r="G225" s="117">
        <f t="shared" si="31"/>
        <v>0.3</v>
      </c>
      <c r="H225" s="117">
        <f t="shared" si="31"/>
        <v>0.3</v>
      </c>
      <c r="I225" s="117">
        <f t="shared" si="31"/>
        <v>0.3</v>
      </c>
      <c r="J225" s="117">
        <f t="shared" si="31"/>
        <v>0.3</v>
      </c>
      <c r="K225" s="117">
        <f t="shared" si="31"/>
        <v>0.3</v>
      </c>
      <c r="L225" s="117">
        <f t="shared" si="31"/>
        <v>0.3</v>
      </c>
      <c r="M225" s="117">
        <f t="shared" si="31"/>
        <v>0.3</v>
      </c>
      <c r="N225" s="117">
        <f t="shared" si="31"/>
        <v>0.3</v>
      </c>
      <c r="O225" s="117">
        <f t="shared" si="31"/>
        <v>0.3</v>
      </c>
      <c r="P225" s="117">
        <f t="shared" si="31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30"/>
        <v>0</v>
      </c>
      <c r="C226" s="117">
        <v>0.4</v>
      </c>
      <c r="D226" s="117">
        <f t="shared" si="31"/>
        <v>0.4</v>
      </c>
      <c r="E226" s="117">
        <f t="shared" si="31"/>
        <v>0.4</v>
      </c>
      <c r="F226" s="117">
        <f t="shared" si="31"/>
        <v>0.4</v>
      </c>
      <c r="G226" s="117">
        <f t="shared" si="31"/>
        <v>0.4</v>
      </c>
      <c r="H226" s="117">
        <f t="shared" si="31"/>
        <v>0.4</v>
      </c>
      <c r="I226" s="117">
        <f t="shared" si="31"/>
        <v>0.4</v>
      </c>
      <c r="J226" s="117">
        <f t="shared" si="31"/>
        <v>0.4</v>
      </c>
      <c r="K226" s="117">
        <f t="shared" si="31"/>
        <v>0.4</v>
      </c>
      <c r="L226" s="117">
        <f t="shared" si="31"/>
        <v>0.4</v>
      </c>
      <c r="M226" s="117">
        <f t="shared" si="31"/>
        <v>0.4</v>
      </c>
      <c r="N226" s="117">
        <f t="shared" si="31"/>
        <v>0.4</v>
      </c>
      <c r="O226" s="117">
        <f t="shared" si="31"/>
        <v>0.4</v>
      </c>
      <c r="P226" s="117">
        <f t="shared" si="31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30"/>
        <v>0</v>
      </c>
      <c r="C227" s="121">
        <v>0.64</v>
      </c>
      <c r="D227" s="121">
        <f t="shared" si="31"/>
        <v>0.64</v>
      </c>
      <c r="E227" s="121">
        <f t="shared" si="31"/>
        <v>0.64</v>
      </c>
      <c r="F227" s="121">
        <f t="shared" si="31"/>
        <v>0.64</v>
      </c>
      <c r="G227" s="121">
        <f t="shared" si="31"/>
        <v>0.64</v>
      </c>
      <c r="H227" s="121">
        <f t="shared" si="31"/>
        <v>0.64</v>
      </c>
      <c r="I227" s="121">
        <f t="shared" si="31"/>
        <v>0.64</v>
      </c>
      <c r="J227" s="121">
        <f t="shared" si="31"/>
        <v>0.64</v>
      </c>
      <c r="K227" s="121">
        <f t="shared" si="31"/>
        <v>0.64</v>
      </c>
      <c r="L227" s="121">
        <f t="shared" si="31"/>
        <v>0.64</v>
      </c>
      <c r="M227" s="121">
        <f t="shared" si="31"/>
        <v>0.64</v>
      </c>
      <c r="N227" s="121">
        <f t="shared" si="31"/>
        <v>0.64</v>
      </c>
      <c r="O227" s="121">
        <f t="shared" si="31"/>
        <v>0.64</v>
      </c>
      <c r="P227" s="121">
        <f t="shared" si="31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33">SUM(B222:B227)</f>
        <v>0</v>
      </c>
      <c r="C228" s="125">
        <f t="shared" si="33"/>
        <v>3.54</v>
      </c>
      <c r="D228" s="125">
        <f t="shared" si="33"/>
        <v>3.54</v>
      </c>
      <c r="E228" s="125">
        <f t="shared" si="33"/>
        <v>3.54</v>
      </c>
      <c r="F228" s="125">
        <f t="shared" si="33"/>
        <v>3.54</v>
      </c>
      <c r="G228" s="125">
        <f t="shared" si="33"/>
        <v>3.54</v>
      </c>
      <c r="H228" s="125">
        <f t="shared" si="33"/>
        <v>3.54</v>
      </c>
      <c r="I228" s="125">
        <f t="shared" ca="1" si="33"/>
        <v>3.54</v>
      </c>
      <c r="J228" s="125">
        <f t="shared" ca="1" si="33"/>
        <v>3.54</v>
      </c>
      <c r="K228" s="125">
        <f t="shared" ca="1" si="33"/>
        <v>3.54</v>
      </c>
      <c r="L228" s="125">
        <f t="shared" ca="1" si="33"/>
        <v>3.54</v>
      </c>
      <c r="M228" s="125">
        <f t="shared" ca="1" si="33"/>
        <v>3.54</v>
      </c>
      <c r="N228" s="125">
        <f t="shared" ca="1" si="33"/>
        <v>3.54</v>
      </c>
      <c r="O228" s="125">
        <f t="shared" ca="1" si="33"/>
        <v>3.54</v>
      </c>
      <c r="P228" s="125">
        <f t="shared" ca="1" si="33"/>
        <v>3.54</v>
      </c>
      <c r="Q228" s="125">
        <f t="shared" si="33"/>
        <v>0</v>
      </c>
      <c r="R228" s="125">
        <f t="shared" si="33"/>
        <v>0</v>
      </c>
      <c r="S228" s="125">
        <f t="shared" si="33"/>
        <v>0</v>
      </c>
      <c r="T228" s="125">
        <f t="shared" si="33"/>
        <v>0</v>
      </c>
      <c r="U228" s="125">
        <f t="shared" si="33"/>
        <v>0</v>
      </c>
      <c r="V228" s="125">
        <f t="shared" si="33"/>
        <v>0</v>
      </c>
      <c r="W228" s="125">
        <f t="shared" si="33"/>
        <v>0</v>
      </c>
      <c r="X228" s="125">
        <f t="shared" si="33"/>
        <v>0</v>
      </c>
      <c r="Y228" s="125">
        <f t="shared" si="33"/>
        <v>0</v>
      </c>
      <c r="Z228" s="125">
        <f t="shared" si="33"/>
        <v>0</v>
      </c>
      <c r="AA228" s="125">
        <f t="shared" si="33"/>
        <v>0</v>
      </c>
      <c r="AB228" s="125">
        <f t="shared" si="33"/>
        <v>0</v>
      </c>
      <c r="AC228" s="125">
        <f t="shared" si="33"/>
        <v>0</v>
      </c>
      <c r="AD228" s="125">
        <f t="shared" si="33"/>
        <v>0</v>
      </c>
      <c r="AE228" s="125">
        <f t="shared" si="33"/>
        <v>0</v>
      </c>
      <c r="AF228" s="125">
        <f t="shared" si="33"/>
        <v>0</v>
      </c>
      <c r="AG228" s="134">
        <f t="shared" si="33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1676.7400000000002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13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2079/09/13)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2079/09/13)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34">B85</f>
        <v>995.54000000000008</v>
      </c>
      <c r="U242" s="159">
        <f t="shared" si="34"/>
        <v>976.54000000000008</v>
      </c>
      <c r="V242" s="159">
        <f t="shared" si="34"/>
        <v>968.44</v>
      </c>
      <c r="W242" s="159">
        <f t="shared" si="34"/>
        <v>993.54000000000008</v>
      </c>
      <c r="X242" s="159">
        <f t="shared" si="34"/>
        <v>980.04000000000008</v>
      </c>
      <c r="Y242" s="159">
        <f t="shared" si="34"/>
        <v>1069.94</v>
      </c>
      <c r="Z242" s="159">
        <f t="shared" si="34"/>
        <v>1140.1400000000001</v>
      </c>
      <c r="AA242" s="159">
        <f t="shared" si="34"/>
        <v>1246.8400000000001</v>
      </c>
      <c r="AB242" s="159">
        <f t="shared" si="34"/>
        <v>1357.44</v>
      </c>
      <c r="AC242" s="159">
        <f t="shared" si="34"/>
        <v>1453.7400000000002</v>
      </c>
      <c r="AD242" s="159">
        <f t="shared" si="34"/>
        <v>1606.64</v>
      </c>
      <c r="AE242" s="159">
        <f t="shared" si="34"/>
        <v>1676.7400000000002</v>
      </c>
      <c r="AF242" s="159">
        <f t="shared" si="34"/>
        <v>1569.7400000000002</v>
      </c>
      <c r="AG242" s="159">
        <f t="shared" si="34"/>
        <v>1521.8400000000001</v>
      </c>
      <c r="AH242" s="159">
        <f t="shared" si="34"/>
        <v>1462.0400000000002</v>
      </c>
      <c r="AI242" s="159">
        <f t="shared" si="34"/>
        <v>1349.5400000000002</v>
      </c>
      <c r="AJ242" s="159">
        <f t="shared" si="34"/>
        <v>1285.6400000000001</v>
      </c>
      <c r="AK242" s="159">
        <f t="shared" si="34"/>
        <v>1293.94</v>
      </c>
      <c r="AL242" s="159">
        <f t="shared" si="34"/>
        <v>1365.14</v>
      </c>
      <c r="AM242" s="159">
        <f t="shared" si="34"/>
        <v>1378.74</v>
      </c>
      <c r="AN242" s="159">
        <f t="shared" si="34"/>
        <v>1453.44</v>
      </c>
      <c r="AO242" s="159">
        <f t="shared" si="34"/>
        <v>1570.9399999999998</v>
      </c>
      <c r="AP242" s="159">
        <f t="shared" si="34"/>
        <v>1704.6399999999999</v>
      </c>
      <c r="AQ242" s="159">
        <f t="shared" si="34"/>
        <v>1595.7399999999998</v>
      </c>
      <c r="AR242" s="159">
        <f t="shared" si="34"/>
        <v>1522.74</v>
      </c>
      <c r="AS242" s="159">
        <f t="shared" si="34"/>
        <v>1476.5400000000002</v>
      </c>
      <c r="AT242" s="159">
        <f t="shared" si="34"/>
        <v>1480.3400000000001</v>
      </c>
      <c r="AU242" s="159">
        <f t="shared" si="34"/>
        <v>1426.54</v>
      </c>
      <c r="AV242" s="159">
        <f t="shared" si="34"/>
        <v>1291.04</v>
      </c>
      <c r="AW242" s="159">
        <f t="shared" si="34"/>
        <v>1167.6399999999999</v>
      </c>
      <c r="AX242" s="159">
        <f t="shared" si="34"/>
        <v>1090.3399999999999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35">C227</f>
        <v>0.64</v>
      </c>
      <c r="C263" s="162">
        <f t="shared" si="35"/>
        <v>0.64</v>
      </c>
      <c r="D263" s="162">
        <f t="shared" si="35"/>
        <v>0.64</v>
      </c>
      <c r="E263" s="162">
        <f t="shared" si="35"/>
        <v>0.64</v>
      </c>
      <c r="F263" s="162">
        <f t="shared" si="35"/>
        <v>0.64</v>
      </c>
      <c r="G263" s="162">
        <f t="shared" si="35"/>
        <v>0.64</v>
      </c>
      <c r="H263" s="162">
        <f t="shared" si="35"/>
        <v>0.64</v>
      </c>
      <c r="I263" s="162">
        <f t="shared" si="35"/>
        <v>0.64</v>
      </c>
      <c r="J263" s="162">
        <f t="shared" si="35"/>
        <v>0.64</v>
      </c>
      <c r="K263" s="162">
        <f t="shared" si="35"/>
        <v>0.64</v>
      </c>
      <c r="L263" s="162">
        <f t="shared" si="35"/>
        <v>0.64</v>
      </c>
      <c r="M263" s="162">
        <f t="shared" si="35"/>
        <v>0.64</v>
      </c>
      <c r="N263" s="162">
        <f t="shared" si="35"/>
        <v>0.64</v>
      </c>
      <c r="O263" s="162">
        <f t="shared" si="35"/>
        <v>0.64</v>
      </c>
      <c r="P263" s="162">
        <f t="shared" si="35"/>
        <v>0</v>
      </c>
      <c r="Q263" s="162">
        <f t="shared" si="35"/>
        <v>0</v>
      </c>
      <c r="R263" s="162">
        <f t="shared" si="35"/>
        <v>0</v>
      </c>
      <c r="S263" s="162">
        <f t="shared" si="35"/>
        <v>0</v>
      </c>
      <c r="T263" s="162">
        <f t="shared" si="35"/>
        <v>0</v>
      </c>
      <c r="U263" s="162">
        <f t="shared" si="35"/>
        <v>0</v>
      </c>
      <c r="V263" s="162">
        <f t="shared" si="35"/>
        <v>0</v>
      </c>
      <c r="W263" s="162">
        <f t="shared" si="35"/>
        <v>0</v>
      </c>
      <c r="X263" s="162">
        <f t="shared" si="35"/>
        <v>0</v>
      </c>
      <c r="Y263" s="162">
        <f t="shared" si="35"/>
        <v>0</v>
      </c>
      <c r="Z263" s="162">
        <f t="shared" si="35"/>
        <v>0</v>
      </c>
      <c r="AA263" s="162">
        <f t="shared" si="35"/>
        <v>0</v>
      </c>
      <c r="AB263" s="162">
        <f t="shared" si="35"/>
        <v>0</v>
      </c>
      <c r="AC263" s="162">
        <f t="shared" si="35"/>
        <v>0</v>
      </c>
      <c r="AD263" s="162">
        <f t="shared" si="35"/>
        <v>0</v>
      </c>
      <c r="AE263" s="162">
        <f t="shared" si="35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36">IF(B231&lt;100,"",B231-520)</f>
        <v/>
      </c>
      <c r="C264" s="163" t="str">
        <f t="shared" si="36"/>
        <v/>
      </c>
      <c r="D264" s="163" t="str">
        <f t="shared" si="36"/>
        <v/>
      </c>
      <c r="E264" s="163" t="str">
        <f t="shared" si="36"/>
        <v/>
      </c>
      <c r="F264" s="163" t="str">
        <f t="shared" si="36"/>
        <v/>
      </c>
      <c r="G264" s="163" t="str">
        <f t="shared" si="36"/>
        <v/>
      </c>
      <c r="H264" s="163" t="str">
        <f t="shared" si="36"/>
        <v/>
      </c>
      <c r="I264" s="163" t="str">
        <f t="shared" si="36"/>
        <v/>
      </c>
      <c r="J264" s="163" t="str">
        <f t="shared" si="36"/>
        <v/>
      </c>
      <c r="K264" s="163" t="str">
        <f t="shared" si="36"/>
        <v/>
      </c>
      <c r="L264" s="163" t="str">
        <f t="shared" si="36"/>
        <v/>
      </c>
      <c r="M264" s="163" t="str">
        <f t="shared" si="36"/>
        <v/>
      </c>
      <c r="N264" s="163" t="str">
        <f t="shared" si="36"/>
        <v/>
      </c>
      <c r="O264" s="163" t="str">
        <f t="shared" si="36"/>
        <v/>
      </c>
      <c r="P264" s="163" t="str">
        <f t="shared" si="36"/>
        <v/>
      </c>
      <c r="Q264" s="163" t="str">
        <f t="shared" si="36"/>
        <v/>
      </c>
      <c r="R264" s="163" t="str">
        <f t="shared" si="36"/>
        <v/>
      </c>
      <c r="S264" s="163" t="str">
        <f t="shared" si="36"/>
        <v/>
      </c>
      <c r="T264" s="163" t="str">
        <f t="shared" si="36"/>
        <v/>
      </c>
      <c r="U264" s="163" t="str">
        <f t="shared" si="36"/>
        <v/>
      </c>
      <c r="V264" s="163" t="str">
        <f t="shared" si="36"/>
        <v/>
      </c>
      <c r="W264" s="163" t="str">
        <f t="shared" si="36"/>
        <v/>
      </c>
      <c r="X264" s="163" t="str">
        <f t="shared" si="36"/>
        <v/>
      </c>
      <c r="Y264" s="163" t="str">
        <f t="shared" si="36"/>
        <v/>
      </c>
      <c r="Z264" s="163" t="str">
        <f t="shared" si="36"/>
        <v/>
      </c>
      <c r="AA264" s="163" t="str">
        <f t="shared" si="36"/>
        <v/>
      </c>
      <c r="AB264" s="163" t="str">
        <f t="shared" si="36"/>
        <v/>
      </c>
      <c r="AC264" s="163" t="str">
        <f t="shared" si="36"/>
        <v/>
      </c>
      <c r="AD264" s="163" t="str">
        <f t="shared" si="36"/>
        <v/>
      </c>
      <c r="AE264" s="163" t="str">
        <f t="shared" si="36"/>
        <v/>
      </c>
      <c r="AF264" s="163" t="str">
        <f t="shared" si="36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7">IF(B232&lt;100,"",B232-620)</f>
        <v/>
      </c>
      <c r="C265" s="163" t="str">
        <f t="shared" si="37"/>
        <v/>
      </c>
      <c r="D265" s="163" t="str">
        <f t="shared" si="37"/>
        <v/>
      </c>
      <c r="E265" s="163" t="str">
        <f t="shared" si="37"/>
        <v/>
      </c>
      <c r="F265" s="163" t="str">
        <f t="shared" si="37"/>
        <v/>
      </c>
      <c r="G265" s="163" t="str">
        <f t="shared" si="37"/>
        <v/>
      </c>
      <c r="H265" s="163" t="str">
        <f t="shared" si="37"/>
        <v/>
      </c>
      <c r="I265" s="163" t="str">
        <f t="shared" si="37"/>
        <v/>
      </c>
      <c r="J265" s="163" t="str">
        <f t="shared" si="37"/>
        <v/>
      </c>
      <c r="K265" s="163" t="str">
        <f t="shared" si="37"/>
        <v/>
      </c>
      <c r="L265" s="163" t="str">
        <f t="shared" si="37"/>
        <v/>
      </c>
      <c r="M265" s="163" t="str">
        <f t="shared" si="37"/>
        <v/>
      </c>
      <c r="N265" s="163" t="str">
        <f t="shared" si="37"/>
        <v/>
      </c>
      <c r="O265" s="163" t="str">
        <f t="shared" si="37"/>
        <v/>
      </c>
      <c r="P265" s="163" t="str">
        <f t="shared" si="37"/>
        <v/>
      </c>
      <c r="Q265" s="163" t="str">
        <f t="shared" si="37"/>
        <v/>
      </c>
      <c r="R265" s="163" t="str">
        <f t="shared" si="37"/>
        <v/>
      </c>
      <c r="S265" s="163" t="str">
        <f t="shared" si="37"/>
        <v/>
      </c>
      <c r="T265" s="163" t="str">
        <f t="shared" si="37"/>
        <v/>
      </c>
      <c r="U265" s="163" t="str">
        <f t="shared" si="37"/>
        <v/>
      </c>
      <c r="V265" s="163" t="str">
        <f t="shared" si="37"/>
        <v/>
      </c>
      <c r="W265" s="163" t="str">
        <f t="shared" si="37"/>
        <v/>
      </c>
      <c r="X265" s="163" t="str">
        <f t="shared" si="37"/>
        <v/>
      </c>
      <c r="Y265" s="163" t="str">
        <f t="shared" si="37"/>
        <v/>
      </c>
      <c r="Z265" s="163" t="str">
        <f t="shared" si="37"/>
        <v/>
      </c>
      <c r="AA265" s="163" t="str">
        <f t="shared" si="37"/>
        <v/>
      </c>
      <c r="AB265" s="163" t="str">
        <f t="shared" si="37"/>
        <v/>
      </c>
      <c r="AC265" s="163" t="str">
        <f t="shared" si="37"/>
        <v/>
      </c>
      <c r="AD265" s="163" t="str">
        <f t="shared" si="37"/>
        <v/>
      </c>
      <c r="AE265" s="163" t="str">
        <f t="shared" si="37"/>
        <v/>
      </c>
      <c r="AF265" s="163" t="str">
        <f t="shared" si="37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8">IF(B233&lt;100,"",B233-330)</f>
        <v/>
      </c>
      <c r="C266" s="163" t="str">
        <f t="shared" si="38"/>
        <v/>
      </c>
      <c r="D266" s="163" t="str">
        <f t="shared" si="38"/>
        <v/>
      </c>
      <c r="E266" s="163" t="str">
        <f t="shared" si="38"/>
        <v/>
      </c>
      <c r="F266" s="163" t="str">
        <f t="shared" si="38"/>
        <v/>
      </c>
      <c r="G266" s="163" t="str">
        <f t="shared" si="38"/>
        <v/>
      </c>
      <c r="H266" s="163" t="str">
        <f t="shared" si="38"/>
        <v/>
      </c>
      <c r="I266" s="163" t="str">
        <f t="shared" si="38"/>
        <v/>
      </c>
      <c r="J266" s="163" t="str">
        <f t="shared" si="38"/>
        <v/>
      </c>
      <c r="K266" s="163" t="str">
        <f t="shared" si="38"/>
        <v/>
      </c>
      <c r="L266" s="163" t="str">
        <f t="shared" si="38"/>
        <v/>
      </c>
      <c r="M266" s="163" t="str">
        <f t="shared" si="38"/>
        <v/>
      </c>
      <c r="N266" s="163" t="str">
        <f t="shared" si="38"/>
        <v/>
      </c>
      <c r="O266" s="163" t="str">
        <f t="shared" si="38"/>
        <v/>
      </c>
      <c r="P266" s="163" t="str">
        <f t="shared" si="38"/>
        <v/>
      </c>
      <c r="Q266" s="163" t="str">
        <f t="shared" si="38"/>
        <v/>
      </c>
      <c r="R266" s="163" t="str">
        <f t="shared" si="38"/>
        <v/>
      </c>
      <c r="S266" s="163" t="str">
        <f t="shared" si="38"/>
        <v/>
      </c>
      <c r="T266" s="163" t="str">
        <f t="shared" si="38"/>
        <v/>
      </c>
      <c r="U266" s="163" t="str">
        <f t="shared" si="38"/>
        <v/>
      </c>
      <c r="V266" s="163" t="str">
        <f t="shared" si="38"/>
        <v/>
      </c>
      <c r="W266" s="163" t="str">
        <f t="shared" si="38"/>
        <v/>
      </c>
      <c r="X266" s="163" t="str">
        <f t="shared" si="38"/>
        <v/>
      </c>
      <c r="Y266" s="163" t="str">
        <f t="shared" si="38"/>
        <v/>
      </c>
      <c r="Z266" s="163" t="str">
        <f t="shared" si="38"/>
        <v/>
      </c>
      <c r="AA266" s="163" t="str">
        <f t="shared" si="38"/>
        <v/>
      </c>
      <c r="AB266" s="163" t="str">
        <f t="shared" si="38"/>
        <v/>
      </c>
      <c r="AC266" s="163" t="str">
        <f t="shared" si="38"/>
        <v/>
      </c>
      <c r="AD266" s="163" t="str">
        <f t="shared" si="38"/>
        <v/>
      </c>
      <c r="AE266" s="163" t="str">
        <f t="shared" si="38"/>
        <v/>
      </c>
      <c r="AF266" s="163" t="str">
        <f t="shared" si="38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9">IF(B234&lt;100,"",B234-1500)</f>
        <v/>
      </c>
      <c r="C267" s="163" t="str">
        <f t="shared" si="39"/>
        <v/>
      </c>
      <c r="D267" s="163" t="str">
        <f t="shared" si="39"/>
        <v/>
      </c>
      <c r="E267" s="163" t="str">
        <f t="shared" si="39"/>
        <v/>
      </c>
      <c r="F267" s="163" t="str">
        <f t="shared" si="39"/>
        <v/>
      </c>
      <c r="G267" s="163" t="str">
        <f t="shared" si="39"/>
        <v/>
      </c>
      <c r="H267" s="163" t="str">
        <f t="shared" si="39"/>
        <v/>
      </c>
      <c r="I267" s="163" t="str">
        <f t="shared" si="39"/>
        <v/>
      </c>
      <c r="J267" s="163" t="str">
        <f t="shared" si="39"/>
        <v/>
      </c>
      <c r="K267" s="163" t="str">
        <f t="shared" si="39"/>
        <v/>
      </c>
      <c r="L267" s="163" t="str">
        <f t="shared" si="39"/>
        <v/>
      </c>
      <c r="M267" s="163" t="str">
        <f t="shared" si="39"/>
        <v/>
      </c>
      <c r="N267" s="163" t="str">
        <f t="shared" si="39"/>
        <v/>
      </c>
      <c r="O267" s="163" t="str">
        <f t="shared" si="39"/>
        <v/>
      </c>
      <c r="P267" s="163" t="str">
        <f t="shared" si="39"/>
        <v/>
      </c>
      <c r="Q267" s="163" t="str">
        <f t="shared" si="39"/>
        <v/>
      </c>
      <c r="R267" s="163" t="str">
        <f t="shared" si="39"/>
        <v/>
      </c>
      <c r="S267" s="163" t="str">
        <f t="shared" si="39"/>
        <v/>
      </c>
      <c r="T267" s="163" t="str">
        <f t="shared" si="39"/>
        <v/>
      </c>
      <c r="U267" s="163" t="str">
        <f t="shared" si="39"/>
        <v/>
      </c>
      <c r="V267" s="163" t="str">
        <f t="shared" si="39"/>
        <v/>
      </c>
      <c r="W267" s="163" t="str">
        <f t="shared" si="39"/>
        <v/>
      </c>
      <c r="X267" s="163" t="str">
        <f t="shared" si="39"/>
        <v/>
      </c>
      <c r="Y267" s="163" t="str">
        <f t="shared" si="39"/>
        <v/>
      </c>
      <c r="Z267" s="163" t="str">
        <f t="shared" si="39"/>
        <v/>
      </c>
      <c r="AA267" s="163" t="str">
        <f t="shared" si="39"/>
        <v/>
      </c>
      <c r="AB267" s="163" t="str">
        <f t="shared" si="39"/>
        <v/>
      </c>
      <c r="AC267" s="163" t="str">
        <f t="shared" si="39"/>
        <v/>
      </c>
      <c r="AD267" s="163" t="str">
        <f t="shared" si="39"/>
        <v/>
      </c>
      <c r="AE267" s="163" t="str">
        <f t="shared" si="39"/>
        <v/>
      </c>
      <c r="AF267" s="163" t="str">
        <f t="shared" si="39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390" priority="120">
      <formula>$AH11=0</formula>
    </cfRule>
  </conditionalFormatting>
  <conditionalFormatting sqref="B8 M8 S8 AB8">
    <cfRule type="expression" dxfId="389" priority="243">
      <formula>C$9&lt;8/24</formula>
    </cfRule>
    <cfRule type="expression" dxfId="388" priority="242">
      <formula>AND(C$9&gt;=8/24,C$9&lt;14/24)</formula>
    </cfRule>
    <cfRule type="expression" dxfId="387" priority="241">
      <formula>AND(C$9&gt;=14/24,C$9&lt;20/24)</formula>
    </cfRule>
  </conditionalFormatting>
  <conditionalFormatting sqref="B95:D102">
    <cfRule type="expression" dxfId="382" priority="89">
      <formula>B$9&lt;8/24</formula>
    </cfRule>
    <cfRule type="expression" dxfId="381" priority="88">
      <formula>AND(B$9&gt;=8/24,B$9&lt;14/24)</formula>
    </cfRule>
  </conditionalFormatting>
  <conditionalFormatting sqref="B49:L51">
    <cfRule type="expression" dxfId="380" priority="91">
      <formula>B$9&gt;=20/24</formula>
    </cfRule>
    <cfRule type="expression" dxfId="379" priority="92">
      <formula>AND(B$9&gt;=14/24,B$9&lt;20/24)</formula>
    </cfRule>
    <cfRule type="expression" dxfId="378" priority="93">
      <formula>AND(B$9&gt;=8/24,B$9&lt;14/24)</formula>
    </cfRule>
    <cfRule type="expression" dxfId="377" priority="94">
      <formula>B$9&lt;8/24</formula>
    </cfRule>
  </conditionalFormatting>
  <conditionalFormatting sqref="B52:L53 M53:V53">
    <cfRule type="expression" dxfId="376" priority="85">
      <formula>B52&gt;$AG52</formula>
    </cfRule>
  </conditionalFormatting>
  <conditionalFormatting sqref="B49:P51">
    <cfRule type="expression" dxfId="375" priority="90">
      <formula>B49&gt;$AG49</formula>
    </cfRule>
  </conditionalFormatting>
  <conditionalFormatting sqref="B95:Y102">
    <cfRule type="expression" dxfId="374" priority="86">
      <formula>B$9&gt;=20/24</formula>
    </cfRule>
    <cfRule type="expression" dxfId="373" priority="87">
      <formula>AND(B$9&gt;=14/24,B$9&lt;20/24)</formula>
    </cfRule>
  </conditionalFormatting>
  <conditionalFormatting sqref="B54:AE54">
    <cfRule type="expression" dxfId="372" priority="81">
      <formula>B$9&gt;=20/24</formula>
    </cfRule>
    <cfRule type="expression" dxfId="371" priority="84">
      <formula>B$9&lt;8/24</formula>
    </cfRule>
    <cfRule type="expression" dxfId="370" priority="82">
      <formula>AND(B$9&gt;=14/24,B$9&lt;20/24)</formula>
    </cfRule>
    <cfRule type="expression" dxfId="369" priority="80">
      <formula>B54&gt;$AG54</formula>
    </cfRule>
    <cfRule type="expression" dxfId="368" priority="83">
      <formula>AND(B$9&gt;=8/24,B$9&lt;14/24)</formula>
    </cfRule>
  </conditionalFormatting>
  <conditionalFormatting sqref="B9:AF11">
    <cfRule type="expression" dxfId="367" priority="22">
      <formula>B$9&gt;=20/24</formula>
    </cfRule>
    <cfRule type="expression" dxfId="366" priority="23">
      <formula>AND(B$9&gt;=14/24,B$9&lt;20/24)</formula>
    </cfRule>
    <cfRule type="expression" dxfId="365" priority="24">
      <formula>AND(B$9&gt;=8/24,B$9&lt;14/24)</formula>
    </cfRule>
    <cfRule type="expression" dxfId="364" priority="25">
      <formula>B$9&lt;8/24</formula>
    </cfRule>
  </conditionalFormatting>
  <conditionalFormatting sqref="B11:AF48">
    <cfRule type="expression" dxfId="363" priority="21">
      <formula>B11&gt;$AG11</formula>
    </cfRule>
  </conditionalFormatting>
  <conditionalFormatting sqref="B12:AF14">
    <cfRule type="expression" dxfId="362" priority="17">
      <formula>B$9&gt;=20/24</formula>
    </cfRule>
    <cfRule type="expression" dxfId="361" priority="18">
      <formula>AND(B$9&gt;=14/24,B$9&lt;20/24)</formula>
    </cfRule>
    <cfRule type="expression" dxfId="360" priority="19">
      <formula>AND(B$9&gt;=8/24,B$9&lt;14/24)</formula>
    </cfRule>
    <cfRule type="expression" dxfId="359" priority="20">
      <formula>B$9&lt;8/24</formula>
    </cfRule>
  </conditionalFormatting>
  <conditionalFormatting sqref="B15:AF40">
    <cfRule type="expression" dxfId="358" priority="109">
      <formula>AND(B$9&gt;=14/24,B$9&lt;20/24)</formula>
    </cfRule>
    <cfRule type="expression" dxfId="357" priority="108">
      <formula>B$9&gt;=20/24</formula>
    </cfRule>
    <cfRule type="expression" dxfId="356" priority="111">
      <formula>B$9&lt;8/24</formula>
    </cfRule>
    <cfRule type="expression" dxfId="355" priority="110">
      <formula>AND(B$9&gt;=8/24,B$9&lt;14/24)</formula>
    </cfRule>
  </conditionalFormatting>
  <conditionalFormatting sqref="B41:AF41">
    <cfRule type="expression" dxfId="354" priority="15">
      <formula>AND(B$9&gt;=8/24,B$9&lt;14/24)</formula>
    </cfRule>
    <cfRule type="expression" dxfId="353" priority="14">
      <formula>AND(B$9&gt;=14/24,B$9&lt;20/24)</formula>
    </cfRule>
    <cfRule type="expression" dxfId="352" priority="13">
      <formula>B$9&gt;=20/24</formula>
    </cfRule>
    <cfRule type="expression" dxfId="351" priority="16">
      <formula>B$9&lt;8/24</formula>
    </cfRule>
  </conditionalFormatting>
  <conditionalFormatting sqref="B42:AF43">
    <cfRule type="expression" dxfId="350" priority="73">
      <formula>AND(B$9&gt;=14/24,B$9&lt;20/24)</formula>
    </cfRule>
    <cfRule type="expression" dxfId="349" priority="74">
      <formula>AND(B$9&gt;=8/24,B$9&lt;14/24)</formula>
    </cfRule>
    <cfRule type="expression" dxfId="348" priority="75">
      <formula>B$9&lt;8/24</formula>
    </cfRule>
    <cfRule type="expression" dxfId="347" priority="72">
      <formula>B$9&gt;=20/24</formula>
    </cfRule>
  </conditionalFormatting>
  <conditionalFormatting sqref="B45:AF48">
    <cfRule type="expression" dxfId="346" priority="49">
      <formula>B$9&gt;=20/24</formula>
    </cfRule>
    <cfRule type="expression" dxfId="345" priority="50">
      <formula>AND(B$9&gt;=14/24,B$9&lt;20/24)</formula>
    </cfRule>
    <cfRule type="expression" dxfId="344" priority="52">
      <formula>B$9&lt;8/24</formula>
    </cfRule>
    <cfRule type="expression" dxfId="343" priority="51">
      <formula>AND(B$9&gt;=8/24,B$9&lt;14/24)</formula>
    </cfRule>
  </conditionalFormatting>
  <conditionalFormatting sqref="B55:AF60">
    <cfRule type="expression" dxfId="342" priority="31">
      <formula>B$9&lt;8/24</formula>
    </cfRule>
    <cfRule type="expression" dxfId="341" priority="28">
      <formula>B$9&gt;=20/24</formula>
    </cfRule>
    <cfRule type="expression" dxfId="340" priority="29">
      <formula>AND(B$9&gt;=14/24,B$9&lt;20/24)</formula>
    </cfRule>
    <cfRule type="expression" dxfId="339" priority="30">
      <formula>AND(B$9&gt;=8/24,B$9&lt;14/24)</formula>
    </cfRule>
  </conditionalFormatting>
  <conditionalFormatting sqref="B55:AF66">
    <cfRule type="expression" dxfId="338" priority="27">
      <formula>B55&gt;$AG55</formula>
    </cfRule>
  </conditionalFormatting>
  <conditionalFormatting sqref="B63:AF72">
    <cfRule type="expression" dxfId="337" priority="69">
      <formula>AND(B$9&gt;=8/24,B$9&lt;14/24)</formula>
    </cfRule>
    <cfRule type="expression" dxfId="336" priority="67">
      <formula>B$9&gt;=20/24</formula>
    </cfRule>
    <cfRule type="expression" dxfId="335" priority="68">
      <formula>AND(B$9&gt;=14/24,B$9&lt;20/24)</formula>
    </cfRule>
    <cfRule type="expression" dxfId="334" priority="70">
      <formula>B$9&lt;8/24</formula>
    </cfRule>
  </conditionalFormatting>
  <conditionalFormatting sqref="B73:AF85">
    <cfRule type="expression" dxfId="333" priority="11">
      <formula>AND(B$9&gt;=8/24,B$9&lt;14/24)</formula>
    </cfRule>
    <cfRule type="expression" dxfId="332" priority="9">
      <formula>B$9&gt;=20/24</formula>
    </cfRule>
    <cfRule type="expression" dxfId="331" priority="10">
      <formula>AND(B$9&gt;=14/24,B$9&lt;20/24)</formula>
    </cfRule>
    <cfRule type="expression" dxfId="330" priority="12">
      <formula>B$9&lt;8/24</formula>
    </cfRule>
  </conditionalFormatting>
  <conditionalFormatting sqref="B87:AF94">
    <cfRule type="expression" dxfId="325" priority="60">
      <formula>AND(B$9&gt;=8/24,B$9&lt;14/24)</formula>
    </cfRule>
    <cfRule type="expression" dxfId="324" priority="59">
      <formula>AND(B$9&gt;=14/24,B$9&lt;20/24)</formula>
    </cfRule>
    <cfRule type="expression" dxfId="323" priority="58">
      <formula>B$9&gt;=20/24</formula>
    </cfRule>
    <cfRule type="expression" dxfId="322" priority="61">
      <formula>B$9&lt;8/24</formula>
    </cfRule>
  </conditionalFormatting>
  <conditionalFormatting sqref="B103:AF103">
    <cfRule type="expression" dxfId="321" priority="44">
      <formula>B$9&gt;=20/24</formula>
    </cfRule>
    <cfRule type="expression" dxfId="320" priority="46">
      <formula>AND(B$9&gt;=8/24,B$9&lt;14/24)</formula>
    </cfRule>
    <cfRule type="expression" dxfId="319" priority="47">
      <formula>B$9&lt;8/24</formula>
    </cfRule>
    <cfRule type="expression" dxfId="318" priority="45">
      <formula>AND(B$9&gt;=14/24,B$9&lt;20/24)</formula>
    </cfRule>
  </conditionalFormatting>
  <conditionalFormatting sqref="B105:AF112">
    <cfRule type="expression" dxfId="317" priority="35">
      <formula>B$9&lt;8/24</formula>
    </cfRule>
    <cfRule type="expression" dxfId="316" priority="34">
      <formula>AND(B$9&gt;=8/24,B$9&lt;14/24)</formula>
    </cfRule>
    <cfRule type="expression" dxfId="315" priority="33">
      <formula>AND(B$9&gt;=14/24,B$9&lt;20/24)</formula>
    </cfRule>
    <cfRule type="expression" dxfId="314" priority="32">
      <formula>B$9&gt;=20/24</formula>
    </cfRule>
  </conditionalFormatting>
  <conditionalFormatting sqref="B220:AF220 D222:AF223 B222:B228 D224:H224 J224:AF224 D225:AF228 U241:AF241">
    <cfRule type="expression" dxfId="313" priority="237">
      <formula>B$9&lt;8/24</formula>
    </cfRule>
    <cfRule type="expression" dxfId="312" priority="234">
      <formula>B$9&gt;=20/24</formula>
    </cfRule>
    <cfRule type="expression" dxfId="311" priority="236">
      <formula>AND(B$9&gt;=8/24,B$9&lt;14/24)</formula>
    </cfRule>
    <cfRule type="expression" dxfId="310" priority="235">
      <formula>AND(B$9&gt;=14/24,B$9&lt;20/24)</formula>
    </cfRule>
  </conditionalFormatting>
  <conditionalFormatting sqref="E95:AD95">
    <cfRule type="expression" dxfId="305" priority="118">
      <formula>AND(E$9&gt;=8/24,E$9&lt;14/24)</formula>
    </cfRule>
    <cfRule type="expression" dxfId="304" priority="119">
      <formula>E$9&lt;8/24</formula>
    </cfRule>
  </conditionalFormatting>
  <conditionalFormatting sqref="M50:P51 Q50:Q52 P52 R52:V52 W52:AE53">
    <cfRule type="expression" dxfId="303" priority="206">
      <formula>AND(M$9&gt;=8/24,M$9&lt;14/24)</formula>
    </cfRule>
    <cfRule type="expression" dxfId="302" priority="207">
      <formula>M$9&lt;8/24</formula>
    </cfRule>
    <cfRule type="expression" dxfId="301" priority="205">
      <formula>AND(M$9&gt;=14/24,M$9&lt;20/24)</formula>
    </cfRule>
  </conditionalFormatting>
  <conditionalFormatting sqref="M49:Q49">
    <cfRule type="expression" dxfId="300" priority="202">
      <formula>AND(M$9&gt;=8/24,M$9&lt;14/24)</formula>
    </cfRule>
    <cfRule type="expression" dxfId="299" priority="203">
      <formula>M$9&lt;8/24</formula>
    </cfRule>
    <cfRule type="expression" dxfId="298" priority="200">
      <formula>M$9&gt;=20/24</formula>
    </cfRule>
    <cfRule type="expression" dxfId="297" priority="201">
      <formula>AND(M$9&gt;=14/24,M$9&lt;20/24)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Q49:Q52 R52:V52 W52:AE53">
    <cfRule type="expression" dxfId="296" priority="199">
      <formula>Q49&gt;$AG49</formula>
    </cfRule>
  </conditionalFormatting>
  <conditionalFormatting sqref="Q50:Q52 R52:V52 W52:AE53 P52 M50:P51">
    <cfRule type="expression" dxfId="295" priority="204">
      <formula>M$9&gt;=20/24</formula>
    </cfRule>
  </conditionalFormatting>
  <conditionalFormatting sqref="R49:AE51">
    <cfRule type="expression" dxfId="294" priority="189">
      <formula>R49&gt;$AG49</formula>
    </cfRule>
    <cfRule type="expression" dxfId="293" priority="192">
      <formula>AND(R$9&gt;=8/24,R$9&lt;14/24)</formula>
    </cfRule>
    <cfRule type="expression" dxfId="292" priority="193">
      <formula>R$9&lt;8/24</formula>
    </cfRule>
    <cfRule type="expression" dxfId="291" priority="190">
      <formula>R$9&gt;=20/24</formula>
    </cfRule>
    <cfRule type="expression" dxfId="290" priority="191">
      <formula>AND(R$9&gt;=14/24,R$9&lt;20/24)</formula>
    </cfRule>
  </conditionalFormatting>
  <conditionalFormatting sqref="S8 AB8 B8 M8">
    <cfRule type="expression" dxfId="289" priority="240">
      <formula>C$9&gt;=20/24</formula>
    </cfRule>
  </conditionalFormatting>
  <conditionalFormatting sqref="S8">
    <cfRule type="expression" dxfId="288" priority="215">
      <formula>AND(U$9&gt;=8/24,U$9&lt;14/24)</formula>
    </cfRule>
    <cfRule type="expression" dxfId="287" priority="214">
      <formula>AND(U$9&gt;=14/24,U$9&lt;20/24)</formula>
    </cfRule>
    <cfRule type="expression" dxfId="286" priority="213">
      <formula>U$9&gt;=20/24</formula>
    </cfRule>
    <cfRule type="expression" dxfId="285" priority="216">
      <formula>U$9&lt;8/24</formula>
    </cfRule>
  </conditionalFormatting>
  <conditionalFormatting sqref="T241">
    <cfRule type="expression" dxfId="284" priority="256">
      <formula>AX$9&lt;8/24</formula>
    </cfRule>
    <cfRule type="expression" dxfId="283" priority="255">
      <formula>AND(AX$9&gt;=8/24,AX$9&lt;14/24)</formula>
    </cfRule>
    <cfRule type="expression" dxfId="282" priority="254">
      <formula>AND(AX$9&gt;=14/24,AX$9&lt;20/24)</formula>
    </cfRule>
    <cfRule type="expression" dxfId="281" priority="253">
      <formula>AX$9&gt;=20/24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Z95:AD95">
    <cfRule type="expression" dxfId="280" priority="116">
      <formula>Z$9&gt;=20/24</formula>
    </cfRule>
    <cfRule type="expression" dxfId="279" priority="117">
      <formula>AND(Z$9&gt;=14/24,Z$9&lt;20/24)</formula>
    </cfRule>
  </conditionalFormatting>
  <conditionalFormatting sqref="AB8">
    <cfRule type="expression" dxfId="278" priority="210">
      <formula>AND(AD$9&gt;=14/24,AD$9&lt;20/24)</formula>
    </cfRule>
    <cfRule type="expression" dxfId="277" priority="211">
      <formula>AND(AD$9&gt;=8/24,AD$9&lt;14/24)</formula>
    </cfRule>
    <cfRule type="expression" dxfId="276" priority="212">
      <formula>AD$9&lt;8/24</formula>
    </cfRule>
    <cfRule type="expression" dxfId="275" priority="209">
      <formula>AD$9&gt;=20/24</formula>
    </cfRule>
  </conditionalFormatting>
  <conditionalFormatting sqref="AD96:AD101 E96:AC102">
    <cfRule type="expression" dxfId="274" priority="114">
      <formula>AND(E$9&gt;=8/24,E$9&lt;14/24)</formula>
    </cfRule>
    <cfRule type="expression" dxfId="273" priority="115">
      <formula>E$9&lt;8/24</formula>
    </cfRule>
  </conditionalFormatting>
  <conditionalFormatting sqref="AD96:AD101 Z96:AC102">
    <cfRule type="expression" dxfId="272" priority="112">
      <formula>Z$9&gt;=20/24</formula>
    </cfRule>
    <cfRule type="expression" dxfId="271" priority="113">
      <formula>AND(Z$9&gt;=14/24,Z$9&lt;20/24)</formula>
    </cfRule>
  </conditionalFormatting>
  <conditionalFormatting sqref="AE95:AF101 AD102:AF102">
    <cfRule type="expression" dxfId="270" priority="197">
      <formula>AND(AD$9&gt;=8/24,AD$9&lt;14/24)</formula>
    </cfRule>
    <cfRule type="expression" dxfId="269" priority="196">
      <formula>AND(AD$9&gt;=14/24,AD$9&lt;20/24)</formula>
    </cfRule>
    <cfRule type="expression" dxfId="268" priority="195">
      <formula>AD$9&gt;=20/24</formula>
    </cfRule>
    <cfRule type="expression" dxfId="267" priority="198">
      <formula>AD$9&lt;8/24</formula>
    </cfRule>
  </conditionalFormatting>
  <conditionalFormatting sqref="AF49:AF54">
    <cfRule type="expression" dxfId="266" priority="163">
      <formula>AND(AF$9&gt;=14/24,AF$9&lt;20/24)</formula>
    </cfRule>
    <cfRule type="expression" dxfId="265" priority="164">
      <formula>AND(AF$9&gt;=8/24,AF$9&lt;14/24)</formula>
    </cfRule>
    <cfRule type="expression" dxfId="264" priority="165">
      <formula>AF$9&lt;8/24</formula>
    </cfRule>
    <cfRule type="expression" dxfId="263" priority="161">
      <formula>AF49&gt;$AG49</formula>
    </cfRule>
    <cfRule type="expression" dxfId="262" priority="162">
      <formula>AF$9&gt;=20/24</formula>
    </cfRule>
  </conditionalFormatting>
  <conditionalFormatting sqref="AG44 M52:P52 AG61:AG62 AG66">
    <cfRule type="expression" dxfId="261" priority="166">
      <formula>M44&gt;$AG44</formula>
    </cfRule>
  </conditionalFormatting>
  <conditionalFormatting sqref="AG48">
    <cfRule type="expression" dxfId="260" priority="147">
      <formula>AG$9&gt;=20/24</formula>
    </cfRule>
    <cfRule type="expression" dxfId="259" priority="148">
      <formula>AND(AG$9&gt;=14/24,AG$9&lt;20/24)</formula>
    </cfRule>
    <cfRule type="expression" dxfId="258" priority="149">
      <formula>AND(AG$9&gt;=8/24,AG$9&lt;14/24)</formula>
    </cfRule>
    <cfRule type="expression" dxfId="257" priority="150">
      <formula>AG$9&lt;8/24</formula>
    </cfRule>
    <cfRule type="expression" dxfId="256" priority="146">
      <formula>AG48&gt;$AG48</formula>
    </cfRule>
  </conditionalFormatting>
  <conditionalFormatting sqref="AG66 AG83">
    <cfRule type="expression" dxfId="255" priority="169">
      <formula>AND(AG$9&gt;=8/24,AG$9&lt;14/24)</formula>
    </cfRule>
    <cfRule type="expression" dxfId="254" priority="170">
      <formula>AG$9&lt;8/24</formula>
    </cfRule>
    <cfRule type="expression" dxfId="253" priority="168">
      <formula>AND(AG$9&gt;=14/24,AG$9&lt;20/24)</formula>
    </cfRule>
    <cfRule type="expression" dxfId="252" priority="167">
      <formula>AG$9&gt;=20/24</formula>
    </cfRule>
  </conditionalFormatting>
  <conditionalFormatting sqref="AG241">
    <cfRule type="expression" dxfId="251" priority="245">
      <formula>B$9&gt;=20/24</formula>
    </cfRule>
    <cfRule type="expression" dxfId="250" priority="246">
      <formula>AND(B$9&gt;=14/24,B$9&lt;20/24)</formula>
    </cfRule>
    <cfRule type="expression" dxfId="249" priority="248">
      <formula>B$9&lt;8/24</formula>
    </cfRule>
    <cfRule type="expression" dxfId="248" priority="247">
      <formula>AND(B$9&gt;=8/24,B$9&lt;14/24)</formula>
    </cfRule>
  </conditionalFormatting>
  <conditionalFormatting sqref="AH241:AX241">
    <cfRule type="expression" dxfId="247" priority="252">
      <formula>AG$9&lt;8/24</formula>
    </cfRule>
    <cfRule type="expression" dxfId="246" priority="251">
      <formula>AND(AG$9&gt;=8/24,AG$9&lt;14/24)</formula>
    </cfRule>
    <cfRule type="expression" dxfId="245" priority="250">
      <formula>AND(AG$9&gt;=14/24,AG$9&lt;20/24)</formula>
    </cfRule>
    <cfRule type="expression" dxfId="244" priority="249">
      <formula>AG$9&gt;=20/24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243" priority="261">
      <formula>AJ$9&lt;8/24</formula>
    </cfRule>
    <cfRule type="expression" dxfId="242" priority="259">
      <formula>AND(AJ$9&gt;=14/24,AJ$9&lt;20/24)</formula>
    </cfRule>
    <cfRule type="expression" dxfId="241" priority="258">
      <formula>AJ$9&gt;=20/24</formula>
    </cfRule>
    <cfRule type="expression" dxfId="240" priority="260">
      <formula>AND(AJ$9&gt;=8/24,AJ$9&lt;14/24)</formula>
    </cfRule>
  </conditionalFormatting>
  <conditionalFormatting sqref="AL74:AN74 AL80:AN80">
    <cfRule type="expression" dxfId="239" priority="8">
      <formula>AL$9&lt;8/24</formula>
    </cfRule>
    <cfRule type="expression" dxfId="238" priority="5">
      <formula>AL$9&gt;=20/24</formula>
    </cfRule>
    <cfRule type="expression" dxfId="237" priority="6">
      <formula>AND(AL$9&gt;=14/24,AL$9&lt;20/24)</formula>
    </cfRule>
    <cfRule type="expression" dxfId="236" priority="7">
      <formula>AND(AL$9&gt;=8/24,AL$9&lt;14/24)</formula>
    </cfRule>
  </conditionalFormatting>
  <conditionalFormatting sqref="AN75:AN78">
    <cfRule type="expression" dxfId="235" priority="3">
      <formula>AND(AN$9&gt;=8/24,AN$9&lt;14/24)</formula>
    </cfRule>
    <cfRule type="expression" dxfId="234" priority="1">
      <formula>AN$9&gt;=20/24</formula>
    </cfRule>
    <cfRule type="expression" dxfId="233" priority="4">
      <formula>AN$9&lt;8/24</formula>
    </cfRule>
    <cfRule type="expression" dxfId="232" priority="2">
      <formula>AND(AN$9&gt;=14/24,AN$9&lt;20/24)</formula>
    </cfRule>
  </conditionalFormatting>
  <pageMargins left="0.7" right="0.7" top="0.75" bottom="0.75" header="0.3" footer="0.3"/>
  <pageSetup paperSize="9" scale="32" fitToHeight="0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1" id="{000795BD-918A-460A-A885-0D987388C3C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9AFD2345-9FC1-4025-B578-1494E2E2E0A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0" id="{3D2488FB-AC57-4076-8C53-C84328C224C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3" id="{9B3E3062-D969-421E-84B8-D54554E560C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0" id="{518F34AD-75A0-450E-88C0-EB88F44A83E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3" id="{4C88AE70-506B-4DE1-9987-560B82AE466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61339530-3500-4BBC-9B00-C63F3F4A3A0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4E1E9399-26D0-4989-9748-3CBBC3954A7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4" id="{8690FD4A-768C-433D-B3AC-4BFC991CE16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7" id="{6183E246-23D2-48DF-9C77-5DA334509E9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6" id="{C5AF2545-8D46-42C4-9A01-6B968FEA558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5" id="{7E9F0CAA-04E4-4EF7-84DF-DF4B40C40D4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J274"/>
  <sheetViews>
    <sheetView topLeftCell="A22" workbookViewId="0">
      <selection activeCell="V113" sqref="V11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2079/09/14</v>
      </c>
      <c r="C4" s="197"/>
      <c r="D4" s="197"/>
      <c r="E4" s="198" t="str">
        <f ca="1">"2079/"&amp;"09/"&amp;INT(MID(CELL("filename",G6),FIND("]",CELL("filename",G6))+1,200))</f>
        <v>2079/09/14</v>
      </c>
      <c r="F4" s="198"/>
      <c r="G4" s="198"/>
      <c r="H4" s="198" t="str">
        <f ca="1">TEXT(E4,"dddd")</f>
        <v>Thursday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293.7</v>
      </c>
      <c r="C5" s="30">
        <f t="shared" si="0"/>
        <v>269.3</v>
      </c>
      <c r="D5" s="30">
        <f t="shared" si="0"/>
        <v>285.7</v>
      </c>
      <c r="E5" s="30">
        <f t="shared" si="0"/>
        <v>299.5</v>
      </c>
      <c r="F5" s="30">
        <f t="shared" si="0"/>
        <v>306</v>
      </c>
      <c r="G5" s="30">
        <f t="shared" si="0"/>
        <v>340</v>
      </c>
      <c r="H5" s="30">
        <f t="shared" si="0"/>
        <v>365.5</v>
      </c>
      <c r="I5" s="30">
        <f t="shared" si="0"/>
        <v>383</v>
      </c>
      <c r="J5" s="30">
        <f t="shared" si="0"/>
        <v>392</v>
      </c>
      <c r="K5" s="30">
        <f t="shared" si="0"/>
        <v>170</v>
      </c>
      <c r="L5" s="30">
        <f t="shared" si="0"/>
        <v>170</v>
      </c>
      <c r="M5" s="30">
        <f t="shared" si="0"/>
        <v>150</v>
      </c>
      <c r="N5" s="30">
        <f t="shared" si="0"/>
        <v>159.19999999999999</v>
      </c>
      <c r="O5" s="30">
        <f t="shared" si="0"/>
        <v>258.60000000000002</v>
      </c>
      <c r="P5" s="30">
        <f t="shared" si="0"/>
        <v>360</v>
      </c>
      <c r="Q5" s="30">
        <f t="shared" si="0"/>
        <v>427.7</v>
      </c>
      <c r="R5" s="30">
        <f t="shared" si="0"/>
        <v>403.7</v>
      </c>
      <c r="S5" s="30">
        <f t="shared" si="0"/>
        <v>416.7</v>
      </c>
      <c r="T5" s="30">
        <f t="shared" si="0"/>
        <v>416.7</v>
      </c>
      <c r="U5" s="30">
        <f t="shared" si="0"/>
        <v>150.69999999999999</v>
      </c>
      <c r="V5" s="30">
        <f t="shared" si="0"/>
        <v>150.69999999999999</v>
      </c>
      <c r="W5" s="30">
        <f t="shared" si="0"/>
        <v>143.80000000000001</v>
      </c>
      <c r="X5" s="30">
        <f t="shared" si="0"/>
        <v>152</v>
      </c>
      <c r="Y5" s="30">
        <f t="shared" si="0"/>
        <v>255.2</v>
      </c>
      <c r="Z5" s="30">
        <f t="shared" si="0"/>
        <v>255.2</v>
      </c>
      <c r="AA5" s="30">
        <f t="shared" si="0"/>
        <v>240.6</v>
      </c>
      <c r="AB5" s="30">
        <f t="shared" si="0"/>
        <v>284.8</v>
      </c>
      <c r="AC5" s="30">
        <f t="shared" si="0"/>
        <v>275.5</v>
      </c>
      <c r="AD5" s="30">
        <f t="shared" si="0"/>
        <v>338.79999999999995</v>
      </c>
      <c r="AE5" s="30">
        <f t="shared" si="0"/>
        <v>344.6</v>
      </c>
      <c r="AF5" s="30">
        <f>B78</f>
        <v>281.7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1710MW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Load=989</v>
      </c>
      <c r="B7" s="35">
        <f t="shared" ref="B7:AF7" si="1">B85</f>
        <v>988.84000000000015</v>
      </c>
      <c r="C7" s="35">
        <f t="shared" si="1"/>
        <v>1028.6400000000001</v>
      </c>
      <c r="D7" s="35">
        <f t="shared" si="1"/>
        <v>1004.24</v>
      </c>
      <c r="E7" s="35">
        <f t="shared" si="1"/>
        <v>1020.54</v>
      </c>
      <c r="F7" s="35">
        <f t="shared" si="1"/>
        <v>1046.44</v>
      </c>
      <c r="G7" s="35">
        <f t="shared" si="1"/>
        <v>1105.3400000000001</v>
      </c>
      <c r="H7" s="35">
        <f t="shared" si="1"/>
        <v>1176.1399999999999</v>
      </c>
      <c r="I7" s="35">
        <f t="shared" si="1"/>
        <v>1254.6399999999999</v>
      </c>
      <c r="J7" s="35">
        <f t="shared" si="1"/>
        <v>1349.64</v>
      </c>
      <c r="K7" s="35">
        <f t="shared" si="1"/>
        <v>1448.7400000000002</v>
      </c>
      <c r="L7" s="35">
        <f t="shared" si="1"/>
        <v>1660.04</v>
      </c>
      <c r="M7" s="35">
        <f t="shared" si="1"/>
        <v>1710.3400000000001</v>
      </c>
      <c r="N7" s="35">
        <f>N85</f>
        <v>1631.1399999999999</v>
      </c>
      <c r="O7" s="35">
        <f t="shared" si="1"/>
        <v>1624.0400000000002</v>
      </c>
      <c r="P7" s="35">
        <f t="shared" si="1"/>
        <v>1507.2400000000002</v>
      </c>
      <c r="Q7" s="35">
        <f t="shared" si="1"/>
        <v>1495.3400000000001</v>
      </c>
      <c r="R7" s="35">
        <f t="shared" si="1"/>
        <v>1377.94</v>
      </c>
      <c r="S7" s="35">
        <f t="shared" si="1"/>
        <v>1323.04</v>
      </c>
      <c r="T7" s="35">
        <f t="shared" si="1"/>
        <v>1335.94</v>
      </c>
      <c r="U7" s="35">
        <f t="shared" si="1"/>
        <v>1335.24</v>
      </c>
      <c r="V7" s="35">
        <f t="shared" si="1"/>
        <v>1069.24</v>
      </c>
      <c r="W7" s="35">
        <f t="shared" si="1"/>
        <v>1359.34</v>
      </c>
      <c r="X7" s="35">
        <f t="shared" si="1"/>
        <v>1630.9400000000003</v>
      </c>
      <c r="Y7" s="35">
        <f t="shared" si="1"/>
        <v>1643.74</v>
      </c>
      <c r="Z7" s="35">
        <f t="shared" si="1"/>
        <v>1536.24</v>
      </c>
      <c r="AA7" s="35">
        <f t="shared" si="1"/>
        <v>1576.24</v>
      </c>
      <c r="AB7" s="35">
        <f t="shared" si="1"/>
        <v>1495.74</v>
      </c>
      <c r="AC7" s="35">
        <f t="shared" si="1"/>
        <v>1379.94</v>
      </c>
      <c r="AD7" s="35">
        <f t="shared" si="1"/>
        <v>1317.44</v>
      </c>
      <c r="AE7" s="35">
        <f t="shared" si="1"/>
        <v>1208.3399999999999</v>
      </c>
      <c r="AF7" s="35">
        <f t="shared" si="1"/>
        <v>1116.04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24.6</v>
      </c>
      <c r="C11" s="45">
        <v>24.6</v>
      </c>
      <c r="D11" s="45">
        <v>24.6</v>
      </c>
      <c r="E11" s="45">
        <v>24.6</v>
      </c>
      <c r="F11" s="45">
        <v>24.6</v>
      </c>
      <c r="G11" s="45">
        <v>24.6</v>
      </c>
      <c r="H11" s="45">
        <v>24.6</v>
      </c>
      <c r="I11" s="45">
        <v>24.6</v>
      </c>
      <c r="J11" s="45">
        <v>24.6</v>
      </c>
      <c r="K11" s="45">
        <v>24.6</v>
      </c>
      <c r="L11" s="45">
        <v>24.6</v>
      </c>
      <c r="M11" s="45">
        <v>24.6</v>
      </c>
      <c r="N11" s="45">
        <v>24.6</v>
      </c>
      <c r="O11" s="45">
        <v>24.6</v>
      </c>
      <c r="P11" s="45">
        <v>24.6</v>
      </c>
      <c r="Q11" s="45">
        <v>24.6</v>
      </c>
      <c r="R11" s="45">
        <v>24.6</v>
      </c>
      <c r="S11" s="45">
        <v>22.5</v>
      </c>
      <c r="T11" s="45">
        <v>22.5</v>
      </c>
      <c r="U11" s="45">
        <v>21.8</v>
      </c>
      <c r="V11" s="45">
        <v>21.8</v>
      </c>
      <c r="W11" s="45">
        <v>21.8</v>
      </c>
      <c r="X11" s="45">
        <v>23.4</v>
      </c>
      <c r="Y11" s="45">
        <v>21.8</v>
      </c>
      <c r="Z11" s="45">
        <v>21.8</v>
      </c>
      <c r="AA11" s="45">
        <v>21.8</v>
      </c>
      <c r="AB11" s="45">
        <v>21.8</v>
      </c>
      <c r="AC11" s="45">
        <v>21.8</v>
      </c>
      <c r="AD11" s="45">
        <v>21.8</v>
      </c>
      <c r="AE11" s="45">
        <v>21.8</v>
      </c>
      <c r="AF11" s="45">
        <v>21.8</v>
      </c>
      <c r="AG11" s="47">
        <v>52.4</v>
      </c>
      <c r="AH11" s="48">
        <f t="shared" ref="AH11:AH74" si="2">MAX(B11:AF11)</f>
        <v>24.6</v>
      </c>
      <c r="AI11" s="49">
        <f t="shared" ref="AI11:AI74" si="3">MIN(B11:AF11)</f>
        <v>21.8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43.8</v>
      </c>
      <c r="C12" s="45">
        <v>43.8</v>
      </c>
      <c r="D12" s="45">
        <v>43.8</v>
      </c>
      <c r="E12" s="45">
        <v>43.8</v>
      </c>
      <c r="F12" s="45">
        <v>43.8</v>
      </c>
      <c r="G12" s="45">
        <v>43.8</v>
      </c>
      <c r="H12" s="45">
        <v>43.8</v>
      </c>
      <c r="I12" s="45">
        <v>43.8</v>
      </c>
      <c r="J12" s="45">
        <v>43.8</v>
      </c>
      <c r="K12" s="45">
        <v>43.8</v>
      </c>
      <c r="L12" s="45">
        <v>43.8</v>
      </c>
      <c r="M12" s="45">
        <v>43.8</v>
      </c>
      <c r="N12" s="45">
        <v>43.8</v>
      </c>
      <c r="O12" s="45">
        <v>43.8</v>
      </c>
      <c r="P12" s="45">
        <v>43.8</v>
      </c>
      <c r="Q12" s="45">
        <v>43.8</v>
      </c>
      <c r="R12" s="45">
        <v>43.8</v>
      </c>
      <c r="S12" s="45">
        <v>45.1</v>
      </c>
      <c r="T12" s="45">
        <v>45.1</v>
      </c>
      <c r="U12" s="45">
        <v>45.1</v>
      </c>
      <c r="V12" s="45">
        <v>45.1</v>
      </c>
      <c r="W12" s="45">
        <v>45.1</v>
      </c>
      <c r="X12" s="45">
        <v>45.2</v>
      </c>
      <c r="Y12" s="45">
        <v>45.1</v>
      </c>
      <c r="Z12" s="45">
        <v>45.1</v>
      </c>
      <c r="AA12" s="45">
        <v>45.1</v>
      </c>
      <c r="AB12" s="45">
        <v>45.1</v>
      </c>
      <c r="AC12" s="45">
        <v>45.1</v>
      </c>
      <c r="AD12" s="45">
        <v>45.1</v>
      </c>
      <c r="AE12" s="45">
        <v>45.1</v>
      </c>
      <c r="AF12" s="45">
        <v>45.1</v>
      </c>
      <c r="AG12" s="51">
        <v>50</v>
      </c>
      <c r="AH12" s="48">
        <f t="shared" si="2"/>
        <v>45.2</v>
      </c>
      <c r="AI12" s="49">
        <f t="shared" si="3"/>
        <v>43.8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24.4</v>
      </c>
      <c r="C13" s="45">
        <v>24.4</v>
      </c>
      <c r="D13" s="45">
        <v>24.4</v>
      </c>
      <c r="E13" s="45">
        <v>24.4</v>
      </c>
      <c r="F13" s="45">
        <v>24.4</v>
      </c>
      <c r="G13" s="45">
        <v>24.4</v>
      </c>
      <c r="H13" s="45">
        <v>24.4</v>
      </c>
      <c r="I13" s="45">
        <v>24.4</v>
      </c>
      <c r="J13" s="45">
        <v>24.4</v>
      </c>
      <c r="K13" s="45">
        <v>24.4</v>
      </c>
      <c r="L13" s="45">
        <v>24.4</v>
      </c>
      <c r="M13" s="45">
        <v>24.4</v>
      </c>
      <c r="N13" s="45">
        <v>24.4</v>
      </c>
      <c r="O13" s="45">
        <v>24.4</v>
      </c>
      <c r="P13" s="45">
        <v>24.4</v>
      </c>
      <c r="Q13" s="45">
        <v>24.4</v>
      </c>
      <c r="R13" s="45">
        <v>24.4</v>
      </c>
      <c r="S13" s="45">
        <v>24.4</v>
      </c>
      <c r="T13" s="45">
        <v>24.4</v>
      </c>
      <c r="U13" s="45">
        <v>24.4</v>
      </c>
      <c r="V13" s="45">
        <v>24.4</v>
      </c>
      <c r="W13" s="45">
        <v>24.4</v>
      </c>
      <c r="X13" s="45">
        <v>24.4</v>
      </c>
      <c r="Y13" s="45">
        <v>24.4</v>
      </c>
      <c r="Z13" s="45">
        <v>24.4</v>
      </c>
      <c r="AA13" s="45">
        <v>24.4</v>
      </c>
      <c r="AB13" s="45">
        <v>24.4</v>
      </c>
      <c r="AC13" s="45">
        <v>24.4</v>
      </c>
      <c r="AD13" s="45">
        <v>24.4</v>
      </c>
      <c r="AE13" s="45">
        <v>24.4</v>
      </c>
      <c r="AF13" s="45">
        <v>24.4</v>
      </c>
      <c r="AG13" s="51">
        <v>45</v>
      </c>
      <c r="AH13" s="48">
        <f t="shared" si="2"/>
        <v>24.4</v>
      </c>
      <c r="AI13" s="49">
        <f t="shared" si="3"/>
        <v>24.4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11.8</v>
      </c>
      <c r="C14" s="45">
        <v>11.8</v>
      </c>
      <c r="D14" s="45">
        <v>11.8</v>
      </c>
      <c r="E14" s="45">
        <v>11.8</v>
      </c>
      <c r="F14" s="45">
        <v>11.8</v>
      </c>
      <c r="G14" s="45">
        <v>11.8</v>
      </c>
      <c r="H14" s="45">
        <v>11.8</v>
      </c>
      <c r="I14" s="45">
        <v>11.8</v>
      </c>
      <c r="J14" s="45">
        <v>11.8</v>
      </c>
      <c r="K14" s="45">
        <v>11.8</v>
      </c>
      <c r="L14" s="45">
        <v>11.8</v>
      </c>
      <c r="M14" s="45">
        <v>11.8</v>
      </c>
      <c r="N14" s="45">
        <v>11.8</v>
      </c>
      <c r="O14" s="45">
        <v>11.8</v>
      </c>
      <c r="P14" s="45">
        <v>11.8</v>
      </c>
      <c r="Q14" s="45">
        <v>11.8</v>
      </c>
      <c r="R14" s="45">
        <v>11.8</v>
      </c>
      <c r="S14" s="45">
        <v>11.8</v>
      </c>
      <c r="T14" s="45">
        <v>11.8</v>
      </c>
      <c r="U14" s="45">
        <v>11.8</v>
      </c>
      <c r="V14" s="45">
        <v>11.8</v>
      </c>
      <c r="W14" s="45">
        <v>11.8</v>
      </c>
      <c r="X14" s="45">
        <v>11.8</v>
      </c>
      <c r="Y14" s="45">
        <v>11.8</v>
      </c>
      <c r="Z14" s="45">
        <v>11.8</v>
      </c>
      <c r="AA14" s="45">
        <v>11.8</v>
      </c>
      <c r="AB14" s="45">
        <v>11.8</v>
      </c>
      <c r="AC14" s="45">
        <v>11.8</v>
      </c>
      <c r="AD14" s="45">
        <v>11.8</v>
      </c>
      <c r="AE14" s="45">
        <v>11.8</v>
      </c>
      <c r="AF14" s="45">
        <v>11.8</v>
      </c>
      <c r="AG14" s="51">
        <v>42</v>
      </c>
      <c r="AH14" s="48">
        <f t="shared" si="2"/>
        <v>11.8</v>
      </c>
      <c r="AI14" s="49">
        <f t="shared" si="3"/>
        <v>11.8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17.3</v>
      </c>
      <c r="C15" s="45">
        <v>17.3</v>
      </c>
      <c r="D15" s="45">
        <v>17.3</v>
      </c>
      <c r="E15" s="45">
        <v>17.3</v>
      </c>
      <c r="F15" s="45">
        <v>17.3</v>
      </c>
      <c r="G15" s="45">
        <v>17.3</v>
      </c>
      <c r="H15" s="45">
        <v>17.3</v>
      </c>
      <c r="I15" s="45">
        <v>17.3</v>
      </c>
      <c r="J15" s="45">
        <v>17.3</v>
      </c>
      <c r="K15" s="45">
        <v>17.3</v>
      </c>
      <c r="L15" s="45">
        <v>17.3</v>
      </c>
      <c r="M15" s="45">
        <v>17.3</v>
      </c>
      <c r="N15" s="45">
        <v>17.3</v>
      </c>
      <c r="O15" s="45">
        <v>17.3</v>
      </c>
      <c r="P15" s="45">
        <v>17.3</v>
      </c>
      <c r="Q15" s="45">
        <v>17.3</v>
      </c>
      <c r="R15" s="45">
        <v>17.3</v>
      </c>
      <c r="S15" s="45">
        <v>17.3</v>
      </c>
      <c r="T15" s="45">
        <v>17.3</v>
      </c>
      <c r="U15" s="45">
        <v>17.3</v>
      </c>
      <c r="V15" s="45">
        <v>17.3</v>
      </c>
      <c r="W15" s="45">
        <v>17.3</v>
      </c>
      <c r="X15" s="45">
        <v>17.3</v>
      </c>
      <c r="Y15" s="45">
        <v>17.3</v>
      </c>
      <c r="Z15" s="45">
        <v>17.3</v>
      </c>
      <c r="AA15" s="45">
        <v>17.3</v>
      </c>
      <c r="AB15" s="45">
        <v>17.3</v>
      </c>
      <c r="AC15" s="45">
        <v>17.3</v>
      </c>
      <c r="AD15" s="45">
        <v>17.3</v>
      </c>
      <c r="AE15" s="45">
        <v>17.3</v>
      </c>
      <c r="AF15" s="45">
        <v>17.3</v>
      </c>
      <c r="AG15" s="51">
        <v>36</v>
      </c>
      <c r="AH15" s="48">
        <f t="shared" si="2"/>
        <v>17.3</v>
      </c>
      <c r="AI15" s="49">
        <f t="shared" si="3"/>
        <v>17.3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11.2</v>
      </c>
      <c r="C16" s="45">
        <v>11.2</v>
      </c>
      <c r="D16" s="45">
        <v>11.2</v>
      </c>
      <c r="E16" s="45">
        <v>11.2</v>
      </c>
      <c r="F16" s="45">
        <v>11.2</v>
      </c>
      <c r="G16" s="45">
        <v>11.2</v>
      </c>
      <c r="H16" s="45">
        <v>11.2</v>
      </c>
      <c r="I16" s="45">
        <v>11.2</v>
      </c>
      <c r="J16" s="45">
        <v>11.2</v>
      </c>
      <c r="K16" s="45">
        <v>11.2</v>
      </c>
      <c r="L16" s="45">
        <v>11.2</v>
      </c>
      <c r="M16" s="45">
        <v>11.2</v>
      </c>
      <c r="N16" s="45">
        <v>11.2</v>
      </c>
      <c r="O16" s="45">
        <v>11.2</v>
      </c>
      <c r="P16" s="45">
        <v>11.2</v>
      </c>
      <c r="Q16" s="45">
        <v>11.2</v>
      </c>
      <c r="R16" s="45">
        <v>11.2</v>
      </c>
      <c r="S16" s="45">
        <v>11.2</v>
      </c>
      <c r="T16" s="45">
        <v>11.2</v>
      </c>
      <c r="U16" s="45">
        <v>11.2</v>
      </c>
      <c r="V16" s="45">
        <v>11.2</v>
      </c>
      <c r="W16" s="45">
        <v>11.2</v>
      </c>
      <c r="X16" s="45">
        <v>11.2</v>
      </c>
      <c r="Y16" s="45">
        <v>11.2</v>
      </c>
      <c r="Z16" s="45">
        <v>11.2</v>
      </c>
      <c r="AA16" s="45">
        <v>11.2</v>
      </c>
      <c r="AB16" s="45">
        <v>11.2</v>
      </c>
      <c r="AC16" s="45">
        <v>11.2</v>
      </c>
      <c r="AD16" s="45">
        <v>11.2</v>
      </c>
      <c r="AE16" s="45">
        <v>11.2</v>
      </c>
      <c r="AF16" s="45">
        <v>11.2</v>
      </c>
      <c r="AG16" s="52">
        <v>30</v>
      </c>
      <c r="AH16" s="48">
        <f t="shared" si="2"/>
        <v>11.2</v>
      </c>
      <c r="AI16" s="49">
        <f t="shared" si="3"/>
        <v>11.2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10.6</v>
      </c>
      <c r="C17" s="45">
        <v>10.6</v>
      </c>
      <c r="D17" s="45">
        <v>10.6</v>
      </c>
      <c r="E17" s="45">
        <v>10.6</v>
      </c>
      <c r="F17" s="45">
        <v>10.6</v>
      </c>
      <c r="G17" s="45">
        <v>10.6</v>
      </c>
      <c r="H17" s="45">
        <v>10.6</v>
      </c>
      <c r="I17" s="45">
        <v>10.6</v>
      </c>
      <c r="J17" s="45">
        <v>10.6</v>
      </c>
      <c r="K17" s="45">
        <v>10.6</v>
      </c>
      <c r="L17" s="45">
        <v>10.6</v>
      </c>
      <c r="M17" s="45">
        <v>10.6</v>
      </c>
      <c r="N17" s="45">
        <v>10.6</v>
      </c>
      <c r="O17" s="45">
        <v>10.6</v>
      </c>
      <c r="P17" s="45">
        <v>10.6</v>
      </c>
      <c r="Q17" s="45">
        <v>10.6</v>
      </c>
      <c r="R17" s="45">
        <v>10.6</v>
      </c>
      <c r="S17" s="45">
        <v>10.6</v>
      </c>
      <c r="T17" s="45">
        <v>10.6</v>
      </c>
      <c r="U17" s="45">
        <v>10.6</v>
      </c>
      <c r="V17" s="45">
        <v>10.6</v>
      </c>
      <c r="W17" s="45">
        <v>10.6</v>
      </c>
      <c r="X17" s="45">
        <v>10.6</v>
      </c>
      <c r="Y17" s="45">
        <v>10.6</v>
      </c>
      <c r="Z17" s="45">
        <v>10.6</v>
      </c>
      <c r="AA17" s="45">
        <v>10.6</v>
      </c>
      <c r="AB17" s="45">
        <v>10.6</v>
      </c>
      <c r="AC17" s="45">
        <v>10.6</v>
      </c>
      <c r="AD17" s="45">
        <v>10.6</v>
      </c>
      <c r="AE17" s="45">
        <v>10.6</v>
      </c>
      <c r="AF17" s="45">
        <v>10.6</v>
      </c>
      <c r="AG17" s="51">
        <v>24.2</v>
      </c>
      <c r="AH17" s="48">
        <f t="shared" si="2"/>
        <v>10.6</v>
      </c>
      <c r="AI17" s="49">
        <f t="shared" si="3"/>
        <v>10.6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12</v>
      </c>
      <c r="C20" s="45">
        <v>12</v>
      </c>
      <c r="D20" s="45">
        <v>12</v>
      </c>
      <c r="E20" s="45">
        <v>12</v>
      </c>
      <c r="F20" s="45">
        <v>12</v>
      </c>
      <c r="G20" s="45">
        <v>12</v>
      </c>
      <c r="H20" s="45">
        <v>12</v>
      </c>
      <c r="I20" s="45">
        <v>12</v>
      </c>
      <c r="J20" s="45">
        <v>12</v>
      </c>
      <c r="K20" s="45">
        <v>12</v>
      </c>
      <c r="L20" s="45">
        <v>12</v>
      </c>
      <c r="M20" s="45">
        <v>12</v>
      </c>
      <c r="N20" s="45">
        <v>12</v>
      </c>
      <c r="O20" s="45">
        <v>12</v>
      </c>
      <c r="P20" s="45">
        <v>12</v>
      </c>
      <c r="Q20" s="45">
        <v>12</v>
      </c>
      <c r="R20" s="45">
        <v>12</v>
      </c>
      <c r="S20" s="45">
        <v>12</v>
      </c>
      <c r="T20" s="45">
        <v>12</v>
      </c>
      <c r="U20" s="45">
        <v>12</v>
      </c>
      <c r="V20" s="45">
        <v>12</v>
      </c>
      <c r="W20" s="45">
        <v>12</v>
      </c>
      <c r="X20" s="45">
        <v>12</v>
      </c>
      <c r="Y20" s="45">
        <v>12</v>
      </c>
      <c r="Z20" s="45">
        <v>12</v>
      </c>
      <c r="AA20" s="45">
        <v>12</v>
      </c>
      <c r="AB20" s="45">
        <v>12</v>
      </c>
      <c r="AC20" s="45">
        <v>12</v>
      </c>
      <c r="AD20" s="45">
        <v>12</v>
      </c>
      <c r="AE20" s="45">
        <v>12</v>
      </c>
      <c r="AF20" s="45">
        <v>12</v>
      </c>
      <c r="AG20" s="51">
        <v>25</v>
      </c>
      <c r="AH20" s="48">
        <f t="shared" si="2"/>
        <v>12</v>
      </c>
      <c r="AI20" s="49">
        <f t="shared" si="3"/>
        <v>12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11.1</v>
      </c>
      <c r="C24" s="45">
        <v>11.1</v>
      </c>
      <c r="D24" s="45">
        <v>11.1</v>
      </c>
      <c r="E24" s="45">
        <v>11.1</v>
      </c>
      <c r="F24" s="45">
        <v>11.1</v>
      </c>
      <c r="G24" s="45">
        <v>11.1</v>
      </c>
      <c r="H24" s="45">
        <v>11.1</v>
      </c>
      <c r="I24" s="45">
        <v>11.1</v>
      </c>
      <c r="J24" s="45">
        <v>11.1</v>
      </c>
      <c r="K24" s="45">
        <v>11.1</v>
      </c>
      <c r="L24" s="45">
        <v>11.1</v>
      </c>
      <c r="M24" s="45">
        <v>11.1</v>
      </c>
      <c r="N24" s="45">
        <v>11.1</v>
      </c>
      <c r="O24" s="45">
        <v>11.1</v>
      </c>
      <c r="P24" s="45">
        <v>11.1</v>
      </c>
      <c r="Q24" s="45">
        <v>11.1</v>
      </c>
      <c r="R24" s="45">
        <v>11.1</v>
      </c>
      <c r="S24" s="45">
        <v>11.1</v>
      </c>
      <c r="T24" s="45">
        <v>11.1</v>
      </c>
      <c r="U24" s="45">
        <v>11.1</v>
      </c>
      <c r="V24" s="45">
        <v>11.1</v>
      </c>
      <c r="W24" s="45">
        <v>11.1</v>
      </c>
      <c r="X24" s="45">
        <v>11.1</v>
      </c>
      <c r="Y24" s="45">
        <v>11.1</v>
      </c>
      <c r="Z24" s="45">
        <v>11.1</v>
      </c>
      <c r="AA24" s="45">
        <v>11.1</v>
      </c>
      <c r="AB24" s="45">
        <v>11.1</v>
      </c>
      <c r="AC24" s="45">
        <v>11.1</v>
      </c>
      <c r="AD24" s="45">
        <v>11.1</v>
      </c>
      <c r="AE24" s="45">
        <v>11.1</v>
      </c>
      <c r="AF24" s="45">
        <v>11.1</v>
      </c>
      <c r="AG24" s="51">
        <v>23.5</v>
      </c>
      <c r="AH24" s="48">
        <f t="shared" si="2"/>
        <v>11.1</v>
      </c>
      <c r="AI24" s="49">
        <f t="shared" si="3"/>
        <v>11.1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180</v>
      </c>
      <c r="C42" s="57">
        <v>180</v>
      </c>
      <c r="D42" s="57">
        <v>180</v>
      </c>
      <c r="E42" s="57">
        <v>180</v>
      </c>
      <c r="F42" s="57">
        <v>180</v>
      </c>
      <c r="G42" s="57">
        <v>180</v>
      </c>
      <c r="H42" s="57">
        <v>180</v>
      </c>
      <c r="I42" s="57">
        <v>180</v>
      </c>
      <c r="J42" s="57">
        <v>180</v>
      </c>
      <c r="K42" s="57">
        <v>180</v>
      </c>
      <c r="L42" s="57">
        <v>180</v>
      </c>
      <c r="M42" s="57">
        <v>180</v>
      </c>
      <c r="N42" s="57">
        <v>180</v>
      </c>
      <c r="O42" s="57">
        <v>180</v>
      </c>
      <c r="P42" s="57">
        <v>180</v>
      </c>
      <c r="Q42" s="57">
        <v>180</v>
      </c>
      <c r="R42" s="57">
        <v>180</v>
      </c>
      <c r="S42" s="57">
        <v>180</v>
      </c>
      <c r="T42" s="57">
        <v>180</v>
      </c>
      <c r="U42" s="57">
        <v>180</v>
      </c>
      <c r="V42" s="57">
        <v>180</v>
      </c>
      <c r="W42" s="57">
        <v>180</v>
      </c>
      <c r="X42" s="57">
        <v>180</v>
      </c>
      <c r="Y42" s="57">
        <v>180</v>
      </c>
      <c r="Z42" s="57">
        <v>180</v>
      </c>
      <c r="AA42" s="57">
        <v>180</v>
      </c>
      <c r="AB42" s="57">
        <v>180</v>
      </c>
      <c r="AC42" s="57">
        <v>180</v>
      </c>
      <c r="AD42" s="57">
        <v>180</v>
      </c>
      <c r="AE42" s="57">
        <v>180</v>
      </c>
      <c r="AF42" s="57">
        <v>180</v>
      </c>
      <c r="AG42" s="55">
        <v>85</v>
      </c>
      <c r="AH42" s="48">
        <f t="shared" si="2"/>
        <v>180</v>
      </c>
      <c r="AI42" s="49">
        <f t="shared" si="3"/>
        <v>180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523</v>
      </c>
      <c r="C44" s="61">
        <f t="shared" si="4"/>
        <v>523</v>
      </c>
      <c r="D44" s="61">
        <f t="shared" si="4"/>
        <v>523</v>
      </c>
      <c r="E44" s="61">
        <f t="shared" si="4"/>
        <v>523</v>
      </c>
      <c r="F44" s="61">
        <f t="shared" si="4"/>
        <v>523</v>
      </c>
      <c r="G44" s="61">
        <f t="shared" si="4"/>
        <v>523</v>
      </c>
      <c r="H44" s="61">
        <f t="shared" si="4"/>
        <v>523</v>
      </c>
      <c r="I44" s="61">
        <f t="shared" si="4"/>
        <v>523</v>
      </c>
      <c r="J44" s="61">
        <f t="shared" si="4"/>
        <v>523</v>
      </c>
      <c r="K44" s="61">
        <f t="shared" si="4"/>
        <v>523</v>
      </c>
      <c r="L44" s="61">
        <f t="shared" si="4"/>
        <v>523</v>
      </c>
      <c r="M44" s="61">
        <f t="shared" si="4"/>
        <v>523</v>
      </c>
      <c r="N44" s="61">
        <f t="shared" si="4"/>
        <v>523</v>
      </c>
      <c r="O44" s="61">
        <f t="shared" si="4"/>
        <v>523</v>
      </c>
      <c r="P44" s="61">
        <f t="shared" si="4"/>
        <v>523</v>
      </c>
      <c r="Q44" s="61">
        <f t="shared" ref="Q44" si="5">SUM(Q11:Q42)</f>
        <v>523</v>
      </c>
      <c r="R44" s="61">
        <f t="shared" si="4"/>
        <v>523</v>
      </c>
      <c r="S44" s="61">
        <f t="shared" si="4"/>
        <v>522.20000000000005</v>
      </c>
      <c r="T44" s="61">
        <f t="shared" si="4"/>
        <v>522.20000000000005</v>
      </c>
      <c r="U44" s="61">
        <f t="shared" si="4"/>
        <v>521.5</v>
      </c>
      <c r="V44" s="61">
        <f t="shared" si="4"/>
        <v>521.5</v>
      </c>
      <c r="W44" s="61">
        <f t="shared" si="4"/>
        <v>521.5</v>
      </c>
      <c r="X44" s="61">
        <v>523.20000000000005</v>
      </c>
      <c r="Y44" s="61">
        <f t="shared" si="4"/>
        <v>521.5</v>
      </c>
      <c r="Z44" s="61">
        <f t="shared" si="4"/>
        <v>521.5</v>
      </c>
      <c r="AA44" s="61">
        <f t="shared" si="4"/>
        <v>521.5</v>
      </c>
      <c r="AB44" s="61">
        <f t="shared" si="4"/>
        <v>521.5</v>
      </c>
      <c r="AC44" s="61">
        <f t="shared" si="4"/>
        <v>521.5</v>
      </c>
      <c r="AD44" s="61">
        <f t="shared" si="4"/>
        <v>521.5</v>
      </c>
      <c r="AE44" s="61">
        <f t="shared" si="4"/>
        <v>521.5</v>
      </c>
      <c r="AF44" s="61">
        <f t="shared" si="4"/>
        <v>521.5</v>
      </c>
      <c r="AG44" s="62">
        <f t="shared" si="4"/>
        <v>814.78000000000009</v>
      </c>
      <c r="AH44" s="48">
        <f t="shared" si="2"/>
        <v>523.20000000000005</v>
      </c>
      <c r="AI44" s="49">
        <f t="shared" si="3"/>
        <v>521.5</v>
      </c>
      <c r="AK44" s="50"/>
    </row>
    <row r="45" spans="1:88" x14ac:dyDescent="0.25">
      <c r="A45" s="6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30</v>
      </c>
      <c r="H45" s="45">
        <v>50</v>
      </c>
      <c r="I45" s="45">
        <v>60</v>
      </c>
      <c r="J45" s="45">
        <v>95</v>
      </c>
      <c r="K45" s="45">
        <v>120</v>
      </c>
      <c r="L45" s="45">
        <v>380</v>
      </c>
      <c r="M45" s="164">
        <v>456</v>
      </c>
      <c r="N45" s="164">
        <v>440</v>
      </c>
      <c r="O45" s="45">
        <v>450</v>
      </c>
      <c r="P45" s="45">
        <v>203</v>
      </c>
      <c r="Q45" s="45">
        <v>100</v>
      </c>
      <c r="R45" s="45">
        <v>50</v>
      </c>
      <c r="S45" s="45">
        <v>0</v>
      </c>
      <c r="T45" s="45">
        <v>0</v>
      </c>
      <c r="U45" s="45">
        <v>0</v>
      </c>
      <c r="V45" s="45">
        <v>0</v>
      </c>
      <c r="W45" s="45">
        <v>290</v>
      </c>
      <c r="X45" s="45">
        <v>490</v>
      </c>
      <c r="Y45" s="45">
        <v>375</v>
      </c>
      <c r="Z45" s="45">
        <v>110</v>
      </c>
      <c r="AA45" s="45">
        <v>100</v>
      </c>
      <c r="AB45" s="45">
        <v>95</v>
      </c>
      <c r="AC45" s="45">
        <v>70</v>
      </c>
      <c r="AD45" s="45">
        <v>60</v>
      </c>
      <c r="AE45" s="45">
        <v>30</v>
      </c>
      <c r="AF45" s="45">
        <v>0</v>
      </c>
      <c r="AG45" s="52">
        <v>456</v>
      </c>
      <c r="AH45" s="48">
        <f t="shared" si="2"/>
        <v>490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41</v>
      </c>
      <c r="AK46" s="50"/>
    </row>
    <row r="47" spans="1:88" ht="15.75" thickBot="1" x14ac:dyDescent="0.3">
      <c r="A47" s="66" t="s">
        <v>55</v>
      </c>
      <c r="B47" s="67">
        <v>14.2</v>
      </c>
      <c r="C47" s="67">
        <v>14.1</v>
      </c>
      <c r="D47" s="67">
        <v>14.2</v>
      </c>
      <c r="E47" s="67">
        <v>14.1</v>
      </c>
      <c r="F47" s="67">
        <v>14.2</v>
      </c>
      <c r="G47" s="67">
        <v>14.1</v>
      </c>
      <c r="H47" s="67">
        <v>14.1</v>
      </c>
      <c r="I47" s="67">
        <v>14.2</v>
      </c>
      <c r="J47" s="67">
        <v>14.2</v>
      </c>
      <c r="K47" s="67">
        <v>14.2</v>
      </c>
      <c r="L47" s="67">
        <v>14.1</v>
      </c>
      <c r="M47" s="67">
        <v>14.2</v>
      </c>
      <c r="N47" s="67">
        <v>14.2</v>
      </c>
      <c r="O47" s="67">
        <v>14.2</v>
      </c>
      <c r="P47" s="67">
        <v>14.1</v>
      </c>
      <c r="Q47" s="67">
        <v>14.1</v>
      </c>
      <c r="R47" s="67">
        <v>14.1</v>
      </c>
      <c r="S47" s="67">
        <v>14.1</v>
      </c>
      <c r="T47" s="67">
        <v>14.1</v>
      </c>
      <c r="U47" s="67">
        <v>14.1</v>
      </c>
      <c r="V47" s="67">
        <v>14.1</v>
      </c>
      <c r="W47" s="67">
        <v>14.1</v>
      </c>
      <c r="X47" s="67">
        <v>14.1</v>
      </c>
      <c r="Y47" s="67">
        <v>14.1</v>
      </c>
      <c r="Z47" s="67">
        <v>14.1</v>
      </c>
      <c r="AA47" s="67">
        <v>14.1</v>
      </c>
      <c r="AB47" s="67">
        <v>14.1</v>
      </c>
      <c r="AC47" s="67">
        <v>14.1</v>
      </c>
      <c r="AD47" s="67">
        <v>14.1</v>
      </c>
      <c r="AE47" s="67">
        <v>14.1</v>
      </c>
      <c r="AF47" s="67">
        <v>14.1</v>
      </c>
      <c r="AG47" s="68">
        <v>22.1</v>
      </c>
      <c r="AH47" s="48">
        <f t="shared" si="2"/>
        <v>14.2</v>
      </c>
      <c r="AI47" s="49">
        <f t="shared" si="3"/>
        <v>14.1</v>
      </c>
      <c r="AK47" s="50"/>
    </row>
    <row r="48" spans="1:88" ht="15.75" thickBot="1" x14ac:dyDescent="0.3">
      <c r="A48" s="69" t="s">
        <v>56</v>
      </c>
      <c r="B48" s="61">
        <f t="shared" ref="B48:AG48" si="6">SUM(B45:B47)</f>
        <v>55.2</v>
      </c>
      <c r="C48" s="61">
        <f t="shared" si="6"/>
        <v>55.1</v>
      </c>
      <c r="D48" s="61">
        <f t="shared" si="6"/>
        <v>55.2</v>
      </c>
      <c r="E48" s="61">
        <f t="shared" si="6"/>
        <v>55.1</v>
      </c>
      <c r="F48" s="61">
        <f t="shared" si="6"/>
        <v>55.2</v>
      </c>
      <c r="G48" s="61">
        <f t="shared" si="6"/>
        <v>85.1</v>
      </c>
      <c r="H48" s="61">
        <f t="shared" si="6"/>
        <v>105.1</v>
      </c>
      <c r="I48" s="61">
        <f t="shared" si="6"/>
        <v>115.2</v>
      </c>
      <c r="J48" s="61">
        <f t="shared" si="6"/>
        <v>150.19999999999999</v>
      </c>
      <c r="K48" s="61">
        <f t="shared" si="6"/>
        <v>175.2</v>
      </c>
      <c r="L48" s="61">
        <f t="shared" si="6"/>
        <v>435.1</v>
      </c>
      <c r="M48" s="61">
        <f t="shared" si="6"/>
        <v>511.2</v>
      </c>
      <c r="N48" s="61">
        <f t="shared" si="6"/>
        <v>495.2</v>
      </c>
      <c r="O48" s="61">
        <f t="shared" si="6"/>
        <v>505.2</v>
      </c>
      <c r="P48" s="61">
        <f t="shared" si="6"/>
        <v>258.10000000000002</v>
      </c>
      <c r="Q48" s="61">
        <f t="shared" ref="Q48" si="7">SUM(Q45:Q47)</f>
        <v>155.1</v>
      </c>
      <c r="R48" s="61">
        <f t="shared" si="6"/>
        <v>105.1</v>
      </c>
      <c r="S48" s="61">
        <f t="shared" si="6"/>
        <v>55.1</v>
      </c>
      <c r="T48" s="61">
        <f t="shared" si="6"/>
        <v>55.1</v>
      </c>
      <c r="U48" s="61">
        <f t="shared" si="6"/>
        <v>55.1</v>
      </c>
      <c r="V48" s="61">
        <f t="shared" si="6"/>
        <v>55.1</v>
      </c>
      <c r="W48" s="61">
        <f t="shared" si="6"/>
        <v>345.1</v>
      </c>
      <c r="X48" s="61">
        <v>545.1</v>
      </c>
      <c r="Y48" s="61">
        <f t="shared" si="6"/>
        <v>430.1</v>
      </c>
      <c r="Z48" s="61">
        <f t="shared" si="6"/>
        <v>165.1</v>
      </c>
      <c r="AA48" s="61">
        <f t="shared" si="6"/>
        <v>155.1</v>
      </c>
      <c r="AB48" s="61">
        <f t="shared" si="6"/>
        <v>150.1</v>
      </c>
      <c r="AC48" s="61">
        <f t="shared" si="6"/>
        <v>125.1</v>
      </c>
      <c r="AD48" s="61">
        <f t="shared" si="6"/>
        <v>115.1</v>
      </c>
      <c r="AE48" s="61">
        <f t="shared" si="6"/>
        <v>85.1</v>
      </c>
      <c r="AF48" s="61">
        <f t="shared" si="6"/>
        <v>55.1</v>
      </c>
      <c r="AG48" s="62">
        <f t="shared" si="6"/>
        <v>538.1</v>
      </c>
      <c r="AH48" s="48">
        <f t="shared" si="2"/>
        <v>545.1</v>
      </c>
      <c r="AI48" s="49">
        <f t="shared" si="3"/>
        <v>55.1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48.5</v>
      </c>
      <c r="J49" s="45">
        <v>77</v>
      </c>
      <c r="K49" s="45">
        <v>112</v>
      </c>
      <c r="L49" s="45">
        <v>143.5</v>
      </c>
      <c r="M49" s="45">
        <v>143.5</v>
      </c>
      <c r="N49" s="45">
        <v>132.19999999999999</v>
      </c>
      <c r="O49" s="45">
        <v>132</v>
      </c>
      <c r="P49" s="45">
        <v>142</v>
      </c>
      <c r="Q49" s="45">
        <v>142</v>
      </c>
      <c r="R49" s="45">
        <v>70</v>
      </c>
      <c r="S49" s="45">
        <v>70</v>
      </c>
      <c r="T49" s="45">
        <v>71.7</v>
      </c>
      <c r="U49" s="45">
        <v>71.7</v>
      </c>
      <c r="V49" s="45">
        <v>71.7</v>
      </c>
      <c r="W49" s="45">
        <v>71.7</v>
      </c>
      <c r="X49" s="45">
        <v>140</v>
      </c>
      <c r="Y49" s="45">
        <v>140</v>
      </c>
      <c r="Z49" s="45">
        <v>140</v>
      </c>
      <c r="AA49" s="45">
        <v>140</v>
      </c>
      <c r="AB49" s="45">
        <v>139.6</v>
      </c>
      <c r="AC49" s="45">
        <v>122.8</v>
      </c>
      <c r="AD49" s="45">
        <v>105</v>
      </c>
      <c r="AE49" s="45">
        <v>48.7</v>
      </c>
      <c r="AF49" s="45">
        <v>0</v>
      </c>
      <c r="AG49" s="52">
        <v>144</v>
      </c>
      <c r="AH49" s="48">
        <f t="shared" si="2"/>
        <v>143.5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25.5</v>
      </c>
      <c r="G50" s="65">
        <v>36.200000000000003</v>
      </c>
      <c r="H50" s="65">
        <v>51</v>
      </c>
      <c r="I50" s="65">
        <v>51.5</v>
      </c>
      <c r="J50" s="65">
        <v>60</v>
      </c>
      <c r="K50" s="65">
        <v>71.8</v>
      </c>
      <c r="L50" s="65">
        <v>69.099999999999994</v>
      </c>
      <c r="M50" s="65">
        <v>69.099999999999994</v>
      </c>
      <c r="N50" s="65">
        <v>59.6</v>
      </c>
      <c r="O50" s="65">
        <v>60.9</v>
      </c>
      <c r="P50" s="65">
        <v>69.900000000000006</v>
      </c>
      <c r="Q50" s="65">
        <v>69.900000000000006</v>
      </c>
      <c r="R50" s="65">
        <v>26</v>
      </c>
      <c r="S50" s="65">
        <v>22.5</v>
      </c>
      <c r="T50" s="65">
        <v>20.7</v>
      </c>
      <c r="U50" s="65">
        <v>20.7</v>
      </c>
      <c r="V50" s="65">
        <v>20.7</v>
      </c>
      <c r="W50" s="65">
        <v>20.7</v>
      </c>
      <c r="X50" s="65">
        <v>69.900000000000006</v>
      </c>
      <c r="Y50" s="65">
        <v>70.5</v>
      </c>
      <c r="Z50" s="65">
        <v>70.5</v>
      </c>
      <c r="AA50" s="65">
        <v>70.5</v>
      </c>
      <c r="AB50" s="65">
        <v>68.900000000000006</v>
      </c>
      <c r="AC50" s="65">
        <v>48.3</v>
      </c>
      <c r="AD50" s="65">
        <v>33.4</v>
      </c>
      <c r="AE50" s="65">
        <v>0</v>
      </c>
      <c r="AF50" s="65">
        <v>0</v>
      </c>
      <c r="AG50" s="55">
        <v>70</v>
      </c>
      <c r="AH50" s="48">
        <f t="shared" si="2"/>
        <v>71.8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18</v>
      </c>
      <c r="C51" s="65">
        <v>46.1</v>
      </c>
      <c r="D51" s="65">
        <v>46</v>
      </c>
      <c r="E51" s="65">
        <v>46</v>
      </c>
      <c r="F51" s="65">
        <v>32.5</v>
      </c>
      <c r="G51" s="65">
        <v>44.3</v>
      </c>
      <c r="H51" s="65">
        <v>46.3</v>
      </c>
      <c r="I51" s="65">
        <v>40.5</v>
      </c>
      <c r="J51" s="65">
        <v>46</v>
      </c>
      <c r="K51" s="65">
        <v>64.3</v>
      </c>
      <c r="L51" s="65">
        <v>65</v>
      </c>
      <c r="M51" s="65">
        <v>65</v>
      </c>
      <c r="N51" s="65">
        <v>42.1</v>
      </c>
      <c r="O51" s="65">
        <v>34.4</v>
      </c>
      <c r="P51" s="65">
        <v>46.1</v>
      </c>
      <c r="Q51" s="65">
        <v>46.1</v>
      </c>
      <c r="R51" s="65">
        <v>33</v>
      </c>
      <c r="S51" s="65">
        <v>39.5</v>
      </c>
      <c r="T51" s="65">
        <v>39.5</v>
      </c>
      <c r="U51" s="65">
        <v>39.5</v>
      </c>
      <c r="V51" s="65">
        <v>39.5</v>
      </c>
      <c r="W51" s="65">
        <v>39.5</v>
      </c>
      <c r="X51" s="65">
        <v>67.099999999999994</v>
      </c>
      <c r="Y51" s="65">
        <v>39.5</v>
      </c>
      <c r="Z51" s="65">
        <v>63.8</v>
      </c>
      <c r="AA51" s="65">
        <v>63.8</v>
      </c>
      <c r="AB51" s="65">
        <v>66.099999999999994</v>
      </c>
      <c r="AC51" s="65">
        <v>58.5</v>
      </c>
      <c r="AD51" s="65">
        <v>48.9</v>
      </c>
      <c r="AE51" s="65">
        <v>32.4</v>
      </c>
      <c r="AF51" s="65">
        <v>45</v>
      </c>
      <c r="AG51" s="55">
        <v>69</v>
      </c>
      <c r="AH51" s="48">
        <f t="shared" si="2"/>
        <v>67.099999999999994</v>
      </c>
      <c r="AI51" s="49">
        <f t="shared" si="3"/>
        <v>18</v>
      </c>
      <c r="AK51" s="50"/>
    </row>
    <row r="52" spans="1:41" x14ac:dyDescent="0.25">
      <c r="A52" s="54" t="s">
        <v>60</v>
      </c>
      <c r="B52" s="57">
        <v>59.7</v>
      </c>
      <c r="C52" s="57">
        <v>59.5</v>
      </c>
      <c r="D52" s="57">
        <v>59.5</v>
      </c>
      <c r="E52" s="57">
        <v>59.5</v>
      </c>
      <c r="F52" s="57">
        <v>59.5</v>
      </c>
      <c r="G52" s="57">
        <v>59.5</v>
      </c>
      <c r="H52" s="57">
        <v>59.5</v>
      </c>
      <c r="I52" s="57">
        <v>59.2</v>
      </c>
      <c r="J52" s="57">
        <v>59.2</v>
      </c>
      <c r="K52" s="57">
        <v>59.2</v>
      </c>
      <c r="L52" s="57">
        <v>59.2</v>
      </c>
      <c r="M52" s="57">
        <v>59.2</v>
      </c>
      <c r="N52" s="57">
        <v>59.7</v>
      </c>
      <c r="O52" s="57">
        <v>60</v>
      </c>
      <c r="P52" s="57">
        <v>60</v>
      </c>
      <c r="Q52" s="57">
        <v>60</v>
      </c>
      <c r="R52" s="57">
        <v>60</v>
      </c>
      <c r="S52" s="57">
        <v>60</v>
      </c>
      <c r="T52" s="57">
        <v>60</v>
      </c>
      <c r="U52" s="57">
        <v>60</v>
      </c>
      <c r="V52" s="57">
        <v>60</v>
      </c>
      <c r="W52" s="57">
        <v>60</v>
      </c>
      <c r="X52" s="57">
        <v>60</v>
      </c>
      <c r="Y52" s="57">
        <v>60</v>
      </c>
      <c r="Z52" s="57">
        <v>60</v>
      </c>
      <c r="AA52" s="57">
        <v>60</v>
      </c>
      <c r="AB52" s="65">
        <v>60.2</v>
      </c>
      <c r="AC52" s="65">
        <v>60.2</v>
      </c>
      <c r="AD52" s="65">
        <v>60.4</v>
      </c>
      <c r="AE52" s="65">
        <v>60.4</v>
      </c>
      <c r="AF52" s="65">
        <v>60.4</v>
      </c>
      <c r="AG52" s="55">
        <v>60</v>
      </c>
      <c r="AH52" s="48">
        <f t="shared" si="2"/>
        <v>60.4</v>
      </c>
      <c r="AI52" s="49">
        <f t="shared" si="3"/>
        <v>59.2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0</v>
      </c>
      <c r="N53" s="57">
        <v>0</v>
      </c>
      <c r="O53" s="57">
        <v>0</v>
      </c>
      <c r="P53" s="57">
        <v>0</v>
      </c>
      <c r="Q53" s="57">
        <v>0</v>
      </c>
      <c r="R53" s="57">
        <v>0</v>
      </c>
      <c r="S53" s="57">
        <v>0</v>
      </c>
      <c r="T53" s="57">
        <v>0</v>
      </c>
      <c r="U53" s="57">
        <v>0</v>
      </c>
      <c r="V53" s="57">
        <v>0</v>
      </c>
      <c r="W53" s="57">
        <v>0</v>
      </c>
      <c r="X53" s="57">
        <v>0</v>
      </c>
      <c r="Y53" s="57">
        <v>0</v>
      </c>
      <c r="Z53" s="57">
        <v>0</v>
      </c>
      <c r="AA53" s="57">
        <v>0</v>
      </c>
      <c r="AB53" s="65">
        <v>10.199999999999999</v>
      </c>
      <c r="AC53" s="65">
        <v>10.199999999999999</v>
      </c>
      <c r="AD53" s="65">
        <v>9.1</v>
      </c>
      <c r="AE53" s="65">
        <v>8.1999999999999993</v>
      </c>
      <c r="AF53" s="65">
        <v>8.1999999999999993</v>
      </c>
      <c r="AG53" s="55">
        <v>30</v>
      </c>
      <c r="AH53" s="48">
        <f t="shared" si="2"/>
        <v>10.199999999999999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25</v>
      </c>
      <c r="AH54" s="48">
        <f t="shared" si="2"/>
        <v>0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17.100000000000001</v>
      </c>
      <c r="S55" s="65">
        <v>17.100000000000001</v>
      </c>
      <c r="T55" s="65">
        <v>17.100000000000001</v>
      </c>
      <c r="U55" s="65">
        <v>17.100000000000001</v>
      </c>
      <c r="V55" s="65">
        <v>17.100000000000001</v>
      </c>
      <c r="W55" s="65">
        <v>17.100000000000001</v>
      </c>
      <c r="X55" s="65">
        <v>17.100000000000001</v>
      </c>
      <c r="Y55" s="65">
        <v>17.100000000000001</v>
      </c>
      <c r="Z55" s="65">
        <v>17.100000000000001</v>
      </c>
      <c r="AA55" s="65">
        <v>17.100000000000001</v>
      </c>
      <c r="AB55" s="65">
        <v>17.100000000000001</v>
      </c>
      <c r="AC55" s="65">
        <v>17.100000000000001</v>
      </c>
      <c r="AD55" s="65">
        <v>17.100000000000001</v>
      </c>
      <c r="AE55" s="65">
        <v>17.100000000000001</v>
      </c>
      <c r="AF55" s="65">
        <v>17.100000000000001</v>
      </c>
      <c r="AG55" s="55">
        <v>24</v>
      </c>
      <c r="AH55" s="48">
        <f t="shared" si="2"/>
        <v>17.100000000000001</v>
      </c>
      <c r="AI55" s="49">
        <f t="shared" si="3"/>
        <v>17.100000000000001</v>
      </c>
      <c r="AK55" s="50"/>
    </row>
    <row r="56" spans="1:41" x14ac:dyDescent="0.25">
      <c r="A56" s="54" t="s">
        <v>64</v>
      </c>
      <c r="B56" s="65">
        <v>2.8</v>
      </c>
      <c r="C56" s="65">
        <v>2.8</v>
      </c>
      <c r="D56" s="65">
        <v>2.8</v>
      </c>
      <c r="E56" s="65">
        <v>2.8</v>
      </c>
      <c r="F56" s="65">
        <v>2.8</v>
      </c>
      <c r="G56" s="65">
        <v>2.8</v>
      </c>
      <c r="H56" s="65">
        <v>2.8</v>
      </c>
      <c r="I56" s="65">
        <v>2.8</v>
      </c>
      <c r="J56" s="65">
        <v>2.8</v>
      </c>
      <c r="K56" s="65">
        <v>2.8</v>
      </c>
      <c r="L56" s="65">
        <v>2.8</v>
      </c>
      <c r="M56" s="65">
        <v>2.8</v>
      </c>
      <c r="N56" s="65">
        <v>2.8</v>
      </c>
      <c r="O56" s="65">
        <v>2.8</v>
      </c>
      <c r="P56" s="65">
        <v>2.8</v>
      </c>
      <c r="Q56" s="65">
        <v>2.8</v>
      </c>
      <c r="R56" s="65">
        <v>2.8</v>
      </c>
      <c r="S56" s="65">
        <v>2.8</v>
      </c>
      <c r="T56" s="65">
        <v>2.8</v>
      </c>
      <c r="U56" s="65">
        <v>2.8</v>
      </c>
      <c r="V56" s="65">
        <v>2.8</v>
      </c>
      <c r="W56" s="65">
        <v>2.8</v>
      </c>
      <c r="X56" s="65">
        <v>2.8</v>
      </c>
      <c r="Y56" s="65">
        <v>2.8</v>
      </c>
      <c r="Z56" s="65">
        <v>2.8</v>
      </c>
      <c r="AA56" s="65">
        <v>2.8</v>
      </c>
      <c r="AB56" s="65">
        <v>2.8</v>
      </c>
      <c r="AC56" s="65">
        <v>2.8</v>
      </c>
      <c r="AD56" s="65">
        <v>2.8</v>
      </c>
      <c r="AE56" s="65">
        <v>2.8</v>
      </c>
      <c r="AF56" s="65">
        <v>2.8</v>
      </c>
      <c r="AG56" s="55">
        <v>15</v>
      </c>
      <c r="AH56" s="48">
        <f t="shared" si="2"/>
        <v>2.8</v>
      </c>
      <c r="AI56" s="49">
        <f t="shared" si="3"/>
        <v>2.8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14.1</v>
      </c>
      <c r="C57" s="65">
        <v>14.1</v>
      </c>
      <c r="D57" s="65">
        <v>14.1</v>
      </c>
      <c r="E57" s="65">
        <v>14.1</v>
      </c>
      <c r="F57" s="65">
        <v>14.1</v>
      </c>
      <c r="G57" s="65">
        <v>14.1</v>
      </c>
      <c r="H57" s="65">
        <v>14.1</v>
      </c>
      <c r="I57" s="65">
        <v>14.1</v>
      </c>
      <c r="J57" s="65">
        <v>14.1</v>
      </c>
      <c r="K57" s="65">
        <v>14.1</v>
      </c>
      <c r="L57" s="65">
        <v>14.1</v>
      </c>
      <c r="M57" s="65">
        <v>14.1</v>
      </c>
      <c r="N57" s="65">
        <v>14.1</v>
      </c>
      <c r="O57" s="65">
        <v>14.1</v>
      </c>
      <c r="P57" s="65">
        <v>14.1</v>
      </c>
      <c r="Q57" s="65">
        <v>14.1</v>
      </c>
      <c r="R57" s="65">
        <v>14.1</v>
      </c>
      <c r="S57" s="65">
        <v>14.1</v>
      </c>
      <c r="T57" s="65">
        <v>14.1</v>
      </c>
      <c r="U57" s="65">
        <v>14.1</v>
      </c>
      <c r="V57" s="65">
        <v>14.1</v>
      </c>
      <c r="W57" s="65">
        <v>14.1</v>
      </c>
      <c r="X57" s="65">
        <v>14.1</v>
      </c>
      <c r="Y57" s="65">
        <v>14.1</v>
      </c>
      <c r="Z57" s="65">
        <v>14.1</v>
      </c>
      <c r="AA57" s="65">
        <v>14.1</v>
      </c>
      <c r="AB57" s="65">
        <v>14.1</v>
      </c>
      <c r="AC57" s="65">
        <v>14.1</v>
      </c>
      <c r="AD57" s="65">
        <v>14.1</v>
      </c>
      <c r="AE57" s="65">
        <v>14.1</v>
      </c>
      <c r="AF57" s="65">
        <v>14.1</v>
      </c>
      <c r="AG57" s="55">
        <v>14.1</v>
      </c>
      <c r="AH57" s="48">
        <f t="shared" si="2"/>
        <v>14.1</v>
      </c>
      <c r="AI57" s="49">
        <f t="shared" si="3"/>
        <v>14.1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7.2</v>
      </c>
      <c r="C58" s="65">
        <v>7.2</v>
      </c>
      <c r="D58" s="65">
        <v>7.2</v>
      </c>
      <c r="E58" s="65">
        <v>7.2</v>
      </c>
      <c r="F58" s="65">
        <v>7.2</v>
      </c>
      <c r="G58" s="65">
        <v>7.2</v>
      </c>
      <c r="H58" s="65">
        <v>7.2</v>
      </c>
      <c r="I58" s="65">
        <v>7.2</v>
      </c>
      <c r="J58" s="65">
        <v>7.2</v>
      </c>
      <c r="K58" s="65">
        <v>7.2</v>
      </c>
      <c r="L58" s="65">
        <v>7.2</v>
      </c>
      <c r="M58" s="65">
        <v>7.2</v>
      </c>
      <c r="N58" s="65">
        <v>7.2</v>
      </c>
      <c r="O58" s="65">
        <v>7.2</v>
      </c>
      <c r="P58" s="65">
        <v>7.2</v>
      </c>
      <c r="Q58" s="65">
        <v>7.2</v>
      </c>
      <c r="R58" s="65">
        <v>7.2</v>
      </c>
      <c r="S58" s="65">
        <v>7.2</v>
      </c>
      <c r="T58" s="65">
        <v>7.2</v>
      </c>
      <c r="U58" s="65">
        <v>7.2</v>
      </c>
      <c r="V58" s="65">
        <v>7.2</v>
      </c>
      <c r="W58" s="65">
        <v>7.2</v>
      </c>
      <c r="X58" s="65">
        <v>7.2</v>
      </c>
      <c r="Y58" s="65">
        <v>7.2</v>
      </c>
      <c r="Z58" s="65">
        <v>7.2</v>
      </c>
      <c r="AA58" s="65">
        <v>7.2</v>
      </c>
      <c r="AB58" s="65">
        <v>7.2</v>
      </c>
      <c r="AC58" s="65">
        <v>7.2</v>
      </c>
      <c r="AD58" s="65">
        <v>7.2</v>
      </c>
      <c r="AE58" s="65">
        <v>7.2</v>
      </c>
      <c r="AF58" s="65">
        <v>7.2</v>
      </c>
      <c r="AG58" s="55">
        <v>14</v>
      </c>
      <c r="AH58" s="48">
        <f t="shared" si="2"/>
        <v>7.2</v>
      </c>
      <c r="AI58" s="49">
        <f t="shared" si="3"/>
        <v>7.2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6.2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8">SUM(B49:B61)</f>
        <v>128.94</v>
      </c>
      <c r="C62" s="61">
        <f t="shared" si="8"/>
        <v>156.83999999999997</v>
      </c>
      <c r="D62" s="61">
        <f t="shared" si="8"/>
        <v>156.73999999999998</v>
      </c>
      <c r="E62" s="61">
        <f t="shared" si="8"/>
        <v>156.73999999999998</v>
      </c>
      <c r="F62" s="61">
        <f t="shared" si="8"/>
        <v>168.73999999999998</v>
      </c>
      <c r="G62" s="61">
        <f t="shared" si="8"/>
        <v>191.23999999999998</v>
      </c>
      <c r="H62" s="61">
        <f t="shared" si="8"/>
        <v>208.04</v>
      </c>
      <c r="I62" s="61">
        <f t="shared" si="8"/>
        <v>250.93999999999997</v>
      </c>
      <c r="J62" s="61">
        <f t="shared" si="8"/>
        <v>293.44000000000005</v>
      </c>
      <c r="K62" s="61">
        <f t="shared" si="8"/>
        <v>358.54000000000008</v>
      </c>
      <c r="L62" s="61">
        <f t="shared" si="8"/>
        <v>388.04000000000008</v>
      </c>
      <c r="M62" s="61">
        <f t="shared" si="8"/>
        <v>388.04000000000008</v>
      </c>
      <c r="N62" s="61">
        <f t="shared" si="8"/>
        <v>344.84000000000003</v>
      </c>
      <c r="O62" s="61">
        <f t="shared" si="8"/>
        <v>338.54000000000008</v>
      </c>
      <c r="P62" s="61">
        <f t="shared" si="8"/>
        <v>369.24000000000007</v>
      </c>
      <c r="Q62" s="61">
        <f t="shared" si="8"/>
        <v>369.24000000000007</v>
      </c>
      <c r="R62" s="61">
        <f t="shared" si="8"/>
        <v>240.23999999999998</v>
      </c>
      <c r="S62" s="61">
        <f t="shared" si="8"/>
        <v>243.23999999999998</v>
      </c>
      <c r="T62" s="61">
        <f t="shared" si="8"/>
        <v>243.14</v>
      </c>
      <c r="U62" s="61">
        <f t="shared" si="8"/>
        <v>243.14</v>
      </c>
      <c r="V62" s="61">
        <f t="shared" si="8"/>
        <v>243.14</v>
      </c>
      <c r="W62" s="61">
        <f t="shared" si="8"/>
        <v>243.14</v>
      </c>
      <c r="X62" s="61">
        <v>319.94000000000011</v>
      </c>
      <c r="Y62" s="61">
        <f t="shared" si="8"/>
        <v>361.24000000000007</v>
      </c>
      <c r="Z62" s="61">
        <f t="shared" si="8"/>
        <v>385.54000000000008</v>
      </c>
      <c r="AA62" s="61">
        <f t="shared" si="8"/>
        <v>385.54000000000008</v>
      </c>
      <c r="AB62" s="61">
        <f t="shared" si="8"/>
        <v>396.24000000000007</v>
      </c>
      <c r="AC62" s="61">
        <f t="shared" si="8"/>
        <v>351.24000000000007</v>
      </c>
      <c r="AD62" s="61">
        <f t="shared" si="8"/>
        <v>308.04000000000008</v>
      </c>
      <c r="AE62" s="61">
        <f t="shared" si="8"/>
        <v>200.93999999999997</v>
      </c>
      <c r="AF62" s="61">
        <f t="shared" si="8"/>
        <v>164.84</v>
      </c>
      <c r="AG62" s="62">
        <f t="shared" si="8"/>
        <v>489.91</v>
      </c>
      <c r="AH62" s="48">
        <f t="shared" si="2"/>
        <v>396.24000000000007</v>
      </c>
      <c r="AI62" s="49">
        <f t="shared" si="3"/>
        <v>128.94</v>
      </c>
      <c r="AK62" s="50"/>
    </row>
    <row r="63" spans="1:41" x14ac:dyDescent="0.25">
      <c r="A63" s="44" t="s">
        <v>71</v>
      </c>
      <c r="B63" s="45">
        <v>20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14</v>
      </c>
      <c r="K63" s="45">
        <v>30</v>
      </c>
      <c r="L63" s="45">
        <v>60</v>
      </c>
      <c r="M63" s="45">
        <v>60</v>
      </c>
      <c r="N63" s="45">
        <v>60</v>
      </c>
      <c r="O63" s="45">
        <v>60</v>
      </c>
      <c r="P63" s="45">
        <v>60</v>
      </c>
      <c r="Q63" s="45">
        <v>50</v>
      </c>
      <c r="R63" s="45">
        <v>50</v>
      </c>
      <c r="S63" s="45">
        <v>60</v>
      </c>
      <c r="T63" s="45">
        <v>60</v>
      </c>
      <c r="U63" s="45">
        <v>60</v>
      </c>
      <c r="V63" s="45">
        <v>60</v>
      </c>
      <c r="W63" s="45">
        <v>60</v>
      </c>
      <c r="X63" s="45">
        <v>60</v>
      </c>
      <c r="Y63" s="45">
        <v>60</v>
      </c>
      <c r="Z63" s="45">
        <v>60</v>
      </c>
      <c r="AA63" s="45">
        <v>60</v>
      </c>
      <c r="AB63" s="45">
        <v>60</v>
      </c>
      <c r="AC63" s="45">
        <v>60</v>
      </c>
      <c r="AD63" s="45">
        <v>60</v>
      </c>
      <c r="AE63" s="45">
        <v>40</v>
      </c>
      <c r="AF63" s="45">
        <v>14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14.1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7</v>
      </c>
      <c r="K64" s="65">
        <v>14.5</v>
      </c>
      <c r="L64" s="65">
        <v>28.5</v>
      </c>
      <c r="M64" s="65">
        <v>27.9</v>
      </c>
      <c r="N64" s="65">
        <v>27.9</v>
      </c>
      <c r="O64" s="65">
        <v>27.9</v>
      </c>
      <c r="P64" s="65">
        <v>28</v>
      </c>
      <c r="Q64" s="45">
        <v>28</v>
      </c>
      <c r="R64" s="45">
        <v>23.4</v>
      </c>
      <c r="S64" s="65">
        <v>28.5</v>
      </c>
      <c r="T64" s="65">
        <v>28.5</v>
      </c>
      <c r="U64" s="65">
        <v>28.5</v>
      </c>
      <c r="V64" s="65">
        <v>28.5</v>
      </c>
      <c r="W64" s="65">
        <v>28.5</v>
      </c>
      <c r="X64" s="65">
        <v>28.5</v>
      </c>
      <c r="Y64" s="65">
        <v>28.5</v>
      </c>
      <c r="Z64" s="65">
        <v>28.5</v>
      </c>
      <c r="AA64" s="65">
        <v>28.5</v>
      </c>
      <c r="AB64" s="65">
        <v>27.3</v>
      </c>
      <c r="AC64" s="65">
        <v>27.3</v>
      </c>
      <c r="AD64" s="65">
        <v>27.3</v>
      </c>
      <c r="AE64" s="65">
        <v>16.100000000000001</v>
      </c>
      <c r="AF64" s="45">
        <v>11.7</v>
      </c>
      <c r="AG64" s="55">
        <v>32</v>
      </c>
      <c r="AH64" s="48">
        <f t="shared" si="2"/>
        <v>28.5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5.0999999999999996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2</v>
      </c>
      <c r="K65" s="67">
        <v>5.3</v>
      </c>
      <c r="L65" s="67">
        <v>10.4</v>
      </c>
      <c r="M65" s="67">
        <v>10.199999999999999</v>
      </c>
      <c r="N65" s="67">
        <v>10.199999999999999</v>
      </c>
      <c r="O65" s="67">
        <v>10.199999999999999</v>
      </c>
      <c r="P65" s="67">
        <v>10.3</v>
      </c>
      <c r="Q65" s="45">
        <v>10</v>
      </c>
      <c r="R65" s="45">
        <v>8.5</v>
      </c>
      <c r="S65" s="67">
        <v>10.3</v>
      </c>
      <c r="T65" s="67">
        <v>10.3</v>
      </c>
      <c r="U65" s="67">
        <v>10.3</v>
      </c>
      <c r="V65" s="67">
        <v>10.3</v>
      </c>
      <c r="W65" s="67">
        <v>10.4</v>
      </c>
      <c r="X65" s="67">
        <v>10.4</v>
      </c>
      <c r="Y65" s="67">
        <v>10.4</v>
      </c>
      <c r="Z65" s="67">
        <v>10.4</v>
      </c>
      <c r="AA65" s="67">
        <v>10.4</v>
      </c>
      <c r="AB65" s="67">
        <v>10</v>
      </c>
      <c r="AC65" s="67">
        <v>10</v>
      </c>
      <c r="AD65" s="67">
        <v>10</v>
      </c>
      <c r="AE65" s="67">
        <v>5.9</v>
      </c>
      <c r="AF65" s="45">
        <v>4.3</v>
      </c>
      <c r="AG65" s="68">
        <v>14</v>
      </c>
      <c r="AH65" s="48">
        <f t="shared" si="2"/>
        <v>10.4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98.9</v>
      </c>
      <c r="M66" s="61">
        <f t="shared" ref="M66:AF66" si="9">M63+M64+M65</f>
        <v>98.100000000000009</v>
      </c>
      <c r="N66" s="61">
        <f t="shared" si="9"/>
        <v>98.100000000000009</v>
      </c>
      <c r="O66" s="61">
        <f t="shared" si="9"/>
        <v>98.100000000000009</v>
      </c>
      <c r="P66" s="61">
        <f t="shared" si="9"/>
        <v>98.3</v>
      </c>
      <c r="Q66" s="61">
        <f t="shared" si="9"/>
        <v>88</v>
      </c>
      <c r="R66" s="61">
        <f t="shared" si="9"/>
        <v>81.900000000000006</v>
      </c>
      <c r="S66" s="61">
        <f t="shared" si="9"/>
        <v>98.8</v>
      </c>
      <c r="T66" s="61">
        <f t="shared" si="9"/>
        <v>98.8</v>
      </c>
      <c r="U66" s="61">
        <f t="shared" si="9"/>
        <v>98.8</v>
      </c>
      <c r="V66" s="61">
        <f t="shared" si="9"/>
        <v>98.8</v>
      </c>
      <c r="W66" s="61">
        <f t="shared" si="9"/>
        <v>98.9</v>
      </c>
      <c r="X66" s="61">
        <v>98.9</v>
      </c>
      <c r="Y66" s="61">
        <f t="shared" si="9"/>
        <v>98.9</v>
      </c>
      <c r="Z66" s="61">
        <f t="shared" si="9"/>
        <v>98.9</v>
      </c>
      <c r="AA66" s="61">
        <f t="shared" si="9"/>
        <v>98.9</v>
      </c>
      <c r="AB66" s="61">
        <f t="shared" si="9"/>
        <v>97.3</v>
      </c>
      <c r="AC66" s="61">
        <f t="shared" si="9"/>
        <v>97.3</v>
      </c>
      <c r="AD66" s="61">
        <f t="shared" si="9"/>
        <v>97.3</v>
      </c>
      <c r="AE66" s="61">
        <f t="shared" si="9"/>
        <v>62</v>
      </c>
      <c r="AF66" s="61">
        <f t="shared" si="9"/>
        <v>30</v>
      </c>
      <c r="AG66" s="62">
        <f t="shared" ref="AG66" si="10">SUM(AG63:AG65)</f>
        <v>106</v>
      </c>
      <c r="AH66" s="48">
        <f t="shared" si="2"/>
        <v>98.9</v>
      </c>
      <c r="AI66" s="49">
        <f t="shared" si="3"/>
        <v>0</v>
      </c>
      <c r="AK66" s="50"/>
    </row>
    <row r="67" spans="1:40" x14ac:dyDescent="0.25">
      <c r="A67" s="44" t="s">
        <v>258</v>
      </c>
      <c r="B67" s="45">
        <v>52.5</v>
      </c>
      <c r="C67" s="45">
        <v>66.599999999999994</v>
      </c>
      <c r="D67" s="45">
        <v>58.7</v>
      </c>
      <c r="E67" s="45">
        <v>58.6</v>
      </c>
      <c r="F67" s="45">
        <v>59.5</v>
      </c>
      <c r="G67" s="45">
        <v>66</v>
      </c>
      <c r="H67" s="45">
        <v>57</v>
      </c>
      <c r="I67" s="45">
        <v>62.5</v>
      </c>
      <c r="J67" s="45">
        <v>65</v>
      </c>
      <c r="K67" s="45">
        <v>66</v>
      </c>
      <c r="L67" s="45">
        <v>65</v>
      </c>
      <c r="M67" s="45">
        <v>65</v>
      </c>
      <c r="N67" s="45">
        <v>65</v>
      </c>
      <c r="O67" s="45">
        <v>75.5</v>
      </c>
      <c r="P67" s="45">
        <v>73</v>
      </c>
      <c r="Q67" s="45">
        <v>67</v>
      </c>
      <c r="R67" s="45">
        <v>58.9</v>
      </c>
      <c r="S67" s="45">
        <v>58.9</v>
      </c>
      <c r="T67" s="45">
        <v>58.9</v>
      </c>
      <c r="U67" s="45">
        <v>58.9</v>
      </c>
      <c r="V67" s="45">
        <v>70.900000000000006</v>
      </c>
      <c r="W67" s="45">
        <v>70.900000000000006</v>
      </c>
      <c r="X67" s="45">
        <v>55</v>
      </c>
      <c r="Y67" s="45">
        <v>63.2</v>
      </c>
      <c r="Z67" s="45">
        <v>61.6</v>
      </c>
      <c r="AA67" s="45">
        <v>61.6</v>
      </c>
      <c r="AB67" s="45">
        <v>63</v>
      </c>
      <c r="AC67" s="45">
        <v>58</v>
      </c>
      <c r="AD67" s="45">
        <v>55.5</v>
      </c>
      <c r="AE67" s="45">
        <v>53.6</v>
      </c>
      <c r="AF67" s="45">
        <v>55.8</v>
      </c>
      <c r="AG67" s="52"/>
      <c r="AH67" s="48">
        <f t="shared" si="2"/>
        <v>75.5</v>
      </c>
      <c r="AI67" s="49">
        <f t="shared" si="3"/>
        <v>52.5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152.5</v>
      </c>
      <c r="C69" s="65">
        <v>157</v>
      </c>
      <c r="D69" s="65">
        <v>137.9</v>
      </c>
      <c r="E69" s="65">
        <v>151</v>
      </c>
      <c r="F69" s="65">
        <v>155</v>
      </c>
      <c r="G69" s="65">
        <v>160</v>
      </c>
      <c r="H69" s="65">
        <v>198</v>
      </c>
      <c r="I69" s="65">
        <v>210</v>
      </c>
      <c r="J69" s="65">
        <v>225</v>
      </c>
      <c r="K69" s="65">
        <v>231</v>
      </c>
      <c r="L69" s="65">
        <v>10</v>
      </c>
      <c r="M69" s="65">
        <v>10</v>
      </c>
      <c r="N69" s="65">
        <v>0</v>
      </c>
      <c r="O69" s="65">
        <v>2.2000000000000002</v>
      </c>
      <c r="P69" s="65">
        <v>119</v>
      </c>
      <c r="Q69" s="65">
        <v>217</v>
      </c>
      <c r="R69" s="65">
        <v>289</v>
      </c>
      <c r="S69" s="65">
        <v>265</v>
      </c>
      <c r="T69" s="65">
        <v>278</v>
      </c>
      <c r="U69" s="65">
        <v>278</v>
      </c>
      <c r="V69" s="65">
        <v>0</v>
      </c>
      <c r="W69" s="65">
        <v>0</v>
      </c>
      <c r="X69" s="65">
        <v>5.2</v>
      </c>
      <c r="Y69" s="65">
        <v>5.2</v>
      </c>
      <c r="Z69" s="65">
        <v>110</v>
      </c>
      <c r="AA69" s="65">
        <v>110</v>
      </c>
      <c r="AB69" s="65">
        <v>94</v>
      </c>
      <c r="AC69" s="65">
        <v>145</v>
      </c>
      <c r="AD69" s="65">
        <v>140</v>
      </c>
      <c r="AE69" s="65">
        <v>195.2</v>
      </c>
      <c r="AF69" s="65">
        <v>195.8</v>
      </c>
      <c r="AG69" s="75"/>
      <c r="AH69" s="48">
        <f t="shared" si="2"/>
        <v>289</v>
      </c>
      <c r="AI69" s="49">
        <f t="shared" si="3"/>
        <v>0</v>
      </c>
      <c r="AK69" s="50"/>
    </row>
    <row r="70" spans="1:40" x14ac:dyDescent="0.25">
      <c r="A70" s="54" t="s">
        <v>78</v>
      </c>
      <c r="B70" s="76">
        <v>46.7</v>
      </c>
      <c r="C70" s="76">
        <v>40.1</v>
      </c>
      <c r="D70" s="76">
        <v>42.7</v>
      </c>
      <c r="E70" s="76">
        <v>46.1</v>
      </c>
      <c r="F70" s="76">
        <v>55</v>
      </c>
      <c r="G70" s="76">
        <v>55</v>
      </c>
      <c r="H70" s="76">
        <v>55</v>
      </c>
      <c r="I70" s="76">
        <v>58</v>
      </c>
      <c r="J70" s="76">
        <v>58</v>
      </c>
      <c r="K70" s="76">
        <v>60</v>
      </c>
      <c r="L70" s="76">
        <v>60</v>
      </c>
      <c r="M70" s="76">
        <v>60</v>
      </c>
      <c r="N70" s="76">
        <v>50</v>
      </c>
      <c r="O70" s="76">
        <v>46.5</v>
      </c>
      <c r="P70" s="76">
        <v>31.6</v>
      </c>
      <c r="Q70" s="76">
        <v>41</v>
      </c>
      <c r="R70" s="76">
        <v>44.8</v>
      </c>
      <c r="S70" s="76">
        <v>44.8</v>
      </c>
      <c r="T70" s="76">
        <v>44.8</v>
      </c>
      <c r="U70" s="76">
        <v>44.8</v>
      </c>
      <c r="V70" s="76">
        <v>44.8</v>
      </c>
      <c r="W70" s="76">
        <v>44.8</v>
      </c>
      <c r="X70" s="76">
        <v>48.6</v>
      </c>
      <c r="Y70" s="76">
        <v>48.6</v>
      </c>
      <c r="Z70" s="76">
        <v>48.6</v>
      </c>
      <c r="AA70" s="76">
        <v>48.6</v>
      </c>
      <c r="AB70" s="76">
        <v>48.6</v>
      </c>
      <c r="AC70" s="65">
        <v>48.8</v>
      </c>
      <c r="AD70" s="65">
        <v>45</v>
      </c>
      <c r="AE70" s="65">
        <v>55</v>
      </c>
      <c r="AF70" s="65">
        <v>58</v>
      </c>
      <c r="AG70" s="75"/>
      <c r="AH70" s="48">
        <f t="shared" si="2"/>
        <v>60</v>
      </c>
      <c r="AI70" s="49">
        <f t="shared" si="3"/>
        <v>31.6</v>
      </c>
      <c r="AK70" s="50"/>
    </row>
    <row r="71" spans="1:40" x14ac:dyDescent="0.25">
      <c r="A71" s="54" t="s">
        <v>79</v>
      </c>
      <c r="B71" s="45">
        <v>25</v>
      </c>
      <c r="C71" s="45">
        <v>25</v>
      </c>
      <c r="D71" s="45">
        <v>25</v>
      </c>
      <c r="E71" s="45">
        <v>25</v>
      </c>
      <c r="F71" s="45">
        <v>25</v>
      </c>
      <c r="G71" s="45">
        <v>20</v>
      </c>
      <c r="H71" s="45">
        <v>25</v>
      </c>
      <c r="I71" s="45">
        <v>30</v>
      </c>
      <c r="J71" s="45">
        <v>30</v>
      </c>
      <c r="K71" s="45">
        <v>30</v>
      </c>
      <c r="L71" s="45">
        <v>30</v>
      </c>
      <c r="M71" s="45">
        <v>30</v>
      </c>
      <c r="N71" s="45">
        <v>30</v>
      </c>
      <c r="O71" s="45">
        <v>30</v>
      </c>
      <c r="P71" s="45">
        <v>30</v>
      </c>
      <c r="Q71" s="45">
        <v>30</v>
      </c>
      <c r="R71" s="45">
        <v>30</v>
      </c>
      <c r="S71" s="45">
        <v>30</v>
      </c>
      <c r="T71" s="45">
        <v>30</v>
      </c>
      <c r="U71" s="45">
        <v>30</v>
      </c>
      <c r="V71" s="45">
        <v>30</v>
      </c>
      <c r="W71" s="45">
        <v>30</v>
      </c>
      <c r="X71" s="45">
        <v>30</v>
      </c>
      <c r="Y71" s="45">
        <v>30</v>
      </c>
      <c r="Z71" s="45">
        <v>30</v>
      </c>
      <c r="AA71" s="45">
        <v>30</v>
      </c>
      <c r="AB71" s="45">
        <v>30</v>
      </c>
      <c r="AC71" s="45">
        <v>28</v>
      </c>
      <c r="AD71" s="45">
        <v>30</v>
      </c>
      <c r="AE71" s="45">
        <v>30</v>
      </c>
      <c r="AF71" s="45">
        <v>30</v>
      </c>
      <c r="AG71" s="75"/>
      <c r="AH71" s="48">
        <f t="shared" si="2"/>
        <v>30</v>
      </c>
      <c r="AI71" s="49">
        <f t="shared" si="3"/>
        <v>20</v>
      </c>
      <c r="AK71" s="50"/>
    </row>
    <row r="72" spans="1:40" x14ac:dyDescent="0.25">
      <c r="A72" s="54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5</v>
      </c>
      <c r="AI72" s="49">
        <f t="shared" si="3"/>
        <v>5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11">MAX(B75:AF75)</f>
        <v>0</v>
      </c>
      <c r="AI75" s="49">
        <f t="shared" ref="AI75:AI113" si="12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11"/>
        <v>0</v>
      </c>
      <c r="AI76" s="49">
        <f t="shared" si="12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11"/>
        <v>0</v>
      </c>
      <c r="AI77" s="49">
        <f t="shared" si="12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3">SUMIF(B67:B77,"&gt;0")</f>
        <v>281.7</v>
      </c>
      <c r="C78" s="61">
        <f t="shared" si="13"/>
        <v>293.7</v>
      </c>
      <c r="D78" s="61">
        <f t="shared" si="13"/>
        <v>269.3</v>
      </c>
      <c r="E78" s="61">
        <f t="shared" si="13"/>
        <v>285.7</v>
      </c>
      <c r="F78" s="61">
        <f t="shared" si="13"/>
        <v>299.5</v>
      </c>
      <c r="G78" s="61">
        <f t="shared" si="13"/>
        <v>306</v>
      </c>
      <c r="H78" s="61">
        <f t="shared" si="13"/>
        <v>340</v>
      </c>
      <c r="I78" s="61">
        <f t="shared" si="13"/>
        <v>365.5</v>
      </c>
      <c r="J78" s="61">
        <f t="shared" si="13"/>
        <v>383</v>
      </c>
      <c r="K78" s="61">
        <f t="shared" si="13"/>
        <v>392</v>
      </c>
      <c r="L78" s="61">
        <f t="shared" si="13"/>
        <v>170</v>
      </c>
      <c r="M78" s="61">
        <f t="shared" si="13"/>
        <v>170</v>
      </c>
      <c r="N78" s="61">
        <f t="shared" si="13"/>
        <v>150</v>
      </c>
      <c r="O78" s="61">
        <f t="shared" si="13"/>
        <v>159.19999999999999</v>
      </c>
      <c r="P78" s="61">
        <f t="shared" si="13"/>
        <v>258.60000000000002</v>
      </c>
      <c r="Q78" s="61">
        <f t="shared" si="13"/>
        <v>360</v>
      </c>
      <c r="R78" s="61">
        <f t="shared" si="13"/>
        <v>427.7</v>
      </c>
      <c r="S78" s="61">
        <f t="shared" si="13"/>
        <v>403.7</v>
      </c>
      <c r="T78" s="61">
        <f t="shared" si="13"/>
        <v>416.7</v>
      </c>
      <c r="U78" s="61">
        <f t="shared" si="13"/>
        <v>416.7</v>
      </c>
      <c r="V78" s="61">
        <f t="shared" si="13"/>
        <v>150.69999999999999</v>
      </c>
      <c r="W78" s="61">
        <f t="shared" si="13"/>
        <v>150.69999999999999</v>
      </c>
      <c r="X78" s="61">
        <v>143.80000000000001</v>
      </c>
      <c r="Y78" s="61">
        <f t="shared" si="13"/>
        <v>152</v>
      </c>
      <c r="Z78" s="61">
        <f t="shared" si="13"/>
        <v>255.2</v>
      </c>
      <c r="AA78" s="61">
        <f t="shared" si="13"/>
        <v>255.2</v>
      </c>
      <c r="AB78" s="61">
        <f t="shared" si="13"/>
        <v>240.6</v>
      </c>
      <c r="AC78" s="61">
        <f t="shared" si="13"/>
        <v>284.8</v>
      </c>
      <c r="AD78" s="61">
        <f t="shared" si="13"/>
        <v>275.5</v>
      </c>
      <c r="AE78" s="61">
        <f t="shared" si="13"/>
        <v>338.79999999999995</v>
      </c>
      <c r="AF78" s="61">
        <f t="shared" si="13"/>
        <v>344.6</v>
      </c>
      <c r="AG78" s="81">
        <f>SUM(AG67:AG77)</f>
        <v>0</v>
      </c>
      <c r="AH78" s="48">
        <f t="shared" si="11"/>
        <v>427.7</v>
      </c>
      <c r="AI78" s="49">
        <f t="shared" si="12"/>
        <v>143.80000000000001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11"/>
        <v>0</v>
      </c>
      <c r="AI79" s="49">
        <f t="shared" si="12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11"/>
        <v>0</v>
      </c>
      <c r="AI80" s="49">
        <f t="shared" si="12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1"/>
        <v>0</v>
      </c>
      <c r="AI81" s="49">
        <f t="shared" si="12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11"/>
        <v>0</v>
      </c>
      <c r="AI82" s="49">
        <f t="shared" si="12"/>
        <v>0</v>
      </c>
    </row>
    <row r="83" spans="1:37" ht="15.75" thickBot="1" x14ac:dyDescent="0.3">
      <c r="A83" s="74" t="s">
        <v>91</v>
      </c>
      <c r="B83" s="83">
        <f>B44+B48+B66+B62+B78+B82</f>
        <v>988.84000000000015</v>
      </c>
      <c r="C83" s="83">
        <f t="shared" ref="C83:AG83" si="14">C44+C48+C66+C62+C78+C82</f>
        <v>1028.6400000000001</v>
      </c>
      <c r="D83" s="83">
        <f t="shared" si="14"/>
        <v>1004.24</v>
      </c>
      <c r="E83" s="83">
        <f t="shared" si="14"/>
        <v>1020.54</v>
      </c>
      <c r="F83" s="83">
        <f t="shared" si="14"/>
        <v>1046.44</v>
      </c>
      <c r="G83" s="83">
        <f t="shared" si="14"/>
        <v>1105.3400000000001</v>
      </c>
      <c r="H83" s="83">
        <f t="shared" si="14"/>
        <v>1176.1399999999999</v>
      </c>
      <c r="I83" s="83">
        <f t="shared" si="14"/>
        <v>1254.6399999999999</v>
      </c>
      <c r="J83" s="83">
        <f t="shared" si="14"/>
        <v>1349.64</v>
      </c>
      <c r="K83" s="83">
        <f t="shared" si="14"/>
        <v>1448.7400000000002</v>
      </c>
      <c r="L83" s="83">
        <f t="shared" si="14"/>
        <v>1615.04</v>
      </c>
      <c r="M83" s="83">
        <f t="shared" si="14"/>
        <v>1690.3400000000001</v>
      </c>
      <c r="N83" s="83">
        <f t="shared" si="14"/>
        <v>1611.1399999999999</v>
      </c>
      <c r="O83" s="83">
        <f t="shared" si="14"/>
        <v>1624.0400000000002</v>
      </c>
      <c r="P83" s="83">
        <f t="shared" si="14"/>
        <v>1507.2400000000002</v>
      </c>
      <c r="Q83" s="83">
        <f t="shared" si="14"/>
        <v>1495.3400000000001</v>
      </c>
      <c r="R83" s="83">
        <f t="shared" si="14"/>
        <v>1377.94</v>
      </c>
      <c r="S83" s="83">
        <f t="shared" si="14"/>
        <v>1323.04</v>
      </c>
      <c r="T83" s="83">
        <f t="shared" si="14"/>
        <v>1335.94</v>
      </c>
      <c r="U83" s="83">
        <f t="shared" si="14"/>
        <v>1335.24</v>
      </c>
      <c r="V83" s="83">
        <f t="shared" si="14"/>
        <v>1069.24</v>
      </c>
      <c r="W83" s="83">
        <f t="shared" si="14"/>
        <v>1359.34</v>
      </c>
      <c r="X83" s="83">
        <v>1630.9400000000003</v>
      </c>
      <c r="Y83" s="83">
        <f t="shared" si="14"/>
        <v>1563.74</v>
      </c>
      <c r="Z83" s="83">
        <f t="shared" si="14"/>
        <v>1426.24</v>
      </c>
      <c r="AA83" s="83">
        <f t="shared" si="14"/>
        <v>1416.24</v>
      </c>
      <c r="AB83" s="83">
        <f t="shared" si="14"/>
        <v>1405.74</v>
      </c>
      <c r="AC83" s="83">
        <f t="shared" si="14"/>
        <v>1379.94</v>
      </c>
      <c r="AD83" s="83">
        <f t="shared" si="14"/>
        <v>1317.44</v>
      </c>
      <c r="AE83" s="83">
        <f t="shared" si="14"/>
        <v>1208.3399999999999</v>
      </c>
      <c r="AF83" s="83">
        <f t="shared" si="14"/>
        <v>1116.04</v>
      </c>
      <c r="AG83" s="62">
        <f t="shared" si="14"/>
        <v>2004.1900000000003</v>
      </c>
      <c r="AH83" s="48">
        <f>MAX(B83:AF83)</f>
        <v>1690.3400000000001</v>
      </c>
      <c r="AI83" s="49">
        <f>MIN(B83:AF83)</f>
        <v>988.84000000000015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>
        <v>45</v>
      </c>
      <c r="M84" s="85">
        <v>20</v>
      </c>
      <c r="N84" s="85">
        <v>20</v>
      </c>
      <c r="O84" s="85"/>
      <c r="P84" s="85"/>
      <c r="Q84" s="85"/>
      <c r="R84" s="85"/>
      <c r="S84" s="85"/>
      <c r="T84" s="85"/>
      <c r="U84" s="85"/>
      <c r="V84" s="85"/>
      <c r="W84" s="85"/>
      <c r="X84" s="85">
        <v>80</v>
      </c>
      <c r="Y84" s="85">
        <v>80</v>
      </c>
      <c r="Z84" s="85">
        <v>110</v>
      </c>
      <c r="AA84" s="85">
        <v>160</v>
      </c>
      <c r="AB84" s="85">
        <v>90</v>
      </c>
      <c r="AC84" s="85"/>
      <c r="AD84" s="85"/>
      <c r="AE84" s="85"/>
      <c r="AF84" s="85"/>
      <c r="AG84" s="81"/>
      <c r="AH84" s="48">
        <f t="shared" si="11"/>
        <v>160</v>
      </c>
      <c r="AI84" s="49">
        <f t="shared" si="12"/>
        <v>20</v>
      </c>
    </row>
    <row r="85" spans="1:37" ht="15.75" thickBot="1" x14ac:dyDescent="0.3">
      <c r="A85" s="74" t="s">
        <v>93</v>
      </c>
      <c r="B85" s="83">
        <f>B83+B84</f>
        <v>988.84000000000015</v>
      </c>
      <c r="C85" s="83">
        <f t="shared" ref="C85:AF85" si="15">C83+C84</f>
        <v>1028.6400000000001</v>
      </c>
      <c r="D85" s="83">
        <f t="shared" si="15"/>
        <v>1004.24</v>
      </c>
      <c r="E85" s="83">
        <f t="shared" si="15"/>
        <v>1020.54</v>
      </c>
      <c r="F85" s="83">
        <f t="shared" si="15"/>
        <v>1046.44</v>
      </c>
      <c r="G85" s="83">
        <f t="shared" si="15"/>
        <v>1105.3400000000001</v>
      </c>
      <c r="H85" s="83">
        <f t="shared" si="15"/>
        <v>1176.1399999999999</v>
      </c>
      <c r="I85" s="83">
        <f t="shared" si="15"/>
        <v>1254.6399999999999</v>
      </c>
      <c r="J85" s="83">
        <f t="shared" si="15"/>
        <v>1349.64</v>
      </c>
      <c r="K85" s="83">
        <f t="shared" si="15"/>
        <v>1448.7400000000002</v>
      </c>
      <c r="L85" s="83">
        <f t="shared" si="15"/>
        <v>1660.04</v>
      </c>
      <c r="M85" s="83">
        <f t="shared" si="15"/>
        <v>1710.3400000000001</v>
      </c>
      <c r="N85" s="83">
        <f t="shared" si="15"/>
        <v>1631.1399999999999</v>
      </c>
      <c r="O85" s="83">
        <f t="shared" si="15"/>
        <v>1624.0400000000002</v>
      </c>
      <c r="P85" s="83">
        <f t="shared" si="15"/>
        <v>1507.2400000000002</v>
      </c>
      <c r="Q85" s="83">
        <f t="shared" si="15"/>
        <v>1495.3400000000001</v>
      </c>
      <c r="R85" s="83">
        <f t="shared" si="15"/>
        <v>1377.94</v>
      </c>
      <c r="S85" s="83">
        <f t="shared" si="15"/>
        <v>1323.04</v>
      </c>
      <c r="T85" s="83">
        <f t="shared" si="15"/>
        <v>1335.94</v>
      </c>
      <c r="U85" s="83">
        <f t="shared" si="15"/>
        <v>1335.24</v>
      </c>
      <c r="V85" s="83">
        <f t="shared" si="15"/>
        <v>1069.24</v>
      </c>
      <c r="W85" s="83">
        <f t="shared" si="15"/>
        <v>1359.34</v>
      </c>
      <c r="X85" s="83">
        <v>1630.9400000000003</v>
      </c>
      <c r="Y85" s="83">
        <f t="shared" si="15"/>
        <v>1643.74</v>
      </c>
      <c r="Z85" s="83">
        <f t="shared" si="15"/>
        <v>1536.24</v>
      </c>
      <c r="AA85" s="83">
        <f t="shared" si="15"/>
        <v>1576.24</v>
      </c>
      <c r="AB85" s="83">
        <f t="shared" si="15"/>
        <v>1495.74</v>
      </c>
      <c r="AC85" s="83">
        <f t="shared" si="15"/>
        <v>1379.94</v>
      </c>
      <c r="AD85" s="83">
        <f t="shared" si="15"/>
        <v>1317.44</v>
      </c>
      <c r="AE85" s="83">
        <f t="shared" si="15"/>
        <v>1208.3399999999999</v>
      </c>
      <c r="AF85" s="83">
        <f t="shared" si="15"/>
        <v>1116.04</v>
      </c>
      <c r="AG85" s="81">
        <f>AG82+AG78+AG66+AG62+AG44+AG84</f>
        <v>1466.0900000000001</v>
      </c>
      <c r="AH85" s="48">
        <f t="shared" si="11"/>
        <v>1710.3400000000001</v>
      </c>
      <c r="AI85" s="49">
        <f t="shared" si="12"/>
        <v>988.84000000000015</v>
      </c>
    </row>
    <row r="86" spans="1:37" ht="15.75" thickBot="1" x14ac:dyDescent="0.3">
      <c r="A86" s="74" t="s">
        <v>94</v>
      </c>
      <c r="B86" s="83">
        <f t="shared" ref="B86:AF86" si="16">B85-B93</f>
        <v>988.84000000000015</v>
      </c>
      <c r="C86" s="83">
        <f t="shared" si="16"/>
        <v>1028.6400000000001</v>
      </c>
      <c r="D86" s="83">
        <f t="shared" si="16"/>
        <v>1004.24</v>
      </c>
      <c r="E86" s="83">
        <f t="shared" si="16"/>
        <v>1020.54</v>
      </c>
      <c r="F86" s="83">
        <f t="shared" si="16"/>
        <v>1046.44</v>
      </c>
      <c r="G86" s="83">
        <f t="shared" si="16"/>
        <v>1105.3400000000001</v>
      </c>
      <c r="H86" s="83">
        <f t="shared" si="16"/>
        <v>1176.1399999999999</v>
      </c>
      <c r="I86" s="83">
        <f t="shared" si="16"/>
        <v>1254.6399999999999</v>
      </c>
      <c r="J86" s="83">
        <f t="shared" si="16"/>
        <v>1349.64</v>
      </c>
      <c r="K86" s="83">
        <f t="shared" si="16"/>
        <v>1448.7400000000002</v>
      </c>
      <c r="L86" s="83">
        <f t="shared" si="16"/>
        <v>1660.04</v>
      </c>
      <c r="M86" s="83">
        <f t="shared" si="16"/>
        <v>1710.3400000000001</v>
      </c>
      <c r="N86" s="83">
        <f t="shared" si="16"/>
        <v>1631.1399999999999</v>
      </c>
      <c r="O86" s="83">
        <f t="shared" si="16"/>
        <v>1624.0400000000002</v>
      </c>
      <c r="P86" s="83">
        <f t="shared" si="16"/>
        <v>1507.2400000000002</v>
      </c>
      <c r="Q86" s="83">
        <f t="shared" si="16"/>
        <v>1495.3400000000001</v>
      </c>
      <c r="R86" s="83">
        <f t="shared" si="16"/>
        <v>1377.94</v>
      </c>
      <c r="S86" s="83">
        <f t="shared" si="16"/>
        <v>1323.04</v>
      </c>
      <c r="T86" s="83">
        <f t="shared" si="16"/>
        <v>1335.94</v>
      </c>
      <c r="U86" s="83">
        <f t="shared" si="16"/>
        <v>1335.24</v>
      </c>
      <c r="V86" s="83">
        <f t="shared" si="16"/>
        <v>1069.24</v>
      </c>
      <c r="W86" s="83">
        <f t="shared" si="16"/>
        <v>1359.34</v>
      </c>
      <c r="X86" s="83">
        <v>1630.9400000000003</v>
      </c>
      <c r="Y86" s="83">
        <f t="shared" si="16"/>
        <v>1593.74</v>
      </c>
      <c r="Z86" s="83">
        <f t="shared" si="16"/>
        <v>1536.24</v>
      </c>
      <c r="AA86" s="83">
        <f t="shared" si="16"/>
        <v>1576.24</v>
      </c>
      <c r="AB86" s="83">
        <f t="shared" si="16"/>
        <v>1495.74</v>
      </c>
      <c r="AC86" s="83">
        <f t="shared" si="16"/>
        <v>1379.94</v>
      </c>
      <c r="AD86" s="83">
        <f t="shared" si="16"/>
        <v>1317.44</v>
      </c>
      <c r="AE86" s="83">
        <f t="shared" si="16"/>
        <v>1208.3399999999999</v>
      </c>
      <c r="AF86" s="83">
        <f t="shared" si="16"/>
        <v>1116.04</v>
      </c>
      <c r="AG86" s="81"/>
      <c r="AH86" s="48">
        <f t="shared" si="11"/>
        <v>1710.3400000000001</v>
      </c>
      <c r="AI86" s="49">
        <f t="shared" si="12"/>
        <v>988.84000000000015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11"/>
        <v>0</v>
      </c>
      <c r="AI87" s="49">
        <f t="shared" si="12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11"/>
        <v>0</v>
      </c>
      <c r="AI88" s="49">
        <f t="shared" si="12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11"/>
        <v>0</v>
      </c>
      <c r="AI89" s="49">
        <f t="shared" si="12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11"/>
        <v>0</v>
      </c>
      <c r="AI90" s="49">
        <f t="shared" si="12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11"/>
        <v>0</v>
      </c>
      <c r="AI91" s="49">
        <f t="shared" si="12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11"/>
        <v>0</v>
      </c>
      <c r="AI92" s="49">
        <f t="shared" si="12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>
        <v>50</v>
      </c>
      <c r="Z93" s="61"/>
      <c r="AA93" s="61"/>
      <c r="AB93" s="61"/>
      <c r="AC93" s="61"/>
      <c r="AD93" s="61"/>
      <c r="AE93" s="61"/>
      <c r="AF93" s="61"/>
      <c r="AG93" s="81"/>
      <c r="AH93" s="48">
        <f t="shared" si="11"/>
        <v>50</v>
      </c>
      <c r="AI93" s="49">
        <f t="shared" si="12"/>
        <v>0</v>
      </c>
      <c r="AK93" s="50"/>
    </row>
    <row r="94" spans="1:37" ht="15.75" thickBot="1" x14ac:dyDescent="0.3">
      <c r="A94" s="74" t="s">
        <v>99</v>
      </c>
      <c r="B94" s="61">
        <f t="shared" ref="B94:AF94" si="17">B78-B93</f>
        <v>281.7</v>
      </c>
      <c r="C94" s="61">
        <f t="shared" si="17"/>
        <v>293.7</v>
      </c>
      <c r="D94" s="61">
        <f t="shared" si="17"/>
        <v>269.3</v>
      </c>
      <c r="E94" s="61">
        <f t="shared" si="17"/>
        <v>285.7</v>
      </c>
      <c r="F94" s="61">
        <f t="shared" si="17"/>
        <v>299.5</v>
      </c>
      <c r="G94" s="61">
        <f t="shared" si="17"/>
        <v>306</v>
      </c>
      <c r="H94" s="61">
        <f t="shared" si="17"/>
        <v>340</v>
      </c>
      <c r="I94" s="61">
        <f t="shared" si="17"/>
        <v>365.5</v>
      </c>
      <c r="J94" s="61">
        <f t="shared" si="17"/>
        <v>383</v>
      </c>
      <c r="K94" s="61">
        <f t="shared" si="17"/>
        <v>392</v>
      </c>
      <c r="L94" s="61">
        <f t="shared" si="17"/>
        <v>170</v>
      </c>
      <c r="M94" s="61">
        <f t="shared" si="17"/>
        <v>170</v>
      </c>
      <c r="N94" s="61">
        <f t="shared" si="17"/>
        <v>150</v>
      </c>
      <c r="O94" s="61">
        <f t="shared" si="17"/>
        <v>159.19999999999999</v>
      </c>
      <c r="P94" s="61">
        <f t="shared" si="17"/>
        <v>258.60000000000002</v>
      </c>
      <c r="Q94" s="61">
        <f t="shared" si="17"/>
        <v>360</v>
      </c>
      <c r="R94" s="61">
        <f t="shared" si="17"/>
        <v>427.7</v>
      </c>
      <c r="S94" s="61">
        <f t="shared" si="17"/>
        <v>403.7</v>
      </c>
      <c r="T94" s="61">
        <f t="shared" si="17"/>
        <v>416.7</v>
      </c>
      <c r="U94" s="61">
        <f t="shared" si="17"/>
        <v>416.7</v>
      </c>
      <c r="V94" s="61">
        <f t="shared" si="17"/>
        <v>150.69999999999999</v>
      </c>
      <c r="W94" s="61">
        <f t="shared" si="17"/>
        <v>150.69999999999999</v>
      </c>
      <c r="X94" s="61">
        <v>143.80000000000001</v>
      </c>
      <c r="Y94" s="61">
        <f t="shared" si="17"/>
        <v>102</v>
      </c>
      <c r="Z94" s="61">
        <f t="shared" si="17"/>
        <v>255.2</v>
      </c>
      <c r="AA94" s="61">
        <f t="shared" si="17"/>
        <v>255.2</v>
      </c>
      <c r="AB94" s="61">
        <f t="shared" si="17"/>
        <v>240.6</v>
      </c>
      <c r="AC94" s="61">
        <f t="shared" si="17"/>
        <v>284.8</v>
      </c>
      <c r="AD94" s="61">
        <f t="shared" si="17"/>
        <v>275.5</v>
      </c>
      <c r="AE94" s="61">
        <f t="shared" si="17"/>
        <v>338.79999999999995</v>
      </c>
      <c r="AF94" s="61">
        <f t="shared" si="17"/>
        <v>344.6</v>
      </c>
      <c r="AG94" s="81"/>
      <c r="AH94" s="48">
        <f t="shared" si="11"/>
        <v>427.7</v>
      </c>
      <c r="AI94" s="49">
        <f t="shared" si="12"/>
        <v>102</v>
      </c>
    </row>
    <row r="95" spans="1:37" x14ac:dyDescent="0.25">
      <c r="A95" s="88" t="s">
        <v>100</v>
      </c>
      <c r="B95" s="89">
        <v>49.973999999999997</v>
      </c>
      <c r="C95" s="89">
        <v>49.905999999999999</v>
      </c>
      <c r="D95" s="89">
        <v>49.97</v>
      </c>
      <c r="E95" s="89">
        <v>49.902999999999999</v>
      </c>
      <c r="F95" s="89">
        <v>49.954000000000001</v>
      </c>
      <c r="G95" s="89">
        <v>49.948999999999998</v>
      </c>
      <c r="H95" s="89">
        <v>49.908000000000001</v>
      </c>
      <c r="I95" s="89">
        <v>49.895000000000003</v>
      </c>
      <c r="J95" s="89"/>
      <c r="K95" s="89">
        <v>49.988</v>
      </c>
      <c r="L95" s="89">
        <v>49.927</v>
      </c>
      <c r="M95" s="89">
        <v>49.927</v>
      </c>
      <c r="N95" s="89">
        <v>49.927</v>
      </c>
      <c r="O95" s="89">
        <v>49.813000000000002</v>
      </c>
      <c r="P95" s="89">
        <v>50.045000000000002</v>
      </c>
      <c r="Q95" s="89">
        <v>50.176000000000002</v>
      </c>
      <c r="R95" s="89">
        <v>49.893000000000001</v>
      </c>
      <c r="S95" s="89">
        <v>49.56</v>
      </c>
      <c r="T95" s="89">
        <v>50.08</v>
      </c>
      <c r="U95" s="89">
        <v>50.08</v>
      </c>
      <c r="V95" s="89">
        <v>50.08</v>
      </c>
      <c r="W95" s="89">
        <v>49.99</v>
      </c>
      <c r="X95" s="89">
        <v>50.06</v>
      </c>
      <c r="Y95" s="89">
        <v>49.94</v>
      </c>
      <c r="Z95" s="89">
        <v>49.81</v>
      </c>
      <c r="AA95" s="89">
        <v>50.02</v>
      </c>
      <c r="AB95" s="89">
        <v>50.081000000000003</v>
      </c>
      <c r="AC95" s="89">
        <v>50.104999999999997</v>
      </c>
      <c r="AD95" s="89">
        <v>50.003999999999998</v>
      </c>
      <c r="AE95" s="89">
        <v>50.037999999999997</v>
      </c>
      <c r="AF95" s="89">
        <v>49.987000000000002</v>
      </c>
      <c r="AG95" s="90"/>
      <c r="AH95" s="48">
        <f t="shared" si="11"/>
        <v>50.176000000000002</v>
      </c>
      <c r="AI95" s="49">
        <f t="shared" si="12"/>
        <v>49.56</v>
      </c>
    </row>
    <row r="96" spans="1:37" x14ac:dyDescent="0.25">
      <c r="A96" s="91" t="s">
        <v>101</v>
      </c>
      <c r="B96" s="65">
        <v>130.30000000000001</v>
      </c>
      <c r="C96" s="65">
        <v>128.69999999999999</v>
      </c>
      <c r="D96" s="65">
        <v>129.1</v>
      </c>
      <c r="E96" s="65">
        <v>129</v>
      </c>
      <c r="F96" s="65">
        <v>129.30000000000001</v>
      </c>
      <c r="G96" s="65">
        <v>128.30000000000001</v>
      </c>
      <c r="H96" s="65">
        <v>126.3</v>
      </c>
      <c r="I96" s="65">
        <v>124.7</v>
      </c>
      <c r="J96" s="65"/>
      <c r="K96" s="65">
        <v>126.4</v>
      </c>
      <c r="L96" s="65">
        <v>126</v>
      </c>
      <c r="M96" s="65">
        <v>126</v>
      </c>
      <c r="N96" s="65">
        <v>126</v>
      </c>
      <c r="O96" s="65">
        <v>123.6</v>
      </c>
      <c r="P96" s="65">
        <v>126.4</v>
      </c>
      <c r="Q96" s="65">
        <v>126.4</v>
      </c>
      <c r="R96" s="65">
        <v>125.4</v>
      </c>
      <c r="S96" s="65">
        <v>126.6</v>
      </c>
      <c r="T96" s="65">
        <v>128.30000000000001</v>
      </c>
      <c r="U96" s="65">
        <v>128.30000000000001</v>
      </c>
      <c r="V96" s="65">
        <v>128.30000000000001</v>
      </c>
      <c r="W96" s="65">
        <v>128.1</v>
      </c>
      <c r="X96" s="65">
        <v>127.7</v>
      </c>
      <c r="Y96" s="65">
        <v>128.19999999999999</v>
      </c>
      <c r="Z96" s="65">
        <v>130.4</v>
      </c>
      <c r="AA96" s="65">
        <v>129.4</v>
      </c>
      <c r="AB96" s="65">
        <v>129.5</v>
      </c>
      <c r="AC96" s="65">
        <v>129.9</v>
      </c>
      <c r="AD96" s="65">
        <v>129.5</v>
      </c>
      <c r="AE96" s="65">
        <v>128.9</v>
      </c>
      <c r="AF96" s="65">
        <v>128.30000000000001</v>
      </c>
      <c r="AG96" s="92"/>
      <c r="AH96" s="48">
        <f t="shared" si="11"/>
        <v>130.4</v>
      </c>
      <c r="AI96" s="49">
        <f t="shared" si="12"/>
        <v>123.6</v>
      </c>
    </row>
    <row r="97" spans="1:35" x14ac:dyDescent="0.25">
      <c r="A97" s="91" t="s">
        <v>102</v>
      </c>
      <c r="B97" s="65">
        <v>133.6</v>
      </c>
      <c r="C97" s="65">
        <v>132.4</v>
      </c>
      <c r="D97" s="65">
        <v>132.80000000000001</v>
      </c>
      <c r="E97" s="65">
        <v>132.9</v>
      </c>
      <c r="F97" s="65">
        <v>133.30000000000001</v>
      </c>
      <c r="G97" s="65">
        <v>132</v>
      </c>
      <c r="H97" s="65">
        <v>130.4</v>
      </c>
      <c r="I97" s="65">
        <v>128.9</v>
      </c>
      <c r="J97" s="65"/>
      <c r="K97" s="65">
        <v>128.80000000000001</v>
      </c>
      <c r="L97" s="65">
        <v>128.19999999999999</v>
      </c>
      <c r="M97" s="65">
        <v>128.19999999999999</v>
      </c>
      <c r="N97" s="65">
        <v>128.19999999999999</v>
      </c>
      <c r="O97" s="65">
        <v>126.5</v>
      </c>
      <c r="P97" s="65">
        <v>128.4</v>
      </c>
      <c r="Q97" s="65">
        <v>128.4</v>
      </c>
      <c r="R97" s="65">
        <v>128.6</v>
      </c>
      <c r="S97" s="65">
        <v>129.1</v>
      </c>
      <c r="T97" s="65">
        <v>130</v>
      </c>
      <c r="U97" s="65">
        <v>130</v>
      </c>
      <c r="V97" s="65">
        <v>130</v>
      </c>
      <c r="W97" s="65">
        <v>129.4</v>
      </c>
      <c r="X97" s="65">
        <v>128.80000000000001</v>
      </c>
      <c r="Y97" s="65">
        <v>129</v>
      </c>
      <c r="Z97" s="65">
        <v>130.69999999999999</v>
      </c>
      <c r="AA97" s="65">
        <v>130.19999999999999</v>
      </c>
      <c r="AB97" s="65">
        <v>130.1</v>
      </c>
      <c r="AC97" s="65">
        <v>131</v>
      </c>
      <c r="AD97" s="65">
        <v>131.19999999999999</v>
      </c>
      <c r="AE97" s="65">
        <v>131.30000000000001</v>
      </c>
      <c r="AF97" s="65">
        <v>131.1</v>
      </c>
      <c r="AG97" s="92"/>
      <c r="AH97" s="48">
        <f t="shared" si="11"/>
        <v>133.6</v>
      </c>
      <c r="AI97" s="49">
        <f t="shared" si="12"/>
        <v>126.5</v>
      </c>
    </row>
    <row r="98" spans="1:35" x14ac:dyDescent="0.25">
      <c r="A98" s="91" t="s">
        <v>103</v>
      </c>
      <c r="B98" s="65">
        <v>131.6</v>
      </c>
      <c r="C98" s="65">
        <v>130.30000000000001</v>
      </c>
      <c r="D98" s="65">
        <v>130.80000000000001</v>
      </c>
      <c r="E98" s="65">
        <v>131</v>
      </c>
      <c r="F98" s="65">
        <v>130.1</v>
      </c>
      <c r="G98" s="65">
        <v>128.80000000000001</v>
      </c>
      <c r="H98" s="65">
        <v>128.69999999999999</v>
      </c>
      <c r="I98" s="65">
        <v>129.5</v>
      </c>
      <c r="J98" s="65"/>
      <c r="K98" s="65">
        <v>128.9</v>
      </c>
      <c r="L98" s="65">
        <v>125.5</v>
      </c>
      <c r="M98" s="65">
        <v>125.5</v>
      </c>
      <c r="N98" s="65">
        <v>125.5</v>
      </c>
      <c r="O98" s="65">
        <v>129.80000000000001</v>
      </c>
      <c r="P98" s="65">
        <v>133.1</v>
      </c>
      <c r="Q98" s="65">
        <v>133.1</v>
      </c>
      <c r="R98" s="65">
        <v>128.30000000000001</v>
      </c>
      <c r="S98" s="65">
        <v>129.69999999999999</v>
      </c>
      <c r="T98" s="65">
        <v>130.6</v>
      </c>
      <c r="U98" s="65">
        <v>130.6</v>
      </c>
      <c r="V98" s="65">
        <v>130.6</v>
      </c>
      <c r="W98" s="65">
        <v>131.9</v>
      </c>
      <c r="X98" s="65">
        <v>131.19999999999999</v>
      </c>
      <c r="Y98" s="65">
        <v>133.4</v>
      </c>
      <c r="Z98" s="65">
        <v>134.6</v>
      </c>
      <c r="AA98" s="65">
        <v>132.6</v>
      </c>
      <c r="AB98" s="65">
        <v>132.5</v>
      </c>
      <c r="AC98" s="65">
        <v>133.6</v>
      </c>
      <c r="AD98" s="65">
        <v>131.9</v>
      </c>
      <c r="AE98" s="65">
        <v>130</v>
      </c>
      <c r="AF98" s="65">
        <v>131.6</v>
      </c>
      <c r="AG98" s="92"/>
      <c r="AH98" s="48">
        <f t="shared" si="11"/>
        <v>134.6</v>
      </c>
      <c r="AI98" s="49">
        <f t="shared" si="12"/>
        <v>125.5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1"/>
        <v>0</v>
      </c>
      <c r="AI99" s="49">
        <f t="shared" si="12"/>
        <v>0</v>
      </c>
    </row>
    <row r="100" spans="1:35" x14ac:dyDescent="0.25">
      <c r="A100" s="93" t="s">
        <v>105</v>
      </c>
      <c r="B100" s="94">
        <v>133.1</v>
      </c>
      <c r="C100" s="94">
        <v>132.6</v>
      </c>
      <c r="D100" s="94">
        <v>133.6</v>
      </c>
      <c r="E100" s="94">
        <v>133.80000000000001</v>
      </c>
      <c r="F100" s="94">
        <v>134.6</v>
      </c>
      <c r="G100" s="94">
        <v>132.80000000000001</v>
      </c>
      <c r="H100" s="94">
        <v>132.9</v>
      </c>
      <c r="I100" s="94">
        <v>132.4</v>
      </c>
      <c r="J100" s="94"/>
      <c r="K100" s="94">
        <v>133.6</v>
      </c>
      <c r="L100" s="94">
        <v>133.80000000000001</v>
      </c>
      <c r="M100" s="94">
        <v>133.80000000000001</v>
      </c>
      <c r="N100" s="94">
        <v>133.80000000000001</v>
      </c>
      <c r="O100" s="94">
        <v>131.6</v>
      </c>
      <c r="P100" s="94">
        <v>133.9</v>
      </c>
      <c r="Q100" s="94">
        <v>133.9</v>
      </c>
      <c r="R100" s="94">
        <v>135.87</v>
      </c>
      <c r="S100" s="94">
        <v>71.3</v>
      </c>
      <c r="T100" s="94">
        <v>133.30000000000001</v>
      </c>
      <c r="U100" s="94">
        <v>133.30000000000001</v>
      </c>
      <c r="V100" s="94">
        <v>133.30000000000001</v>
      </c>
      <c r="W100" s="94">
        <v>133.6</v>
      </c>
      <c r="X100" s="94">
        <v>132.19999999999999</v>
      </c>
      <c r="Y100" s="94">
        <v>133.80000000000001</v>
      </c>
      <c r="Z100" s="94">
        <v>134.9</v>
      </c>
      <c r="AA100" s="94">
        <v>133.30000000000001</v>
      </c>
      <c r="AB100" s="94">
        <v>133.19999999999999</v>
      </c>
      <c r="AC100" s="94">
        <v>134.5</v>
      </c>
      <c r="AD100" s="94">
        <v>135</v>
      </c>
      <c r="AE100" s="94">
        <v>131.19999999999999</v>
      </c>
      <c r="AF100" s="94">
        <v>131.69999999999999</v>
      </c>
      <c r="AG100" s="95"/>
      <c r="AH100" s="48">
        <f t="shared" si="11"/>
        <v>135.87</v>
      </c>
      <c r="AI100" s="49">
        <f t="shared" si="12"/>
        <v>71.3</v>
      </c>
    </row>
    <row r="101" spans="1:35" x14ac:dyDescent="0.25">
      <c r="A101" s="91" t="s">
        <v>106</v>
      </c>
      <c r="B101" s="65">
        <v>135.19999999999999</v>
      </c>
      <c r="C101" s="65">
        <v>123.4</v>
      </c>
      <c r="D101" s="65">
        <v>126.4</v>
      </c>
      <c r="E101" s="65">
        <v>127.5</v>
      </c>
      <c r="F101" s="65">
        <v>130.19999999999999</v>
      </c>
      <c r="G101" s="65">
        <v>122.1</v>
      </c>
      <c r="H101" s="65">
        <v>133.19999999999999</v>
      </c>
      <c r="I101" s="65">
        <v>133.19999999999999</v>
      </c>
      <c r="J101" s="65"/>
      <c r="K101" s="65">
        <v>128.19999999999999</v>
      </c>
      <c r="L101" s="65">
        <v>126.7</v>
      </c>
      <c r="M101" s="65">
        <v>126.7</v>
      </c>
      <c r="N101" s="65">
        <v>126.7</v>
      </c>
      <c r="O101" s="65">
        <v>121.8</v>
      </c>
      <c r="P101" s="65">
        <v>125</v>
      </c>
      <c r="Q101" s="65">
        <v>125</v>
      </c>
      <c r="R101" s="65">
        <v>128.6</v>
      </c>
      <c r="S101" s="65">
        <v>123.3</v>
      </c>
      <c r="T101" s="65">
        <v>123.5</v>
      </c>
      <c r="U101" s="65">
        <v>123.5</v>
      </c>
      <c r="V101" s="65">
        <v>123.5</v>
      </c>
      <c r="W101" s="65">
        <v>133.69999999999999</v>
      </c>
      <c r="X101" s="65">
        <v>131.5</v>
      </c>
      <c r="Y101" s="65">
        <v>130.19999999999999</v>
      </c>
      <c r="Z101" s="65">
        <v>126.6</v>
      </c>
      <c r="AA101" s="65">
        <v>128.30000000000001</v>
      </c>
      <c r="AB101" s="65">
        <v>128.1</v>
      </c>
      <c r="AC101" s="65">
        <v>130.4</v>
      </c>
      <c r="AD101" s="65">
        <v>130.69999999999999</v>
      </c>
      <c r="AE101" s="65">
        <v>131.19999999999999</v>
      </c>
      <c r="AF101" s="65">
        <v>125.6</v>
      </c>
      <c r="AG101" s="92"/>
      <c r="AH101" s="48">
        <f t="shared" si="11"/>
        <v>135.19999999999999</v>
      </c>
      <c r="AI101" s="49">
        <f t="shared" si="12"/>
        <v>121.8</v>
      </c>
    </row>
    <row r="102" spans="1:35" ht="15.75" thickBot="1" x14ac:dyDescent="0.3">
      <c r="A102" s="91" t="s">
        <v>107</v>
      </c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11"/>
        <v>0</v>
      </c>
      <c r="AI102" s="49">
        <f t="shared" si="12"/>
        <v>0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1"/>
        <v>0</v>
      </c>
      <c r="AI103" s="49">
        <f t="shared" si="12"/>
        <v>0</v>
      </c>
    </row>
    <row r="104" spans="1:35" ht="15.75" thickBot="1" x14ac:dyDescent="0.3">
      <c r="A104" s="99" t="s">
        <v>108</v>
      </c>
      <c r="B104" s="100">
        <f t="shared" ref="B104:AF104" si="18">SUM(B16,B22,B25:B26,B52,B54:B55,B57,B59,B105:B109,B131,B137,B143,B152,B154,B166,B173,B176:B177,B184,B186,B188,B192:B194,B196:B198,B203,B209:B210,B212:B214,B222,B227)</f>
        <v>109.60000000000001</v>
      </c>
      <c r="C104" s="100">
        <f t="shared" si="18"/>
        <v>111.74</v>
      </c>
      <c r="D104" s="100">
        <f t="shared" si="18"/>
        <v>106.14000000000001</v>
      </c>
      <c r="E104" s="100">
        <f t="shared" si="18"/>
        <v>106.44</v>
      </c>
      <c r="F104" s="100">
        <f t="shared" si="18"/>
        <v>113.14</v>
      </c>
      <c r="G104" s="100">
        <f t="shared" si="18"/>
        <v>144.54</v>
      </c>
      <c r="H104" s="100">
        <f t="shared" si="18"/>
        <v>172.34</v>
      </c>
      <c r="I104" s="100">
        <f t="shared" si="18"/>
        <v>204.33999999999997</v>
      </c>
      <c r="J104" s="100">
        <f t="shared" si="18"/>
        <v>134.04</v>
      </c>
      <c r="K104" s="100">
        <f t="shared" si="18"/>
        <v>318.24</v>
      </c>
      <c r="L104" s="100">
        <f t="shared" si="18"/>
        <v>367.44</v>
      </c>
      <c r="M104" s="100">
        <f t="shared" si="18"/>
        <v>350.84000000000003</v>
      </c>
      <c r="N104" s="100">
        <f t="shared" si="18"/>
        <v>351.34000000000003</v>
      </c>
      <c r="O104" s="100">
        <f t="shared" si="18"/>
        <v>355.64000000000004</v>
      </c>
      <c r="P104" s="100">
        <v>42</v>
      </c>
      <c r="Q104" s="100">
        <f t="shared" si="18"/>
        <v>330.3</v>
      </c>
      <c r="R104" s="100">
        <f t="shared" si="18"/>
        <v>278.5</v>
      </c>
      <c r="S104" s="100">
        <f t="shared" si="18"/>
        <v>251.5</v>
      </c>
      <c r="T104" s="100">
        <f t="shared" si="18"/>
        <v>293</v>
      </c>
      <c r="U104" s="100">
        <f t="shared" si="18"/>
        <v>293</v>
      </c>
      <c r="V104" s="100">
        <f t="shared" si="18"/>
        <v>311.29999999999995</v>
      </c>
      <c r="W104" s="100">
        <f t="shared" si="18"/>
        <v>270.60000000000002</v>
      </c>
      <c r="X104" s="100">
        <v>489.79708333333332</v>
      </c>
      <c r="Y104" s="100">
        <f t="shared" si="18"/>
        <v>409.5</v>
      </c>
      <c r="Z104" s="100">
        <f t="shared" si="18"/>
        <v>355.90000000000003</v>
      </c>
      <c r="AA104" s="100">
        <f t="shared" si="18"/>
        <v>384</v>
      </c>
      <c r="AB104" s="100">
        <f t="shared" si="18"/>
        <v>406.4</v>
      </c>
      <c r="AC104" s="100">
        <f t="shared" si="18"/>
        <v>369.7</v>
      </c>
      <c r="AD104" s="100">
        <f t="shared" si="18"/>
        <v>332</v>
      </c>
      <c r="AE104" s="100">
        <f t="shared" si="18"/>
        <v>238</v>
      </c>
      <c r="AF104" s="100">
        <f t="shared" si="18"/>
        <v>231.6</v>
      </c>
      <c r="AG104" s="101"/>
      <c r="AH104" s="48">
        <f t="shared" si="11"/>
        <v>489.79708333333332</v>
      </c>
      <c r="AI104" s="49">
        <f t="shared" si="12"/>
        <v>42</v>
      </c>
    </row>
    <row r="105" spans="1:35" x14ac:dyDescent="0.25">
      <c r="A105" s="88" t="s">
        <v>109</v>
      </c>
      <c r="B105" s="102">
        <v>-4.7</v>
      </c>
      <c r="C105" s="102">
        <v>4</v>
      </c>
      <c r="D105" s="102">
        <v>5.4</v>
      </c>
      <c r="E105" s="102">
        <v>5.9</v>
      </c>
      <c r="F105" s="102">
        <v>8.5</v>
      </c>
      <c r="G105" s="102">
        <v>10.7</v>
      </c>
      <c r="H105" s="102">
        <v>16</v>
      </c>
      <c r="I105" s="102">
        <v>16</v>
      </c>
      <c r="J105" s="102"/>
      <c r="K105" s="102">
        <v>27</v>
      </c>
      <c r="L105" s="102">
        <v>27.3</v>
      </c>
      <c r="M105" s="102">
        <v>28.8</v>
      </c>
      <c r="N105" s="102">
        <v>28.8</v>
      </c>
      <c r="O105" s="102">
        <v>27.5</v>
      </c>
      <c r="P105" s="102">
        <v>35</v>
      </c>
      <c r="Q105" s="102">
        <v>37.6</v>
      </c>
      <c r="R105" s="102">
        <v>14.9</v>
      </c>
      <c r="S105" s="102">
        <v>14.4</v>
      </c>
      <c r="T105" s="102">
        <v>18.600000000000001</v>
      </c>
      <c r="U105" s="102">
        <v>18.600000000000001</v>
      </c>
      <c r="V105" s="102">
        <v>51.4</v>
      </c>
      <c r="W105" s="102">
        <v>50.5</v>
      </c>
      <c r="X105" s="102">
        <v>35</v>
      </c>
      <c r="Y105" s="102">
        <v>37.200000000000003</v>
      </c>
      <c r="Z105" s="102" t="s">
        <v>259</v>
      </c>
      <c r="AA105" s="102">
        <v>49.8</v>
      </c>
      <c r="AB105" s="102">
        <v>50.5</v>
      </c>
      <c r="AC105" s="102">
        <v>39.1</v>
      </c>
      <c r="AD105" s="102">
        <v>31.7</v>
      </c>
      <c r="AE105" s="102">
        <v>13.6</v>
      </c>
      <c r="AF105" s="102">
        <v>9.6</v>
      </c>
      <c r="AG105" s="103">
        <v>75</v>
      </c>
      <c r="AH105" s="48">
        <f t="shared" si="11"/>
        <v>51.4</v>
      </c>
      <c r="AI105" s="49">
        <f t="shared" si="12"/>
        <v>-4.7</v>
      </c>
    </row>
    <row r="106" spans="1:35" x14ac:dyDescent="0.25">
      <c r="A106" s="91" t="s">
        <v>110</v>
      </c>
      <c r="B106" s="104">
        <v>-1</v>
      </c>
      <c r="C106" s="104">
        <v>11.1</v>
      </c>
      <c r="D106" s="104">
        <v>14.8</v>
      </c>
      <c r="E106" s="104">
        <v>13.7</v>
      </c>
      <c r="F106" s="104">
        <v>19</v>
      </c>
      <c r="G106" s="104">
        <v>22</v>
      </c>
      <c r="H106" s="104">
        <v>29</v>
      </c>
      <c r="I106" s="104">
        <v>27</v>
      </c>
      <c r="J106" s="104"/>
      <c r="K106" s="104">
        <v>42</v>
      </c>
      <c r="L106" s="104">
        <v>40</v>
      </c>
      <c r="M106" s="104">
        <v>42.4</v>
      </c>
      <c r="N106" s="104">
        <v>42.4</v>
      </c>
      <c r="O106" s="104">
        <v>44.5</v>
      </c>
      <c r="P106" s="104">
        <v>56.1</v>
      </c>
      <c r="Q106" s="104">
        <v>55</v>
      </c>
      <c r="R106" s="104">
        <v>25.7</v>
      </c>
      <c r="S106" s="104">
        <v>23.5</v>
      </c>
      <c r="T106" s="104">
        <v>26.7</v>
      </c>
      <c r="U106" s="104">
        <v>26.7</v>
      </c>
      <c r="V106" s="104">
        <v>75.5</v>
      </c>
      <c r="W106" s="104">
        <v>69.900000000000006</v>
      </c>
      <c r="X106" s="104">
        <v>43.6</v>
      </c>
      <c r="Y106" s="104">
        <v>46.6</v>
      </c>
      <c r="Z106" s="104">
        <v>57.4</v>
      </c>
      <c r="AA106" s="104">
        <v>67.5</v>
      </c>
      <c r="AB106" s="104">
        <v>68.7</v>
      </c>
      <c r="AC106" s="104">
        <v>51.6</v>
      </c>
      <c r="AD106" s="104">
        <v>43</v>
      </c>
      <c r="AE106" s="104">
        <v>16.8</v>
      </c>
      <c r="AF106" s="104">
        <v>12.8</v>
      </c>
      <c r="AG106" s="103">
        <v>240</v>
      </c>
      <c r="AH106" s="48">
        <f t="shared" si="11"/>
        <v>75.5</v>
      </c>
      <c r="AI106" s="49">
        <f t="shared" si="12"/>
        <v>-1</v>
      </c>
    </row>
    <row r="107" spans="1:35" x14ac:dyDescent="0.25">
      <c r="A107" s="91" t="s">
        <v>111</v>
      </c>
      <c r="B107" s="104">
        <v>-71</v>
      </c>
      <c r="C107" s="104">
        <v>-72</v>
      </c>
      <c r="D107" s="104">
        <v>-78.2</v>
      </c>
      <c r="E107" s="104">
        <v>-80</v>
      </c>
      <c r="F107" s="104">
        <v>-80</v>
      </c>
      <c r="G107" s="104">
        <v>-70</v>
      </c>
      <c r="H107" s="104">
        <v>-65</v>
      </c>
      <c r="I107" s="104">
        <v>-50</v>
      </c>
      <c r="J107" s="104"/>
      <c r="K107" s="104">
        <v>-20</v>
      </c>
      <c r="L107" s="104">
        <v>5</v>
      </c>
      <c r="M107" s="104">
        <v>-30.1</v>
      </c>
      <c r="N107" s="104">
        <v>-30.1</v>
      </c>
      <c r="O107" s="104">
        <v>6.7</v>
      </c>
      <c r="P107" s="104">
        <v>-17</v>
      </c>
      <c r="Q107" s="104">
        <v>-15</v>
      </c>
      <c r="R107" s="104">
        <v>13</v>
      </c>
      <c r="S107" s="104">
        <f>-24.9+6.9</f>
        <v>-18</v>
      </c>
      <c r="T107" s="104">
        <f>-24.6+4.2</f>
        <v>-20.400000000000002</v>
      </c>
      <c r="U107" s="104">
        <f t="shared" ref="U107" si="19">-24.6+4.2</f>
        <v>-20.400000000000002</v>
      </c>
      <c r="V107" s="104">
        <f>-47.8-18.6</f>
        <v>-66.400000000000006</v>
      </c>
      <c r="W107" s="104">
        <f>-43-13</f>
        <v>-56</v>
      </c>
      <c r="X107" s="104">
        <v>4.3000000000000007</v>
      </c>
      <c r="Y107" s="104">
        <f>-14.5+17</f>
        <v>2.5</v>
      </c>
      <c r="Z107" s="104">
        <f>-21.4+6.4</f>
        <v>-14.999999999999998</v>
      </c>
      <c r="AA107" s="104">
        <f>-34-4.2</f>
        <v>-38.200000000000003</v>
      </c>
      <c r="AB107" s="104">
        <f>-0.7-9.2</f>
        <v>-9.8999999999999986</v>
      </c>
      <c r="AC107" s="104">
        <f>6-1.7</f>
        <v>4.3</v>
      </c>
      <c r="AD107" s="104">
        <v>15</v>
      </c>
      <c r="AE107" s="104">
        <v>10.4</v>
      </c>
      <c r="AF107" s="104">
        <v>-5.4</v>
      </c>
      <c r="AG107" s="103">
        <v>240</v>
      </c>
      <c r="AH107" s="48">
        <f t="shared" si="11"/>
        <v>15</v>
      </c>
      <c r="AI107" s="49">
        <f t="shared" si="12"/>
        <v>-80</v>
      </c>
    </row>
    <row r="108" spans="1:35" x14ac:dyDescent="0.25">
      <c r="A108" s="91" t="s">
        <v>112</v>
      </c>
      <c r="B108" s="104">
        <v>13.4</v>
      </c>
      <c r="C108" s="104">
        <v>-2.5</v>
      </c>
      <c r="D108" s="104">
        <v>-4.5999999999999996</v>
      </c>
      <c r="E108" s="104">
        <v>-5.3</v>
      </c>
      <c r="F108" s="104">
        <v>-5</v>
      </c>
      <c r="G108" s="104">
        <v>0</v>
      </c>
      <c r="H108" s="104">
        <v>0</v>
      </c>
      <c r="I108" s="104">
        <v>1.5</v>
      </c>
      <c r="J108" s="104"/>
      <c r="K108" s="104">
        <v>37.200000000000003</v>
      </c>
      <c r="L108" s="104">
        <v>45.1</v>
      </c>
      <c r="M108" s="104">
        <v>50.5</v>
      </c>
      <c r="N108" s="104">
        <v>50.5</v>
      </c>
      <c r="O108" s="104">
        <v>52.7</v>
      </c>
      <c r="P108" s="104">
        <v>46.8</v>
      </c>
      <c r="Q108" s="104">
        <v>46.8</v>
      </c>
      <c r="R108" s="104">
        <v>44.3</v>
      </c>
      <c r="S108" s="104">
        <v>52.6</v>
      </c>
      <c r="T108" s="104">
        <v>51.7</v>
      </c>
      <c r="U108" s="104">
        <v>51.7</v>
      </c>
      <c r="V108" s="104">
        <v>51.3</v>
      </c>
      <c r="W108" s="104">
        <v>55.7</v>
      </c>
      <c r="X108" s="104">
        <v>66.900000000000006</v>
      </c>
      <c r="Y108" s="104">
        <v>63.9</v>
      </c>
      <c r="Z108" s="104">
        <v>61.3</v>
      </c>
      <c r="AA108" s="104">
        <v>61.8</v>
      </c>
      <c r="AB108" s="104">
        <v>60.3</v>
      </c>
      <c r="AC108" s="104">
        <v>56.1</v>
      </c>
      <c r="AD108" s="104">
        <v>42.4</v>
      </c>
      <c r="AE108" s="104">
        <v>38.6</v>
      </c>
      <c r="AF108" s="104">
        <v>20.3</v>
      </c>
      <c r="AG108" s="103">
        <v>60</v>
      </c>
      <c r="AH108" s="48">
        <f t="shared" si="11"/>
        <v>66.900000000000006</v>
      </c>
      <c r="AI108" s="49">
        <f t="shared" si="12"/>
        <v>-5.3</v>
      </c>
    </row>
    <row r="109" spans="1:35" x14ac:dyDescent="0.25">
      <c r="A109" s="105" t="s">
        <v>113</v>
      </c>
      <c r="B109" s="106">
        <v>39.299999999999997</v>
      </c>
      <c r="C109" s="106">
        <v>36.799999999999997</v>
      </c>
      <c r="D109" s="106">
        <v>34.4</v>
      </c>
      <c r="E109" s="106">
        <v>37.799999999999997</v>
      </c>
      <c r="F109" s="106">
        <v>36.299999999999997</v>
      </c>
      <c r="G109" s="106">
        <v>47.5</v>
      </c>
      <c r="H109" s="106">
        <v>58</v>
      </c>
      <c r="I109" s="106">
        <v>75.8</v>
      </c>
      <c r="J109" s="106"/>
      <c r="K109" s="106">
        <v>98</v>
      </c>
      <c r="L109" s="106">
        <v>116</v>
      </c>
      <c r="M109" s="106">
        <v>125.2</v>
      </c>
      <c r="N109" s="106">
        <v>125.2</v>
      </c>
      <c r="O109" s="106">
        <v>89.4</v>
      </c>
      <c r="P109" s="106">
        <v>73</v>
      </c>
      <c r="Q109" s="106">
        <v>72</v>
      </c>
      <c r="R109" s="106">
        <v>46.7</v>
      </c>
      <c r="S109" s="106">
        <v>45.1</v>
      </c>
      <c r="T109" s="106">
        <v>82.5</v>
      </c>
      <c r="U109" s="106">
        <v>82.5</v>
      </c>
      <c r="V109" s="106">
        <v>65.599999999999994</v>
      </c>
      <c r="W109" s="106">
        <v>16.600000000000001</v>
      </c>
      <c r="X109" s="106">
        <v>128.4</v>
      </c>
      <c r="Y109" s="106">
        <v>125.4</v>
      </c>
      <c r="Z109" s="106">
        <v>118.3</v>
      </c>
      <c r="AA109" s="106">
        <v>109.2</v>
      </c>
      <c r="AB109" s="106">
        <v>102.7</v>
      </c>
      <c r="AC109" s="106">
        <v>84.5</v>
      </c>
      <c r="AD109" s="106">
        <v>65.599999999999994</v>
      </c>
      <c r="AE109" s="106">
        <v>24.3</v>
      </c>
      <c r="AF109" s="106">
        <v>60</v>
      </c>
      <c r="AG109" s="107">
        <v>120</v>
      </c>
      <c r="AH109" s="48">
        <f t="shared" si="11"/>
        <v>128.4</v>
      </c>
      <c r="AI109" s="49">
        <f t="shared" si="12"/>
        <v>16.600000000000001</v>
      </c>
    </row>
    <row r="110" spans="1:35" x14ac:dyDescent="0.25">
      <c r="A110" s="105" t="s">
        <v>115</v>
      </c>
      <c r="B110" s="106">
        <v>45.9</v>
      </c>
      <c r="C110" s="106">
        <v>46.2</v>
      </c>
      <c r="D110" s="106">
        <v>48.3</v>
      </c>
      <c r="E110" s="106">
        <v>52.5</v>
      </c>
      <c r="F110" s="106">
        <v>52</v>
      </c>
      <c r="G110" s="106">
        <v>53</v>
      </c>
      <c r="H110" s="106">
        <v>63</v>
      </c>
      <c r="I110" s="106">
        <v>75.599999999999994</v>
      </c>
      <c r="J110" s="106"/>
      <c r="K110" s="106">
        <v>86</v>
      </c>
      <c r="L110" s="106">
        <v>91</v>
      </c>
      <c r="M110" s="106">
        <v>89.9</v>
      </c>
      <c r="N110" s="106">
        <v>89.9</v>
      </c>
      <c r="O110" s="106">
        <v>99.2</v>
      </c>
      <c r="P110" s="106">
        <v>60.2</v>
      </c>
      <c r="Q110" s="106">
        <v>56</v>
      </c>
      <c r="R110" s="106">
        <v>102</v>
      </c>
      <c r="S110" s="106">
        <v>95.8</v>
      </c>
      <c r="T110" s="106">
        <v>80.099999999999994</v>
      </c>
      <c r="U110" s="106">
        <v>80.099999999999994</v>
      </c>
      <c r="V110" s="106">
        <v>14.8</v>
      </c>
      <c r="W110" s="106">
        <v>17.8</v>
      </c>
      <c r="X110" s="106">
        <v>68.400000000000006</v>
      </c>
      <c r="Y110" s="106">
        <v>66</v>
      </c>
      <c r="Z110" s="106">
        <v>22.9</v>
      </c>
      <c r="AA110" s="106">
        <v>19.5</v>
      </c>
      <c r="AB110" s="106">
        <v>16.3</v>
      </c>
      <c r="AC110" s="106">
        <v>41.8</v>
      </c>
      <c r="AD110" s="106">
        <v>53.2</v>
      </c>
      <c r="AE110" s="106">
        <v>78.7</v>
      </c>
      <c r="AF110" s="106">
        <v>68</v>
      </c>
      <c r="AG110" s="107"/>
      <c r="AH110" s="48">
        <f t="shared" si="11"/>
        <v>102</v>
      </c>
      <c r="AI110" s="49">
        <f t="shared" si="12"/>
        <v>14.8</v>
      </c>
    </row>
    <row r="111" spans="1:35" x14ac:dyDescent="0.25">
      <c r="A111" s="105" t="s">
        <v>116</v>
      </c>
      <c r="B111" s="106">
        <v>35.700000000000003</v>
      </c>
      <c r="C111" s="106">
        <v>34.6</v>
      </c>
      <c r="D111" s="106">
        <v>28.7</v>
      </c>
      <c r="E111" s="106">
        <v>31.6</v>
      </c>
      <c r="F111" s="106">
        <v>43</v>
      </c>
      <c r="G111" s="106">
        <v>48</v>
      </c>
      <c r="H111" s="106">
        <v>42</v>
      </c>
      <c r="I111" s="106">
        <v>41</v>
      </c>
      <c r="J111" s="106"/>
      <c r="K111" s="106">
        <v>40</v>
      </c>
      <c r="L111" s="106">
        <v>30</v>
      </c>
      <c r="M111" s="106">
        <v>21.7</v>
      </c>
      <c r="N111" s="106">
        <v>21.7</v>
      </c>
      <c r="O111" s="106">
        <v>12.2</v>
      </c>
      <c r="P111" s="106">
        <v>13.3</v>
      </c>
      <c r="Q111" s="106">
        <v>12</v>
      </c>
      <c r="R111" s="106">
        <v>25.3</v>
      </c>
      <c r="S111" s="106">
        <v>26.5</v>
      </c>
      <c r="T111" s="106">
        <v>23.8</v>
      </c>
      <c r="U111" s="106">
        <v>23.8</v>
      </c>
      <c r="V111" s="106">
        <v>-0.5</v>
      </c>
      <c r="W111" s="106">
        <v>-0.5</v>
      </c>
      <c r="X111" s="106">
        <v>24</v>
      </c>
      <c r="Y111" s="106">
        <v>21.6</v>
      </c>
      <c r="Z111" s="106">
        <v>12.9</v>
      </c>
      <c r="AA111" s="106">
        <v>-6.7</v>
      </c>
      <c r="AB111" s="106">
        <v>7.2</v>
      </c>
      <c r="AC111" s="106">
        <v>17.600000000000001</v>
      </c>
      <c r="AD111" s="106">
        <v>14.7</v>
      </c>
      <c r="AE111" s="106">
        <v>28.5</v>
      </c>
      <c r="AF111" s="106">
        <v>31</v>
      </c>
      <c r="AG111" s="108"/>
      <c r="AH111" s="48">
        <f t="shared" si="11"/>
        <v>48</v>
      </c>
      <c r="AI111" s="49">
        <f t="shared" si="12"/>
        <v>-6.7</v>
      </c>
    </row>
    <row r="112" spans="1:35" x14ac:dyDescent="0.25">
      <c r="A112" s="109" t="s">
        <v>117</v>
      </c>
      <c r="B112" s="94">
        <v>49.8</v>
      </c>
      <c r="C112" s="94">
        <v>54.9</v>
      </c>
      <c r="D112" s="94">
        <v>56.3</v>
      </c>
      <c r="E112" s="94">
        <v>59.5</v>
      </c>
      <c r="F112" s="94">
        <v>54</v>
      </c>
      <c r="G112" s="94">
        <v>52</v>
      </c>
      <c r="H112" s="94">
        <v>45</v>
      </c>
      <c r="I112" s="94">
        <v>37</v>
      </c>
      <c r="J112" s="94"/>
      <c r="K112" s="94">
        <v>13</v>
      </c>
      <c r="L112" s="94">
        <v>0</v>
      </c>
      <c r="M112" s="94">
        <v>-5.0999999999999996</v>
      </c>
      <c r="N112" s="94">
        <v>-5.0999999999999996</v>
      </c>
      <c r="O112" s="94">
        <v>17.7</v>
      </c>
      <c r="P112" s="94">
        <v>21.8</v>
      </c>
      <c r="Q112" s="94">
        <v>21.8</v>
      </c>
      <c r="R112" s="94">
        <v>37.6</v>
      </c>
      <c r="S112" s="94">
        <v>33</v>
      </c>
      <c r="T112" s="94">
        <v>23.8</v>
      </c>
      <c r="U112" s="94">
        <v>23.8</v>
      </c>
      <c r="V112" s="94">
        <v>4.7</v>
      </c>
      <c r="W112" s="94">
        <v>4.7</v>
      </c>
      <c r="X112" s="94">
        <v>98.1</v>
      </c>
      <c r="Y112" s="94">
        <v>-19.7</v>
      </c>
      <c r="Z112" s="94">
        <v>63.8</v>
      </c>
      <c r="AA112" s="94">
        <v>4.7</v>
      </c>
      <c r="AB112" s="94">
        <v>13.4</v>
      </c>
      <c r="AC112" s="94">
        <v>23</v>
      </c>
      <c r="AD112" s="94">
        <v>35.6</v>
      </c>
      <c r="AE112" s="94">
        <v>47.8</v>
      </c>
      <c r="AF112" s="94">
        <v>48.5</v>
      </c>
      <c r="AG112" s="108"/>
      <c r="AH112" s="48">
        <f t="shared" si="11"/>
        <v>98.1</v>
      </c>
      <c r="AI112" s="49">
        <f t="shared" si="12"/>
        <v>-19.7</v>
      </c>
    </row>
    <row r="113" spans="1:37" ht="15.75" thickBot="1" x14ac:dyDescent="0.3">
      <c r="A113" s="109" t="s">
        <v>118</v>
      </c>
      <c r="B113" s="94">
        <v>36.700000000000003</v>
      </c>
      <c r="C113" s="94">
        <v>38.700000000000003</v>
      </c>
      <c r="D113" s="94">
        <v>46.1</v>
      </c>
      <c r="E113" s="94">
        <v>45.9</v>
      </c>
      <c r="F113" s="94">
        <v>51</v>
      </c>
      <c r="G113" s="94">
        <v>41</v>
      </c>
      <c r="H113" s="94">
        <v>42</v>
      </c>
      <c r="I113" s="94">
        <v>33</v>
      </c>
      <c r="J113" s="94"/>
      <c r="K113" s="94">
        <v>28</v>
      </c>
      <c r="L113" s="94">
        <v>16</v>
      </c>
      <c r="M113" s="94">
        <v>21.3</v>
      </c>
      <c r="N113" s="94">
        <v>21.3</v>
      </c>
      <c r="O113" s="94">
        <v>21.3</v>
      </c>
      <c r="P113" s="94">
        <v>41.4</v>
      </c>
      <c r="Q113" s="94">
        <v>41.4</v>
      </c>
      <c r="R113" s="94">
        <v>10.5</v>
      </c>
      <c r="S113" s="94">
        <v>13</v>
      </c>
      <c r="T113" s="94">
        <v>11.3</v>
      </c>
      <c r="U113" s="94">
        <v>11.3</v>
      </c>
      <c r="V113" s="94">
        <v>52.1</v>
      </c>
      <c r="W113" s="94">
        <v>42.2</v>
      </c>
      <c r="X113" s="94">
        <v>42.2</v>
      </c>
      <c r="Y113" s="94">
        <v>-3.9</v>
      </c>
      <c r="Z113" s="94">
        <v>15.5</v>
      </c>
      <c r="AA113" s="94">
        <v>31.4</v>
      </c>
      <c r="AB113" s="94">
        <v>39.200000000000003</v>
      </c>
      <c r="AC113" s="94">
        <v>21.6</v>
      </c>
      <c r="AD113" s="94">
        <v>13.7</v>
      </c>
      <c r="AE113" s="94">
        <v>3.2</v>
      </c>
      <c r="AF113" s="94">
        <v>29.1</v>
      </c>
      <c r="AG113" s="108"/>
      <c r="AH113" s="48">
        <f t="shared" si="11"/>
        <v>52.1</v>
      </c>
      <c r="AI113" s="49">
        <f t="shared" si="12"/>
        <v>-3.9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20">SUM(B115:B219)</f>
        <v>0</v>
      </c>
      <c r="C220" s="125">
        <f t="shared" si="20"/>
        <v>0</v>
      </c>
      <c r="D220" s="125">
        <f t="shared" si="20"/>
        <v>0</v>
      </c>
      <c r="E220" s="125">
        <f t="shared" si="20"/>
        <v>0</v>
      </c>
      <c r="F220" s="125">
        <f t="shared" si="20"/>
        <v>0</v>
      </c>
      <c r="G220" s="125">
        <f t="shared" si="20"/>
        <v>0</v>
      </c>
      <c r="H220" s="125">
        <f t="shared" si="20"/>
        <v>0</v>
      </c>
      <c r="I220" s="125">
        <f t="shared" si="20"/>
        <v>0</v>
      </c>
      <c r="J220" s="125">
        <f t="shared" si="20"/>
        <v>0</v>
      </c>
      <c r="K220" s="125">
        <f t="shared" si="20"/>
        <v>0</v>
      </c>
      <c r="L220" s="125">
        <f t="shared" si="20"/>
        <v>0</v>
      </c>
      <c r="M220" s="125">
        <f t="shared" si="20"/>
        <v>0</v>
      </c>
      <c r="N220" s="125">
        <f t="shared" si="20"/>
        <v>0</v>
      </c>
      <c r="O220" s="125">
        <f t="shared" si="20"/>
        <v>0</v>
      </c>
      <c r="P220" s="125">
        <f t="shared" si="20"/>
        <v>0</v>
      </c>
      <c r="Q220" s="125">
        <f t="shared" si="20"/>
        <v>0</v>
      </c>
      <c r="R220" s="125">
        <f t="shared" si="20"/>
        <v>0</v>
      </c>
      <c r="S220" s="125">
        <f t="shared" si="20"/>
        <v>0</v>
      </c>
      <c r="T220" s="125">
        <f t="shared" si="20"/>
        <v>0</v>
      </c>
      <c r="U220" s="125">
        <f t="shared" si="20"/>
        <v>0</v>
      </c>
      <c r="V220" s="125">
        <f t="shared" si="20"/>
        <v>0</v>
      </c>
      <c r="W220" s="125">
        <f t="shared" si="20"/>
        <v>0</v>
      </c>
      <c r="X220" s="125">
        <f t="shared" si="20"/>
        <v>0</v>
      </c>
      <c r="Y220" s="125">
        <f t="shared" si="20"/>
        <v>0</v>
      </c>
      <c r="Z220" s="125">
        <f t="shared" si="20"/>
        <v>0</v>
      </c>
      <c r="AA220" s="125">
        <f t="shared" si="20"/>
        <v>0</v>
      </c>
      <c r="AB220" s="125">
        <f t="shared" si="20"/>
        <v>0</v>
      </c>
      <c r="AC220" s="125">
        <f t="shared" si="20"/>
        <v>0</v>
      </c>
      <c r="AD220" s="125">
        <f t="shared" si="20"/>
        <v>0</v>
      </c>
      <c r="AE220" s="125">
        <f t="shared" si="20"/>
        <v>0</v>
      </c>
      <c r="AF220" s="126">
        <f t="shared" si="20"/>
        <v>0</v>
      </c>
      <c r="AG220" s="127">
        <f t="shared" si="20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21">AF222</f>
        <v>0</v>
      </c>
      <c r="C222" s="129">
        <v>0.3</v>
      </c>
      <c r="D222" s="129">
        <f t="shared" ref="D222:P227" si="22">C222</f>
        <v>0.3</v>
      </c>
      <c r="E222" s="129">
        <f t="shared" si="22"/>
        <v>0.3</v>
      </c>
      <c r="F222" s="129">
        <f t="shared" si="22"/>
        <v>0.3</v>
      </c>
      <c r="G222" s="129">
        <f t="shared" si="22"/>
        <v>0.3</v>
      </c>
      <c r="H222" s="129">
        <f t="shared" si="22"/>
        <v>0.3</v>
      </c>
      <c r="I222" s="129">
        <f t="shared" si="22"/>
        <v>0.3</v>
      </c>
      <c r="J222" s="129">
        <f t="shared" si="22"/>
        <v>0.3</v>
      </c>
      <c r="K222" s="129">
        <f t="shared" si="22"/>
        <v>0.3</v>
      </c>
      <c r="L222" s="129">
        <f t="shared" si="22"/>
        <v>0.3</v>
      </c>
      <c r="M222" s="129">
        <f t="shared" si="22"/>
        <v>0.3</v>
      </c>
      <c r="N222" s="129">
        <f t="shared" si="22"/>
        <v>0.3</v>
      </c>
      <c r="O222" s="129">
        <f t="shared" si="22"/>
        <v>0.3</v>
      </c>
      <c r="P222" s="129">
        <f t="shared" si="22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21"/>
        <v>0</v>
      </c>
      <c r="C223" s="117">
        <v>0.4</v>
      </c>
      <c r="D223" s="117">
        <f t="shared" si="22"/>
        <v>0.4</v>
      </c>
      <c r="E223" s="117">
        <f t="shared" si="22"/>
        <v>0.4</v>
      </c>
      <c r="F223" s="117">
        <f t="shared" si="22"/>
        <v>0.4</v>
      </c>
      <c r="G223" s="117">
        <f t="shared" si="22"/>
        <v>0.4</v>
      </c>
      <c r="H223" s="117">
        <f t="shared" si="22"/>
        <v>0.4</v>
      </c>
      <c r="I223" s="117">
        <f t="shared" si="22"/>
        <v>0.4</v>
      </c>
      <c r="J223" s="117">
        <f t="shared" si="22"/>
        <v>0.4</v>
      </c>
      <c r="K223" s="117">
        <f t="shared" si="22"/>
        <v>0.4</v>
      </c>
      <c r="L223" s="117">
        <f t="shared" si="22"/>
        <v>0.4</v>
      </c>
      <c r="M223" s="117">
        <f t="shared" si="22"/>
        <v>0.4</v>
      </c>
      <c r="N223" s="117">
        <f t="shared" si="22"/>
        <v>0.4</v>
      </c>
      <c r="O223" s="117">
        <f t="shared" si="22"/>
        <v>0.4</v>
      </c>
      <c r="P223" s="117">
        <f t="shared" si="22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21"/>
        <v>0</v>
      </c>
      <c r="C224" s="117">
        <v>1.5</v>
      </c>
      <c r="D224" s="117">
        <f t="shared" si="22"/>
        <v>1.5</v>
      </c>
      <c r="E224" s="117">
        <f t="shared" si="22"/>
        <v>1.5</v>
      </c>
      <c r="F224" s="117">
        <f t="shared" si="22"/>
        <v>1.5</v>
      </c>
      <c r="G224" s="117">
        <f t="shared" si="22"/>
        <v>1.5</v>
      </c>
      <c r="H224" s="117">
        <f t="shared" si="22"/>
        <v>1.5</v>
      </c>
      <c r="I224" s="100">
        <f t="shared" ref="I224" ca="1" si="23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22"/>
        <v>1.5</v>
      </c>
      <c r="K224" s="117">
        <f t="shared" ca="1" si="22"/>
        <v>1.5</v>
      </c>
      <c r="L224" s="117">
        <f t="shared" ca="1" si="22"/>
        <v>1.5</v>
      </c>
      <c r="M224" s="117">
        <f t="shared" ca="1" si="22"/>
        <v>1.5</v>
      </c>
      <c r="N224" s="117">
        <f t="shared" ca="1" si="22"/>
        <v>1.5</v>
      </c>
      <c r="O224" s="117">
        <f t="shared" ca="1" si="22"/>
        <v>1.5</v>
      </c>
      <c r="P224" s="117">
        <f t="shared" ca="1" si="22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21"/>
        <v>0</v>
      </c>
      <c r="C225" s="117">
        <v>0.3</v>
      </c>
      <c r="D225" s="117">
        <f t="shared" si="22"/>
        <v>0.3</v>
      </c>
      <c r="E225" s="117">
        <f t="shared" si="22"/>
        <v>0.3</v>
      </c>
      <c r="F225" s="117">
        <f t="shared" si="22"/>
        <v>0.3</v>
      </c>
      <c r="G225" s="117">
        <f t="shared" si="22"/>
        <v>0.3</v>
      </c>
      <c r="H225" s="117">
        <f t="shared" si="22"/>
        <v>0.3</v>
      </c>
      <c r="I225" s="117">
        <f t="shared" si="22"/>
        <v>0.3</v>
      </c>
      <c r="J225" s="117">
        <f t="shared" si="22"/>
        <v>0.3</v>
      </c>
      <c r="K225" s="117">
        <f t="shared" si="22"/>
        <v>0.3</v>
      </c>
      <c r="L225" s="117">
        <f t="shared" si="22"/>
        <v>0.3</v>
      </c>
      <c r="M225" s="117">
        <f t="shared" si="22"/>
        <v>0.3</v>
      </c>
      <c r="N225" s="117">
        <f t="shared" si="22"/>
        <v>0.3</v>
      </c>
      <c r="O225" s="117">
        <f t="shared" si="22"/>
        <v>0.3</v>
      </c>
      <c r="P225" s="117">
        <f t="shared" si="22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21"/>
        <v>0</v>
      </c>
      <c r="C226" s="117">
        <v>0.4</v>
      </c>
      <c r="D226" s="117">
        <f t="shared" si="22"/>
        <v>0.4</v>
      </c>
      <c r="E226" s="117">
        <f t="shared" si="22"/>
        <v>0.4</v>
      </c>
      <c r="F226" s="117">
        <f t="shared" si="22"/>
        <v>0.4</v>
      </c>
      <c r="G226" s="117">
        <f t="shared" si="22"/>
        <v>0.4</v>
      </c>
      <c r="H226" s="117">
        <f t="shared" si="22"/>
        <v>0.4</v>
      </c>
      <c r="I226" s="117">
        <f t="shared" si="22"/>
        <v>0.4</v>
      </c>
      <c r="J226" s="117">
        <f t="shared" si="22"/>
        <v>0.4</v>
      </c>
      <c r="K226" s="117">
        <f t="shared" si="22"/>
        <v>0.4</v>
      </c>
      <c r="L226" s="117">
        <f t="shared" si="22"/>
        <v>0.4</v>
      </c>
      <c r="M226" s="117">
        <f t="shared" si="22"/>
        <v>0.4</v>
      </c>
      <c r="N226" s="117">
        <f t="shared" si="22"/>
        <v>0.4</v>
      </c>
      <c r="O226" s="117">
        <f t="shared" si="22"/>
        <v>0.4</v>
      </c>
      <c r="P226" s="117">
        <f t="shared" si="22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21"/>
        <v>0</v>
      </c>
      <c r="C227" s="121">
        <v>0.64</v>
      </c>
      <c r="D227" s="121">
        <f t="shared" si="22"/>
        <v>0.64</v>
      </c>
      <c r="E227" s="121">
        <f t="shared" si="22"/>
        <v>0.64</v>
      </c>
      <c r="F227" s="121">
        <f t="shared" si="22"/>
        <v>0.64</v>
      </c>
      <c r="G227" s="121">
        <f t="shared" si="22"/>
        <v>0.64</v>
      </c>
      <c r="H227" s="121">
        <f t="shared" si="22"/>
        <v>0.64</v>
      </c>
      <c r="I227" s="121">
        <f t="shared" si="22"/>
        <v>0.64</v>
      </c>
      <c r="J227" s="121">
        <f t="shared" si="22"/>
        <v>0.64</v>
      </c>
      <c r="K227" s="121">
        <f t="shared" si="22"/>
        <v>0.64</v>
      </c>
      <c r="L227" s="121">
        <f t="shared" si="22"/>
        <v>0.64</v>
      </c>
      <c r="M227" s="121">
        <f t="shared" si="22"/>
        <v>0.64</v>
      </c>
      <c r="N227" s="121">
        <f t="shared" si="22"/>
        <v>0.64</v>
      </c>
      <c r="O227" s="121">
        <f t="shared" si="22"/>
        <v>0.64</v>
      </c>
      <c r="P227" s="121">
        <f t="shared" si="22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4">SUM(B222:B227)</f>
        <v>0</v>
      </c>
      <c r="C228" s="125">
        <f t="shared" si="24"/>
        <v>3.54</v>
      </c>
      <c r="D228" s="125">
        <f t="shared" si="24"/>
        <v>3.54</v>
      </c>
      <c r="E228" s="125">
        <f t="shared" si="24"/>
        <v>3.54</v>
      </c>
      <c r="F228" s="125">
        <f t="shared" si="24"/>
        <v>3.54</v>
      </c>
      <c r="G228" s="125">
        <f t="shared" si="24"/>
        <v>3.54</v>
      </c>
      <c r="H228" s="125">
        <f t="shared" si="24"/>
        <v>3.54</v>
      </c>
      <c r="I228" s="125">
        <f t="shared" ca="1" si="24"/>
        <v>3.54</v>
      </c>
      <c r="J228" s="125">
        <f t="shared" ca="1" si="24"/>
        <v>3.54</v>
      </c>
      <c r="K228" s="125">
        <f t="shared" ca="1" si="24"/>
        <v>3.54</v>
      </c>
      <c r="L228" s="125">
        <f t="shared" ca="1" si="24"/>
        <v>3.54</v>
      </c>
      <c r="M228" s="125">
        <f t="shared" ca="1" si="24"/>
        <v>3.54</v>
      </c>
      <c r="N228" s="125">
        <f t="shared" ca="1" si="24"/>
        <v>3.54</v>
      </c>
      <c r="O228" s="125">
        <f t="shared" ca="1" si="24"/>
        <v>3.54</v>
      </c>
      <c r="P228" s="125">
        <f t="shared" ca="1" si="24"/>
        <v>3.54</v>
      </c>
      <c r="Q228" s="125">
        <f t="shared" si="24"/>
        <v>0</v>
      </c>
      <c r="R228" s="125">
        <f t="shared" si="24"/>
        <v>0</v>
      </c>
      <c r="S228" s="125">
        <f t="shared" si="24"/>
        <v>0</v>
      </c>
      <c r="T228" s="125">
        <f t="shared" si="24"/>
        <v>0</v>
      </c>
      <c r="U228" s="125">
        <f t="shared" si="24"/>
        <v>0</v>
      </c>
      <c r="V228" s="125">
        <f t="shared" si="24"/>
        <v>0</v>
      </c>
      <c r="W228" s="125">
        <f t="shared" si="24"/>
        <v>0</v>
      </c>
      <c r="X228" s="125">
        <f t="shared" si="24"/>
        <v>0</v>
      </c>
      <c r="Y228" s="125">
        <f t="shared" si="24"/>
        <v>0</v>
      </c>
      <c r="Z228" s="125">
        <f t="shared" si="24"/>
        <v>0</v>
      </c>
      <c r="AA228" s="125">
        <f t="shared" si="24"/>
        <v>0</v>
      </c>
      <c r="AB228" s="125">
        <f t="shared" si="24"/>
        <v>0</v>
      </c>
      <c r="AC228" s="125">
        <f t="shared" si="24"/>
        <v>0</v>
      </c>
      <c r="AD228" s="125">
        <f t="shared" si="24"/>
        <v>0</v>
      </c>
      <c r="AE228" s="125">
        <f t="shared" si="24"/>
        <v>0</v>
      </c>
      <c r="AF228" s="125">
        <f t="shared" si="24"/>
        <v>0</v>
      </c>
      <c r="AG228" s="134">
        <f t="shared" si="24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1710.3400000000001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14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2079/09/14)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2079/09/14)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5">B85</f>
        <v>988.84000000000015</v>
      </c>
      <c r="U242" s="159">
        <f t="shared" si="25"/>
        <v>1028.6400000000001</v>
      </c>
      <c r="V242" s="159">
        <f t="shared" si="25"/>
        <v>1004.24</v>
      </c>
      <c r="W242" s="159">
        <f t="shared" si="25"/>
        <v>1020.54</v>
      </c>
      <c r="X242" s="159">
        <f t="shared" si="25"/>
        <v>1046.44</v>
      </c>
      <c r="Y242" s="159">
        <f t="shared" si="25"/>
        <v>1105.3400000000001</v>
      </c>
      <c r="Z242" s="159">
        <f t="shared" si="25"/>
        <v>1176.1399999999999</v>
      </c>
      <c r="AA242" s="159">
        <f t="shared" si="25"/>
        <v>1254.6399999999999</v>
      </c>
      <c r="AB242" s="159">
        <f t="shared" si="25"/>
        <v>1349.64</v>
      </c>
      <c r="AC242" s="159">
        <f t="shared" si="25"/>
        <v>1448.7400000000002</v>
      </c>
      <c r="AD242" s="159">
        <f t="shared" si="25"/>
        <v>1660.04</v>
      </c>
      <c r="AE242" s="159">
        <f t="shared" si="25"/>
        <v>1710.3400000000001</v>
      </c>
      <c r="AF242" s="159">
        <f t="shared" si="25"/>
        <v>1631.1399999999999</v>
      </c>
      <c r="AG242" s="159">
        <f t="shared" si="25"/>
        <v>1624.0400000000002</v>
      </c>
      <c r="AH242" s="159">
        <f t="shared" si="25"/>
        <v>1507.2400000000002</v>
      </c>
      <c r="AI242" s="159">
        <f t="shared" si="25"/>
        <v>1495.3400000000001</v>
      </c>
      <c r="AJ242" s="159">
        <f t="shared" si="25"/>
        <v>1377.94</v>
      </c>
      <c r="AK242" s="159">
        <f t="shared" si="25"/>
        <v>1323.04</v>
      </c>
      <c r="AL242" s="159">
        <f t="shared" si="25"/>
        <v>1335.94</v>
      </c>
      <c r="AM242" s="159">
        <f t="shared" si="25"/>
        <v>1335.24</v>
      </c>
      <c r="AN242" s="159">
        <f t="shared" si="25"/>
        <v>1069.24</v>
      </c>
      <c r="AO242" s="159">
        <f t="shared" si="25"/>
        <v>1359.34</v>
      </c>
      <c r="AP242" s="159">
        <f t="shared" si="25"/>
        <v>1630.9400000000003</v>
      </c>
      <c r="AQ242" s="159">
        <f t="shared" si="25"/>
        <v>1643.74</v>
      </c>
      <c r="AR242" s="159">
        <f t="shared" si="25"/>
        <v>1536.24</v>
      </c>
      <c r="AS242" s="159">
        <f t="shared" si="25"/>
        <v>1576.24</v>
      </c>
      <c r="AT242" s="159">
        <f t="shared" si="25"/>
        <v>1495.74</v>
      </c>
      <c r="AU242" s="159">
        <f t="shared" si="25"/>
        <v>1379.94</v>
      </c>
      <c r="AV242" s="159">
        <f t="shared" si="25"/>
        <v>1317.44</v>
      </c>
      <c r="AW242" s="159">
        <f t="shared" si="25"/>
        <v>1208.3399999999999</v>
      </c>
      <c r="AX242" s="159">
        <f t="shared" si="25"/>
        <v>1116.04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6">C227</f>
        <v>0.64</v>
      </c>
      <c r="C263" s="162">
        <f t="shared" si="26"/>
        <v>0.64</v>
      </c>
      <c r="D263" s="162">
        <f t="shared" si="26"/>
        <v>0.64</v>
      </c>
      <c r="E263" s="162">
        <f t="shared" si="26"/>
        <v>0.64</v>
      </c>
      <c r="F263" s="162">
        <f t="shared" si="26"/>
        <v>0.64</v>
      </c>
      <c r="G263" s="162">
        <f t="shared" si="26"/>
        <v>0.64</v>
      </c>
      <c r="H263" s="162">
        <f t="shared" si="26"/>
        <v>0.64</v>
      </c>
      <c r="I263" s="162">
        <f t="shared" si="26"/>
        <v>0.64</v>
      </c>
      <c r="J263" s="162">
        <f t="shared" si="26"/>
        <v>0.64</v>
      </c>
      <c r="K263" s="162">
        <f t="shared" si="26"/>
        <v>0.64</v>
      </c>
      <c r="L263" s="162">
        <f t="shared" si="26"/>
        <v>0.64</v>
      </c>
      <c r="M263" s="162">
        <f t="shared" si="26"/>
        <v>0.64</v>
      </c>
      <c r="N263" s="162">
        <f t="shared" si="26"/>
        <v>0.64</v>
      </c>
      <c r="O263" s="162">
        <f t="shared" si="26"/>
        <v>0.64</v>
      </c>
      <c r="P263" s="162">
        <f t="shared" si="26"/>
        <v>0</v>
      </c>
      <c r="Q263" s="162">
        <f t="shared" si="26"/>
        <v>0</v>
      </c>
      <c r="R263" s="162">
        <f t="shared" si="26"/>
        <v>0</v>
      </c>
      <c r="S263" s="162">
        <f t="shared" si="26"/>
        <v>0</v>
      </c>
      <c r="T263" s="162">
        <f t="shared" si="26"/>
        <v>0</v>
      </c>
      <c r="U263" s="162">
        <f t="shared" si="26"/>
        <v>0</v>
      </c>
      <c r="V263" s="162">
        <f t="shared" si="26"/>
        <v>0</v>
      </c>
      <c r="W263" s="162">
        <f t="shared" si="26"/>
        <v>0</v>
      </c>
      <c r="X263" s="162">
        <f t="shared" si="26"/>
        <v>0</v>
      </c>
      <c r="Y263" s="162">
        <f t="shared" si="26"/>
        <v>0</v>
      </c>
      <c r="Z263" s="162">
        <f t="shared" si="26"/>
        <v>0</v>
      </c>
      <c r="AA263" s="162">
        <f t="shared" si="26"/>
        <v>0</v>
      </c>
      <c r="AB263" s="162">
        <f t="shared" si="26"/>
        <v>0</v>
      </c>
      <c r="AC263" s="162">
        <f t="shared" si="26"/>
        <v>0</v>
      </c>
      <c r="AD263" s="162">
        <f t="shared" si="26"/>
        <v>0</v>
      </c>
      <c r="AE263" s="162">
        <f t="shared" si="26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7">IF(B231&lt;100,"",B231-520)</f>
        <v/>
      </c>
      <c r="C264" s="163" t="str">
        <f t="shared" si="27"/>
        <v/>
      </c>
      <c r="D264" s="163" t="str">
        <f t="shared" si="27"/>
        <v/>
      </c>
      <c r="E264" s="163" t="str">
        <f t="shared" si="27"/>
        <v/>
      </c>
      <c r="F264" s="163" t="str">
        <f t="shared" si="27"/>
        <v/>
      </c>
      <c r="G264" s="163" t="str">
        <f t="shared" si="27"/>
        <v/>
      </c>
      <c r="H264" s="163" t="str">
        <f t="shared" si="27"/>
        <v/>
      </c>
      <c r="I264" s="163" t="str">
        <f t="shared" si="27"/>
        <v/>
      </c>
      <c r="J264" s="163" t="str">
        <f t="shared" si="27"/>
        <v/>
      </c>
      <c r="K264" s="163" t="str">
        <f t="shared" si="27"/>
        <v/>
      </c>
      <c r="L264" s="163" t="str">
        <f t="shared" si="27"/>
        <v/>
      </c>
      <c r="M264" s="163" t="str">
        <f t="shared" si="27"/>
        <v/>
      </c>
      <c r="N264" s="163" t="str">
        <f t="shared" si="27"/>
        <v/>
      </c>
      <c r="O264" s="163" t="str">
        <f t="shared" si="27"/>
        <v/>
      </c>
      <c r="P264" s="163" t="str">
        <f t="shared" si="27"/>
        <v/>
      </c>
      <c r="Q264" s="163" t="str">
        <f t="shared" si="27"/>
        <v/>
      </c>
      <c r="R264" s="163" t="str">
        <f t="shared" si="27"/>
        <v/>
      </c>
      <c r="S264" s="163" t="str">
        <f t="shared" si="27"/>
        <v/>
      </c>
      <c r="T264" s="163" t="str">
        <f t="shared" si="27"/>
        <v/>
      </c>
      <c r="U264" s="163" t="str">
        <f t="shared" si="27"/>
        <v/>
      </c>
      <c r="V264" s="163" t="str">
        <f t="shared" si="27"/>
        <v/>
      </c>
      <c r="W264" s="163" t="str">
        <f t="shared" si="27"/>
        <v/>
      </c>
      <c r="X264" s="163" t="str">
        <f t="shared" si="27"/>
        <v/>
      </c>
      <c r="Y264" s="163" t="str">
        <f t="shared" si="27"/>
        <v/>
      </c>
      <c r="Z264" s="163" t="str">
        <f t="shared" si="27"/>
        <v/>
      </c>
      <c r="AA264" s="163" t="str">
        <f t="shared" si="27"/>
        <v/>
      </c>
      <c r="AB264" s="163" t="str">
        <f t="shared" si="27"/>
        <v/>
      </c>
      <c r="AC264" s="163" t="str">
        <f t="shared" si="27"/>
        <v/>
      </c>
      <c r="AD264" s="163" t="str">
        <f t="shared" si="27"/>
        <v/>
      </c>
      <c r="AE264" s="163" t="str">
        <f t="shared" si="27"/>
        <v/>
      </c>
      <c r="AF264" s="163" t="str">
        <f t="shared" si="27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8">IF(B232&lt;100,"",B232-620)</f>
        <v/>
      </c>
      <c r="C265" s="163" t="str">
        <f t="shared" si="28"/>
        <v/>
      </c>
      <c r="D265" s="163" t="str">
        <f t="shared" si="28"/>
        <v/>
      </c>
      <c r="E265" s="163" t="str">
        <f t="shared" si="28"/>
        <v/>
      </c>
      <c r="F265" s="163" t="str">
        <f t="shared" si="28"/>
        <v/>
      </c>
      <c r="G265" s="163" t="str">
        <f t="shared" si="28"/>
        <v/>
      </c>
      <c r="H265" s="163" t="str">
        <f t="shared" si="28"/>
        <v/>
      </c>
      <c r="I265" s="163" t="str">
        <f t="shared" si="28"/>
        <v/>
      </c>
      <c r="J265" s="163" t="str">
        <f t="shared" si="28"/>
        <v/>
      </c>
      <c r="K265" s="163" t="str">
        <f t="shared" si="28"/>
        <v/>
      </c>
      <c r="L265" s="163" t="str">
        <f t="shared" si="28"/>
        <v/>
      </c>
      <c r="M265" s="163" t="str">
        <f t="shared" si="28"/>
        <v/>
      </c>
      <c r="N265" s="163" t="str">
        <f t="shared" si="28"/>
        <v/>
      </c>
      <c r="O265" s="163" t="str">
        <f t="shared" si="28"/>
        <v/>
      </c>
      <c r="P265" s="163" t="str">
        <f t="shared" si="28"/>
        <v/>
      </c>
      <c r="Q265" s="163" t="str">
        <f t="shared" si="28"/>
        <v/>
      </c>
      <c r="R265" s="163" t="str">
        <f t="shared" si="28"/>
        <v/>
      </c>
      <c r="S265" s="163" t="str">
        <f t="shared" si="28"/>
        <v/>
      </c>
      <c r="T265" s="163" t="str">
        <f t="shared" si="28"/>
        <v/>
      </c>
      <c r="U265" s="163" t="str">
        <f t="shared" si="28"/>
        <v/>
      </c>
      <c r="V265" s="163" t="str">
        <f t="shared" si="28"/>
        <v/>
      </c>
      <c r="W265" s="163" t="str">
        <f t="shared" si="28"/>
        <v/>
      </c>
      <c r="X265" s="163" t="str">
        <f t="shared" si="28"/>
        <v/>
      </c>
      <c r="Y265" s="163" t="str">
        <f t="shared" si="28"/>
        <v/>
      </c>
      <c r="Z265" s="163" t="str">
        <f t="shared" si="28"/>
        <v/>
      </c>
      <c r="AA265" s="163" t="str">
        <f t="shared" si="28"/>
        <v/>
      </c>
      <c r="AB265" s="163" t="str">
        <f t="shared" si="28"/>
        <v/>
      </c>
      <c r="AC265" s="163" t="str">
        <f t="shared" si="28"/>
        <v/>
      </c>
      <c r="AD265" s="163" t="str">
        <f t="shared" si="28"/>
        <v/>
      </c>
      <c r="AE265" s="163" t="str">
        <f t="shared" si="28"/>
        <v/>
      </c>
      <c r="AF265" s="163" t="str">
        <f t="shared" si="28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29">IF(B233&lt;100,"",B233-330)</f>
        <v/>
      </c>
      <c r="C266" s="163" t="str">
        <f t="shared" si="29"/>
        <v/>
      </c>
      <c r="D266" s="163" t="str">
        <f t="shared" si="29"/>
        <v/>
      </c>
      <c r="E266" s="163" t="str">
        <f t="shared" si="29"/>
        <v/>
      </c>
      <c r="F266" s="163" t="str">
        <f t="shared" si="29"/>
        <v/>
      </c>
      <c r="G266" s="163" t="str">
        <f t="shared" si="29"/>
        <v/>
      </c>
      <c r="H266" s="163" t="str">
        <f t="shared" si="29"/>
        <v/>
      </c>
      <c r="I266" s="163" t="str">
        <f t="shared" si="29"/>
        <v/>
      </c>
      <c r="J266" s="163" t="str">
        <f t="shared" si="29"/>
        <v/>
      </c>
      <c r="K266" s="163" t="str">
        <f t="shared" si="29"/>
        <v/>
      </c>
      <c r="L266" s="163" t="str">
        <f t="shared" si="29"/>
        <v/>
      </c>
      <c r="M266" s="163" t="str">
        <f t="shared" si="29"/>
        <v/>
      </c>
      <c r="N266" s="163" t="str">
        <f t="shared" si="29"/>
        <v/>
      </c>
      <c r="O266" s="163" t="str">
        <f t="shared" si="29"/>
        <v/>
      </c>
      <c r="P266" s="163" t="str">
        <f t="shared" si="29"/>
        <v/>
      </c>
      <c r="Q266" s="163" t="str">
        <f t="shared" si="29"/>
        <v/>
      </c>
      <c r="R266" s="163" t="str">
        <f t="shared" si="29"/>
        <v/>
      </c>
      <c r="S266" s="163" t="str">
        <f t="shared" si="29"/>
        <v/>
      </c>
      <c r="T266" s="163" t="str">
        <f t="shared" si="29"/>
        <v/>
      </c>
      <c r="U266" s="163" t="str">
        <f t="shared" si="29"/>
        <v/>
      </c>
      <c r="V266" s="163" t="str">
        <f t="shared" si="29"/>
        <v/>
      </c>
      <c r="W266" s="163" t="str">
        <f t="shared" si="29"/>
        <v/>
      </c>
      <c r="X266" s="163" t="str">
        <f t="shared" si="29"/>
        <v/>
      </c>
      <c r="Y266" s="163" t="str">
        <f t="shared" si="29"/>
        <v/>
      </c>
      <c r="Z266" s="163" t="str">
        <f t="shared" si="29"/>
        <v/>
      </c>
      <c r="AA266" s="163" t="str">
        <f t="shared" si="29"/>
        <v/>
      </c>
      <c r="AB266" s="163" t="str">
        <f t="shared" si="29"/>
        <v/>
      </c>
      <c r="AC266" s="163" t="str">
        <f t="shared" si="29"/>
        <v/>
      </c>
      <c r="AD266" s="163" t="str">
        <f t="shared" si="29"/>
        <v/>
      </c>
      <c r="AE266" s="163" t="str">
        <f t="shared" si="29"/>
        <v/>
      </c>
      <c r="AF266" s="163" t="str">
        <f t="shared" si="29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0">IF(B234&lt;100,"",B234-1500)</f>
        <v/>
      </c>
      <c r="C267" s="163" t="str">
        <f t="shared" si="30"/>
        <v/>
      </c>
      <c r="D267" s="163" t="str">
        <f t="shared" si="30"/>
        <v/>
      </c>
      <c r="E267" s="163" t="str">
        <f t="shared" si="30"/>
        <v/>
      </c>
      <c r="F267" s="163" t="str">
        <f t="shared" si="30"/>
        <v/>
      </c>
      <c r="G267" s="163" t="str">
        <f t="shared" si="30"/>
        <v/>
      </c>
      <c r="H267" s="163" t="str">
        <f t="shared" si="30"/>
        <v/>
      </c>
      <c r="I267" s="163" t="str">
        <f t="shared" si="30"/>
        <v/>
      </c>
      <c r="J267" s="163" t="str">
        <f t="shared" si="30"/>
        <v/>
      </c>
      <c r="K267" s="163" t="str">
        <f t="shared" si="30"/>
        <v/>
      </c>
      <c r="L267" s="163" t="str">
        <f t="shared" si="30"/>
        <v/>
      </c>
      <c r="M267" s="163" t="str">
        <f t="shared" si="30"/>
        <v/>
      </c>
      <c r="N267" s="163" t="str">
        <f t="shared" si="30"/>
        <v/>
      </c>
      <c r="O267" s="163" t="str">
        <f t="shared" si="30"/>
        <v/>
      </c>
      <c r="P267" s="163" t="str">
        <f t="shared" si="30"/>
        <v/>
      </c>
      <c r="Q267" s="163" t="str">
        <f t="shared" si="30"/>
        <v/>
      </c>
      <c r="R267" s="163" t="str">
        <f t="shared" si="30"/>
        <v/>
      </c>
      <c r="S267" s="163" t="str">
        <f t="shared" si="30"/>
        <v/>
      </c>
      <c r="T267" s="163" t="str">
        <f t="shared" si="30"/>
        <v/>
      </c>
      <c r="U267" s="163" t="str">
        <f t="shared" si="30"/>
        <v/>
      </c>
      <c r="V267" s="163" t="str">
        <f t="shared" si="30"/>
        <v/>
      </c>
      <c r="W267" s="163" t="str">
        <f t="shared" si="30"/>
        <v/>
      </c>
      <c r="X267" s="163" t="str">
        <f t="shared" si="30"/>
        <v/>
      </c>
      <c r="Y267" s="163" t="str">
        <f t="shared" si="30"/>
        <v/>
      </c>
      <c r="Z267" s="163" t="str">
        <f t="shared" si="30"/>
        <v/>
      </c>
      <c r="AA267" s="163" t="str">
        <f t="shared" si="30"/>
        <v/>
      </c>
      <c r="AB267" s="163" t="str">
        <f t="shared" si="30"/>
        <v/>
      </c>
      <c r="AC267" s="163" t="str">
        <f t="shared" si="30"/>
        <v/>
      </c>
      <c r="AD267" s="163" t="str">
        <f t="shared" si="30"/>
        <v/>
      </c>
      <c r="AE267" s="163" t="str">
        <f t="shared" si="30"/>
        <v/>
      </c>
      <c r="AF267" s="163" t="str">
        <f t="shared" si="30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29">
    <cfRule type="expression" dxfId="231" priority="120">
      <formula>$AH11=0</formula>
    </cfRule>
  </conditionalFormatting>
  <conditionalFormatting sqref="B8 M8 S8 AB8">
    <cfRule type="expression" dxfId="230" priority="241">
      <formula>AND(C$9&gt;=14/24,C$9&lt;20/24)</formula>
    </cfRule>
    <cfRule type="expression" dxfId="229" priority="242">
      <formula>AND(C$9&gt;=8/24,C$9&lt;14/24)</formula>
    </cfRule>
    <cfRule type="expression" dxfId="228" priority="243">
      <formula>C$9&lt;8/24</formula>
    </cfRule>
  </conditionalFormatting>
  <conditionalFormatting sqref="B9:AF11">
    <cfRule type="expression" dxfId="223" priority="22">
      <formula>B$9&gt;=20/24</formula>
    </cfRule>
    <cfRule type="expression" dxfId="222" priority="23">
      <formula>AND(B$9&gt;=14/24,B$9&lt;20/24)</formula>
    </cfRule>
    <cfRule type="expression" dxfId="221" priority="24">
      <formula>AND(B$9&gt;=8/24,B$9&lt;14/24)</formula>
    </cfRule>
    <cfRule type="expression" dxfId="220" priority="25">
      <formula>B$9&lt;8/24</formula>
    </cfRule>
  </conditionalFormatting>
  <conditionalFormatting sqref="B11:AF66">
    <cfRule type="expression" dxfId="219" priority="21">
      <formula>B11&gt;$AG11</formula>
    </cfRule>
  </conditionalFormatting>
  <conditionalFormatting sqref="B12:AF14">
    <cfRule type="expression" dxfId="218" priority="19">
      <formula>AND(B$9&gt;=8/24,B$9&lt;14/24)</formula>
    </cfRule>
    <cfRule type="expression" dxfId="217" priority="17">
      <formula>B$9&gt;=20/24</formula>
    </cfRule>
    <cfRule type="expression" dxfId="216" priority="18">
      <formula>AND(B$9&gt;=14/24,B$9&lt;20/24)</formula>
    </cfRule>
    <cfRule type="expression" dxfId="215" priority="20">
      <formula>B$9&lt;8/24</formula>
    </cfRule>
  </conditionalFormatting>
  <conditionalFormatting sqref="B15:AF40">
    <cfRule type="expression" dxfId="214" priority="111">
      <formula>B$9&lt;8/24</formula>
    </cfRule>
    <cfRule type="expression" dxfId="213" priority="110">
      <formula>AND(B$9&gt;=8/24,B$9&lt;14/24)</formula>
    </cfRule>
    <cfRule type="expression" dxfId="212" priority="109">
      <formula>AND(B$9&gt;=14/24,B$9&lt;20/24)</formula>
    </cfRule>
    <cfRule type="expression" dxfId="211" priority="108">
      <formula>B$9&gt;=20/24</formula>
    </cfRule>
  </conditionalFormatting>
  <conditionalFormatting sqref="B41:AF41">
    <cfRule type="expression" dxfId="210" priority="16">
      <formula>B$9&lt;8/24</formula>
    </cfRule>
    <cfRule type="expression" dxfId="209" priority="14">
      <formula>AND(B$9&gt;=14/24,B$9&lt;20/24)</formula>
    </cfRule>
    <cfRule type="expression" dxfId="208" priority="15">
      <formula>AND(B$9&gt;=8/24,B$9&lt;14/24)</formula>
    </cfRule>
    <cfRule type="expression" dxfId="207" priority="13">
      <formula>B$9&gt;=20/24</formula>
    </cfRule>
  </conditionalFormatting>
  <conditionalFormatting sqref="B42:AF43">
    <cfRule type="expression" dxfId="206" priority="72">
      <formula>B$9&gt;=20/24</formula>
    </cfRule>
    <cfRule type="expression" dxfId="205" priority="73">
      <formula>AND(B$9&gt;=14/24,B$9&lt;20/24)</formula>
    </cfRule>
    <cfRule type="expression" dxfId="204" priority="74">
      <formula>AND(B$9&gt;=8/24,B$9&lt;14/24)</formula>
    </cfRule>
    <cfRule type="expression" dxfId="203" priority="75">
      <formula>B$9&lt;8/24</formula>
    </cfRule>
  </conditionalFormatting>
  <conditionalFormatting sqref="B45:AF51">
    <cfRule type="expression" dxfId="202" priority="52">
      <formula>B$9&lt;8/24</formula>
    </cfRule>
    <cfRule type="expression" dxfId="201" priority="51">
      <formula>AND(B$9&gt;=8/24,B$9&lt;14/24)</formula>
    </cfRule>
    <cfRule type="expression" dxfId="200" priority="49">
      <formula>B$9&gt;=20/24</formula>
    </cfRule>
    <cfRule type="expression" dxfId="199" priority="50">
      <formula>AND(B$9&gt;=14/24,B$9&lt;20/24)</formula>
    </cfRule>
  </conditionalFormatting>
  <conditionalFormatting sqref="B54:AF60">
    <cfRule type="expression" dxfId="198" priority="31">
      <formula>B$9&lt;8/24</formula>
    </cfRule>
    <cfRule type="expression" dxfId="197" priority="28">
      <formula>B$9&gt;=20/24</formula>
    </cfRule>
    <cfRule type="expression" dxfId="196" priority="29">
      <formula>AND(B$9&gt;=14/24,B$9&lt;20/24)</formula>
    </cfRule>
    <cfRule type="expression" dxfId="195" priority="30">
      <formula>AND(B$9&gt;=8/24,B$9&lt;14/24)</formula>
    </cfRule>
  </conditionalFormatting>
  <conditionalFormatting sqref="B63:AF72">
    <cfRule type="expression" dxfId="194" priority="70">
      <formula>B$9&lt;8/24</formula>
    </cfRule>
    <cfRule type="expression" dxfId="193" priority="69">
      <formula>AND(B$9&gt;=8/24,B$9&lt;14/24)</formula>
    </cfRule>
    <cfRule type="expression" dxfId="192" priority="68">
      <formula>AND(B$9&gt;=14/24,B$9&lt;20/24)</formula>
    </cfRule>
    <cfRule type="expression" dxfId="191" priority="67">
      <formula>B$9&gt;=20/24</formula>
    </cfRule>
  </conditionalFormatting>
  <conditionalFormatting sqref="B73:AF85">
    <cfRule type="expression" dxfId="190" priority="12">
      <formula>B$9&lt;8/24</formula>
    </cfRule>
    <cfRule type="expression" dxfId="189" priority="11">
      <formula>AND(B$9&gt;=8/24,B$9&lt;14/24)</formula>
    </cfRule>
    <cfRule type="expression" dxfId="188" priority="10">
      <formula>AND(B$9&gt;=14/24,B$9&lt;20/24)</formula>
    </cfRule>
    <cfRule type="expression" dxfId="187" priority="9">
      <formula>B$9&gt;=20/24</formula>
    </cfRule>
  </conditionalFormatting>
  <conditionalFormatting sqref="B87:AF103">
    <cfRule type="expression" dxfId="182" priority="44">
      <formula>B$9&gt;=20/24</formula>
    </cfRule>
    <cfRule type="expression" dxfId="181" priority="45">
      <formula>AND(B$9&gt;=14/24,B$9&lt;20/24)</formula>
    </cfRule>
    <cfRule type="expression" dxfId="180" priority="47">
      <formula>B$9&lt;8/24</formula>
    </cfRule>
    <cfRule type="expression" dxfId="179" priority="46">
      <formula>AND(B$9&gt;=8/24,B$9&lt;14/24)</formula>
    </cfRule>
  </conditionalFormatting>
  <conditionalFormatting sqref="B105:AF112">
    <cfRule type="expression" dxfId="178" priority="32">
      <formula>B$9&gt;=20/24</formula>
    </cfRule>
    <cfRule type="expression" dxfId="177" priority="33">
      <formula>AND(B$9&gt;=14/24,B$9&lt;20/24)</formula>
    </cfRule>
    <cfRule type="expression" dxfId="176" priority="35">
      <formula>B$9&lt;8/24</formula>
    </cfRule>
    <cfRule type="expression" dxfId="175" priority="34">
      <formula>AND(B$9&gt;=8/24,B$9&lt;14/24)</formula>
    </cfRule>
  </conditionalFormatting>
  <conditionalFormatting sqref="B220:AF220 D222:AF223 B222:B228 D224:H224 J224:AF224 D225:AF228 U241:AF241">
    <cfRule type="expression" dxfId="174" priority="237">
      <formula>B$9&lt;8/24</formula>
    </cfRule>
    <cfRule type="expression" dxfId="173" priority="236">
      <formula>AND(B$9&gt;=8/24,B$9&lt;14/24)</formula>
    </cfRule>
    <cfRule type="expression" dxfId="172" priority="235">
      <formula>AND(B$9&gt;=14/24,B$9&lt;20/24)</formula>
    </cfRule>
    <cfRule type="expression" dxfId="171" priority="234">
      <formula>B$9&gt;=20/24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66" priority="240">
      <formula>C$9&gt;=20/24</formula>
    </cfRule>
  </conditionalFormatting>
  <conditionalFormatting sqref="S8">
    <cfRule type="expression" dxfId="165" priority="216">
      <formula>U$9&lt;8/24</formula>
    </cfRule>
    <cfRule type="expression" dxfId="164" priority="215">
      <formula>AND(U$9&gt;=8/24,U$9&lt;14/24)</formula>
    </cfRule>
    <cfRule type="expression" dxfId="163" priority="214">
      <formula>AND(U$9&gt;=14/24,U$9&lt;20/24)</formula>
    </cfRule>
    <cfRule type="expression" dxfId="162" priority="213">
      <formula>U$9&gt;=20/24</formula>
    </cfRule>
  </conditionalFormatting>
  <conditionalFormatting sqref="T241">
    <cfRule type="expression" dxfId="161" priority="253">
      <formula>AX$9&gt;=20/24</formula>
    </cfRule>
    <cfRule type="expression" dxfId="160" priority="254">
      <formula>AND(AX$9&gt;=14/24,AX$9&lt;20/24)</formula>
    </cfRule>
    <cfRule type="expression" dxfId="159" priority="255">
      <formula>AND(AX$9&gt;=8/24,AX$9&lt;14/24)</formula>
    </cfRule>
    <cfRule type="expression" dxfId="158" priority="256">
      <formula>AX$9&lt;8/24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57" priority="212">
      <formula>AD$9&lt;8/24</formula>
    </cfRule>
    <cfRule type="expression" dxfId="156" priority="209">
      <formula>AD$9&gt;=20/24</formula>
    </cfRule>
    <cfRule type="expression" dxfId="155" priority="210">
      <formula>AND(AD$9&gt;=14/24,AD$9&lt;20/24)</formula>
    </cfRule>
    <cfRule type="expression" dxfId="154" priority="211">
      <formula>AND(AD$9&gt;=8/24,AD$9&lt;14/24)</formula>
    </cfRule>
  </conditionalFormatting>
  <conditionalFormatting sqref="AB52:AF53">
    <cfRule type="expression" dxfId="153" priority="206">
      <formula>AND(AB$9&gt;=8/24,AB$9&lt;14/24)</formula>
    </cfRule>
    <cfRule type="expression" dxfId="152" priority="207">
      <formula>AB$9&lt;8/24</formula>
    </cfRule>
    <cfRule type="expression" dxfId="151" priority="204">
      <formula>AB$9&gt;=20/24</formula>
    </cfRule>
    <cfRule type="expression" dxfId="150" priority="205">
      <formula>AND(AB$9&gt;=14/24,AB$9&lt;20/24)</formula>
    </cfRule>
  </conditionalFormatting>
  <conditionalFormatting sqref="AG44 AG61:AG62 AG66">
    <cfRule type="expression" dxfId="149" priority="166">
      <formula>AG44&gt;$AG44</formula>
    </cfRule>
  </conditionalFormatting>
  <conditionalFormatting sqref="AG48">
    <cfRule type="expression" dxfId="148" priority="146">
      <formula>AG48&gt;$AG48</formula>
    </cfRule>
    <cfRule type="expression" dxfId="147" priority="147">
      <formula>AG$9&gt;=20/24</formula>
    </cfRule>
    <cfRule type="expression" dxfId="146" priority="148">
      <formula>AND(AG$9&gt;=14/24,AG$9&lt;20/24)</formula>
    </cfRule>
    <cfRule type="expression" dxfId="145" priority="150">
      <formula>AG$9&lt;8/24</formula>
    </cfRule>
    <cfRule type="expression" dxfId="144" priority="149">
      <formula>AND(AG$9&gt;=8/24,AG$9&lt;14/24)</formula>
    </cfRule>
  </conditionalFormatting>
  <conditionalFormatting sqref="AG66 AG83">
    <cfRule type="expression" dxfId="143" priority="170">
      <formula>AG$9&lt;8/24</formula>
    </cfRule>
    <cfRule type="expression" dxfId="142" priority="168">
      <formula>AND(AG$9&gt;=14/24,AG$9&lt;20/24)</formula>
    </cfRule>
    <cfRule type="expression" dxfId="141" priority="167">
      <formula>AG$9&gt;=20/24</formula>
    </cfRule>
    <cfRule type="expression" dxfId="140" priority="169">
      <formula>AND(AG$9&gt;=8/24,AG$9&lt;14/24)</formula>
    </cfRule>
  </conditionalFormatting>
  <conditionalFormatting sqref="AG241">
    <cfRule type="expression" dxfId="139" priority="245">
      <formula>B$9&gt;=20/24</formula>
    </cfRule>
    <cfRule type="expression" dxfId="138" priority="246">
      <formula>AND(B$9&gt;=14/24,B$9&lt;20/24)</formula>
    </cfRule>
    <cfRule type="expression" dxfId="137" priority="247">
      <formula>AND(B$9&gt;=8/24,B$9&lt;14/24)</formula>
    </cfRule>
    <cfRule type="expression" dxfId="136" priority="248">
      <formula>B$9&lt;8/24</formula>
    </cfRule>
  </conditionalFormatting>
  <conditionalFormatting sqref="AH241:AX241">
    <cfRule type="expression" dxfId="135" priority="252">
      <formula>AG$9&lt;8/24</formula>
    </cfRule>
    <cfRule type="expression" dxfId="134" priority="250">
      <formula>AND(AG$9&gt;=14/24,AG$9&lt;20/24)</formula>
    </cfRule>
    <cfRule type="expression" dxfId="133" priority="251">
      <formula>AND(AG$9&gt;=8/24,AG$9&lt;14/24)</formula>
    </cfRule>
    <cfRule type="expression" dxfId="132" priority="249">
      <formula>AG$9&gt;=20/24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131" priority="261">
      <formula>AJ$9&lt;8/24</formula>
    </cfRule>
    <cfRule type="expression" dxfId="130" priority="260">
      <formula>AND(AJ$9&gt;=8/24,AJ$9&lt;14/24)</formula>
    </cfRule>
    <cfRule type="expression" dxfId="129" priority="258">
      <formula>AJ$9&gt;=20/24</formula>
    </cfRule>
    <cfRule type="expression" dxfId="128" priority="259">
      <formula>AND(AJ$9&gt;=14/24,AJ$9&lt;20/24)</formula>
    </cfRule>
  </conditionalFormatting>
  <conditionalFormatting sqref="AL74:AN74 AL80:AN80">
    <cfRule type="expression" dxfId="127" priority="6">
      <formula>AND(AL$9&gt;=14/24,AL$9&lt;20/24)</formula>
    </cfRule>
    <cfRule type="expression" dxfId="126" priority="5">
      <formula>AL$9&gt;=20/24</formula>
    </cfRule>
    <cfRule type="expression" dxfId="125" priority="8">
      <formula>AL$9&lt;8/24</formula>
    </cfRule>
    <cfRule type="expression" dxfId="124" priority="7">
      <formula>AND(AL$9&gt;=8/24,AL$9&lt;14/24)</formula>
    </cfRule>
  </conditionalFormatting>
  <conditionalFormatting sqref="AN75:AN78">
    <cfRule type="expression" dxfId="123" priority="4">
      <formula>AN$9&lt;8/24</formula>
    </cfRule>
    <cfRule type="expression" dxfId="122" priority="3">
      <formula>AND(AN$9&gt;=8/24,AN$9&lt;14/24)</formula>
    </cfRule>
    <cfRule type="expression" dxfId="121" priority="2">
      <formula>AND(AN$9&gt;=14/24,AN$9&lt;20/24)</formula>
    </cfRule>
    <cfRule type="expression" dxfId="120" priority="1">
      <formula>AN$9&gt;=20/24</formula>
    </cfRule>
  </conditionalFormatting>
  <pageMargins left="0.7" right="0.7" top="0.75" bottom="0.89" header="0.3" footer="0.3"/>
  <pageSetup paperSize="9" scale="32" fitToHeight="0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" id="{41A93925-1EE2-4EEC-B015-5431E680300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" id="{A8A3FC84-29C5-40F7-B873-E2DCCAE0B4F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7" id="{C0CD8B45-9E55-4264-9085-9F39B2A0D45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6" id="{0D8EBA57-7FF5-40DA-9F7C-119E6A12517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0" id="{87FCF2F9-9C01-4ABA-838F-5112F773398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7DD6B6B2-897A-4B29-8184-B1F9C518C87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0BF894ED-26BE-4325-938E-A9BEAFCAA4C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4FB42E1C-FF9B-4646-B515-1B9691C1927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5" id="{C566D2B2-1F31-4C83-B0BB-72E2791A87D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4" id="{62B37458-BEE3-466D-BA89-E6E198D85FA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6" id="{D3439F1E-7B92-47A8-AB38-3B9190D8E67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554F56B5-678B-485B-B53C-542C1BF84EF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J274"/>
  <sheetViews>
    <sheetView topLeftCell="R58" zoomScale="110" zoomScaleNormal="110" workbookViewId="0">
      <selection activeCell="AK73" sqref="AK73:AN8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2079/09/15</v>
      </c>
      <c r="C4" s="197"/>
      <c r="D4" s="197"/>
      <c r="E4" s="198" t="str">
        <f ca="1">"2079/"&amp;"09/"&amp;INT(MID(CELL("filename",G6),FIND("]",CELL("filename",G6))+1,200))</f>
        <v>2079/09/15</v>
      </c>
      <c r="F4" s="198"/>
      <c r="G4" s="198"/>
      <c r="H4" s="198" t="str">
        <f ca="1">TEXT(E4,"dddd")</f>
        <v>Friday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311</v>
      </c>
      <c r="C5" s="30">
        <f t="shared" si="0"/>
        <v>305.10000000000002</v>
      </c>
      <c r="D5" s="30">
        <f t="shared" si="0"/>
        <v>331.8</v>
      </c>
      <c r="E5" s="30">
        <f t="shared" si="0"/>
        <v>305</v>
      </c>
      <c r="F5" s="30">
        <f t="shared" si="0"/>
        <v>276</v>
      </c>
      <c r="G5" s="30">
        <f t="shared" si="0"/>
        <v>332</v>
      </c>
      <c r="H5" s="30">
        <f t="shared" si="0"/>
        <v>360.7</v>
      </c>
      <c r="I5" s="30">
        <f t="shared" si="0"/>
        <v>372</v>
      </c>
      <c r="J5" s="30">
        <f t="shared" si="0"/>
        <v>355</v>
      </c>
      <c r="K5" s="30">
        <f t="shared" si="0"/>
        <v>129</v>
      </c>
      <c r="L5" s="30">
        <f t="shared" si="0"/>
        <v>127.8</v>
      </c>
      <c r="M5" s="30">
        <f t="shared" si="0"/>
        <v>127.2</v>
      </c>
      <c r="N5" s="30">
        <f t="shared" si="0"/>
        <v>184.3</v>
      </c>
      <c r="O5" s="30">
        <f t="shared" si="0"/>
        <v>208.6</v>
      </c>
      <c r="P5" s="30">
        <f t="shared" si="0"/>
        <v>386.3</v>
      </c>
      <c r="Q5" s="30">
        <f t="shared" si="0"/>
        <v>406.5</v>
      </c>
      <c r="R5" s="30">
        <f t="shared" si="0"/>
        <v>409.3</v>
      </c>
      <c r="S5" s="30">
        <f t="shared" si="0"/>
        <v>397</v>
      </c>
      <c r="T5" s="30">
        <f t="shared" si="0"/>
        <v>389.2</v>
      </c>
      <c r="U5" s="30">
        <f t="shared" si="0"/>
        <v>309.3</v>
      </c>
      <c r="V5" s="30">
        <f t="shared" si="0"/>
        <v>239</v>
      </c>
      <c r="W5" s="30">
        <f t="shared" si="0"/>
        <v>151.6</v>
      </c>
      <c r="X5" s="30">
        <f t="shared" si="0"/>
        <v>167.7</v>
      </c>
      <c r="Y5" s="30">
        <f t="shared" si="0"/>
        <v>152.1</v>
      </c>
      <c r="Z5" s="30">
        <f t="shared" si="0"/>
        <v>148.69999999999999</v>
      </c>
      <c r="AA5" s="30">
        <f t="shared" si="0"/>
        <v>244.5</v>
      </c>
      <c r="AB5" s="30">
        <f t="shared" si="0"/>
        <v>283</v>
      </c>
      <c r="AC5" s="30">
        <f t="shared" si="0"/>
        <v>278</v>
      </c>
      <c r="AD5" s="30">
        <f t="shared" si="0"/>
        <v>360</v>
      </c>
      <c r="AE5" s="30">
        <f t="shared" si="0"/>
        <v>364</v>
      </c>
      <c r="AF5" s="30">
        <f>B78</f>
        <v>344.6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1619MW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Load=1020</v>
      </c>
      <c r="B7" s="35">
        <f t="shared" ref="B7:AF7" si="1">B85</f>
        <v>1062.44</v>
      </c>
      <c r="C7" s="35">
        <f t="shared" si="1"/>
        <v>1023.5400000000001</v>
      </c>
      <c r="D7" s="35">
        <f t="shared" si="1"/>
        <v>1019.5400000000001</v>
      </c>
      <c r="E7" s="35">
        <f t="shared" si="1"/>
        <v>1049.24</v>
      </c>
      <c r="F7" s="35">
        <f t="shared" si="1"/>
        <v>1022.6399999999999</v>
      </c>
      <c r="G7" s="35">
        <f t="shared" si="1"/>
        <v>1045.1399999999999</v>
      </c>
      <c r="H7" s="35">
        <f t="shared" si="1"/>
        <v>1171.3399999999999</v>
      </c>
      <c r="I7" s="35">
        <f t="shared" si="1"/>
        <v>1245.24</v>
      </c>
      <c r="J7" s="35">
        <f t="shared" si="1"/>
        <v>1371.24</v>
      </c>
      <c r="K7" s="35">
        <f t="shared" si="1"/>
        <v>1430.94</v>
      </c>
      <c r="L7" s="35">
        <f t="shared" si="1"/>
        <v>1524.04</v>
      </c>
      <c r="M7" s="35">
        <f t="shared" si="1"/>
        <v>1619.24</v>
      </c>
      <c r="N7" s="35">
        <f>N85</f>
        <v>1613.64</v>
      </c>
      <c r="O7" s="35">
        <f t="shared" si="1"/>
        <v>1603.54</v>
      </c>
      <c r="P7" s="35">
        <f t="shared" si="1"/>
        <v>1397.34</v>
      </c>
      <c r="Q7" s="35">
        <f t="shared" si="1"/>
        <v>1392.44</v>
      </c>
      <c r="R7" s="35">
        <f t="shared" si="1"/>
        <v>1126.5</v>
      </c>
      <c r="S7" s="35">
        <f t="shared" si="1"/>
        <v>1354.74</v>
      </c>
      <c r="T7" s="35">
        <f t="shared" si="1"/>
        <v>1342.1399999999999</v>
      </c>
      <c r="U7" s="35">
        <f t="shared" si="1"/>
        <v>1370.64</v>
      </c>
      <c r="V7" s="35">
        <f t="shared" si="1"/>
        <v>1385.24</v>
      </c>
      <c r="W7" s="35">
        <f t="shared" si="1"/>
        <v>1461.24</v>
      </c>
      <c r="X7" s="35">
        <f t="shared" si="1"/>
        <v>1704.6399999999999</v>
      </c>
      <c r="Y7" s="35">
        <f t="shared" si="1"/>
        <v>1558.8400000000001</v>
      </c>
      <c r="Z7" s="35">
        <f t="shared" si="1"/>
        <v>1555.1399999999999</v>
      </c>
      <c r="AA7" s="35">
        <f t="shared" si="1"/>
        <v>1546.34</v>
      </c>
      <c r="AB7" s="35">
        <f t="shared" si="1"/>
        <v>1557.3400000000001</v>
      </c>
      <c r="AC7" s="35">
        <f t="shared" si="1"/>
        <v>1397.1399999999999</v>
      </c>
      <c r="AD7" s="35">
        <f t="shared" si="1"/>
        <v>1338.04</v>
      </c>
      <c r="AE7" s="35">
        <f t="shared" si="1"/>
        <v>1214.04</v>
      </c>
      <c r="AF7" s="35">
        <f t="shared" si="1"/>
        <v>1109.8399999999999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23.3</v>
      </c>
      <c r="C11" s="45">
        <v>23.3</v>
      </c>
      <c r="D11" s="45">
        <v>23.3</v>
      </c>
      <c r="E11" s="45">
        <v>23.3</v>
      </c>
      <c r="F11" s="45">
        <v>23.3</v>
      </c>
      <c r="G11" s="45">
        <v>23.3</v>
      </c>
      <c r="H11" s="45">
        <v>23.3</v>
      </c>
      <c r="I11" s="45">
        <v>23.3</v>
      </c>
      <c r="J11" s="45">
        <v>23.3</v>
      </c>
      <c r="K11" s="45">
        <v>23.3</v>
      </c>
      <c r="L11" s="45">
        <v>23.3</v>
      </c>
      <c r="M11" s="45">
        <v>23.3</v>
      </c>
      <c r="N11" s="45">
        <v>23.3</v>
      </c>
      <c r="O11" s="45">
        <v>23.3</v>
      </c>
      <c r="P11" s="45">
        <v>23.3</v>
      </c>
      <c r="Q11" s="45">
        <v>23.3</v>
      </c>
      <c r="R11" s="45">
        <v>23.3</v>
      </c>
      <c r="S11" s="45">
        <v>23.3</v>
      </c>
      <c r="T11" s="45">
        <v>23.3</v>
      </c>
      <c r="U11" s="45">
        <v>23.3</v>
      </c>
      <c r="V11" s="45">
        <v>23.3</v>
      </c>
      <c r="W11" s="45">
        <v>23.3</v>
      </c>
      <c r="X11" s="45">
        <v>23.3</v>
      </c>
      <c r="Y11" s="45">
        <v>23.3</v>
      </c>
      <c r="Z11" s="45">
        <v>23.3</v>
      </c>
      <c r="AA11" s="45">
        <v>23.3</v>
      </c>
      <c r="AB11" s="45">
        <v>23.4</v>
      </c>
      <c r="AC11" s="45">
        <v>23.4</v>
      </c>
      <c r="AD11" s="45">
        <v>23.4</v>
      </c>
      <c r="AE11" s="45">
        <v>23.4</v>
      </c>
      <c r="AF11" s="45">
        <v>23.4</v>
      </c>
      <c r="AG11" s="47">
        <v>52.4</v>
      </c>
      <c r="AH11" s="48">
        <f t="shared" ref="AH11:AH74" si="2">MAX(B11:AF11)</f>
        <v>23.4</v>
      </c>
      <c r="AI11" s="49">
        <f t="shared" ref="AI11:AI74" si="3">MIN(B11:AF11)</f>
        <v>23.3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44.7</v>
      </c>
      <c r="C12" s="45">
        <v>44.7</v>
      </c>
      <c r="D12" s="45">
        <v>44.7</v>
      </c>
      <c r="E12" s="45">
        <v>44.7</v>
      </c>
      <c r="F12" s="45">
        <v>44.7</v>
      </c>
      <c r="G12" s="45">
        <v>44.7</v>
      </c>
      <c r="H12" s="45">
        <v>44.7</v>
      </c>
      <c r="I12" s="45">
        <v>44.7</v>
      </c>
      <c r="J12" s="45">
        <v>44.7</v>
      </c>
      <c r="K12" s="45">
        <v>44.7</v>
      </c>
      <c r="L12" s="45">
        <v>44.7</v>
      </c>
      <c r="M12" s="45">
        <v>44.7</v>
      </c>
      <c r="N12" s="45">
        <v>44.7</v>
      </c>
      <c r="O12" s="45">
        <v>44.7</v>
      </c>
      <c r="P12" s="45">
        <v>44.7</v>
      </c>
      <c r="Q12" s="45">
        <v>44.7</v>
      </c>
      <c r="R12" s="45">
        <v>44.7</v>
      </c>
      <c r="S12" s="45">
        <v>44.7</v>
      </c>
      <c r="T12" s="45">
        <v>44.7</v>
      </c>
      <c r="U12" s="45">
        <v>44.7</v>
      </c>
      <c r="V12" s="45">
        <v>44.7</v>
      </c>
      <c r="W12" s="45">
        <v>44.7</v>
      </c>
      <c r="X12" s="45">
        <v>44.7</v>
      </c>
      <c r="Y12" s="45">
        <v>44.7</v>
      </c>
      <c r="Z12" s="45">
        <v>44.7</v>
      </c>
      <c r="AA12" s="45">
        <v>44.7</v>
      </c>
      <c r="AB12" s="45">
        <v>43.8</v>
      </c>
      <c r="AC12" s="45">
        <v>43.8</v>
      </c>
      <c r="AD12" s="45">
        <v>43.8</v>
      </c>
      <c r="AE12" s="45">
        <v>43.8</v>
      </c>
      <c r="AF12" s="45">
        <v>43.8</v>
      </c>
      <c r="AG12" s="51">
        <v>50</v>
      </c>
      <c r="AH12" s="48">
        <f t="shared" si="2"/>
        <v>44.7</v>
      </c>
      <c r="AI12" s="49">
        <f t="shared" si="3"/>
        <v>43.8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22.5</v>
      </c>
      <c r="C13" s="45">
        <v>22.5</v>
      </c>
      <c r="D13" s="45">
        <v>22.5</v>
      </c>
      <c r="E13" s="45">
        <v>22.5</v>
      </c>
      <c r="F13" s="45">
        <v>22.5</v>
      </c>
      <c r="G13" s="45">
        <v>22.5</v>
      </c>
      <c r="H13" s="45">
        <v>22.5</v>
      </c>
      <c r="I13" s="45">
        <v>22.5</v>
      </c>
      <c r="J13" s="45">
        <v>22.5</v>
      </c>
      <c r="K13" s="45">
        <v>22.5</v>
      </c>
      <c r="L13" s="45">
        <v>22.5</v>
      </c>
      <c r="M13" s="45">
        <v>22.5</v>
      </c>
      <c r="N13" s="45">
        <v>22.5</v>
      </c>
      <c r="O13" s="45">
        <v>22.5</v>
      </c>
      <c r="P13" s="45">
        <v>22.5</v>
      </c>
      <c r="Q13" s="45">
        <v>22.5</v>
      </c>
      <c r="R13" s="45">
        <v>22.5</v>
      </c>
      <c r="S13" s="45">
        <v>22.5</v>
      </c>
      <c r="T13" s="45">
        <v>22.5</v>
      </c>
      <c r="U13" s="45">
        <v>22.5</v>
      </c>
      <c r="V13" s="45">
        <v>22.5</v>
      </c>
      <c r="W13" s="45">
        <v>22.5</v>
      </c>
      <c r="X13" s="45">
        <v>22.5</v>
      </c>
      <c r="Y13" s="45">
        <v>22.5</v>
      </c>
      <c r="Z13" s="45">
        <v>22.5</v>
      </c>
      <c r="AA13" s="45">
        <v>22.5</v>
      </c>
      <c r="AB13" s="45">
        <v>22.5</v>
      </c>
      <c r="AC13" s="45">
        <v>22.5</v>
      </c>
      <c r="AD13" s="45">
        <v>22.5</v>
      </c>
      <c r="AE13" s="45">
        <v>22.5</v>
      </c>
      <c r="AF13" s="45">
        <v>22.5</v>
      </c>
      <c r="AG13" s="51">
        <v>45</v>
      </c>
      <c r="AH13" s="48">
        <f t="shared" si="2"/>
        <v>22.5</v>
      </c>
      <c r="AI13" s="49">
        <f t="shared" si="3"/>
        <v>22.5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11.8</v>
      </c>
      <c r="C14" s="45">
        <v>11.8</v>
      </c>
      <c r="D14" s="45">
        <v>11.8</v>
      </c>
      <c r="E14" s="45">
        <v>11.3</v>
      </c>
      <c r="F14" s="45">
        <v>11.3</v>
      </c>
      <c r="G14" s="45">
        <v>11.3</v>
      </c>
      <c r="H14" s="45">
        <v>11.3</v>
      </c>
      <c r="I14" s="45">
        <v>11.3</v>
      </c>
      <c r="J14" s="45">
        <v>11.3</v>
      </c>
      <c r="K14" s="45">
        <v>11.3</v>
      </c>
      <c r="L14" s="45">
        <v>11.3</v>
      </c>
      <c r="M14" s="45">
        <v>11.3</v>
      </c>
      <c r="N14" s="45">
        <v>11.3</v>
      </c>
      <c r="O14" s="45">
        <v>11.3</v>
      </c>
      <c r="P14" s="45">
        <v>11.3</v>
      </c>
      <c r="Q14" s="45">
        <v>11.3</v>
      </c>
      <c r="R14" s="45">
        <v>11.3</v>
      </c>
      <c r="S14" s="45">
        <v>11.3</v>
      </c>
      <c r="T14" s="45">
        <v>11.3</v>
      </c>
      <c r="U14" s="45">
        <v>11.3</v>
      </c>
      <c r="V14" s="45">
        <v>11.3</v>
      </c>
      <c r="W14" s="45">
        <v>11.3</v>
      </c>
      <c r="X14" s="45">
        <v>11.3</v>
      </c>
      <c r="Y14" s="45">
        <v>11.3</v>
      </c>
      <c r="Z14" s="45">
        <v>11.3</v>
      </c>
      <c r="AA14" s="45">
        <v>11.3</v>
      </c>
      <c r="AB14" s="45">
        <v>11.3</v>
      </c>
      <c r="AC14" s="45">
        <v>11.3</v>
      </c>
      <c r="AD14" s="45">
        <v>11.3</v>
      </c>
      <c r="AE14" s="45">
        <v>11.3</v>
      </c>
      <c r="AF14" s="45">
        <v>11.3</v>
      </c>
      <c r="AG14" s="51">
        <v>42</v>
      </c>
      <c r="AH14" s="48">
        <f t="shared" si="2"/>
        <v>11.8</v>
      </c>
      <c r="AI14" s="49">
        <f t="shared" si="3"/>
        <v>11.3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17.3</v>
      </c>
      <c r="C15" s="45">
        <v>17.3</v>
      </c>
      <c r="D15" s="45">
        <v>17.3</v>
      </c>
      <c r="E15" s="45">
        <v>17.3</v>
      </c>
      <c r="F15" s="45">
        <v>17.3</v>
      </c>
      <c r="G15" s="45">
        <v>17.3</v>
      </c>
      <c r="H15" s="45">
        <v>17.3</v>
      </c>
      <c r="I15" s="45">
        <v>17.3</v>
      </c>
      <c r="J15" s="45">
        <v>17.3</v>
      </c>
      <c r="K15" s="45">
        <v>17.3</v>
      </c>
      <c r="L15" s="45">
        <v>17.3</v>
      </c>
      <c r="M15" s="45">
        <v>17.3</v>
      </c>
      <c r="N15" s="45">
        <v>17.3</v>
      </c>
      <c r="O15" s="45">
        <v>17.3</v>
      </c>
      <c r="P15" s="45">
        <v>17.3</v>
      </c>
      <c r="Q15" s="45">
        <v>17.3</v>
      </c>
      <c r="R15" s="45">
        <v>17.3</v>
      </c>
      <c r="S15" s="45">
        <v>17.3</v>
      </c>
      <c r="T15" s="45">
        <v>17.3</v>
      </c>
      <c r="U15" s="45">
        <v>17.3</v>
      </c>
      <c r="V15" s="45">
        <v>17.3</v>
      </c>
      <c r="W15" s="45">
        <v>17.3</v>
      </c>
      <c r="X15" s="45">
        <v>17.3</v>
      </c>
      <c r="Y15" s="45">
        <v>17.3</v>
      </c>
      <c r="Z15" s="45">
        <v>17.3</v>
      </c>
      <c r="AA15" s="45">
        <v>17.3</v>
      </c>
      <c r="AB15" s="45">
        <v>17.3</v>
      </c>
      <c r="AC15" s="45">
        <v>17.3</v>
      </c>
      <c r="AD15" s="45">
        <v>17.3</v>
      </c>
      <c r="AE15" s="45">
        <v>17.3</v>
      </c>
      <c r="AF15" s="45">
        <v>17.3</v>
      </c>
      <c r="AG15" s="51">
        <v>36</v>
      </c>
      <c r="AH15" s="48">
        <f t="shared" si="2"/>
        <v>17.3</v>
      </c>
      <c r="AI15" s="49">
        <f t="shared" si="3"/>
        <v>17.3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11.2</v>
      </c>
      <c r="C16" s="45">
        <v>11.2</v>
      </c>
      <c r="D16" s="45">
        <v>11.2</v>
      </c>
      <c r="E16" s="45">
        <v>10.8</v>
      </c>
      <c r="F16" s="45">
        <v>10.8</v>
      </c>
      <c r="G16" s="45">
        <v>10.8</v>
      </c>
      <c r="H16" s="45">
        <v>10.8</v>
      </c>
      <c r="I16" s="45">
        <v>10.8</v>
      </c>
      <c r="J16" s="45">
        <v>10.8</v>
      </c>
      <c r="K16" s="45">
        <v>10.8</v>
      </c>
      <c r="L16" s="45">
        <v>10.8</v>
      </c>
      <c r="M16" s="45">
        <v>10.8</v>
      </c>
      <c r="N16" s="45">
        <v>10.8</v>
      </c>
      <c r="O16" s="45">
        <v>10.8</v>
      </c>
      <c r="P16" s="45">
        <v>10.8</v>
      </c>
      <c r="Q16" s="45">
        <v>10.8</v>
      </c>
      <c r="R16" s="45">
        <v>10.8</v>
      </c>
      <c r="S16" s="45">
        <v>10.8</v>
      </c>
      <c r="T16" s="45">
        <v>10.8</v>
      </c>
      <c r="U16" s="45">
        <v>10.8</v>
      </c>
      <c r="V16" s="45">
        <v>10.8</v>
      </c>
      <c r="W16" s="45">
        <v>10.8</v>
      </c>
      <c r="X16" s="45">
        <v>10.8</v>
      </c>
      <c r="Y16" s="45">
        <v>10.8</v>
      </c>
      <c r="Z16" s="45">
        <v>10.8</v>
      </c>
      <c r="AA16" s="45">
        <v>10.8</v>
      </c>
      <c r="AB16" s="45">
        <v>10.8</v>
      </c>
      <c r="AC16" s="45">
        <v>10.8</v>
      </c>
      <c r="AD16" s="45">
        <v>10.8</v>
      </c>
      <c r="AE16" s="45">
        <v>10.8</v>
      </c>
      <c r="AF16" s="45">
        <v>10.8</v>
      </c>
      <c r="AG16" s="52">
        <v>30</v>
      </c>
      <c r="AH16" s="48">
        <f t="shared" si="2"/>
        <v>11.2</v>
      </c>
      <c r="AI16" s="49">
        <f t="shared" si="3"/>
        <v>10.8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10.6</v>
      </c>
      <c r="C17" s="45">
        <v>10.6</v>
      </c>
      <c r="D17" s="45">
        <v>10.6</v>
      </c>
      <c r="E17" s="45">
        <v>10.9</v>
      </c>
      <c r="F17" s="45">
        <v>10.9</v>
      </c>
      <c r="G17" s="45">
        <v>10.9</v>
      </c>
      <c r="H17" s="45">
        <v>10.9</v>
      </c>
      <c r="I17" s="45">
        <v>10.9</v>
      </c>
      <c r="J17" s="45">
        <v>10.9</v>
      </c>
      <c r="K17" s="45">
        <v>10.9</v>
      </c>
      <c r="L17" s="45">
        <v>10.9</v>
      </c>
      <c r="M17" s="45">
        <v>10.9</v>
      </c>
      <c r="N17" s="45">
        <v>10.9</v>
      </c>
      <c r="O17" s="45">
        <v>10.9</v>
      </c>
      <c r="P17" s="45">
        <v>10.9</v>
      </c>
      <c r="Q17" s="45">
        <v>10.9</v>
      </c>
      <c r="R17" s="45">
        <v>10.9</v>
      </c>
      <c r="S17" s="45">
        <v>10.9</v>
      </c>
      <c r="T17" s="45">
        <v>10.9</v>
      </c>
      <c r="U17" s="45">
        <v>10.9</v>
      </c>
      <c r="V17" s="45">
        <v>10.9</v>
      </c>
      <c r="W17" s="45">
        <v>10.9</v>
      </c>
      <c r="X17" s="45">
        <v>10.9</v>
      </c>
      <c r="Y17" s="45">
        <v>10.9</v>
      </c>
      <c r="Z17" s="45">
        <v>10.9</v>
      </c>
      <c r="AA17" s="45">
        <v>10.9</v>
      </c>
      <c r="AB17" s="45">
        <v>10.9</v>
      </c>
      <c r="AC17" s="45">
        <v>10.9</v>
      </c>
      <c r="AD17" s="45">
        <v>10.9</v>
      </c>
      <c r="AE17" s="45">
        <v>10.9</v>
      </c>
      <c r="AF17" s="45">
        <v>10.9</v>
      </c>
      <c r="AG17" s="51">
        <v>24.2</v>
      </c>
      <c r="AH17" s="48">
        <f t="shared" si="2"/>
        <v>10.9</v>
      </c>
      <c r="AI17" s="49">
        <f t="shared" si="3"/>
        <v>10.6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12</v>
      </c>
      <c r="C20" s="45">
        <v>12</v>
      </c>
      <c r="D20" s="45">
        <v>12</v>
      </c>
      <c r="E20" s="45">
        <v>12</v>
      </c>
      <c r="F20" s="45">
        <v>12</v>
      </c>
      <c r="G20" s="45">
        <v>12</v>
      </c>
      <c r="H20" s="45">
        <v>12</v>
      </c>
      <c r="I20" s="45">
        <v>12</v>
      </c>
      <c r="J20" s="45">
        <v>12</v>
      </c>
      <c r="K20" s="45">
        <v>12</v>
      </c>
      <c r="L20" s="45">
        <v>12</v>
      </c>
      <c r="M20" s="45">
        <v>12</v>
      </c>
      <c r="N20" s="45">
        <v>12</v>
      </c>
      <c r="O20" s="45">
        <v>12</v>
      </c>
      <c r="P20" s="45">
        <v>12</v>
      </c>
      <c r="Q20" s="45">
        <v>12</v>
      </c>
      <c r="R20" s="45">
        <v>12</v>
      </c>
      <c r="S20" s="45">
        <v>12</v>
      </c>
      <c r="T20" s="45">
        <v>12</v>
      </c>
      <c r="U20" s="45">
        <v>12</v>
      </c>
      <c r="V20" s="45">
        <v>12</v>
      </c>
      <c r="W20" s="45">
        <v>12</v>
      </c>
      <c r="X20" s="45">
        <v>12</v>
      </c>
      <c r="Y20" s="45">
        <v>12</v>
      </c>
      <c r="Z20" s="45">
        <v>12</v>
      </c>
      <c r="AA20" s="45">
        <v>12</v>
      </c>
      <c r="AB20" s="45">
        <v>12</v>
      </c>
      <c r="AC20" s="45">
        <v>12</v>
      </c>
      <c r="AD20" s="45">
        <v>12</v>
      </c>
      <c r="AE20" s="45">
        <v>12</v>
      </c>
      <c r="AF20" s="45">
        <v>12</v>
      </c>
      <c r="AG20" s="51">
        <v>25</v>
      </c>
      <c r="AH20" s="48">
        <f t="shared" si="2"/>
        <v>12</v>
      </c>
      <c r="AI20" s="49">
        <f t="shared" si="3"/>
        <v>12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11.1</v>
      </c>
      <c r="C24" s="45">
        <v>11.1</v>
      </c>
      <c r="D24" s="45">
        <v>11.1</v>
      </c>
      <c r="E24" s="45">
        <v>11.1</v>
      </c>
      <c r="F24" s="45">
        <v>11.1</v>
      </c>
      <c r="G24" s="45">
        <v>11.1</v>
      </c>
      <c r="H24" s="45">
        <v>11.1</v>
      </c>
      <c r="I24" s="45">
        <v>11.1</v>
      </c>
      <c r="J24" s="45">
        <v>11.1</v>
      </c>
      <c r="K24" s="45">
        <v>11.1</v>
      </c>
      <c r="L24" s="45">
        <v>11.1</v>
      </c>
      <c r="M24" s="45">
        <v>11.1</v>
      </c>
      <c r="N24" s="45">
        <v>11.1</v>
      </c>
      <c r="O24" s="45">
        <v>11.1</v>
      </c>
      <c r="P24" s="45">
        <v>11.1</v>
      </c>
      <c r="Q24" s="45">
        <v>11.1</v>
      </c>
      <c r="R24" s="45">
        <v>11.1</v>
      </c>
      <c r="S24" s="45">
        <v>11.1</v>
      </c>
      <c r="T24" s="45">
        <v>11.1</v>
      </c>
      <c r="U24" s="45">
        <v>11.1</v>
      </c>
      <c r="V24" s="45">
        <v>11.1</v>
      </c>
      <c r="W24" s="45">
        <v>11.1</v>
      </c>
      <c r="X24" s="45">
        <v>11.1</v>
      </c>
      <c r="Y24" s="45">
        <v>11.1</v>
      </c>
      <c r="Z24" s="45">
        <v>11.1</v>
      </c>
      <c r="AA24" s="45">
        <v>11.1</v>
      </c>
      <c r="AB24" s="45">
        <v>11.1</v>
      </c>
      <c r="AC24" s="45">
        <v>11.1</v>
      </c>
      <c r="AD24" s="45">
        <v>11.1</v>
      </c>
      <c r="AE24" s="45">
        <v>11.1</v>
      </c>
      <c r="AF24" s="45">
        <v>11.1</v>
      </c>
      <c r="AG24" s="51">
        <v>23.5</v>
      </c>
      <c r="AH24" s="48">
        <f t="shared" si="2"/>
        <v>11.1</v>
      </c>
      <c r="AI24" s="49">
        <f t="shared" si="3"/>
        <v>11.1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1</v>
      </c>
      <c r="T41" s="45">
        <v>1</v>
      </c>
      <c r="U41" s="45">
        <v>1</v>
      </c>
      <c r="V41" s="45">
        <v>1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1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180</v>
      </c>
      <c r="C42" s="57">
        <v>180</v>
      </c>
      <c r="D42" s="57">
        <v>180</v>
      </c>
      <c r="E42" s="57">
        <v>180</v>
      </c>
      <c r="F42" s="57">
        <v>180</v>
      </c>
      <c r="G42" s="57">
        <v>180</v>
      </c>
      <c r="H42" s="57">
        <v>180</v>
      </c>
      <c r="I42" s="57">
        <v>180</v>
      </c>
      <c r="J42" s="57">
        <v>180</v>
      </c>
      <c r="K42" s="57">
        <v>180</v>
      </c>
      <c r="L42" s="57">
        <v>180</v>
      </c>
      <c r="M42" s="57">
        <v>180</v>
      </c>
      <c r="N42" s="57">
        <v>180</v>
      </c>
      <c r="O42" s="57">
        <v>180</v>
      </c>
      <c r="P42" s="57">
        <v>180</v>
      </c>
      <c r="Q42" s="57">
        <v>180</v>
      </c>
      <c r="R42" s="57">
        <v>180</v>
      </c>
      <c r="S42" s="57">
        <v>180</v>
      </c>
      <c r="T42" s="57">
        <v>180</v>
      </c>
      <c r="U42" s="57">
        <v>180</v>
      </c>
      <c r="V42" s="57">
        <v>180</v>
      </c>
      <c r="W42" s="57">
        <v>180</v>
      </c>
      <c r="X42" s="57">
        <v>180</v>
      </c>
      <c r="Y42" s="57">
        <v>180</v>
      </c>
      <c r="Z42" s="57">
        <v>180</v>
      </c>
      <c r="AA42" s="57">
        <v>180</v>
      </c>
      <c r="AB42" s="57">
        <v>180</v>
      </c>
      <c r="AC42" s="57">
        <v>180</v>
      </c>
      <c r="AD42" s="57">
        <v>180</v>
      </c>
      <c r="AE42" s="57">
        <v>180</v>
      </c>
      <c r="AF42" s="57">
        <v>180</v>
      </c>
      <c r="AG42" s="55">
        <v>85</v>
      </c>
      <c r="AH42" s="48">
        <f t="shared" si="2"/>
        <v>180</v>
      </c>
      <c r="AI42" s="49">
        <f t="shared" si="3"/>
        <v>180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f t="shared" ref="B44" si="4">SUM(B11:B42)</f>
        <v>520.70000000000005</v>
      </c>
      <c r="C44" s="61">
        <f t="shared" ref="C44:AG44" si="5">SUM(C11:C42)</f>
        <v>520.70000000000005</v>
      </c>
      <c r="D44" s="61">
        <f t="shared" si="5"/>
        <v>520.70000000000005</v>
      </c>
      <c r="E44" s="61">
        <f t="shared" si="5"/>
        <v>520.09999999999991</v>
      </c>
      <c r="F44" s="61">
        <f t="shared" si="5"/>
        <v>520.09999999999991</v>
      </c>
      <c r="G44" s="61">
        <f t="shared" si="5"/>
        <v>520.09999999999991</v>
      </c>
      <c r="H44" s="61">
        <f t="shared" si="5"/>
        <v>520.09999999999991</v>
      </c>
      <c r="I44" s="61">
        <f t="shared" si="5"/>
        <v>520.09999999999991</v>
      </c>
      <c r="J44" s="61">
        <f t="shared" si="5"/>
        <v>520.09999999999991</v>
      </c>
      <c r="K44" s="61">
        <f t="shared" si="5"/>
        <v>520.09999999999991</v>
      </c>
      <c r="L44" s="61">
        <f t="shared" si="5"/>
        <v>520.09999999999991</v>
      </c>
      <c r="M44" s="61">
        <f t="shared" si="5"/>
        <v>520.09999999999991</v>
      </c>
      <c r="N44" s="61">
        <f t="shared" si="5"/>
        <v>520.09999999999991</v>
      </c>
      <c r="O44" s="61">
        <f t="shared" si="5"/>
        <v>520.09999999999991</v>
      </c>
      <c r="P44" s="61">
        <f t="shared" si="5"/>
        <v>520.09999999999991</v>
      </c>
      <c r="Q44" s="61">
        <f t="shared" si="5"/>
        <v>520.09999999999991</v>
      </c>
      <c r="R44" s="61">
        <f t="shared" si="5"/>
        <v>520.09999999999991</v>
      </c>
      <c r="S44" s="61">
        <f t="shared" si="5"/>
        <v>521.09999999999991</v>
      </c>
      <c r="T44" s="61">
        <f t="shared" si="5"/>
        <v>521.09999999999991</v>
      </c>
      <c r="U44" s="61">
        <f t="shared" si="5"/>
        <v>521.09999999999991</v>
      </c>
      <c r="V44" s="61">
        <f t="shared" si="5"/>
        <v>521.09999999999991</v>
      </c>
      <c r="W44" s="61">
        <f t="shared" si="5"/>
        <v>520.09999999999991</v>
      </c>
      <c r="X44" s="61">
        <v>554.29999999999995</v>
      </c>
      <c r="Y44" s="61">
        <f t="shared" si="5"/>
        <v>520.09999999999991</v>
      </c>
      <c r="Z44" s="61">
        <f t="shared" si="5"/>
        <v>520.09999999999991</v>
      </c>
      <c r="AA44" s="61">
        <f t="shared" si="5"/>
        <v>520.09999999999991</v>
      </c>
      <c r="AB44" s="61">
        <f t="shared" si="5"/>
        <v>519.29999999999995</v>
      </c>
      <c r="AC44" s="61">
        <f t="shared" ref="AC44" si="6">SUM(AC11:AC42)</f>
        <v>519.29999999999995</v>
      </c>
      <c r="AD44" s="61">
        <f t="shared" si="5"/>
        <v>519.29999999999995</v>
      </c>
      <c r="AE44" s="61">
        <f t="shared" si="5"/>
        <v>519.29999999999995</v>
      </c>
      <c r="AF44" s="61">
        <f t="shared" si="5"/>
        <v>519.29999999999995</v>
      </c>
      <c r="AG44" s="62">
        <f t="shared" si="5"/>
        <v>814.78000000000009</v>
      </c>
      <c r="AH44" s="48">
        <f t="shared" si="2"/>
        <v>554.29999999999995</v>
      </c>
      <c r="AI44" s="49">
        <f t="shared" si="3"/>
        <v>519.29999999999995</v>
      </c>
      <c r="AK44" s="50"/>
    </row>
    <row r="45" spans="1:88" x14ac:dyDescent="0.25">
      <c r="A45" s="6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25</v>
      </c>
      <c r="J45" s="45">
        <v>90</v>
      </c>
      <c r="K45" s="45">
        <v>130</v>
      </c>
      <c r="L45" s="45">
        <v>420</v>
      </c>
      <c r="M45" s="164">
        <v>440</v>
      </c>
      <c r="N45" s="164">
        <v>420</v>
      </c>
      <c r="O45" s="45">
        <v>360</v>
      </c>
      <c r="P45" s="45">
        <v>140</v>
      </c>
      <c r="Q45" s="45">
        <v>80</v>
      </c>
      <c r="R45" s="45">
        <v>15</v>
      </c>
      <c r="S45" s="45">
        <v>15</v>
      </c>
      <c r="T45" s="45">
        <v>15</v>
      </c>
      <c r="U45" s="45">
        <v>15</v>
      </c>
      <c r="V45" s="45">
        <v>50</v>
      </c>
      <c r="W45" s="45">
        <v>170</v>
      </c>
      <c r="X45" s="45">
        <v>240</v>
      </c>
      <c r="Y45" s="45">
        <v>340</v>
      </c>
      <c r="Z45" s="45">
        <v>380</v>
      </c>
      <c r="AA45" s="45">
        <v>380</v>
      </c>
      <c r="AB45" s="45">
        <v>280</v>
      </c>
      <c r="AC45" s="45">
        <v>70</v>
      </c>
      <c r="AD45" s="45">
        <v>15</v>
      </c>
      <c r="AE45" s="45">
        <v>0</v>
      </c>
      <c r="AF45" s="45">
        <v>0</v>
      </c>
      <c r="AG45" s="52">
        <v>456</v>
      </c>
      <c r="AH45" s="48">
        <f t="shared" si="2"/>
        <v>440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41</v>
      </c>
      <c r="AK46" s="50"/>
    </row>
    <row r="47" spans="1:88" ht="15.75" thickBot="1" x14ac:dyDescent="0.3">
      <c r="A47" s="66" t="s">
        <v>55</v>
      </c>
      <c r="B47" s="67">
        <v>14.1</v>
      </c>
      <c r="C47" s="67">
        <v>14.1</v>
      </c>
      <c r="D47" s="67">
        <v>14.1</v>
      </c>
      <c r="E47" s="67">
        <v>14.1</v>
      </c>
      <c r="F47" s="67">
        <v>14.2</v>
      </c>
      <c r="G47" s="67">
        <v>14.1</v>
      </c>
      <c r="H47" s="67">
        <v>14.2</v>
      </c>
      <c r="I47" s="67">
        <v>15.1</v>
      </c>
      <c r="J47" s="67">
        <v>15.1</v>
      </c>
      <c r="K47" s="67">
        <v>15.1</v>
      </c>
      <c r="L47" s="67">
        <v>15</v>
      </c>
      <c r="M47" s="67">
        <v>15</v>
      </c>
      <c r="N47" s="67">
        <v>15</v>
      </c>
      <c r="O47" s="67">
        <v>15.2</v>
      </c>
      <c r="P47" s="67">
        <v>15.2</v>
      </c>
      <c r="Q47" s="67">
        <v>15.2</v>
      </c>
      <c r="R47" s="67">
        <v>15.2</v>
      </c>
      <c r="S47" s="67">
        <v>15.2</v>
      </c>
      <c r="T47" s="67">
        <v>15.2</v>
      </c>
      <c r="U47" s="67">
        <v>15.2</v>
      </c>
      <c r="V47" s="67">
        <v>15.2</v>
      </c>
      <c r="W47" s="67">
        <v>15.2</v>
      </c>
      <c r="X47" s="67">
        <v>14.1</v>
      </c>
      <c r="Y47" s="67">
        <v>14.1</v>
      </c>
      <c r="Z47" s="67">
        <v>14.1</v>
      </c>
      <c r="AA47" s="67">
        <v>14.1</v>
      </c>
      <c r="AB47" s="67">
        <v>14.1</v>
      </c>
      <c r="AC47" s="67">
        <v>14.1</v>
      </c>
      <c r="AD47" s="67">
        <v>14.1</v>
      </c>
      <c r="AE47" s="67">
        <v>14.1</v>
      </c>
      <c r="AF47" s="67">
        <v>14.1</v>
      </c>
      <c r="AG47" s="68">
        <v>22.1</v>
      </c>
      <c r="AH47" s="48">
        <f t="shared" si="2"/>
        <v>15.2</v>
      </c>
      <c r="AI47" s="49">
        <f t="shared" si="3"/>
        <v>14.1</v>
      </c>
      <c r="AK47" s="50"/>
    </row>
    <row r="48" spans="1:88" ht="15.75" thickBot="1" x14ac:dyDescent="0.3">
      <c r="A48" s="69" t="s">
        <v>56</v>
      </c>
      <c r="B48" s="61">
        <f t="shared" ref="B48" si="7">SUM(B45:B47)</f>
        <v>55.1</v>
      </c>
      <c r="C48" s="61">
        <f t="shared" ref="C48:AG48" si="8">SUM(C45:C47)</f>
        <v>55.1</v>
      </c>
      <c r="D48" s="61">
        <f t="shared" si="8"/>
        <v>55.1</v>
      </c>
      <c r="E48" s="61">
        <f t="shared" si="8"/>
        <v>55.1</v>
      </c>
      <c r="F48" s="61">
        <f t="shared" si="8"/>
        <v>55.2</v>
      </c>
      <c r="G48" s="61">
        <f t="shared" si="8"/>
        <v>55.1</v>
      </c>
      <c r="H48" s="61">
        <f t="shared" si="8"/>
        <v>55.2</v>
      </c>
      <c r="I48" s="61">
        <f t="shared" si="8"/>
        <v>81.099999999999994</v>
      </c>
      <c r="J48" s="61">
        <f t="shared" si="8"/>
        <v>146.1</v>
      </c>
      <c r="K48" s="61">
        <f t="shared" si="8"/>
        <v>186.1</v>
      </c>
      <c r="L48" s="61">
        <f t="shared" si="8"/>
        <v>476</v>
      </c>
      <c r="M48" s="61">
        <f t="shared" si="8"/>
        <v>496</v>
      </c>
      <c r="N48" s="61">
        <f t="shared" si="8"/>
        <v>476</v>
      </c>
      <c r="O48" s="61">
        <f t="shared" si="8"/>
        <v>416.2</v>
      </c>
      <c r="P48" s="61">
        <f t="shared" si="8"/>
        <v>196.2</v>
      </c>
      <c r="Q48" s="61">
        <f t="shared" si="8"/>
        <v>136.19999999999999</v>
      </c>
      <c r="R48" s="61">
        <f t="shared" si="8"/>
        <v>71.2</v>
      </c>
      <c r="S48" s="61">
        <f t="shared" si="8"/>
        <v>71.2</v>
      </c>
      <c r="T48" s="61">
        <f t="shared" si="8"/>
        <v>71.2</v>
      </c>
      <c r="U48" s="61">
        <f t="shared" si="8"/>
        <v>71.2</v>
      </c>
      <c r="V48" s="61">
        <f t="shared" si="8"/>
        <v>106.2</v>
      </c>
      <c r="W48" s="61">
        <f t="shared" si="8"/>
        <v>226.2</v>
      </c>
      <c r="X48" s="61">
        <v>515.70000000000005</v>
      </c>
      <c r="Y48" s="61">
        <f t="shared" si="8"/>
        <v>395.1</v>
      </c>
      <c r="Z48" s="61">
        <f t="shared" si="8"/>
        <v>435.1</v>
      </c>
      <c r="AA48" s="61">
        <f t="shared" si="8"/>
        <v>435.1</v>
      </c>
      <c r="AB48" s="61">
        <f t="shared" si="8"/>
        <v>335.1</v>
      </c>
      <c r="AC48" s="61">
        <f t="shared" ref="AC48" si="9">SUM(AC45:AC47)</f>
        <v>125.1</v>
      </c>
      <c r="AD48" s="61">
        <f t="shared" si="8"/>
        <v>70.099999999999994</v>
      </c>
      <c r="AE48" s="61">
        <f t="shared" si="8"/>
        <v>55.1</v>
      </c>
      <c r="AF48" s="61">
        <f t="shared" si="8"/>
        <v>55.1</v>
      </c>
      <c r="AG48" s="62">
        <f t="shared" si="8"/>
        <v>538.1</v>
      </c>
      <c r="AH48" s="48">
        <f t="shared" si="2"/>
        <v>515.70000000000005</v>
      </c>
      <c r="AI48" s="49">
        <f t="shared" si="3"/>
        <v>55.1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30</v>
      </c>
      <c r="I49" s="45">
        <v>48.9</v>
      </c>
      <c r="J49" s="45">
        <v>85</v>
      </c>
      <c r="K49" s="45">
        <v>114</v>
      </c>
      <c r="L49" s="45">
        <v>143.6</v>
      </c>
      <c r="M49" s="45">
        <v>143.6</v>
      </c>
      <c r="N49" s="45">
        <v>143.1</v>
      </c>
      <c r="O49" s="45">
        <v>139</v>
      </c>
      <c r="P49" s="45">
        <v>136</v>
      </c>
      <c r="Q49" s="45">
        <v>71.599999999999994</v>
      </c>
      <c r="R49" s="45">
        <v>57</v>
      </c>
      <c r="S49" s="45">
        <v>71.2</v>
      </c>
      <c r="T49" s="45">
        <v>71.2</v>
      </c>
      <c r="U49" s="45">
        <v>81.2</v>
      </c>
      <c r="V49" s="45">
        <v>110</v>
      </c>
      <c r="W49" s="45">
        <v>142</v>
      </c>
      <c r="X49" s="45">
        <v>142</v>
      </c>
      <c r="Y49" s="45">
        <v>142</v>
      </c>
      <c r="Z49" s="45">
        <v>130</v>
      </c>
      <c r="AA49" s="45">
        <v>134</v>
      </c>
      <c r="AB49" s="45">
        <v>139</v>
      </c>
      <c r="AC49" s="45">
        <v>139</v>
      </c>
      <c r="AD49" s="45">
        <v>139</v>
      </c>
      <c r="AE49" s="45">
        <v>61</v>
      </c>
      <c r="AF49" s="45">
        <v>0</v>
      </c>
      <c r="AG49" s="52">
        <v>144</v>
      </c>
      <c r="AH49" s="48">
        <f t="shared" si="2"/>
        <v>143.6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41.3</v>
      </c>
      <c r="H50" s="65">
        <v>70</v>
      </c>
      <c r="I50" s="65">
        <v>70.400000000000006</v>
      </c>
      <c r="J50" s="65">
        <v>70</v>
      </c>
      <c r="K50" s="65">
        <v>69.3</v>
      </c>
      <c r="L50" s="65">
        <v>69.900000000000006</v>
      </c>
      <c r="M50" s="65">
        <v>70</v>
      </c>
      <c r="N50" s="65">
        <v>70</v>
      </c>
      <c r="O50" s="65">
        <v>64.400000000000006</v>
      </c>
      <c r="P50" s="65">
        <v>63.9</v>
      </c>
      <c r="Q50" s="65">
        <v>52.4</v>
      </c>
      <c r="R50" s="65">
        <v>52</v>
      </c>
      <c r="S50" s="45">
        <v>25.2</v>
      </c>
      <c r="T50" s="45">
        <v>29.2</v>
      </c>
      <c r="U50" s="45">
        <v>45.7</v>
      </c>
      <c r="V50" s="45">
        <v>70</v>
      </c>
      <c r="W50" s="45">
        <v>68.3</v>
      </c>
      <c r="X50" s="45">
        <v>68.3</v>
      </c>
      <c r="Y50" s="45">
        <v>68.3</v>
      </c>
      <c r="Z50" s="45">
        <v>60</v>
      </c>
      <c r="AA50" s="45">
        <v>58.2</v>
      </c>
      <c r="AB50" s="65">
        <v>69.7</v>
      </c>
      <c r="AC50" s="65">
        <v>69.7</v>
      </c>
      <c r="AD50" s="65">
        <v>60</v>
      </c>
      <c r="AE50" s="65">
        <v>35</v>
      </c>
      <c r="AF50" s="65">
        <v>0</v>
      </c>
      <c r="AG50" s="55">
        <v>70</v>
      </c>
      <c r="AH50" s="48">
        <f t="shared" si="2"/>
        <v>70.400000000000006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22.2</v>
      </c>
      <c r="C51" s="65">
        <v>17</v>
      </c>
      <c r="D51" s="65">
        <v>18.899999999999999</v>
      </c>
      <c r="E51" s="65">
        <v>22.5</v>
      </c>
      <c r="F51" s="65">
        <v>22.6</v>
      </c>
      <c r="G51" s="65">
        <v>32.9</v>
      </c>
      <c r="H51" s="65">
        <v>46</v>
      </c>
      <c r="I51" s="65">
        <v>46</v>
      </c>
      <c r="J51" s="65">
        <v>60</v>
      </c>
      <c r="K51" s="65">
        <v>68.400000000000006</v>
      </c>
      <c r="L51" s="65">
        <v>67.400000000000006</v>
      </c>
      <c r="M51" s="65">
        <v>66.8</v>
      </c>
      <c r="N51" s="65">
        <v>60</v>
      </c>
      <c r="O51" s="65">
        <v>61.6</v>
      </c>
      <c r="P51" s="65">
        <v>53.6</v>
      </c>
      <c r="Q51" s="65">
        <v>34.1</v>
      </c>
      <c r="R51" s="65">
        <v>46</v>
      </c>
      <c r="S51" s="45">
        <v>40.9</v>
      </c>
      <c r="T51" s="45">
        <v>36.4</v>
      </c>
      <c r="U51" s="45">
        <v>37</v>
      </c>
      <c r="V51" s="45">
        <v>54.3</v>
      </c>
      <c r="W51" s="45">
        <v>50.7</v>
      </c>
      <c r="X51" s="45">
        <v>50.7</v>
      </c>
      <c r="Y51" s="45">
        <v>50.7</v>
      </c>
      <c r="Z51" s="45">
        <v>67.3</v>
      </c>
      <c r="AA51" s="45">
        <v>67.5</v>
      </c>
      <c r="AB51" s="65">
        <v>67</v>
      </c>
      <c r="AC51" s="65">
        <v>67</v>
      </c>
      <c r="AD51" s="65">
        <v>67</v>
      </c>
      <c r="AE51" s="65">
        <v>63</v>
      </c>
      <c r="AF51" s="65">
        <v>52</v>
      </c>
      <c r="AG51" s="55">
        <v>69</v>
      </c>
      <c r="AH51" s="48">
        <f t="shared" si="2"/>
        <v>68.400000000000006</v>
      </c>
      <c r="AI51" s="49">
        <f t="shared" si="3"/>
        <v>17</v>
      </c>
      <c r="AK51" s="50"/>
    </row>
    <row r="52" spans="1:41" x14ac:dyDescent="0.25">
      <c r="A52" s="54" t="s">
        <v>60</v>
      </c>
      <c r="B52" s="57">
        <v>60.4</v>
      </c>
      <c r="C52" s="57">
        <v>60.4</v>
      </c>
      <c r="D52" s="57">
        <v>60.4</v>
      </c>
      <c r="E52" s="57">
        <v>60.4</v>
      </c>
      <c r="F52" s="57">
        <v>60.4</v>
      </c>
      <c r="G52" s="57">
        <v>60.4</v>
      </c>
      <c r="H52" s="57">
        <v>58.7</v>
      </c>
      <c r="I52" s="57">
        <v>58.7</v>
      </c>
      <c r="J52" s="57">
        <v>58.7</v>
      </c>
      <c r="K52" s="57">
        <v>58.7</v>
      </c>
      <c r="L52" s="57">
        <v>58.7</v>
      </c>
      <c r="M52" s="57">
        <v>59.7</v>
      </c>
      <c r="N52" s="57">
        <v>59.7</v>
      </c>
      <c r="O52" s="57">
        <v>60.4</v>
      </c>
      <c r="P52" s="57">
        <v>60.4</v>
      </c>
      <c r="Q52" s="57">
        <v>60.4</v>
      </c>
      <c r="R52" s="57">
        <v>60.4</v>
      </c>
      <c r="S52" s="65">
        <v>60.2</v>
      </c>
      <c r="T52" s="65">
        <v>60.2</v>
      </c>
      <c r="U52" s="65">
        <v>60.2</v>
      </c>
      <c r="V52" s="65">
        <v>57.4</v>
      </c>
      <c r="W52" s="65">
        <v>58</v>
      </c>
      <c r="X52" s="65">
        <v>58</v>
      </c>
      <c r="Y52" s="65">
        <v>58</v>
      </c>
      <c r="Z52" s="65">
        <v>60.2</v>
      </c>
      <c r="AA52" s="65">
        <v>60.2</v>
      </c>
      <c r="AB52" s="65">
        <v>60.2</v>
      </c>
      <c r="AC52" s="65">
        <v>60.2</v>
      </c>
      <c r="AD52" s="65">
        <v>60.2</v>
      </c>
      <c r="AE52" s="65">
        <v>60.2</v>
      </c>
      <c r="AF52" s="65">
        <v>60</v>
      </c>
      <c r="AG52" s="55">
        <v>60</v>
      </c>
      <c r="AH52" s="48">
        <f t="shared" si="2"/>
        <v>60.4</v>
      </c>
      <c r="AI52" s="49">
        <f t="shared" si="3"/>
        <v>57.4</v>
      </c>
      <c r="AK52" s="50"/>
    </row>
    <row r="53" spans="1:41" x14ac:dyDescent="0.25">
      <c r="A53" s="54" t="s">
        <v>61</v>
      </c>
      <c r="B53" s="57">
        <v>8.1999999999999993</v>
      </c>
      <c r="C53" s="57">
        <v>8.1</v>
      </c>
      <c r="D53" s="57">
        <v>8.1</v>
      </c>
      <c r="E53" s="57">
        <v>8.1</v>
      </c>
      <c r="F53" s="57">
        <v>8.1</v>
      </c>
      <c r="G53" s="57">
        <v>8.1</v>
      </c>
      <c r="H53" s="57">
        <v>8.1</v>
      </c>
      <c r="I53" s="57">
        <v>8.1</v>
      </c>
      <c r="J53" s="57">
        <v>8.1</v>
      </c>
      <c r="K53" s="57">
        <v>8.1</v>
      </c>
      <c r="L53" s="57">
        <v>8.1</v>
      </c>
      <c r="M53" s="57">
        <v>8.1</v>
      </c>
      <c r="N53" s="57">
        <v>8.1</v>
      </c>
      <c r="O53" s="57">
        <v>8.1</v>
      </c>
      <c r="P53" s="57">
        <v>8.1</v>
      </c>
      <c r="Q53" s="57">
        <v>8.1</v>
      </c>
      <c r="R53" s="57">
        <v>8.1</v>
      </c>
      <c r="S53" s="57">
        <v>8.1</v>
      </c>
      <c r="T53" s="57">
        <v>8.1</v>
      </c>
      <c r="U53" s="57">
        <v>8.1</v>
      </c>
      <c r="V53" s="65">
        <v>8.1</v>
      </c>
      <c r="W53" s="65">
        <v>8.1</v>
      </c>
      <c r="X53" s="65">
        <v>8.1</v>
      </c>
      <c r="Y53" s="65">
        <v>8.1</v>
      </c>
      <c r="Z53" s="65">
        <v>8.1</v>
      </c>
      <c r="AA53" s="65">
        <v>9.1999999999999993</v>
      </c>
      <c r="AB53" s="65">
        <v>9.1999999999999993</v>
      </c>
      <c r="AC53" s="65">
        <v>9.1999999999999993</v>
      </c>
      <c r="AD53" s="65">
        <v>9.1999999999999993</v>
      </c>
      <c r="AE53" s="65">
        <v>9.1999999999999993</v>
      </c>
      <c r="AF53" s="65">
        <v>8.1999999999999993</v>
      </c>
      <c r="AG53" s="55">
        <v>30</v>
      </c>
      <c r="AH53" s="48">
        <f t="shared" si="2"/>
        <v>9.1999999999999993</v>
      </c>
      <c r="AI53" s="49">
        <f t="shared" si="3"/>
        <v>8.1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8.1</v>
      </c>
      <c r="T54" s="45">
        <v>8.1</v>
      </c>
      <c r="U54" s="45">
        <v>8.1</v>
      </c>
      <c r="V54" s="45">
        <v>0</v>
      </c>
      <c r="W54" s="4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8.1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17.100000000000001</v>
      </c>
      <c r="S55" s="65">
        <v>17.100000000000001</v>
      </c>
      <c r="T55" s="65">
        <v>17.100000000000001</v>
      </c>
      <c r="U55" s="65">
        <v>17.100000000000001</v>
      </c>
      <c r="V55" s="65">
        <v>17.100000000000001</v>
      </c>
      <c r="W55" s="65">
        <v>17.100000000000001</v>
      </c>
      <c r="X55" s="65">
        <v>17.100000000000001</v>
      </c>
      <c r="Y55" s="65">
        <v>17.100000000000001</v>
      </c>
      <c r="Z55" s="65">
        <v>17.100000000000001</v>
      </c>
      <c r="AA55" s="65">
        <v>17.100000000000001</v>
      </c>
      <c r="AB55" s="65">
        <v>17.100000000000001</v>
      </c>
      <c r="AC55" s="65">
        <v>17.100000000000001</v>
      </c>
      <c r="AD55" s="65">
        <v>17.100000000000001</v>
      </c>
      <c r="AE55" s="65">
        <v>17.100000000000001</v>
      </c>
      <c r="AF55" s="65">
        <v>17.100000000000001</v>
      </c>
      <c r="AG55" s="55">
        <v>24</v>
      </c>
      <c r="AH55" s="48">
        <f t="shared" si="2"/>
        <v>17.100000000000001</v>
      </c>
      <c r="AI55" s="49">
        <f t="shared" si="3"/>
        <v>17.100000000000001</v>
      </c>
      <c r="AK55" s="50"/>
    </row>
    <row r="56" spans="1:41" x14ac:dyDescent="0.25">
      <c r="A56" s="54" t="s">
        <v>64</v>
      </c>
      <c r="B56" s="65">
        <v>2.8</v>
      </c>
      <c r="C56" s="65">
        <v>2.8</v>
      </c>
      <c r="D56" s="65">
        <v>2.8</v>
      </c>
      <c r="E56" s="65">
        <v>2.8</v>
      </c>
      <c r="F56" s="65">
        <v>2.8</v>
      </c>
      <c r="G56" s="65">
        <v>2.8</v>
      </c>
      <c r="H56" s="65">
        <v>2.8</v>
      </c>
      <c r="I56" s="65">
        <v>2.8</v>
      </c>
      <c r="J56" s="65">
        <v>2.8</v>
      </c>
      <c r="K56" s="65">
        <v>2.8</v>
      </c>
      <c r="L56" s="65">
        <v>2.8</v>
      </c>
      <c r="M56" s="65">
        <v>2.8</v>
      </c>
      <c r="N56" s="65">
        <v>2.8</v>
      </c>
      <c r="O56" s="65">
        <v>2.8</v>
      </c>
      <c r="P56" s="65">
        <v>2.8</v>
      </c>
      <c r="Q56" s="65">
        <v>2.8</v>
      </c>
      <c r="R56" s="65">
        <v>2.8</v>
      </c>
      <c r="S56" s="65">
        <v>2.8</v>
      </c>
      <c r="T56" s="65">
        <v>2.8</v>
      </c>
      <c r="U56" s="65">
        <v>2.8</v>
      </c>
      <c r="V56" s="65">
        <v>2.8</v>
      </c>
      <c r="W56" s="65">
        <v>2.8</v>
      </c>
      <c r="X56" s="65">
        <v>2.8</v>
      </c>
      <c r="Y56" s="65">
        <v>2.8</v>
      </c>
      <c r="Z56" s="65">
        <v>2.8</v>
      </c>
      <c r="AA56" s="65">
        <v>2.8</v>
      </c>
      <c r="AB56" s="65">
        <v>2.8</v>
      </c>
      <c r="AC56" s="65">
        <v>2.8</v>
      </c>
      <c r="AD56" s="65">
        <v>2.8</v>
      </c>
      <c r="AE56" s="65">
        <v>2.8</v>
      </c>
      <c r="AF56" s="65">
        <v>2.8</v>
      </c>
      <c r="AG56" s="55">
        <v>15</v>
      </c>
      <c r="AH56" s="48">
        <f t="shared" si="2"/>
        <v>2.8</v>
      </c>
      <c r="AI56" s="49">
        <f t="shared" si="3"/>
        <v>2.8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14.1</v>
      </c>
      <c r="C57" s="65">
        <v>14.1</v>
      </c>
      <c r="D57" s="65">
        <v>14.1</v>
      </c>
      <c r="E57" s="65">
        <v>14.1</v>
      </c>
      <c r="F57" s="65">
        <v>14.1</v>
      </c>
      <c r="G57" s="65">
        <v>14.1</v>
      </c>
      <c r="H57" s="65">
        <v>14.1</v>
      </c>
      <c r="I57" s="65">
        <v>14.1</v>
      </c>
      <c r="J57" s="65">
        <v>14.1</v>
      </c>
      <c r="K57" s="65">
        <v>14.1</v>
      </c>
      <c r="L57" s="65">
        <v>14.1</v>
      </c>
      <c r="M57" s="65">
        <v>14.1</v>
      </c>
      <c r="N57" s="65">
        <v>14.1</v>
      </c>
      <c r="O57" s="65">
        <v>14.1</v>
      </c>
      <c r="P57" s="65">
        <v>14.1</v>
      </c>
      <c r="Q57" s="65">
        <v>14.1</v>
      </c>
      <c r="R57" s="65">
        <v>14.1</v>
      </c>
      <c r="S57" s="65">
        <v>14.1</v>
      </c>
      <c r="T57" s="65">
        <v>14.1</v>
      </c>
      <c r="U57" s="65">
        <v>14.1</v>
      </c>
      <c r="V57" s="65">
        <v>14.1</v>
      </c>
      <c r="W57" s="65">
        <v>14.1</v>
      </c>
      <c r="X57" s="65">
        <v>14.1</v>
      </c>
      <c r="Y57" s="65">
        <v>14.1</v>
      </c>
      <c r="Z57" s="65">
        <v>14.1</v>
      </c>
      <c r="AA57" s="65">
        <v>14.1</v>
      </c>
      <c r="AB57" s="65">
        <v>14.1</v>
      </c>
      <c r="AC57" s="65">
        <v>14.1</v>
      </c>
      <c r="AD57" s="65">
        <v>14.1</v>
      </c>
      <c r="AE57" s="65">
        <v>14.1</v>
      </c>
      <c r="AF57" s="65">
        <v>14.1</v>
      </c>
      <c r="AG57" s="55">
        <v>14.1</v>
      </c>
      <c r="AH57" s="48">
        <f t="shared" si="2"/>
        <v>14.1</v>
      </c>
      <c r="AI57" s="49">
        <f t="shared" si="3"/>
        <v>14.1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7.2</v>
      </c>
      <c r="C58" s="65">
        <v>7.2</v>
      </c>
      <c r="D58" s="65">
        <v>7.2</v>
      </c>
      <c r="E58" s="65">
        <v>7.2</v>
      </c>
      <c r="F58" s="65">
        <v>7.2</v>
      </c>
      <c r="G58" s="65">
        <v>7.2</v>
      </c>
      <c r="H58" s="65">
        <v>7.2</v>
      </c>
      <c r="I58" s="65">
        <v>7.2</v>
      </c>
      <c r="J58" s="65">
        <v>7.2</v>
      </c>
      <c r="K58" s="65">
        <v>7.2</v>
      </c>
      <c r="L58" s="65">
        <v>7.2</v>
      </c>
      <c r="M58" s="65">
        <v>7.2</v>
      </c>
      <c r="N58" s="65">
        <v>7.2</v>
      </c>
      <c r="O58" s="65">
        <v>7.2</v>
      </c>
      <c r="P58" s="65">
        <v>7.2</v>
      </c>
      <c r="Q58" s="65">
        <v>7.2</v>
      </c>
      <c r="R58" s="65">
        <v>7.2</v>
      </c>
      <c r="S58" s="65">
        <v>7.2</v>
      </c>
      <c r="T58" s="65">
        <v>7.2</v>
      </c>
      <c r="U58" s="65">
        <v>7.2</v>
      </c>
      <c r="V58" s="65">
        <v>7.2</v>
      </c>
      <c r="W58" s="65">
        <v>7.2</v>
      </c>
      <c r="X58" s="65">
        <v>7.2</v>
      </c>
      <c r="Y58" s="65">
        <v>7.2</v>
      </c>
      <c r="Z58" s="65">
        <v>7.2</v>
      </c>
      <c r="AA58" s="65">
        <v>7.2</v>
      </c>
      <c r="AB58" s="65">
        <v>7.2</v>
      </c>
      <c r="AC58" s="65">
        <v>7.2</v>
      </c>
      <c r="AD58" s="65">
        <v>7.2</v>
      </c>
      <c r="AE58" s="65">
        <v>7.2</v>
      </c>
      <c r="AF58" s="65">
        <v>7.2</v>
      </c>
      <c r="AG58" s="55">
        <v>14</v>
      </c>
      <c r="AH58" s="48">
        <f t="shared" si="2"/>
        <v>7.2</v>
      </c>
      <c r="AI58" s="49">
        <f t="shared" si="3"/>
        <v>7.2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6.2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" si="10">SUM(B49:B61)</f>
        <v>142.04</v>
      </c>
      <c r="C62" s="61">
        <f t="shared" ref="C62:AG62" si="11">SUM(C49:C61)</f>
        <v>136.73999999999998</v>
      </c>
      <c r="D62" s="61">
        <f t="shared" si="11"/>
        <v>138.63999999999999</v>
      </c>
      <c r="E62" s="61">
        <f t="shared" si="11"/>
        <v>142.23999999999998</v>
      </c>
      <c r="F62" s="61">
        <f t="shared" si="11"/>
        <v>142.33999999999997</v>
      </c>
      <c r="G62" s="61">
        <f t="shared" si="11"/>
        <v>193.93999999999997</v>
      </c>
      <c r="H62" s="61">
        <f t="shared" si="11"/>
        <v>264.04000000000002</v>
      </c>
      <c r="I62" s="61">
        <f t="shared" si="11"/>
        <v>283.34000000000003</v>
      </c>
      <c r="J62" s="61">
        <f t="shared" si="11"/>
        <v>333.04000000000008</v>
      </c>
      <c r="K62" s="61">
        <f t="shared" si="11"/>
        <v>369.74000000000012</v>
      </c>
      <c r="L62" s="61">
        <f t="shared" si="11"/>
        <v>398.94000000000005</v>
      </c>
      <c r="M62" s="61">
        <f t="shared" si="11"/>
        <v>399.44000000000005</v>
      </c>
      <c r="N62" s="61">
        <f t="shared" si="11"/>
        <v>392.1400000000001</v>
      </c>
      <c r="O62" s="61">
        <f t="shared" si="11"/>
        <v>384.74000000000007</v>
      </c>
      <c r="P62" s="61">
        <f t="shared" si="11"/>
        <v>373.24000000000007</v>
      </c>
      <c r="Q62" s="61">
        <f t="shared" si="11"/>
        <v>277.84000000000003</v>
      </c>
      <c r="R62" s="61">
        <v>50</v>
      </c>
      <c r="S62" s="61">
        <f t="shared" si="11"/>
        <v>264.94</v>
      </c>
      <c r="T62" s="61">
        <f t="shared" si="11"/>
        <v>264.44</v>
      </c>
      <c r="U62" s="61">
        <f t="shared" si="11"/>
        <v>291.54000000000008</v>
      </c>
      <c r="V62" s="61">
        <f t="shared" si="11"/>
        <v>351.04000000000008</v>
      </c>
      <c r="W62" s="61">
        <f t="shared" si="11"/>
        <v>378.34000000000009</v>
      </c>
      <c r="X62" s="61">
        <v>388.24000000000007</v>
      </c>
      <c r="Y62" s="61">
        <f t="shared" si="11"/>
        <v>378.34000000000009</v>
      </c>
      <c r="Z62" s="61">
        <f t="shared" si="11"/>
        <v>376.84000000000009</v>
      </c>
      <c r="AA62" s="61">
        <f t="shared" si="11"/>
        <v>380.34000000000003</v>
      </c>
      <c r="AB62" s="61">
        <f t="shared" si="11"/>
        <v>396.34000000000003</v>
      </c>
      <c r="AC62" s="61">
        <f t="shared" si="11"/>
        <v>396.34000000000003</v>
      </c>
      <c r="AD62" s="61">
        <f t="shared" si="11"/>
        <v>386.64000000000004</v>
      </c>
      <c r="AE62" s="61">
        <f t="shared" si="11"/>
        <v>279.64</v>
      </c>
      <c r="AF62" s="61">
        <f t="shared" si="11"/>
        <v>171.44</v>
      </c>
      <c r="AG62" s="62">
        <f t="shared" si="11"/>
        <v>489.91</v>
      </c>
      <c r="AH62" s="48">
        <f t="shared" si="2"/>
        <v>399.44000000000005</v>
      </c>
      <c r="AI62" s="49">
        <f t="shared" si="3"/>
        <v>50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10</v>
      </c>
      <c r="L63" s="45">
        <v>0</v>
      </c>
      <c r="M63" s="45">
        <v>50</v>
      </c>
      <c r="N63" s="45">
        <v>60</v>
      </c>
      <c r="O63" s="45">
        <v>60</v>
      </c>
      <c r="P63" s="45">
        <v>60</v>
      </c>
      <c r="Q63" s="45">
        <v>45</v>
      </c>
      <c r="R63" s="45">
        <v>50</v>
      </c>
      <c r="S63" s="45">
        <v>50</v>
      </c>
      <c r="T63" s="45">
        <v>55</v>
      </c>
      <c r="U63" s="45">
        <v>60</v>
      </c>
      <c r="V63" s="45">
        <v>60</v>
      </c>
      <c r="W63" s="45">
        <v>60</v>
      </c>
      <c r="X63" s="45">
        <v>60</v>
      </c>
      <c r="Y63" s="45">
        <v>60</v>
      </c>
      <c r="Z63" s="45">
        <v>40</v>
      </c>
      <c r="AA63" s="45">
        <v>40</v>
      </c>
      <c r="AB63" s="45">
        <v>40</v>
      </c>
      <c r="AC63" s="45">
        <v>40</v>
      </c>
      <c r="AD63" s="45">
        <v>50</v>
      </c>
      <c r="AE63" s="45">
        <v>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19</v>
      </c>
      <c r="N64" s="65">
        <v>28</v>
      </c>
      <c r="O64" s="65">
        <v>28</v>
      </c>
      <c r="P64" s="65">
        <v>28.7</v>
      </c>
      <c r="Q64" s="65">
        <v>20</v>
      </c>
      <c r="R64" s="45">
        <v>21</v>
      </c>
      <c r="S64" s="65">
        <v>28</v>
      </c>
      <c r="T64" s="65">
        <v>24.5</v>
      </c>
      <c r="U64" s="65">
        <v>27.5</v>
      </c>
      <c r="V64" s="65">
        <v>27.5</v>
      </c>
      <c r="W64" s="65">
        <v>27.5</v>
      </c>
      <c r="X64" s="65">
        <v>27.5</v>
      </c>
      <c r="Y64" s="65">
        <v>27.5</v>
      </c>
      <c r="Z64" s="65">
        <v>22.7</v>
      </c>
      <c r="AA64" s="65">
        <v>16.2</v>
      </c>
      <c r="AB64" s="65">
        <v>16.2</v>
      </c>
      <c r="AC64" s="65">
        <v>24.5</v>
      </c>
      <c r="AD64" s="65">
        <v>25</v>
      </c>
      <c r="AE64" s="65">
        <v>0</v>
      </c>
      <c r="AF64" s="65">
        <v>0</v>
      </c>
      <c r="AG64" s="55">
        <v>32</v>
      </c>
      <c r="AH64" s="48">
        <f t="shared" si="2"/>
        <v>28.7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6.9</v>
      </c>
      <c r="N65" s="67">
        <v>10.199999999999999</v>
      </c>
      <c r="O65" s="67">
        <v>10.199999999999999</v>
      </c>
      <c r="P65" s="67">
        <v>10.5</v>
      </c>
      <c r="Q65" s="67">
        <v>7</v>
      </c>
      <c r="R65" s="45">
        <v>7.7</v>
      </c>
      <c r="S65" s="67">
        <v>10.199999999999999</v>
      </c>
      <c r="T65" s="67">
        <v>8.9</v>
      </c>
      <c r="U65" s="67">
        <v>10.1</v>
      </c>
      <c r="V65" s="67">
        <v>10.1</v>
      </c>
      <c r="W65" s="67">
        <v>10.1</v>
      </c>
      <c r="X65" s="67">
        <v>10.1</v>
      </c>
      <c r="Y65" s="67">
        <v>10.1</v>
      </c>
      <c r="Z65" s="67">
        <v>8.3000000000000007</v>
      </c>
      <c r="AA65" s="67">
        <v>5.9</v>
      </c>
      <c r="AB65" s="67">
        <v>5.9</v>
      </c>
      <c r="AC65" s="67">
        <v>8.9</v>
      </c>
      <c r="AD65" s="67">
        <v>9</v>
      </c>
      <c r="AE65" s="67">
        <v>0</v>
      </c>
      <c r="AF65" s="67">
        <v>0</v>
      </c>
      <c r="AG65" s="68">
        <v>14</v>
      </c>
      <c r="AH65" s="48">
        <f t="shared" si="2"/>
        <v>10.5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0</v>
      </c>
      <c r="M66" s="61">
        <f t="shared" ref="M66:AF66" si="12">M63+M64+M65</f>
        <v>75.900000000000006</v>
      </c>
      <c r="N66" s="61">
        <f t="shared" si="12"/>
        <v>98.2</v>
      </c>
      <c r="O66" s="61">
        <f t="shared" si="12"/>
        <v>98.2</v>
      </c>
      <c r="P66" s="61">
        <f t="shared" si="12"/>
        <v>99.2</v>
      </c>
      <c r="Q66" s="61">
        <f t="shared" si="12"/>
        <v>72</v>
      </c>
      <c r="R66" s="61">
        <f t="shared" si="12"/>
        <v>78.7</v>
      </c>
      <c r="S66" s="61">
        <f t="shared" si="12"/>
        <v>88.2</v>
      </c>
      <c r="T66" s="61">
        <f t="shared" si="12"/>
        <v>88.4</v>
      </c>
      <c r="U66" s="61">
        <f t="shared" si="12"/>
        <v>97.6</v>
      </c>
      <c r="V66" s="61">
        <f t="shared" si="12"/>
        <v>97.6</v>
      </c>
      <c r="W66" s="61">
        <f t="shared" si="12"/>
        <v>97.6</v>
      </c>
      <c r="X66" s="61">
        <v>94.8</v>
      </c>
      <c r="Y66" s="61">
        <f t="shared" si="12"/>
        <v>97.6</v>
      </c>
      <c r="Z66" s="61">
        <f t="shared" si="12"/>
        <v>71</v>
      </c>
      <c r="AA66" s="61">
        <f t="shared" si="12"/>
        <v>62.1</v>
      </c>
      <c r="AB66" s="61">
        <f t="shared" si="12"/>
        <v>62.1</v>
      </c>
      <c r="AC66" s="61">
        <f t="shared" si="12"/>
        <v>73.400000000000006</v>
      </c>
      <c r="AD66" s="61">
        <f t="shared" si="12"/>
        <v>84</v>
      </c>
      <c r="AE66" s="61">
        <f t="shared" si="12"/>
        <v>0</v>
      </c>
      <c r="AF66" s="61">
        <f t="shared" si="12"/>
        <v>0</v>
      </c>
      <c r="AG66" s="62">
        <f t="shared" ref="AG66" si="13">SUM(AG63:AG65)</f>
        <v>106</v>
      </c>
      <c r="AH66" s="48">
        <f t="shared" si="2"/>
        <v>99.2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59</v>
      </c>
      <c r="C67" s="45">
        <v>48</v>
      </c>
      <c r="D67" s="45">
        <v>54.1</v>
      </c>
      <c r="E67" s="45">
        <v>68.8</v>
      </c>
      <c r="F67" s="45">
        <v>66</v>
      </c>
      <c r="G67" s="45">
        <v>56</v>
      </c>
      <c r="H67" s="45">
        <v>57</v>
      </c>
      <c r="I67" s="45">
        <v>60.7</v>
      </c>
      <c r="J67" s="45">
        <v>62</v>
      </c>
      <c r="K67" s="45">
        <v>55</v>
      </c>
      <c r="L67" s="45">
        <v>44</v>
      </c>
      <c r="M67" s="45">
        <v>42.8</v>
      </c>
      <c r="N67" s="45">
        <v>46.2</v>
      </c>
      <c r="O67" s="45">
        <v>52.8</v>
      </c>
      <c r="P67" s="45">
        <v>68.3</v>
      </c>
      <c r="Q67" s="45">
        <v>68</v>
      </c>
      <c r="R67" s="45">
        <v>57</v>
      </c>
      <c r="S67" s="45">
        <v>57.8</v>
      </c>
      <c r="T67" s="45">
        <v>58</v>
      </c>
      <c r="U67" s="45">
        <v>49.2</v>
      </c>
      <c r="V67" s="45">
        <v>63.3</v>
      </c>
      <c r="W67" s="45">
        <v>58</v>
      </c>
      <c r="X67" s="45">
        <v>75</v>
      </c>
      <c r="Y67" s="45">
        <v>71</v>
      </c>
      <c r="Z67" s="45">
        <v>62.1</v>
      </c>
      <c r="AA67" s="45">
        <v>59.5</v>
      </c>
      <c r="AB67" s="45">
        <v>62.3</v>
      </c>
      <c r="AC67" s="45">
        <v>59</v>
      </c>
      <c r="AD67" s="45">
        <v>56</v>
      </c>
      <c r="AE67" s="45">
        <v>50</v>
      </c>
      <c r="AF67" s="45">
        <v>50</v>
      </c>
      <c r="AG67" s="52"/>
      <c r="AH67" s="48">
        <f t="shared" si="2"/>
        <v>75</v>
      </c>
      <c r="AI67" s="49">
        <f t="shared" si="3"/>
        <v>42.8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200.6</v>
      </c>
      <c r="C69" s="65">
        <v>176</v>
      </c>
      <c r="D69" s="65">
        <v>165</v>
      </c>
      <c r="E69" s="65">
        <v>183</v>
      </c>
      <c r="F69" s="65">
        <v>166</v>
      </c>
      <c r="G69" s="65">
        <v>170</v>
      </c>
      <c r="H69" s="65">
        <v>220</v>
      </c>
      <c r="I69" s="65">
        <v>225</v>
      </c>
      <c r="J69" s="65">
        <v>230</v>
      </c>
      <c r="K69" s="65">
        <v>215</v>
      </c>
      <c r="L69" s="65">
        <v>0</v>
      </c>
      <c r="M69" s="65">
        <v>0</v>
      </c>
      <c r="N69" s="65">
        <v>0</v>
      </c>
      <c r="O69" s="65">
        <v>40</v>
      </c>
      <c r="P69" s="65">
        <v>47</v>
      </c>
      <c r="Q69" s="65">
        <v>225</v>
      </c>
      <c r="R69" s="65">
        <v>260</v>
      </c>
      <c r="S69" s="65">
        <v>264</v>
      </c>
      <c r="T69" s="65">
        <v>250</v>
      </c>
      <c r="U69" s="65">
        <v>256</v>
      </c>
      <c r="V69" s="65">
        <v>162</v>
      </c>
      <c r="W69" s="65">
        <v>95</v>
      </c>
      <c r="X69" s="65">
        <v>78</v>
      </c>
      <c r="Y69" s="65">
        <v>7</v>
      </c>
      <c r="Z69" s="65">
        <v>-3</v>
      </c>
      <c r="AA69" s="65">
        <v>-3.6</v>
      </c>
      <c r="AB69" s="65">
        <v>98</v>
      </c>
      <c r="AC69" s="65">
        <v>143</v>
      </c>
      <c r="AD69" s="65">
        <v>144</v>
      </c>
      <c r="AE69" s="65">
        <v>240</v>
      </c>
      <c r="AF69" s="65">
        <v>239</v>
      </c>
      <c r="AG69" s="75"/>
      <c r="AH69" s="48">
        <f t="shared" si="2"/>
        <v>264</v>
      </c>
      <c r="AI69" s="49">
        <f t="shared" si="3"/>
        <v>-3.6</v>
      </c>
      <c r="AK69" s="50"/>
    </row>
    <row r="70" spans="1:40" x14ac:dyDescent="0.25">
      <c r="A70" s="54" t="s">
        <v>78</v>
      </c>
      <c r="B70" s="76">
        <v>52</v>
      </c>
      <c r="C70" s="76">
        <v>52</v>
      </c>
      <c r="D70" s="76">
        <v>51</v>
      </c>
      <c r="E70" s="76">
        <v>55</v>
      </c>
      <c r="F70" s="76">
        <v>48</v>
      </c>
      <c r="G70" s="76">
        <v>25</v>
      </c>
      <c r="H70" s="76">
        <v>30</v>
      </c>
      <c r="I70" s="76">
        <v>45</v>
      </c>
      <c r="J70" s="76">
        <v>50</v>
      </c>
      <c r="K70" s="76">
        <v>55</v>
      </c>
      <c r="L70" s="76">
        <v>55</v>
      </c>
      <c r="M70" s="76">
        <v>55</v>
      </c>
      <c r="N70" s="76">
        <v>46</v>
      </c>
      <c r="O70" s="76">
        <v>56.5</v>
      </c>
      <c r="P70" s="76">
        <v>58.3</v>
      </c>
      <c r="Q70" s="76">
        <v>58.3</v>
      </c>
      <c r="R70" s="76">
        <v>54.5</v>
      </c>
      <c r="S70" s="76">
        <v>52.5</v>
      </c>
      <c r="T70" s="76">
        <v>54</v>
      </c>
      <c r="U70" s="76">
        <v>49</v>
      </c>
      <c r="V70" s="76">
        <v>49</v>
      </c>
      <c r="W70" s="76">
        <v>51</v>
      </c>
      <c r="X70" s="65">
        <v>53.7</v>
      </c>
      <c r="Y70" s="65">
        <v>54.7</v>
      </c>
      <c r="Z70" s="65">
        <v>55</v>
      </c>
      <c r="AA70" s="65">
        <v>54.2</v>
      </c>
      <c r="AB70" s="65">
        <v>54.2</v>
      </c>
      <c r="AC70" s="65">
        <v>51</v>
      </c>
      <c r="AD70" s="65">
        <v>48</v>
      </c>
      <c r="AE70" s="65">
        <v>40</v>
      </c>
      <c r="AF70" s="65">
        <v>45</v>
      </c>
      <c r="AG70" s="75"/>
      <c r="AH70" s="48">
        <f t="shared" si="2"/>
        <v>58.3</v>
      </c>
      <c r="AI70" s="49">
        <f t="shared" si="3"/>
        <v>25</v>
      </c>
      <c r="AK70" s="50"/>
    </row>
    <row r="71" spans="1:40" x14ac:dyDescent="0.25">
      <c r="A71" s="54" t="s">
        <v>79</v>
      </c>
      <c r="B71" s="45">
        <v>30</v>
      </c>
      <c r="C71" s="45">
        <v>30</v>
      </c>
      <c r="D71" s="45">
        <v>30</v>
      </c>
      <c r="E71" s="45">
        <v>25</v>
      </c>
      <c r="F71" s="45">
        <v>25</v>
      </c>
      <c r="G71" s="45">
        <v>25</v>
      </c>
      <c r="H71" s="45">
        <v>25</v>
      </c>
      <c r="I71" s="45">
        <v>30</v>
      </c>
      <c r="J71" s="45">
        <v>30</v>
      </c>
      <c r="K71" s="45">
        <v>30</v>
      </c>
      <c r="L71" s="45">
        <v>30</v>
      </c>
      <c r="M71" s="45">
        <v>30</v>
      </c>
      <c r="N71" s="45">
        <v>30</v>
      </c>
      <c r="O71" s="45">
        <v>30</v>
      </c>
      <c r="P71" s="45">
        <v>30</v>
      </c>
      <c r="Q71" s="45">
        <v>30</v>
      </c>
      <c r="R71" s="45">
        <v>30</v>
      </c>
      <c r="S71" s="45">
        <v>30</v>
      </c>
      <c r="T71" s="45">
        <v>30</v>
      </c>
      <c r="U71" s="45">
        <v>30</v>
      </c>
      <c r="V71" s="45">
        <v>30</v>
      </c>
      <c r="W71" s="45">
        <v>30</v>
      </c>
      <c r="X71" s="45">
        <v>30</v>
      </c>
      <c r="Y71" s="45">
        <v>30</v>
      </c>
      <c r="Z71" s="45">
        <v>30</v>
      </c>
      <c r="AA71" s="45">
        <v>30</v>
      </c>
      <c r="AB71" s="45">
        <v>30</v>
      </c>
      <c r="AC71" s="45">
        <v>30</v>
      </c>
      <c r="AD71" s="45">
        <v>30</v>
      </c>
      <c r="AE71" s="45">
        <v>30</v>
      </c>
      <c r="AF71" s="45">
        <v>30</v>
      </c>
      <c r="AG71" s="75"/>
      <c r="AH71" s="48">
        <f t="shared" si="2"/>
        <v>30</v>
      </c>
      <c r="AI71" s="49">
        <f t="shared" si="3"/>
        <v>25</v>
      </c>
      <c r="AK71" s="50"/>
    </row>
    <row r="72" spans="1:40" x14ac:dyDescent="0.25">
      <c r="A72" s="54" t="s">
        <v>80</v>
      </c>
      <c r="B72" s="77">
        <v>5</v>
      </c>
      <c r="C72" s="77">
        <v>5</v>
      </c>
      <c r="D72" s="77">
        <v>5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5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14">MAX(B75:AF75)</f>
        <v>0</v>
      </c>
      <c r="AI75" s="49">
        <f t="shared" ref="AI75:AI113" si="15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14"/>
        <v>0</v>
      </c>
      <c r="AI76" s="49">
        <f t="shared" si="15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14"/>
        <v>0</v>
      </c>
      <c r="AI77" s="49">
        <f t="shared" si="15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v>344.6</v>
      </c>
      <c r="C78" s="61">
        <f t="shared" ref="C78:AF78" si="16">SUMIF(C67:C77,"&gt;0")</f>
        <v>311</v>
      </c>
      <c r="D78" s="61">
        <f t="shared" si="16"/>
        <v>305.10000000000002</v>
      </c>
      <c r="E78" s="61">
        <f t="shared" si="16"/>
        <v>331.8</v>
      </c>
      <c r="F78" s="61">
        <f t="shared" si="16"/>
        <v>305</v>
      </c>
      <c r="G78" s="61">
        <f t="shared" si="16"/>
        <v>276</v>
      </c>
      <c r="H78" s="61">
        <f t="shared" si="16"/>
        <v>332</v>
      </c>
      <c r="I78" s="61">
        <f t="shared" si="16"/>
        <v>360.7</v>
      </c>
      <c r="J78" s="61">
        <f t="shared" si="16"/>
        <v>372</v>
      </c>
      <c r="K78" s="61">
        <f t="shared" si="16"/>
        <v>355</v>
      </c>
      <c r="L78" s="61">
        <f t="shared" si="16"/>
        <v>129</v>
      </c>
      <c r="M78" s="61">
        <f t="shared" si="16"/>
        <v>127.8</v>
      </c>
      <c r="N78" s="61">
        <f t="shared" si="16"/>
        <v>127.2</v>
      </c>
      <c r="O78" s="61">
        <f t="shared" si="16"/>
        <v>184.3</v>
      </c>
      <c r="P78" s="61">
        <f t="shared" si="16"/>
        <v>208.6</v>
      </c>
      <c r="Q78" s="61">
        <f t="shared" si="16"/>
        <v>386.3</v>
      </c>
      <c r="R78" s="61">
        <f t="shared" si="16"/>
        <v>406.5</v>
      </c>
      <c r="S78" s="61">
        <f t="shared" si="16"/>
        <v>409.3</v>
      </c>
      <c r="T78" s="61">
        <f t="shared" si="16"/>
        <v>397</v>
      </c>
      <c r="U78" s="61">
        <f t="shared" si="16"/>
        <v>389.2</v>
      </c>
      <c r="V78" s="61">
        <f t="shared" si="16"/>
        <v>309.3</v>
      </c>
      <c r="W78" s="61">
        <f t="shared" si="16"/>
        <v>239</v>
      </c>
      <c r="X78" s="61">
        <v>151.6</v>
      </c>
      <c r="Y78" s="61">
        <f t="shared" si="16"/>
        <v>167.7</v>
      </c>
      <c r="Z78" s="61">
        <f t="shared" si="16"/>
        <v>152.1</v>
      </c>
      <c r="AA78" s="61">
        <f t="shared" si="16"/>
        <v>148.69999999999999</v>
      </c>
      <c r="AB78" s="61">
        <f t="shared" si="16"/>
        <v>244.5</v>
      </c>
      <c r="AC78" s="61">
        <f t="shared" si="16"/>
        <v>283</v>
      </c>
      <c r="AD78" s="61">
        <f t="shared" si="16"/>
        <v>278</v>
      </c>
      <c r="AE78" s="61">
        <f t="shared" si="16"/>
        <v>360</v>
      </c>
      <c r="AF78" s="61">
        <f t="shared" si="16"/>
        <v>364</v>
      </c>
      <c r="AG78" s="81">
        <f>SUM(AG67:AG77)</f>
        <v>0</v>
      </c>
      <c r="AH78" s="48">
        <f t="shared" si="14"/>
        <v>409.3</v>
      </c>
      <c r="AI78" s="49">
        <f t="shared" si="15"/>
        <v>127.2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14"/>
        <v>0</v>
      </c>
      <c r="AI79" s="49">
        <f t="shared" si="15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14"/>
        <v>0</v>
      </c>
      <c r="AI80" s="49">
        <f t="shared" si="15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4"/>
        <v>0</v>
      </c>
      <c r="AI81" s="49">
        <f t="shared" si="15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14"/>
        <v>0</v>
      </c>
      <c r="AI82" s="49">
        <f t="shared" si="15"/>
        <v>0</v>
      </c>
    </row>
    <row r="83" spans="1:37" ht="15.75" thickBot="1" x14ac:dyDescent="0.3">
      <c r="A83" s="74" t="s">
        <v>91</v>
      </c>
      <c r="B83" s="83">
        <f t="shared" ref="B83" si="17">B44+B48+B66+B62+B78+B82</f>
        <v>1062.44</v>
      </c>
      <c r="C83" s="83">
        <f t="shared" ref="C83:AG83" si="18">C44+C48+C66+C62+C78+C82</f>
        <v>1023.5400000000001</v>
      </c>
      <c r="D83" s="83">
        <f t="shared" si="18"/>
        <v>1019.5400000000001</v>
      </c>
      <c r="E83" s="83">
        <f t="shared" si="18"/>
        <v>1049.24</v>
      </c>
      <c r="F83" s="83">
        <f t="shared" si="18"/>
        <v>1022.6399999999999</v>
      </c>
      <c r="G83" s="83">
        <f t="shared" si="18"/>
        <v>1045.1399999999999</v>
      </c>
      <c r="H83" s="83">
        <f t="shared" si="18"/>
        <v>1171.3399999999999</v>
      </c>
      <c r="I83" s="83">
        <f t="shared" si="18"/>
        <v>1245.24</v>
      </c>
      <c r="J83" s="83">
        <f t="shared" si="18"/>
        <v>1371.24</v>
      </c>
      <c r="K83" s="83">
        <f t="shared" si="18"/>
        <v>1430.94</v>
      </c>
      <c r="L83" s="83">
        <f t="shared" si="18"/>
        <v>1524.04</v>
      </c>
      <c r="M83" s="83">
        <f t="shared" si="18"/>
        <v>1619.24</v>
      </c>
      <c r="N83" s="83">
        <f t="shared" si="18"/>
        <v>1613.64</v>
      </c>
      <c r="O83" s="83">
        <f t="shared" si="18"/>
        <v>1603.54</v>
      </c>
      <c r="P83" s="83">
        <f t="shared" si="18"/>
        <v>1397.34</v>
      </c>
      <c r="Q83" s="83">
        <f t="shared" si="18"/>
        <v>1392.44</v>
      </c>
      <c r="R83" s="83">
        <f t="shared" si="18"/>
        <v>1126.5</v>
      </c>
      <c r="S83" s="83">
        <f t="shared" si="18"/>
        <v>1354.74</v>
      </c>
      <c r="T83" s="83">
        <f t="shared" si="18"/>
        <v>1342.1399999999999</v>
      </c>
      <c r="U83" s="83">
        <f t="shared" si="18"/>
        <v>1370.64</v>
      </c>
      <c r="V83" s="83">
        <f t="shared" si="18"/>
        <v>1385.24</v>
      </c>
      <c r="W83" s="83">
        <f t="shared" si="18"/>
        <v>1461.24</v>
      </c>
      <c r="X83" s="83">
        <v>1704.6399999999999</v>
      </c>
      <c r="Y83" s="83">
        <f t="shared" si="18"/>
        <v>1558.8400000000001</v>
      </c>
      <c r="Z83" s="83">
        <f t="shared" si="18"/>
        <v>1555.1399999999999</v>
      </c>
      <c r="AA83" s="83">
        <f t="shared" si="18"/>
        <v>1546.34</v>
      </c>
      <c r="AB83" s="83">
        <f t="shared" si="18"/>
        <v>1557.3400000000001</v>
      </c>
      <c r="AC83" s="83">
        <f t="shared" si="18"/>
        <v>1397.1399999999999</v>
      </c>
      <c r="AD83" s="83">
        <f t="shared" si="18"/>
        <v>1338.04</v>
      </c>
      <c r="AE83" s="83">
        <f t="shared" si="18"/>
        <v>1214.04</v>
      </c>
      <c r="AF83" s="83">
        <f t="shared" si="18"/>
        <v>1109.8399999999999</v>
      </c>
      <c r="AG83" s="62">
        <f t="shared" si="18"/>
        <v>2004.1900000000003</v>
      </c>
      <c r="AH83" s="48">
        <f>MAX(B83:AF83)</f>
        <v>1704.6399999999999</v>
      </c>
      <c r="AI83" s="49">
        <f>MIN(B83:AF83)</f>
        <v>1019.5400000000001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14"/>
        <v>0</v>
      </c>
      <c r="AI84" s="49">
        <f t="shared" si="15"/>
        <v>0</v>
      </c>
    </row>
    <row r="85" spans="1:37" ht="15.75" thickBot="1" x14ac:dyDescent="0.3">
      <c r="A85" s="74" t="s">
        <v>93</v>
      </c>
      <c r="B85" s="83">
        <f>B83+B84</f>
        <v>1062.44</v>
      </c>
      <c r="C85" s="83">
        <f t="shared" ref="C85:AF85" si="19">C83+C84</f>
        <v>1023.5400000000001</v>
      </c>
      <c r="D85" s="83">
        <f t="shared" si="19"/>
        <v>1019.5400000000001</v>
      </c>
      <c r="E85" s="83">
        <f t="shared" si="19"/>
        <v>1049.24</v>
      </c>
      <c r="F85" s="83">
        <f t="shared" si="19"/>
        <v>1022.6399999999999</v>
      </c>
      <c r="G85" s="83">
        <f t="shared" si="19"/>
        <v>1045.1399999999999</v>
      </c>
      <c r="H85" s="83">
        <f t="shared" si="19"/>
        <v>1171.3399999999999</v>
      </c>
      <c r="I85" s="83">
        <f t="shared" si="19"/>
        <v>1245.24</v>
      </c>
      <c r="J85" s="83">
        <f t="shared" si="19"/>
        <v>1371.24</v>
      </c>
      <c r="K85" s="83">
        <f t="shared" si="19"/>
        <v>1430.94</v>
      </c>
      <c r="L85" s="83">
        <f t="shared" si="19"/>
        <v>1524.04</v>
      </c>
      <c r="M85" s="83">
        <f t="shared" si="19"/>
        <v>1619.24</v>
      </c>
      <c r="N85" s="83">
        <f t="shared" si="19"/>
        <v>1613.64</v>
      </c>
      <c r="O85" s="83">
        <f t="shared" si="19"/>
        <v>1603.54</v>
      </c>
      <c r="P85" s="83">
        <f t="shared" si="19"/>
        <v>1397.34</v>
      </c>
      <c r="Q85" s="83">
        <f t="shared" si="19"/>
        <v>1392.44</v>
      </c>
      <c r="R85" s="83">
        <f t="shared" si="19"/>
        <v>1126.5</v>
      </c>
      <c r="S85" s="83">
        <f t="shared" si="19"/>
        <v>1354.74</v>
      </c>
      <c r="T85" s="83">
        <f t="shared" si="19"/>
        <v>1342.1399999999999</v>
      </c>
      <c r="U85" s="83">
        <f t="shared" si="19"/>
        <v>1370.64</v>
      </c>
      <c r="V85" s="83">
        <f t="shared" si="19"/>
        <v>1385.24</v>
      </c>
      <c r="W85" s="83">
        <f t="shared" si="19"/>
        <v>1461.24</v>
      </c>
      <c r="X85" s="83">
        <v>1704.6399999999999</v>
      </c>
      <c r="Y85" s="83">
        <f t="shared" si="19"/>
        <v>1558.8400000000001</v>
      </c>
      <c r="Z85" s="83">
        <f t="shared" si="19"/>
        <v>1555.1399999999999</v>
      </c>
      <c r="AA85" s="83">
        <f t="shared" si="19"/>
        <v>1546.34</v>
      </c>
      <c r="AB85" s="83">
        <f t="shared" si="19"/>
        <v>1557.3400000000001</v>
      </c>
      <c r="AC85" s="83">
        <f t="shared" si="19"/>
        <v>1397.1399999999999</v>
      </c>
      <c r="AD85" s="83">
        <f t="shared" si="19"/>
        <v>1338.04</v>
      </c>
      <c r="AE85" s="83">
        <f t="shared" si="19"/>
        <v>1214.04</v>
      </c>
      <c r="AF85" s="83">
        <f t="shared" si="19"/>
        <v>1109.8399999999999</v>
      </c>
      <c r="AG85" s="81">
        <f>AG82+AG78+AG66+AG62+AG44+AG84</f>
        <v>1466.0900000000001</v>
      </c>
      <c r="AH85" s="48">
        <f t="shared" si="14"/>
        <v>1704.6399999999999</v>
      </c>
      <c r="AI85" s="49">
        <f t="shared" si="15"/>
        <v>1019.5400000000001</v>
      </c>
    </row>
    <row r="86" spans="1:37" ht="15.75" thickBot="1" x14ac:dyDescent="0.3">
      <c r="A86" s="74" t="s">
        <v>94</v>
      </c>
      <c r="B86" s="83">
        <f t="shared" ref="B86:AF86" si="20">B85-B93</f>
        <v>1062.44</v>
      </c>
      <c r="C86" s="83">
        <f t="shared" si="20"/>
        <v>1023.5400000000001</v>
      </c>
      <c r="D86" s="83">
        <f t="shared" si="20"/>
        <v>1019.5400000000001</v>
      </c>
      <c r="E86" s="83">
        <f t="shared" si="20"/>
        <v>1049.24</v>
      </c>
      <c r="F86" s="83">
        <f t="shared" si="20"/>
        <v>1022.6399999999999</v>
      </c>
      <c r="G86" s="83">
        <f t="shared" si="20"/>
        <v>1045.1399999999999</v>
      </c>
      <c r="H86" s="83">
        <f t="shared" si="20"/>
        <v>1171.3399999999999</v>
      </c>
      <c r="I86" s="83">
        <f t="shared" si="20"/>
        <v>1245.24</v>
      </c>
      <c r="J86" s="83">
        <f t="shared" si="20"/>
        <v>1371.24</v>
      </c>
      <c r="K86" s="83">
        <f t="shared" si="20"/>
        <v>1430.94</v>
      </c>
      <c r="L86" s="83">
        <f t="shared" si="20"/>
        <v>1524.04</v>
      </c>
      <c r="M86" s="83">
        <f t="shared" si="20"/>
        <v>1619.24</v>
      </c>
      <c r="N86" s="83">
        <f t="shared" si="20"/>
        <v>1613.64</v>
      </c>
      <c r="O86" s="83">
        <f t="shared" si="20"/>
        <v>1603.54</v>
      </c>
      <c r="P86" s="83">
        <f t="shared" si="20"/>
        <v>1397.34</v>
      </c>
      <c r="Q86" s="83">
        <f t="shared" si="20"/>
        <v>1392.44</v>
      </c>
      <c r="R86" s="83">
        <f t="shared" si="20"/>
        <v>1126.5</v>
      </c>
      <c r="S86" s="83">
        <f t="shared" si="20"/>
        <v>1354.74</v>
      </c>
      <c r="T86" s="83">
        <f t="shared" si="20"/>
        <v>1342.1399999999999</v>
      </c>
      <c r="U86" s="83">
        <f t="shared" si="20"/>
        <v>1370.64</v>
      </c>
      <c r="V86" s="83">
        <f t="shared" si="20"/>
        <v>1385.24</v>
      </c>
      <c r="W86" s="83">
        <f t="shared" si="20"/>
        <v>1461.24</v>
      </c>
      <c r="X86" s="83">
        <v>1704.6399999999999</v>
      </c>
      <c r="Y86" s="83">
        <f t="shared" si="20"/>
        <v>1508.8400000000001</v>
      </c>
      <c r="Z86" s="83">
        <f t="shared" si="20"/>
        <v>1555.1399999999999</v>
      </c>
      <c r="AA86" s="83">
        <f t="shared" si="20"/>
        <v>1546.34</v>
      </c>
      <c r="AB86" s="83">
        <f t="shared" si="20"/>
        <v>1557.3400000000001</v>
      </c>
      <c r="AC86" s="83">
        <f t="shared" si="20"/>
        <v>1397.1399999999999</v>
      </c>
      <c r="AD86" s="83">
        <f t="shared" si="20"/>
        <v>1338.04</v>
      </c>
      <c r="AE86" s="83">
        <f t="shared" si="20"/>
        <v>1214.04</v>
      </c>
      <c r="AF86" s="83">
        <f t="shared" si="20"/>
        <v>1109.8399999999999</v>
      </c>
      <c r="AG86" s="81"/>
      <c r="AH86" s="48">
        <f t="shared" si="14"/>
        <v>1704.6399999999999</v>
      </c>
      <c r="AI86" s="49">
        <f t="shared" si="15"/>
        <v>1019.5400000000001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14"/>
        <v>0</v>
      </c>
      <c r="AI87" s="49">
        <f t="shared" si="15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14"/>
        <v>0</v>
      </c>
      <c r="AI88" s="49">
        <f t="shared" si="15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14"/>
        <v>0</v>
      </c>
      <c r="AI89" s="49">
        <f t="shared" si="15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14"/>
        <v>0</v>
      </c>
      <c r="AI90" s="49">
        <f t="shared" si="15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14"/>
        <v>0</v>
      </c>
      <c r="AI91" s="49">
        <f t="shared" si="15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14"/>
        <v>0</v>
      </c>
      <c r="AI92" s="49">
        <f t="shared" si="15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>
        <v>50</v>
      </c>
      <c r="Z93" s="61"/>
      <c r="AA93" s="61"/>
      <c r="AB93" s="61"/>
      <c r="AC93" s="61"/>
      <c r="AD93" s="61"/>
      <c r="AE93" s="61"/>
      <c r="AF93" s="61"/>
      <c r="AG93" s="81"/>
      <c r="AH93" s="48">
        <f t="shared" si="14"/>
        <v>50</v>
      </c>
      <c r="AI93" s="49">
        <f t="shared" si="15"/>
        <v>0</v>
      </c>
      <c r="AK93" s="50"/>
    </row>
    <row r="94" spans="1:37" ht="15.75" thickBot="1" x14ac:dyDescent="0.3">
      <c r="A94" s="74" t="s">
        <v>99</v>
      </c>
      <c r="B94" s="61">
        <f t="shared" ref="B94:AF94" si="21">B78-B93</f>
        <v>344.6</v>
      </c>
      <c r="C94" s="61">
        <f t="shared" si="21"/>
        <v>311</v>
      </c>
      <c r="D94" s="61">
        <f t="shared" si="21"/>
        <v>305.10000000000002</v>
      </c>
      <c r="E94" s="61">
        <f t="shared" si="21"/>
        <v>331.8</v>
      </c>
      <c r="F94" s="61">
        <f t="shared" si="21"/>
        <v>305</v>
      </c>
      <c r="G94" s="61">
        <f t="shared" si="21"/>
        <v>276</v>
      </c>
      <c r="H94" s="61">
        <f t="shared" si="21"/>
        <v>332</v>
      </c>
      <c r="I94" s="61">
        <f t="shared" si="21"/>
        <v>360.7</v>
      </c>
      <c r="J94" s="61">
        <f t="shared" si="21"/>
        <v>372</v>
      </c>
      <c r="K94" s="61">
        <f t="shared" si="21"/>
        <v>355</v>
      </c>
      <c r="L94" s="61">
        <f t="shared" si="21"/>
        <v>129</v>
      </c>
      <c r="M94" s="61">
        <f t="shared" si="21"/>
        <v>127.8</v>
      </c>
      <c r="N94" s="61">
        <f t="shared" si="21"/>
        <v>127.2</v>
      </c>
      <c r="O94" s="61">
        <f t="shared" si="21"/>
        <v>184.3</v>
      </c>
      <c r="P94" s="61">
        <f t="shared" si="21"/>
        <v>208.6</v>
      </c>
      <c r="Q94" s="61">
        <f t="shared" si="21"/>
        <v>386.3</v>
      </c>
      <c r="R94" s="61">
        <f t="shared" si="21"/>
        <v>406.5</v>
      </c>
      <c r="S94" s="61">
        <f t="shared" si="21"/>
        <v>409.3</v>
      </c>
      <c r="T94" s="61">
        <f t="shared" si="21"/>
        <v>397</v>
      </c>
      <c r="U94" s="61">
        <f t="shared" si="21"/>
        <v>389.2</v>
      </c>
      <c r="V94" s="61">
        <f t="shared" si="21"/>
        <v>309.3</v>
      </c>
      <c r="W94" s="61">
        <f t="shared" si="21"/>
        <v>239</v>
      </c>
      <c r="X94" s="61">
        <v>151.6</v>
      </c>
      <c r="Y94" s="61">
        <f t="shared" si="21"/>
        <v>117.69999999999999</v>
      </c>
      <c r="Z94" s="61">
        <f t="shared" si="21"/>
        <v>152.1</v>
      </c>
      <c r="AA94" s="61">
        <f t="shared" si="21"/>
        <v>148.69999999999999</v>
      </c>
      <c r="AB94" s="61">
        <f t="shared" si="21"/>
        <v>244.5</v>
      </c>
      <c r="AC94" s="61">
        <f t="shared" si="21"/>
        <v>283</v>
      </c>
      <c r="AD94" s="61">
        <f t="shared" si="21"/>
        <v>278</v>
      </c>
      <c r="AE94" s="61">
        <f t="shared" si="21"/>
        <v>360</v>
      </c>
      <c r="AF94" s="61">
        <f t="shared" si="21"/>
        <v>364</v>
      </c>
      <c r="AG94" s="81"/>
      <c r="AH94" s="48">
        <f t="shared" si="14"/>
        <v>409.3</v>
      </c>
      <c r="AI94" s="49">
        <f t="shared" si="15"/>
        <v>117.69999999999999</v>
      </c>
    </row>
    <row r="95" spans="1:37" x14ac:dyDescent="0.25">
      <c r="A95" s="88" t="s">
        <v>100</v>
      </c>
      <c r="B95" s="89">
        <v>50.012999999999998</v>
      </c>
      <c r="C95" s="89">
        <v>49.994999999999997</v>
      </c>
      <c r="D95" s="89">
        <v>49.973999999999997</v>
      </c>
      <c r="E95" s="89">
        <v>50.043999999999997</v>
      </c>
      <c r="F95" s="89">
        <v>49.951000000000001</v>
      </c>
      <c r="G95" s="89">
        <v>49.97</v>
      </c>
      <c r="H95" s="89">
        <v>49.970999999999997</v>
      </c>
      <c r="I95" s="89">
        <v>49.953000000000003</v>
      </c>
      <c r="J95" s="89"/>
      <c r="K95" s="89">
        <v>50.133000000000003</v>
      </c>
      <c r="L95" s="89">
        <v>49.933999999999997</v>
      </c>
      <c r="M95" s="89">
        <v>50.023000000000003</v>
      </c>
      <c r="N95" s="89">
        <v>49.847000000000001</v>
      </c>
      <c r="O95" s="89">
        <v>49.895000000000003</v>
      </c>
      <c r="P95" s="89">
        <v>50.07</v>
      </c>
      <c r="Q95" s="89">
        <v>50.030999999999999</v>
      </c>
      <c r="R95" s="89">
        <v>50.03</v>
      </c>
      <c r="S95" s="89">
        <v>50.140999999999998</v>
      </c>
      <c r="T95" s="89">
        <v>50.069000000000003</v>
      </c>
      <c r="U95" s="89">
        <v>50.091000000000001</v>
      </c>
      <c r="V95" s="89">
        <v>49.863999999999997</v>
      </c>
      <c r="W95" s="89">
        <v>50.17</v>
      </c>
      <c r="X95" s="89">
        <v>50.058999999999997</v>
      </c>
      <c r="Y95" s="89">
        <v>49.99</v>
      </c>
      <c r="Z95" s="89">
        <v>50.174999999999997</v>
      </c>
      <c r="AA95" s="89">
        <v>50.094999999999999</v>
      </c>
      <c r="AB95" s="89">
        <v>50.06</v>
      </c>
      <c r="AC95" s="89">
        <v>49.98</v>
      </c>
      <c r="AD95" s="89">
        <v>50.04</v>
      </c>
      <c r="AE95" s="89">
        <v>49.98</v>
      </c>
      <c r="AF95" s="89">
        <v>49.98</v>
      </c>
      <c r="AG95" s="90"/>
      <c r="AH95" s="48">
        <f t="shared" si="14"/>
        <v>50.174999999999997</v>
      </c>
      <c r="AI95" s="49">
        <f t="shared" si="15"/>
        <v>49.847000000000001</v>
      </c>
    </row>
    <row r="96" spans="1:37" x14ac:dyDescent="0.25">
      <c r="A96" s="91" t="s">
        <v>101</v>
      </c>
      <c r="B96" s="65">
        <v>129.1</v>
      </c>
      <c r="C96" s="65">
        <v>128.69999999999999</v>
      </c>
      <c r="D96" s="65">
        <v>130.4</v>
      </c>
      <c r="E96" s="65">
        <v>128.4</v>
      </c>
      <c r="F96" s="65">
        <v>129.30000000000001</v>
      </c>
      <c r="G96" s="65">
        <v>128.1</v>
      </c>
      <c r="H96" s="65">
        <v>126.6</v>
      </c>
      <c r="I96" s="65">
        <v>124.8</v>
      </c>
      <c r="J96" s="65"/>
      <c r="K96" s="65">
        <v>125.5</v>
      </c>
      <c r="L96" s="65">
        <v>124.3</v>
      </c>
      <c r="M96" s="65">
        <v>124.3</v>
      </c>
      <c r="N96" s="65">
        <v>124.2</v>
      </c>
      <c r="O96" s="65">
        <v>126.1</v>
      </c>
      <c r="P96" s="65">
        <v>124.7</v>
      </c>
      <c r="Q96" s="65">
        <v>123.7</v>
      </c>
      <c r="R96" s="65">
        <v>126.1</v>
      </c>
      <c r="S96" s="65">
        <v>125.4</v>
      </c>
      <c r="T96" s="65">
        <v>125.6</v>
      </c>
      <c r="U96" s="65">
        <v>125.6</v>
      </c>
      <c r="V96" s="65">
        <v>126</v>
      </c>
      <c r="W96" s="65">
        <v>128</v>
      </c>
      <c r="X96" s="65">
        <v>126.2</v>
      </c>
      <c r="Y96" s="65">
        <v>128.6</v>
      </c>
      <c r="Z96" s="65">
        <v>128.69999999999999</v>
      </c>
      <c r="AA96" s="65">
        <v>127.7</v>
      </c>
      <c r="AB96" s="65">
        <v>128.9</v>
      </c>
      <c r="AC96" s="65">
        <v>129.4</v>
      </c>
      <c r="AD96" s="65">
        <v>129.5</v>
      </c>
      <c r="AE96" s="65">
        <v>129.5</v>
      </c>
      <c r="AF96" s="65">
        <v>129.5</v>
      </c>
      <c r="AG96" s="92"/>
      <c r="AH96" s="48">
        <f t="shared" si="14"/>
        <v>130.4</v>
      </c>
      <c r="AI96" s="49">
        <f t="shared" si="15"/>
        <v>123.7</v>
      </c>
    </row>
    <row r="97" spans="1:35" x14ac:dyDescent="0.25">
      <c r="A97" s="91" t="s">
        <v>102</v>
      </c>
      <c r="B97" s="65">
        <v>132.5</v>
      </c>
      <c r="C97" s="65">
        <v>132.5</v>
      </c>
      <c r="D97" s="65">
        <v>133.6</v>
      </c>
      <c r="E97" s="65">
        <v>132.30000000000001</v>
      </c>
      <c r="F97" s="65">
        <v>133.1</v>
      </c>
      <c r="G97" s="65">
        <v>131.6</v>
      </c>
      <c r="H97" s="65">
        <v>130.6</v>
      </c>
      <c r="I97" s="65">
        <v>128.9</v>
      </c>
      <c r="J97" s="65"/>
      <c r="K97" s="65">
        <v>128.4</v>
      </c>
      <c r="L97" s="65">
        <v>127</v>
      </c>
      <c r="M97" s="65">
        <v>127.2</v>
      </c>
      <c r="N97" s="65">
        <v>127</v>
      </c>
      <c r="O97" s="65">
        <v>128</v>
      </c>
      <c r="P97" s="65">
        <v>126.5</v>
      </c>
      <c r="Q97" s="65">
        <v>126.3</v>
      </c>
      <c r="R97" s="65">
        <v>128</v>
      </c>
      <c r="S97" s="65">
        <v>127.7</v>
      </c>
      <c r="T97" s="65">
        <v>127.3</v>
      </c>
      <c r="U97" s="65">
        <v>126.8</v>
      </c>
      <c r="V97" s="65">
        <v>127.1</v>
      </c>
      <c r="W97" s="65"/>
      <c r="X97" s="65"/>
      <c r="Y97" s="65"/>
      <c r="Z97" s="65"/>
      <c r="AA97" s="65">
        <v>129.5</v>
      </c>
      <c r="AB97" s="65">
        <v>130.4</v>
      </c>
      <c r="AC97" s="65">
        <v>130</v>
      </c>
      <c r="AD97" s="65">
        <v>130</v>
      </c>
      <c r="AE97" s="65">
        <v>130</v>
      </c>
      <c r="AF97" s="65">
        <v>130</v>
      </c>
      <c r="AG97" s="92"/>
      <c r="AH97" s="48">
        <f t="shared" si="14"/>
        <v>133.6</v>
      </c>
      <c r="AI97" s="49">
        <f t="shared" si="15"/>
        <v>126.3</v>
      </c>
    </row>
    <row r="98" spans="1:35" x14ac:dyDescent="0.25">
      <c r="A98" s="91" t="s">
        <v>103</v>
      </c>
      <c r="B98" s="65">
        <v>132.80000000000001</v>
      </c>
      <c r="C98" s="65">
        <v>131.6</v>
      </c>
      <c r="D98" s="65">
        <v>131.80000000000001</v>
      </c>
      <c r="E98" s="65">
        <v>130.80000000000001</v>
      </c>
      <c r="F98" s="65">
        <v>131.19999999999999</v>
      </c>
      <c r="G98" s="65">
        <v>130</v>
      </c>
      <c r="H98" s="65">
        <v>130.6</v>
      </c>
      <c r="I98" s="65">
        <v>129.69999999999999</v>
      </c>
      <c r="J98" s="65"/>
      <c r="K98" s="65">
        <v>130</v>
      </c>
      <c r="L98" s="65">
        <v>128.69999999999999</v>
      </c>
      <c r="M98" s="65">
        <v>128</v>
      </c>
      <c r="N98" s="65">
        <v>129.69999999999999</v>
      </c>
      <c r="O98" s="65">
        <v>127.7</v>
      </c>
      <c r="P98" s="65">
        <v>129.9</v>
      </c>
      <c r="Q98" s="65">
        <v>129.4</v>
      </c>
      <c r="R98" s="65">
        <v>129.9</v>
      </c>
      <c r="S98" s="65">
        <v>129.69999999999999</v>
      </c>
      <c r="T98" s="65">
        <v>130.69999999999999</v>
      </c>
      <c r="U98" s="65">
        <v>129.5</v>
      </c>
      <c r="V98" s="65">
        <v>130</v>
      </c>
      <c r="W98" s="65">
        <v>127</v>
      </c>
      <c r="X98" s="65">
        <v>128</v>
      </c>
      <c r="Y98" s="65">
        <v>130.9</v>
      </c>
      <c r="Z98" s="65">
        <v>131.5</v>
      </c>
      <c r="AA98" s="65">
        <v>132</v>
      </c>
      <c r="AB98" s="65">
        <v>132.80000000000001</v>
      </c>
      <c r="AC98" s="65">
        <v>132</v>
      </c>
      <c r="AD98" s="65">
        <v>132</v>
      </c>
      <c r="AE98" s="65">
        <v>132</v>
      </c>
      <c r="AF98" s="65">
        <v>132</v>
      </c>
      <c r="AG98" s="92"/>
      <c r="AH98" s="48">
        <f t="shared" si="14"/>
        <v>132.80000000000001</v>
      </c>
      <c r="AI98" s="49">
        <f t="shared" si="15"/>
        <v>127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4"/>
        <v>0</v>
      </c>
      <c r="AI99" s="49">
        <f t="shared" si="15"/>
        <v>0</v>
      </c>
    </row>
    <row r="100" spans="1:35" x14ac:dyDescent="0.25">
      <c r="A100" s="93" t="s">
        <v>105</v>
      </c>
      <c r="B100" s="94">
        <v>132.4</v>
      </c>
      <c r="C100" s="94">
        <v>134</v>
      </c>
      <c r="D100" s="94">
        <v>135</v>
      </c>
      <c r="E100" s="94">
        <v>132.80000000000001</v>
      </c>
      <c r="F100" s="94">
        <v>135.69999999999999</v>
      </c>
      <c r="G100" s="94">
        <v>131.5</v>
      </c>
      <c r="H100" s="94">
        <v>133.30000000000001</v>
      </c>
      <c r="I100" s="94">
        <v>130.6</v>
      </c>
      <c r="J100" s="94"/>
      <c r="K100" s="94">
        <v>132.80000000000001</v>
      </c>
      <c r="L100" s="94">
        <v>132.80000000000001</v>
      </c>
      <c r="M100" s="94">
        <v>133.1</v>
      </c>
      <c r="N100" s="94">
        <v>133.19999999999999</v>
      </c>
      <c r="O100" s="94">
        <v>134.5</v>
      </c>
      <c r="P100" s="94">
        <v>135</v>
      </c>
      <c r="Q100" s="94">
        <v>131.4</v>
      </c>
      <c r="R100" s="94">
        <v>133.5</v>
      </c>
      <c r="S100" s="94">
        <v>134</v>
      </c>
      <c r="T100" s="94">
        <v>133.30000000000001</v>
      </c>
      <c r="U100" s="94">
        <v>134</v>
      </c>
      <c r="V100" s="94">
        <v>135</v>
      </c>
      <c r="W100" s="94">
        <v>135</v>
      </c>
      <c r="X100" s="94">
        <v>134</v>
      </c>
      <c r="Y100" s="94">
        <v>134.6</v>
      </c>
      <c r="Z100" s="94">
        <v>134.80000000000001</v>
      </c>
      <c r="AA100" s="94">
        <v>134.69999999999999</v>
      </c>
      <c r="AB100" s="94">
        <v>136</v>
      </c>
      <c r="AC100" s="94">
        <v>135.6</v>
      </c>
      <c r="AD100" s="94">
        <v>133</v>
      </c>
      <c r="AE100" s="94">
        <v>133</v>
      </c>
      <c r="AF100" s="94">
        <v>133</v>
      </c>
      <c r="AG100" s="95"/>
      <c r="AH100" s="48">
        <f t="shared" si="14"/>
        <v>136</v>
      </c>
      <c r="AI100" s="49">
        <f t="shared" si="15"/>
        <v>130.6</v>
      </c>
    </row>
    <row r="101" spans="1:35" x14ac:dyDescent="0.25">
      <c r="A101" s="91" t="s">
        <v>106</v>
      </c>
      <c r="B101" s="65">
        <v>135.30000000000001</v>
      </c>
      <c r="C101" s="65">
        <v>132.69999999999999</v>
      </c>
      <c r="D101" s="65">
        <v>124</v>
      </c>
      <c r="E101" s="65">
        <v>128.69999999999999</v>
      </c>
      <c r="F101" s="65">
        <v>129.19999999999999</v>
      </c>
      <c r="G101" s="65">
        <v>136.30000000000001</v>
      </c>
      <c r="H101" s="65">
        <v>126.9</v>
      </c>
      <c r="I101" s="65">
        <v>125.2</v>
      </c>
      <c r="J101" s="65"/>
      <c r="K101" s="65">
        <v>131.9</v>
      </c>
      <c r="L101" s="65">
        <v>134.80000000000001</v>
      </c>
      <c r="M101" s="65">
        <v>133.4</v>
      </c>
      <c r="N101" s="65">
        <v>126.2</v>
      </c>
      <c r="O101" s="65">
        <v>122.9</v>
      </c>
      <c r="P101" s="65">
        <v>128.5</v>
      </c>
      <c r="Q101" s="65">
        <v>131.4</v>
      </c>
      <c r="R101" s="65">
        <v>132.80000000000001</v>
      </c>
      <c r="S101" s="65">
        <v>133.30000000000001</v>
      </c>
      <c r="T101" s="65">
        <v>132.6</v>
      </c>
      <c r="U101" s="65">
        <v>133</v>
      </c>
      <c r="V101" s="65">
        <v>130</v>
      </c>
      <c r="W101" s="65">
        <v>135</v>
      </c>
      <c r="X101" s="65">
        <v>130.69999999999999</v>
      </c>
      <c r="Y101" s="65">
        <v>132</v>
      </c>
      <c r="Z101" s="65">
        <v>131.80000000000001</v>
      </c>
      <c r="AA101" s="65">
        <v>131.6</v>
      </c>
      <c r="AB101" s="65">
        <v>130.6</v>
      </c>
      <c r="AC101" s="65">
        <v>129</v>
      </c>
      <c r="AD101" s="65">
        <v>130</v>
      </c>
      <c r="AE101" s="65">
        <v>130</v>
      </c>
      <c r="AF101" s="65">
        <v>130</v>
      </c>
      <c r="AG101" s="92"/>
      <c r="AH101" s="48">
        <f t="shared" si="14"/>
        <v>136.30000000000001</v>
      </c>
      <c r="AI101" s="49">
        <f t="shared" si="15"/>
        <v>122.9</v>
      </c>
    </row>
    <row r="102" spans="1:35" ht="15.75" thickBot="1" x14ac:dyDescent="0.3">
      <c r="A102" s="91" t="s">
        <v>107</v>
      </c>
      <c r="B102" s="96">
        <v>66.599999999999994</v>
      </c>
      <c r="C102" s="96">
        <v>66.599999999999994</v>
      </c>
      <c r="D102" s="96">
        <v>67</v>
      </c>
      <c r="E102" s="96">
        <v>66.5</v>
      </c>
      <c r="F102" s="96">
        <v>66.8</v>
      </c>
      <c r="G102" s="96">
        <v>66.099999999999994</v>
      </c>
      <c r="H102" s="96">
        <v>65.400000000000006</v>
      </c>
      <c r="I102" s="96">
        <v>64.7</v>
      </c>
      <c r="J102" s="96"/>
      <c r="K102" s="96">
        <v>64.400000000000006</v>
      </c>
      <c r="L102" s="96">
        <v>63.5</v>
      </c>
      <c r="M102" s="96">
        <v>63.4</v>
      </c>
      <c r="N102" s="96">
        <v>63.7</v>
      </c>
      <c r="O102" s="96">
        <v>63.9</v>
      </c>
      <c r="P102" s="96">
        <v>63.2</v>
      </c>
      <c r="Q102" s="96">
        <v>63.2</v>
      </c>
      <c r="R102" s="96">
        <v>64.2</v>
      </c>
      <c r="S102" s="96">
        <v>63.8</v>
      </c>
      <c r="T102" s="96">
        <v>63.6</v>
      </c>
      <c r="U102" s="96">
        <v>63.3</v>
      </c>
      <c r="V102" s="96">
        <v>63.3</v>
      </c>
      <c r="W102" s="96"/>
      <c r="X102" s="96"/>
      <c r="Y102" s="96"/>
      <c r="Z102" s="96">
        <v>65</v>
      </c>
      <c r="AA102" s="96">
        <v>65</v>
      </c>
      <c r="AB102" s="96">
        <v>65.099999999999994</v>
      </c>
      <c r="AC102" s="96">
        <v>65</v>
      </c>
      <c r="AD102" s="96">
        <v>65</v>
      </c>
      <c r="AE102" s="96">
        <v>65</v>
      </c>
      <c r="AF102" s="96">
        <v>65</v>
      </c>
      <c r="AG102" s="97"/>
      <c r="AH102" s="48">
        <f t="shared" si="14"/>
        <v>67</v>
      </c>
      <c r="AI102" s="49">
        <f t="shared" si="15"/>
        <v>63.2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4"/>
        <v>0</v>
      </c>
      <c r="AI103" s="49">
        <f t="shared" si="15"/>
        <v>0</v>
      </c>
    </row>
    <row r="104" spans="1:35" ht="15.75" thickBot="1" x14ac:dyDescent="0.3">
      <c r="A104" s="99" t="s">
        <v>108</v>
      </c>
      <c r="B104" s="100">
        <f t="shared" ref="B104:AF104" si="22">SUM(B16,B22,B25:B26,B52,B54:B55,B57,B59,B105:B109,B131,B137,B143,B152,B154,B166,B173,B176:B177,B184,B186,B188,B192:B194,B196:B198,B203,B209:B210,B212:B214,B222,B227)</f>
        <v>138.5</v>
      </c>
      <c r="C104" s="100">
        <f t="shared" si="22"/>
        <v>115.24</v>
      </c>
      <c r="D104" s="100">
        <f t="shared" si="22"/>
        <v>115.03999999999998</v>
      </c>
      <c r="E104" s="100">
        <f t="shared" si="22"/>
        <v>108.73999999999998</v>
      </c>
      <c r="F104" s="100">
        <f t="shared" si="22"/>
        <v>110.43999999999997</v>
      </c>
      <c r="G104" s="100">
        <f t="shared" si="22"/>
        <v>135.23999999999998</v>
      </c>
      <c r="H104" s="100">
        <f t="shared" si="22"/>
        <v>174.73999999999998</v>
      </c>
      <c r="I104" s="100">
        <f t="shared" si="22"/>
        <v>205.64</v>
      </c>
      <c r="J104" s="100">
        <f t="shared" si="22"/>
        <v>133.13999999999999</v>
      </c>
      <c r="K104" s="100">
        <f t="shared" si="22"/>
        <v>323.14</v>
      </c>
      <c r="L104" s="100">
        <f t="shared" si="22"/>
        <v>357.14</v>
      </c>
      <c r="M104" s="100">
        <f t="shared" si="22"/>
        <v>380.94</v>
      </c>
      <c r="N104" s="100">
        <f t="shared" si="22"/>
        <v>378.14</v>
      </c>
      <c r="O104" s="100">
        <f t="shared" si="22"/>
        <v>370.44</v>
      </c>
      <c r="P104" s="100">
        <v>42</v>
      </c>
      <c r="Q104" s="100">
        <f t="shared" si="22"/>
        <v>274.59999999999997</v>
      </c>
      <c r="R104" s="100">
        <f t="shared" si="22"/>
        <v>286</v>
      </c>
      <c r="S104" s="100">
        <f t="shared" si="22"/>
        <v>283.89999999999998</v>
      </c>
      <c r="T104" s="100">
        <f t="shared" si="22"/>
        <v>292.5</v>
      </c>
      <c r="U104" s="100">
        <f t="shared" si="22"/>
        <v>340.79999999999995</v>
      </c>
      <c r="V104" s="100">
        <f t="shared" si="22"/>
        <v>340.5</v>
      </c>
      <c r="W104" s="100">
        <f t="shared" si="22"/>
        <v>215.5</v>
      </c>
      <c r="X104" s="100">
        <v>390.59708333333339</v>
      </c>
      <c r="Y104" s="100">
        <f t="shared" si="22"/>
        <v>271.89999999999998</v>
      </c>
      <c r="Z104" s="100">
        <f t="shared" si="22"/>
        <v>363.9</v>
      </c>
      <c r="AA104" s="100">
        <f t="shared" si="22"/>
        <v>356.5</v>
      </c>
      <c r="AB104" s="100">
        <f t="shared" si="22"/>
        <v>307.10000000000002</v>
      </c>
      <c r="AC104" s="100">
        <f t="shared" si="22"/>
        <v>281.7</v>
      </c>
      <c r="AD104" s="100">
        <f t="shared" si="22"/>
        <v>255.7</v>
      </c>
      <c r="AE104" s="100">
        <f t="shared" si="22"/>
        <v>244.7</v>
      </c>
      <c r="AF104" s="100">
        <f t="shared" si="22"/>
        <v>225.5</v>
      </c>
      <c r="AG104" s="101"/>
      <c r="AH104" s="48">
        <f t="shared" si="14"/>
        <v>390.59708333333339</v>
      </c>
      <c r="AI104" s="49">
        <f t="shared" si="15"/>
        <v>42</v>
      </c>
    </row>
    <row r="105" spans="1:35" x14ac:dyDescent="0.25">
      <c r="A105" s="88" t="s">
        <v>109</v>
      </c>
      <c r="B105" s="102">
        <v>-2.1</v>
      </c>
      <c r="C105" s="102">
        <v>0</v>
      </c>
      <c r="D105" s="102">
        <v>2.2999999999999998</v>
      </c>
      <c r="E105" s="102">
        <v>-1.7</v>
      </c>
      <c r="F105" s="102">
        <v>3.2</v>
      </c>
      <c r="G105" s="102">
        <v>7</v>
      </c>
      <c r="H105" s="102">
        <v>18</v>
      </c>
      <c r="I105" s="102">
        <v>21</v>
      </c>
      <c r="J105" s="102"/>
      <c r="K105" s="102">
        <v>34</v>
      </c>
      <c r="L105" s="102">
        <v>35</v>
      </c>
      <c r="M105" s="102">
        <v>35</v>
      </c>
      <c r="N105" s="102">
        <v>35.9</v>
      </c>
      <c r="O105" s="102">
        <v>36.6</v>
      </c>
      <c r="P105" s="102">
        <v>47.4</v>
      </c>
      <c r="Q105" s="102">
        <v>27.7</v>
      </c>
      <c r="R105" s="102">
        <v>28.5</v>
      </c>
      <c r="S105" s="102">
        <v>25.4</v>
      </c>
      <c r="T105" s="102">
        <v>24.4</v>
      </c>
      <c r="U105" s="102">
        <v>36</v>
      </c>
      <c r="V105" s="102">
        <v>48.6</v>
      </c>
      <c r="W105" s="102">
        <v>-16</v>
      </c>
      <c r="X105" s="102"/>
      <c r="Y105" s="102">
        <v>-25</v>
      </c>
      <c r="Z105" s="102">
        <v>40</v>
      </c>
      <c r="AA105" s="102">
        <v>40.1</v>
      </c>
      <c r="AB105" s="102">
        <v>46.3</v>
      </c>
      <c r="AC105" s="102">
        <v>49</v>
      </c>
      <c r="AD105" s="102">
        <v>49</v>
      </c>
      <c r="AE105" s="102">
        <v>49</v>
      </c>
      <c r="AF105" s="102">
        <v>49</v>
      </c>
      <c r="AG105" s="103">
        <v>75</v>
      </c>
      <c r="AH105" s="48">
        <f t="shared" si="14"/>
        <v>49</v>
      </c>
      <c r="AI105" s="49">
        <f t="shared" si="15"/>
        <v>-25</v>
      </c>
    </row>
    <row r="106" spans="1:35" x14ac:dyDescent="0.25">
      <c r="A106" s="91" t="s">
        <v>110</v>
      </c>
      <c r="B106" s="104">
        <v>3</v>
      </c>
      <c r="C106" s="104">
        <v>5.3</v>
      </c>
      <c r="D106" s="104">
        <v>9.1999999999999993</v>
      </c>
      <c r="E106" s="104">
        <v>2.6</v>
      </c>
      <c r="F106" s="104">
        <v>8.5</v>
      </c>
      <c r="G106" s="104">
        <v>16</v>
      </c>
      <c r="H106" s="104">
        <v>30</v>
      </c>
      <c r="I106" s="104">
        <v>37</v>
      </c>
      <c r="J106" s="104"/>
      <c r="K106" s="104">
        <v>52</v>
      </c>
      <c r="L106" s="104">
        <v>53</v>
      </c>
      <c r="M106" s="104">
        <v>51</v>
      </c>
      <c r="N106" s="104">
        <v>54</v>
      </c>
      <c r="O106" s="104">
        <v>54.5</v>
      </c>
      <c r="P106" s="104">
        <v>70.7</v>
      </c>
      <c r="Q106" s="104">
        <v>43.4</v>
      </c>
      <c r="R106" s="104">
        <v>42.5</v>
      </c>
      <c r="S106" s="104">
        <v>36.700000000000003</v>
      </c>
      <c r="T106" s="104">
        <v>36.299999999999997</v>
      </c>
      <c r="U106" s="104">
        <v>52</v>
      </c>
      <c r="V106" s="104">
        <v>67.599999999999994</v>
      </c>
      <c r="W106" s="104">
        <v>65</v>
      </c>
      <c r="X106" s="104"/>
      <c r="Y106" s="104">
        <v>54.4</v>
      </c>
      <c r="Z106" s="104">
        <v>53.2</v>
      </c>
      <c r="AA106" s="104">
        <v>54.3</v>
      </c>
      <c r="AB106" s="104">
        <v>63</v>
      </c>
      <c r="AC106" s="104">
        <v>71</v>
      </c>
      <c r="AD106" s="104">
        <v>69</v>
      </c>
      <c r="AE106" s="104">
        <v>32</v>
      </c>
      <c r="AF106" s="104">
        <v>13</v>
      </c>
      <c r="AG106" s="103">
        <v>240</v>
      </c>
      <c r="AH106" s="48">
        <f t="shared" si="14"/>
        <v>71</v>
      </c>
      <c r="AI106" s="49">
        <f t="shared" si="15"/>
        <v>2.6</v>
      </c>
    </row>
    <row r="107" spans="1:35" x14ac:dyDescent="0.25">
      <c r="A107" s="91" t="s">
        <v>111</v>
      </c>
      <c r="B107" s="104">
        <f>-28-30</f>
        <v>-58</v>
      </c>
      <c r="C107" s="104">
        <v>-68.3</v>
      </c>
      <c r="D107" s="104">
        <f>-33-36</f>
        <v>-69</v>
      </c>
      <c r="E107" s="104">
        <v>-72</v>
      </c>
      <c r="F107" s="104">
        <v>-71</v>
      </c>
      <c r="G107" s="104">
        <v>-69</v>
      </c>
      <c r="H107" s="104">
        <v>-65</v>
      </c>
      <c r="I107" s="104">
        <v>-52</v>
      </c>
      <c r="J107" s="104"/>
      <c r="K107" s="104">
        <v>-20</v>
      </c>
      <c r="L107" s="104">
        <v>0</v>
      </c>
      <c r="M107" s="104">
        <v>4.8</v>
      </c>
      <c r="N107" s="104">
        <v>-7</v>
      </c>
      <c r="O107" s="104">
        <v>-4</v>
      </c>
      <c r="P107" s="104">
        <v>1</v>
      </c>
      <c r="Q107" s="104">
        <v>24</v>
      </c>
      <c r="R107" s="104">
        <v>38</v>
      </c>
      <c r="S107" s="104">
        <v>35</v>
      </c>
      <c r="T107" s="104">
        <v>38</v>
      </c>
      <c r="U107" s="104">
        <v>45</v>
      </c>
      <c r="V107" s="104">
        <v>27</v>
      </c>
      <c r="W107" s="104">
        <v>35</v>
      </c>
      <c r="X107" s="104"/>
      <c r="Y107" s="104">
        <v>-9</v>
      </c>
      <c r="Z107" s="104">
        <v>19</v>
      </c>
      <c r="AA107" s="104">
        <v>15</v>
      </c>
      <c r="AB107" s="104">
        <f>-33.3-7.5</f>
        <v>-40.799999999999997</v>
      </c>
      <c r="AC107" s="104">
        <v>-60</v>
      </c>
      <c r="AD107" s="104">
        <v>-68</v>
      </c>
      <c r="AE107" s="104">
        <v>-35</v>
      </c>
      <c r="AF107" s="104">
        <v>-40</v>
      </c>
      <c r="AG107" s="103">
        <v>240</v>
      </c>
      <c r="AH107" s="48">
        <f t="shared" si="14"/>
        <v>45</v>
      </c>
      <c r="AI107" s="49">
        <f t="shared" si="15"/>
        <v>-72</v>
      </c>
    </row>
    <row r="108" spans="1:35" x14ac:dyDescent="0.25">
      <c r="A108" s="91" t="s">
        <v>112</v>
      </c>
      <c r="B108" s="104">
        <v>4.7</v>
      </c>
      <c r="C108" s="104">
        <v>-5.3</v>
      </c>
      <c r="D108" s="104">
        <v>-4</v>
      </c>
      <c r="E108" s="104">
        <v>-5</v>
      </c>
      <c r="F108" s="104">
        <v>-4.3</v>
      </c>
      <c r="G108" s="104">
        <v>-1.6</v>
      </c>
      <c r="H108" s="104">
        <v>2.6</v>
      </c>
      <c r="I108" s="104">
        <v>1.5</v>
      </c>
      <c r="J108" s="104"/>
      <c r="K108" s="104">
        <v>20</v>
      </c>
      <c r="L108" s="104">
        <v>32</v>
      </c>
      <c r="M108" s="104">
        <v>44.1</v>
      </c>
      <c r="N108" s="104">
        <v>50.1</v>
      </c>
      <c r="O108" s="104">
        <v>45.6</v>
      </c>
      <c r="P108" s="104">
        <v>48.3</v>
      </c>
      <c r="Q108" s="104">
        <v>45.6</v>
      </c>
      <c r="R108" s="104">
        <v>43.1</v>
      </c>
      <c r="S108" s="104">
        <v>45</v>
      </c>
      <c r="T108" s="104">
        <v>52</v>
      </c>
      <c r="U108" s="104">
        <v>66</v>
      </c>
      <c r="V108" s="104">
        <v>66.400000000000006</v>
      </c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3">
        <v>60</v>
      </c>
      <c r="AH108" s="48">
        <f t="shared" si="14"/>
        <v>66.400000000000006</v>
      </c>
      <c r="AI108" s="49">
        <f t="shared" si="15"/>
        <v>-5.3</v>
      </c>
    </row>
    <row r="109" spans="1:35" x14ac:dyDescent="0.25">
      <c r="A109" s="105" t="s">
        <v>113</v>
      </c>
      <c r="B109" s="106">
        <v>56.6</v>
      </c>
      <c r="C109" s="106">
        <v>48.3</v>
      </c>
      <c r="D109" s="106">
        <v>41.3</v>
      </c>
      <c r="E109" s="106">
        <v>50</v>
      </c>
      <c r="F109" s="106">
        <v>39.200000000000003</v>
      </c>
      <c r="G109" s="106">
        <v>48</v>
      </c>
      <c r="H109" s="106">
        <v>56</v>
      </c>
      <c r="I109" s="106">
        <v>65</v>
      </c>
      <c r="J109" s="106"/>
      <c r="K109" s="106">
        <v>104</v>
      </c>
      <c r="L109" s="106">
        <v>104</v>
      </c>
      <c r="M109" s="106">
        <v>111.9</v>
      </c>
      <c r="N109" s="106">
        <v>111</v>
      </c>
      <c r="O109" s="106">
        <v>102.9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0</v>
      </c>
      <c r="W109" s="106">
        <v>0</v>
      </c>
      <c r="X109" s="106"/>
      <c r="Y109" s="106">
        <v>120</v>
      </c>
      <c r="Z109" s="106">
        <v>118</v>
      </c>
      <c r="AA109" s="106">
        <v>113.4</v>
      </c>
      <c r="AB109" s="106">
        <v>104.9</v>
      </c>
      <c r="AC109" s="106">
        <v>88</v>
      </c>
      <c r="AD109" s="106">
        <v>72</v>
      </c>
      <c r="AE109" s="106">
        <v>65</v>
      </c>
      <c r="AF109" s="106">
        <v>70</v>
      </c>
      <c r="AG109" s="107">
        <v>120</v>
      </c>
      <c r="AH109" s="48">
        <f t="shared" si="14"/>
        <v>120</v>
      </c>
      <c r="AI109" s="49">
        <f t="shared" si="15"/>
        <v>0</v>
      </c>
    </row>
    <row r="110" spans="1:35" x14ac:dyDescent="0.25">
      <c r="A110" s="105" t="s">
        <v>115</v>
      </c>
      <c r="B110" s="106">
        <v>65.2</v>
      </c>
      <c r="C110" s="106">
        <v>60.5</v>
      </c>
      <c r="D110" s="106">
        <v>51.6</v>
      </c>
      <c r="E110" s="106">
        <v>63</v>
      </c>
      <c r="F110" s="106">
        <v>50</v>
      </c>
      <c r="G110" s="106">
        <v>58</v>
      </c>
      <c r="H110" s="106">
        <v>63</v>
      </c>
      <c r="I110" s="106">
        <v>65</v>
      </c>
      <c r="J110" s="106"/>
      <c r="K110" s="106">
        <v>88</v>
      </c>
      <c r="L110" s="106">
        <v>99</v>
      </c>
      <c r="M110" s="106">
        <v>88.1</v>
      </c>
      <c r="N110" s="106">
        <v>84.9</v>
      </c>
      <c r="O110" s="106">
        <v>64.5</v>
      </c>
      <c r="P110" s="106">
        <v>73.8</v>
      </c>
      <c r="Q110" s="106">
        <v>99.7</v>
      </c>
      <c r="R110" s="106">
        <v>106</v>
      </c>
      <c r="S110" s="106">
        <v>103</v>
      </c>
      <c r="T110" s="106">
        <v>99</v>
      </c>
      <c r="U110" s="106">
        <v>81</v>
      </c>
      <c r="V110" s="106">
        <v>62.4</v>
      </c>
      <c r="W110" s="106">
        <v>60</v>
      </c>
      <c r="X110" s="106"/>
      <c r="Y110" s="106">
        <v>41</v>
      </c>
      <c r="Z110" s="106">
        <v>63</v>
      </c>
      <c r="AA110" s="106">
        <v>65.099999999999994</v>
      </c>
      <c r="AB110" s="106">
        <v>37.4</v>
      </c>
      <c r="AC110" s="106">
        <v>22</v>
      </c>
      <c r="AD110" s="106">
        <v>14</v>
      </c>
      <c r="AE110" s="106">
        <v>62</v>
      </c>
      <c r="AF110" s="106">
        <v>71</v>
      </c>
      <c r="AG110" s="107"/>
      <c r="AH110" s="48">
        <f t="shared" si="14"/>
        <v>106</v>
      </c>
      <c r="AI110" s="49">
        <f t="shared" si="15"/>
        <v>14</v>
      </c>
    </row>
    <row r="111" spans="1:35" x14ac:dyDescent="0.25">
      <c r="A111" s="105" t="s">
        <v>116</v>
      </c>
      <c r="B111" s="106">
        <v>31</v>
      </c>
      <c r="C111" s="106">
        <v>29.4</v>
      </c>
      <c r="D111" s="106">
        <v>24.9</v>
      </c>
      <c r="E111" s="106">
        <v>61</v>
      </c>
      <c r="F111" s="106">
        <v>45</v>
      </c>
      <c r="G111" s="106">
        <v>60</v>
      </c>
      <c r="H111" s="106">
        <v>53</v>
      </c>
      <c r="I111" s="106">
        <v>43</v>
      </c>
      <c r="J111" s="106"/>
      <c r="K111" s="106">
        <v>22</v>
      </c>
      <c r="L111" s="106">
        <v>22</v>
      </c>
      <c r="M111" s="106">
        <v>21.7</v>
      </c>
      <c r="N111" s="106">
        <v>16</v>
      </c>
      <c r="O111" s="106">
        <v>14.4</v>
      </c>
      <c r="P111" s="106">
        <v>-0.7</v>
      </c>
      <c r="Q111" s="106">
        <v>17.8</v>
      </c>
      <c r="R111" s="106">
        <v>23.5</v>
      </c>
      <c r="S111" s="106">
        <v>17</v>
      </c>
      <c r="T111" s="106">
        <v>20</v>
      </c>
      <c r="U111" s="106">
        <v>12</v>
      </c>
      <c r="V111" s="106">
        <v>6</v>
      </c>
      <c r="W111" s="106">
        <v>3</v>
      </c>
      <c r="X111" s="106"/>
      <c r="Y111" s="106">
        <v>13</v>
      </c>
      <c r="Z111" s="106">
        <v>17</v>
      </c>
      <c r="AA111" s="106">
        <v>18</v>
      </c>
      <c r="AB111" s="106">
        <v>15</v>
      </c>
      <c r="AC111" s="106">
        <v>8</v>
      </c>
      <c r="AD111" s="106">
        <v>5</v>
      </c>
      <c r="AE111" s="106">
        <v>27</v>
      </c>
      <c r="AF111" s="106">
        <v>34</v>
      </c>
      <c r="AG111" s="108"/>
      <c r="AH111" s="48">
        <f t="shared" si="14"/>
        <v>61</v>
      </c>
      <c r="AI111" s="49">
        <f t="shared" si="15"/>
        <v>-0.7</v>
      </c>
    </row>
    <row r="112" spans="1:35" x14ac:dyDescent="0.25">
      <c r="A112" s="109" t="s">
        <v>117</v>
      </c>
      <c r="B112" s="94">
        <v>50.5</v>
      </c>
      <c r="C112" s="94">
        <v>56.6</v>
      </c>
      <c r="D112" s="94">
        <v>57.2</v>
      </c>
      <c r="E112" s="94">
        <v>55</v>
      </c>
      <c r="F112" s="94">
        <v>59</v>
      </c>
      <c r="G112" s="94">
        <v>53</v>
      </c>
      <c r="H112" s="94">
        <v>43</v>
      </c>
      <c r="I112" s="94">
        <v>34</v>
      </c>
      <c r="J112" s="94"/>
      <c r="K112" s="94">
        <v>17</v>
      </c>
      <c r="L112" s="94">
        <v>9</v>
      </c>
      <c r="M112" s="94">
        <v>0</v>
      </c>
      <c r="N112" s="94">
        <v>-7</v>
      </c>
      <c r="O112" s="94">
        <v>3</v>
      </c>
      <c r="P112" s="94">
        <v>14.3</v>
      </c>
      <c r="Q112" s="94">
        <v>24.5</v>
      </c>
      <c r="R112" s="94">
        <v>29.8</v>
      </c>
      <c r="S112" s="94">
        <v>17</v>
      </c>
      <c r="T112" s="94">
        <v>25.2</v>
      </c>
      <c r="U112" s="94">
        <v>11</v>
      </c>
      <c r="V112" s="94">
        <v>5.0999999999999996</v>
      </c>
      <c r="W112" s="94">
        <v>-28</v>
      </c>
      <c r="X112" s="94"/>
      <c r="Y112" s="94">
        <v>-18</v>
      </c>
      <c r="Z112" s="94">
        <v>2.5</v>
      </c>
      <c r="AA112" s="94">
        <v>13.2</v>
      </c>
      <c r="AB112" s="94">
        <v>23.5</v>
      </c>
      <c r="AC112" s="94">
        <v>32</v>
      </c>
      <c r="AD112" s="94">
        <v>37</v>
      </c>
      <c r="AE112" s="94">
        <v>59</v>
      </c>
      <c r="AF112" s="94">
        <v>61</v>
      </c>
      <c r="AG112" s="108"/>
      <c r="AH112" s="48">
        <f t="shared" si="14"/>
        <v>61</v>
      </c>
      <c r="AI112" s="49">
        <f t="shared" si="15"/>
        <v>-28</v>
      </c>
    </row>
    <row r="113" spans="1:37" ht="15.75" thickBot="1" x14ac:dyDescent="0.3">
      <c r="A113" s="109" t="s">
        <v>118</v>
      </c>
      <c r="B113" s="94">
        <v>30</v>
      </c>
      <c r="C113" s="94">
        <v>36.299999999999997</v>
      </c>
      <c r="D113" s="94">
        <v>39</v>
      </c>
      <c r="E113" s="94">
        <v>38</v>
      </c>
      <c r="F113" s="94">
        <v>40</v>
      </c>
      <c r="G113" s="94">
        <v>38</v>
      </c>
      <c r="H113" s="94">
        <v>43</v>
      </c>
      <c r="I113" s="94">
        <v>32</v>
      </c>
      <c r="J113" s="94"/>
      <c r="K113" s="94">
        <v>22</v>
      </c>
      <c r="L113" s="94">
        <v>10</v>
      </c>
      <c r="M113" s="94">
        <v>14.9</v>
      </c>
      <c r="N113" s="94">
        <v>30.5</v>
      </c>
      <c r="O113" s="94">
        <v>30.4</v>
      </c>
      <c r="P113" s="94">
        <v>39.799999999999997</v>
      </c>
      <c r="Q113" s="94">
        <v>3.6</v>
      </c>
      <c r="R113" s="94">
        <v>-3.7</v>
      </c>
      <c r="S113" s="94">
        <v>2</v>
      </c>
      <c r="T113" s="94">
        <v>0</v>
      </c>
      <c r="U113" s="94">
        <v>2.2999999999999998</v>
      </c>
      <c r="V113" s="94">
        <v>13</v>
      </c>
      <c r="W113" s="94">
        <v>5.6</v>
      </c>
      <c r="X113" s="94"/>
      <c r="Y113" s="94">
        <v>31.1</v>
      </c>
      <c r="Z113" s="94">
        <v>10.1</v>
      </c>
      <c r="AA113" s="94">
        <v>9.1</v>
      </c>
      <c r="AB113" s="94">
        <v>30.1</v>
      </c>
      <c r="AC113" s="94">
        <v>45</v>
      </c>
      <c r="AD113" s="94">
        <v>51</v>
      </c>
      <c r="AE113" s="94">
        <v>22</v>
      </c>
      <c r="AF113" s="94">
        <v>16</v>
      </c>
      <c r="AG113" s="108"/>
      <c r="AH113" s="48">
        <f t="shared" si="14"/>
        <v>51</v>
      </c>
      <c r="AI113" s="49">
        <f t="shared" si="15"/>
        <v>-3.7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23">SUM(B115:B219)</f>
        <v>0</v>
      </c>
      <c r="C220" s="125">
        <f t="shared" si="23"/>
        <v>0</v>
      </c>
      <c r="D220" s="125">
        <f t="shared" si="23"/>
        <v>0</v>
      </c>
      <c r="E220" s="125">
        <f t="shared" si="23"/>
        <v>0</v>
      </c>
      <c r="F220" s="125">
        <f t="shared" si="23"/>
        <v>0</v>
      </c>
      <c r="G220" s="125">
        <f t="shared" si="23"/>
        <v>0</v>
      </c>
      <c r="H220" s="125">
        <f t="shared" si="23"/>
        <v>0</v>
      </c>
      <c r="I220" s="125">
        <f t="shared" si="23"/>
        <v>0</v>
      </c>
      <c r="J220" s="125">
        <f t="shared" si="23"/>
        <v>0</v>
      </c>
      <c r="K220" s="125">
        <f t="shared" si="23"/>
        <v>0</v>
      </c>
      <c r="L220" s="125">
        <f t="shared" si="23"/>
        <v>0</v>
      </c>
      <c r="M220" s="125">
        <f t="shared" si="23"/>
        <v>0</v>
      </c>
      <c r="N220" s="125">
        <f t="shared" si="23"/>
        <v>0</v>
      </c>
      <c r="O220" s="125">
        <f t="shared" si="23"/>
        <v>0</v>
      </c>
      <c r="P220" s="125">
        <f t="shared" si="23"/>
        <v>0</v>
      </c>
      <c r="Q220" s="125">
        <f t="shared" si="23"/>
        <v>0</v>
      </c>
      <c r="R220" s="125">
        <f t="shared" si="23"/>
        <v>0</v>
      </c>
      <c r="S220" s="125">
        <f t="shared" si="23"/>
        <v>0</v>
      </c>
      <c r="T220" s="125">
        <f t="shared" si="23"/>
        <v>0</v>
      </c>
      <c r="U220" s="125">
        <f t="shared" si="23"/>
        <v>0</v>
      </c>
      <c r="V220" s="125">
        <f t="shared" si="23"/>
        <v>0</v>
      </c>
      <c r="W220" s="125">
        <f t="shared" si="23"/>
        <v>0</v>
      </c>
      <c r="X220" s="125">
        <f t="shared" si="23"/>
        <v>0</v>
      </c>
      <c r="Y220" s="125">
        <f t="shared" si="23"/>
        <v>0</v>
      </c>
      <c r="Z220" s="125">
        <f t="shared" si="23"/>
        <v>0</v>
      </c>
      <c r="AA220" s="125">
        <f t="shared" si="23"/>
        <v>0</v>
      </c>
      <c r="AB220" s="125">
        <f t="shared" si="23"/>
        <v>0</v>
      </c>
      <c r="AC220" s="125">
        <f t="shared" si="23"/>
        <v>0</v>
      </c>
      <c r="AD220" s="125">
        <f t="shared" si="23"/>
        <v>0</v>
      </c>
      <c r="AE220" s="125">
        <f t="shared" si="23"/>
        <v>0</v>
      </c>
      <c r="AF220" s="126">
        <f t="shared" si="23"/>
        <v>0</v>
      </c>
      <c r="AG220" s="127">
        <f t="shared" si="23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24">AF222</f>
        <v>0</v>
      </c>
      <c r="C222" s="129">
        <v>0.3</v>
      </c>
      <c r="D222" s="129">
        <f t="shared" ref="D222:P227" si="25">C222</f>
        <v>0.3</v>
      </c>
      <c r="E222" s="129">
        <f t="shared" si="25"/>
        <v>0.3</v>
      </c>
      <c r="F222" s="129">
        <f t="shared" si="25"/>
        <v>0.3</v>
      </c>
      <c r="G222" s="129">
        <f t="shared" si="25"/>
        <v>0.3</v>
      </c>
      <c r="H222" s="129">
        <f t="shared" si="25"/>
        <v>0.3</v>
      </c>
      <c r="I222" s="129">
        <f t="shared" si="25"/>
        <v>0.3</v>
      </c>
      <c r="J222" s="129">
        <f t="shared" si="25"/>
        <v>0.3</v>
      </c>
      <c r="K222" s="129">
        <f t="shared" si="25"/>
        <v>0.3</v>
      </c>
      <c r="L222" s="129">
        <f t="shared" si="25"/>
        <v>0.3</v>
      </c>
      <c r="M222" s="129">
        <f t="shared" si="25"/>
        <v>0.3</v>
      </c>
      <c r="N222" s="129">
        <f t="shared" si="25"/>
        <v>0.3</v>
      </c>
      <c r="O222" s="129">
        <f t="shared" si="25"/>
        <v>0.3</v>
      </c>
      <c r="P222" s="129">
        <f t="shared" si="25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24"/>
        <v>0</v>
      </c>
      <c r="C223" s="117">
        <v>0.4</v>
      </c>
      <c r="D223" s="117">
        <f t="shared" si="25"/>
        <v>0.4</v>
      </c>
      <c r="E223" s="117">
        <f t="shared" si="25"/>
        <v>0.4</v>
      </c>
      <c r="F223" s="117">
        <f t="shared" si="25"/>
        <v>0.4</v>
      </c>
      <c r="G223" s="117">
        <f t="shared" si="25"/>
        <v>0.4</v>
      </c>
      <c r="H223" s="117">
        <f t="shared" si="25"/>
        <v>0.4</v>
      </c>
      <c r="I223" s="117">
        <f t="shared" si="25"/>
        <v>0.4</v>
      </c>
      <c r="J223" s="117">
        <f t="shared" si="25"/>
        <v>0.4</v>
      </c>
      <c r="K223" s="117">
        <f t="shared" si="25"/>
        <v>0.4</v>
      </c>
      <c r="L223" s="117">
        <f t="shared" si="25"/>
        <v>0.4</v>
      </c>
      <c r="M223" s="117">
        <f t="shared" si="25"/>
        <v>0.4</v>
      </c>
      <c r="N223" s="117">
        <f t="shared" si="25"/>
        <v>0.4</v>
      </c>
      <c r="O223" s="117">
        <f t="shared" si="25"/>
        <v>0.4</v>
      </c>
      <c r="P223" s="117">
        <f t="shared" si="25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24"/>
        <v>0</v>
      </c>
      <c r="C224" s="117">
        <v>1.5</v>
      </c>
      <c r="D224" s="117">
        <f t="shared" si="25"/>
        <v>1.5</v>
      </c>
      <c r="E224" s="117">
        <f t="shared" si="25"/>
        <v>1.5</v>
      </c>
      <c r="F224" s="117">
        <f t="shared" si="25"/>
        <v>1.5</v>
      </c>
      <c r="G224" s="117">
        <f t="shared" si="25"/>
        <v>1.5</v>
      </c>
      <c r="H224" s="117">
        <f t="shared" si="25"/>
        <v>1.5</v>
      </c>
      <c r="I224" s="100">
        <f t="shared" ref="I224" ca="1" si="26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25"/>
        <v>1.5</v>
      </c>
      <c r="K224" s="117">
        <f t="shared" ca="1" si="25"/>
        <v>1.5</v>
      </c>
      <c r="L224" s="117">
        <f t="shared" ca="1" si="25"/>
        <v>1.5</v>
      </c>
      <c r="M224" s="117">
        <f t="shared" ca="1" si="25"/>
        <v>1.5</v>
      </c>
      <c r="N224" s="117">
        <f t="shared" ca="1" si="25"/>
        <v>1.5</v>
      </c>
      <c r="O224" s="117">
        <f t="shared" ca="1" si="25"/>
        <v>1.5</v>
      </c>
      <c r="P224" s="117">
        <f t="shared" ca="1" si="25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24"/>
        <v>0</v>
      </c>
      <c r="C225" s="117">
        <v>0.3</v>
      </c>
      <c r="D225" s="117">
        <f t="shared" si="25"/>
        <v>0.3</v>
      </c>
      <c r="E225" s="117">
        <f t="shared" si="25"/>
        <v>0.3</v>
      </c>
      <c r="F225" s="117">
        <f t="shared" si="25"/>
        <v>0.3</v>
      </c>
      <c r="G225" s="117">
        <f t="shared" si="25"/>
        <v>0.3</v>
      </c>
      <c r="H225" s="117">
        <f t="shared" si="25"/>
        <v>0.3</v>
      </c>
      <c r="I225" s="117">
        <f t="shared" si="25"/>
        <v>0.3</v>
      </c>
      <c r="J225" s="117">
        <f t="shared" si="25"/>
        <v>0.3</v>
      </c>
      <c r="K225" s="117">
        <f t="shared" si="25"/>
        <v>0.3</v>
      </c>
      <c r="L225" s="117">
        <f t="shared" si="25"/>
        <v>0.3</v>
      </c>
      <c r="M225" s="117">
        <f t="shared" si="25"/>
        <v>0.3</v>
      </c>
      <c r="N225" s="117">
        <f t="shared" si="25"/>
        <v>0.3</v>
      </c>
      <c r="O225" s="117">
        <f t="shared" si="25"/>
        <v>0.3</v>
      </c>
      <c r="P225" s="117">
        <f t="shared" si="25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24"/>
        <v>0</v>
      </c>
      <c r="C226" s="117">
        <v>0.4</v>
      </c>
      <c r="D226" s="117">
        <f t="shared" si="25"/>
        <v>0.4</v>
      </c>
      <c r="E226" s="117">
        <f t="shared" si="25"/>
        <v>0.4</v>
      </c>
      <c r="F226" s="117">
        <f t="shared" si="25"/>
        <v>0.4</v>
      </c>
      <c r="G226" s="117">
        <f t="shared" si="25"/>
        <v>0.4</v>
      </c>
      <c r="H226" s="117">
        <f t="shared" si="25"/>
        <v>0.4</v>
      </c>
      <c r="I226" s="117">
        <f t="shared" si="25"/>
        <v>0.4</v>
      </c>
      <c r="J226" s="117">
        <f t="shared" si="25"/>
        <v>0.4</v>
      </c>
      <c r="K226" s="117">
        <f t="shared" si="25"/>
        <v>0.4</v>
      </c>
      <c r="L226" s="117">
        <f t="shared" si="25"/>
        <v>0.4</v>
      </c>
      <c r="M226" s="117">
        <f t="shared" si="25"/>
        <v>0.4</v>
      </c>
      <c r="N226" s="117">
        <f t="shared" si="25"/>
        <v>0.4</v>
      </c>
      <c r="O226" s="117">
        <f t="shared" si="25"/>
        <v>0.4</v>
      </c>
      <c r="P226" s="117">
        <f t="shared" si="25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24"/>
        <v>0</v>
      </c>
      <c r="C227" s="121">
        <v>0.64</v>
      </c>
      <c r="D227" s="121">
        <f t="shared" si="25"/>
        <v>0.64</v>
      </c>
      <c r="E227" s="121">
        <f t="shared" si="25"/>
        <v>0.64</v>
      </c>
      <c r="F227" s="121">
        <f t="shared" si="25"/>
        <v>0.64</v>
      </c>
      <c r="G227" s="121">
        <f t="shared" si="25"/>
        <v>0.64</v>
      </c>
      <c r="H227" s="121">
        <f t="shared" si="25"/>
        <v>0.64</v>
      </c>
      <c r="I227" s="121">
        <f t="shared" si="25"/>
        <v>0.64</v>
      </c>
      <c r="J227" s="121">
        <f t="shared" si="25"/>
        <v>0.64</v>
      </c>
      <c r="K227" s="121">
        <f t="shared" si="25"/>
        <v>0.64</v>
      </c>
      <c r="L227" s="121">
        <f t="shared" si="25"/>
        <v>0.64</v>
      </c>
      <c r="M227" s="121">
        <f t="shared" si="25"/>
        <v>0.64</v>
      </c>
      <c r="N227" s="121">
        <f t="shared" si="25"/>
        <v>0.64</v>
      </c>
      <c r="O227" s="121">
        <f t="shared" si="25"/>
        <v>0.64</v>
      </c>
      <c r="P227" s="121">
        <f t="shared" si="25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7">SUM(B222:B227)</f>
        <v>0</v>
      </c>
      <c r="C228" s="125">
        <f t="shared" si="27"/>
        <v>3.54</v>
      </c>
      <c r="D228" s="125">
        <f t="shared" si="27"/>
        <v>3.54</v>
      </c>
      <c r="E228" s="125">
        <f t="shared" si="27"/>
        <v>3.54</v>
      </c>
      <c r="F228" s="125">
        <f t="shared" si="27"/>
        <v>3.54</v>
      </c>
      <c r="G228" s="125">
        <f t="shared" si="27"/>
        <v>3.54</v>
      </c>
      <c r="H228" s="125">
        <f t="shared" si="27"/>
        <v>3.54</v>
      </c>
      <c r="I228" s="125">
        <f t="shared" ca="1" si="27"/>
        <v>3.54</v>
      </c>
      <c r="J228" s="125">
        <f t="shared" ca="1" si="27"/>
        <v>3.54</v>
      </c>
      <c r="K228" s="125">
        <f t="shared" ca="1" si="27"/>
        <v>3.54</v>
      </c>
      <c r="L228" s="125">
        <f t="shared" ca="1" si="27"/>
        <v>3.54</v>
      </c>
      <c r="M228" s="125">
        <f t="shared" ca="1" si="27"/>
        <v>3.54</v>
      </c>
      <c r="N228" s="125">
        <f t="shared" ca="1" si="27"/>
        <v>3.54</v>
      </c>
      <c r="O228" s="125">
        <f t="shared" ca="1" si="27"/>
        <v>3.54</v>
      </c>
      <c r="P228" s="125">
        <f t="shared" ca="1" si="27"/>
        <v>3.54</v>
      </c>
      <c r="Q228" s="125">
        <f t="shared" si="27"/>
        <v>0</v>
      </c>
      <c r="R228" s="125">
        <f t="shared" si="27"/>
        <v>0</v>
      </c>
      <c r="S228" s="125">
        <f t="shared" si="27"/>
        <v>0</v>
      </c>
      <c r="T228" s="125">
        <f t="shared" si="27"/>
        <v>0</v>
      </c>
      <c r="U228" s="125">
        <f t="shared" si="27"/>
        <v>0</v>
      </c>
      <c r="V228" s="125">
        <f t="shared" si="27"/>
        <v>0</v>
      </c>
      <c r="W228" s="125">
        <f t="shared" si="27"/>
        <v>0</v>
      </c>
      <c r="X228" s="125">
        <f t="shared" si="27"/>
        <v>0</v>
      </c>
      <c r="Y228" s="125">
        <f t="shared" si="27"/>
        <v>0</v>
      </c>
      <c r="Z228" s="125">
        <f t="shared" si="27"/>
        <v>0</v>
      </c>
      <c r="AA228" s="125">
        <f t="shared" si="27"/>
        <v>0</v>
      </c>
      <c r="AB228" s="125">
        <f t="shared" si="27"/>
        <v>0</v>
      </c>
      <c r="AC228" s="125">
        <f t="shared" si="27"/>
        <v>0</v>
      </c>
      <c r="AD228" s="125">
        <f t="shared" si="27"/>
        <v>0</v>
      </c>
      <c r="AE228" s="125">
        <f t="shared" si="27"/>
        <v>0</v>
      </c>
      <c r="AF228" s="125">
        <f t="shared" si="27"/>
        <v>0</v>
      </c>
      <c r="AG228" s="134">
        <f t="shared" si="27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1619.24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15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2079/09/15)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2079/09/15)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8">B85</f>
        <v>1062.44</v>
      </c>
      <c r="U242" s="159">
        <f t="shared" si="28"/>
        <v>1023.5400000000001</v>
      </c>
      <c r="V242" s="159">
        <f t="shared" si="28"/>
        <v>1019.5400000000001</v>
      </c>
      <c r="W242" s="159">
        <f t="shared" si="28"/>
        <v>1049.24</v>
      </c>
      <c r="X242" s="159">
        <f t="shared" si="28"/>
        <v>1022.6399999999999</v>
      </c>
      <c r="Y242" s="159">
        <f t="shared" si="28"/>
        <v>1045.1399999999999</v>
      </c>
      <c r="Z242" s="159">
        <f t="shared" si="28"/>
        <v>1171.3399999999999</v>
      </c>
      <c r="AA242" s="159">
        <f t="shared" si="28"/>
        <v>1245.24</v>
      </c>
      <c r="AB242" s="159">
        <f t="shared" si="28"/>
        <v>1371.24</v>
      </c>
      <c r="AC242" s="159">
        <f t="shared" si="28"/>
        <v>1430.94</v>
      </c>
      <c r="AD242" s="159">
        <f t="shared" si="28"/>
        <v>1524.04</v>
      </c>
      <c r="AE242" s="159">
        <f t="shared" si="28"/>
        <v>1619.24</v>
      </c>
      <c r="AF242" s="159">
        <f t="shared" si="28"/>
        <v>1613.64</v>
      </c>
      <c r="AG242" s="159">
        <f t="shared" si="28"/>
        <v>1603.54</v>
      </c>
      <c r="AH242" s="159">
        <f t="shared" si="28"/>
        <v>1397.34</v>
      </c>
      <c r="AI242" s="159">
        <f t="shared" si="28"/>
        <v>1392.44</v>
      </c>
      <c r="AJ242" s="159">
        <f t="shared" si="28"/>
        <v>1126.5</v>
      </c>
      <c r="AK242" s="159">
        <f t="shared" si="28"/>
        <v>1354.74</v>
      </c>
      <c r="AL242" s="159">
        <f t="shared" si="28"/>
        <v>1342.1399999999999</v>
      </c>
      <c r="AM242" s="159">
        <f t="shared" si="28"/>
        <v>1370.64</v>
      </c>
      <c r="AN242" s="159">
        <f t="shared" si="28"/>
        <v>1385.24</v>
      </c>
      <c r="AO242" s="159">
        <f t="shared" si="28"/>
        <v>1461.24</v>
      </c>
      <c r="AP242" s="159">
        <f t="shared" si="28"/>
        <v>1704.6399999999999</v>
      </c>
      <c r="AQ242" s="159">
        <f t="shared" si="28"/>
        <v>1558.8400000000001</v>
      </c>
      <c r="AR242" s="159">
        <f t="shared" si="28"/>
        <v>1555.1399999999999</v>
      </c>
      <c r="AS242" s="159">
        <f t="shared" si="28"/>
        <v>1546.34</v>
      </c>
      <c r="AT242" s="159">
        <f t="shared" si="28"/>
        <v>1557.3400000000001</v>
      </c>
      <c r="AU242" s="159">
        <f t="shared" si="28"/>
        <v>1397.1399999999999</v>
      </c>
      <c r="AV242" s="159">
        <f t="shared" si="28"/>
        <v>1338.04</v>
      </c>
      <c r="AW242" s="159">
        <f t="shared" si="28"/>
        <v>1214.04</v>
      </c>
      <c r="AX242" s="159">
        <f t="shared" si="28"/>
        <v>1109.8399999999999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9">C227</f>
        <v>0.64</v>
      </c>
      <c r="C263" s="162">
        <f t="shared" si="29"/>
        <v>0.64</v>
      </c>
      <c r="D263" s="162">
        <f t="shared" si="29"/>
        <v>0.64</v>
      </c>
      <c r="E263" s="162">
        <f t="shared" si="29"/>
        <v>0.64</v>
      </c>
      <c r="F263" s="162">
        <f t="shared" si="29"/>
        <v>0.64</v>
      </c>
      <c r="G263" s="162">
        <f t="shared" si="29"/>
        <v>0.64</v>
      </c>
      <c r="H263" s="162">
        <f t="shared" si="29"/>
        <v>0.64</v>
      </c>
      <c r="I263" s="162">
        <f t="shared" si="29"/>
        <v>0.64</v>
      </c>
      <c r="J263" s="162">
        <f t="shared" si="29"/>
        <v>0.64</v>
      </c>
      <c r="K263" s="162">
        <f t="shared" si="29"/>
        <v>0.64</v>
      </c>
      <c r="L263" s="162">
        <f t="shared" si="29"/>
        <v>0.64</v>
      </c>
      <c r="M263" s="162">
        <f t="shared" si="29"/>
        <v>0.64</v>
      </c>
      <c r="N263" s="162">
        <f t="shared" si="29"/>
        <v>0.64</v>
      </c>
      <c r="O263" s="162">
        <f t="shared" si="29"/>
        <v>0.64</v>
      </c>
      <c r="P263" s="162">
        <f t="shared" si="29"/>
        <v>0</v>
      </c>
      <c r="Q263" s="162">
        <f t="shared" si="29"/>
        <v>0</v>
      </c>
      <c r="R263" s="162">
        <f t="shared" si="29"/>
        <v>0</v>
      </c>
      <c r="S263" s="162">
        <f t="shared" si="29"/>
        <v>0</v>
      </c>
      <c r="T263" s="162">
        <f t="shared" si="29"/>
        <v>0</v>
      </c>
      <c r="U263" s="162">
        <f t="shared" si="29"/>
        <v>0</v>
      </c>
      <c r="V263" s="162">
        <f t="shared" si="29"/>
        <v>0</v>
      </c>
      <c r="W263" s="162">
        <f t="shared" si="29"/>
        <v>0</v>
      </c>
      <c r="X263" s="162">
        <f t="shared" si="29"/>
        <v>0</v>
      </c>
      <c r="Y263" s="162">
        <f t="shared" si="29"/>
        <v>0</v>
      </c>
      <c r="Z263" s="162">
        <f t="shared" si="29"/>
        <v>0</v>
      </c>
      <c r="AA263" s="162">
        <f t="shared" si="29"/>
        <v>0</v>
      </c>
      <c r="AB263" s="162">
        <f t="shared" si="29"/>
        <v>0</v>
      </c>
      <c r="AC263" s="162">
        <f t="shared" si="29"/>
        <v>0</v>
      </c>
      <c r="AD263" s="162">
        <f t="shared" si="29"/>
        <v>0</v>
      </c>
      <c r="AE263" s="162">
        <f t="shared" si="29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30">IF(B231&lt;100,"",B231-520)</f>
        <v/>
      </c>
      <c r="C264" s="163" t="str">
        <f t="shared" si="30"/>
        <v/>
      </c>
      <c r="D264" s="163" t="str">
        <f t="shared" si="30"/>
        <v/>
      </c>
      <c r="E264" s="163" t="str">
        <f t="shared" si="30"/>
        <v/>
      </c>
      <c r="F264" s="163" t="str">
        <f t="shared" si="30"/>
        <v/>
      </c>
      <c r="G264" s="163" t="str">
        <f t="shared" si="30"/>
        <v/>
      </c>
      <c r="H264" s="163" t="str">
        <f t="shared" si="30"/>
        <v/>
      </c>
      <c r="I264" s="163" t="str">
        <f t="shared" si="30"/>
        <v/>
      </c>
      <c r="J264" s="163" t="str">
        <f t="shared" si="30"/>
        <v/>
      </c>
      <c r="K264" s="163" t="str">
        <f t="shared" si="30"/>
        <v/>
      </c>
      <c r="L264" s="163" t="str">
        <f t="shared" si="30"/>
        <v/>
      </c>
      <c r="M264" s="163" t="str">
        <f t="shared" si="30"/>
        <v/>
      </c>
      <c r="N264" s="163" t="str">
        <f t="shared" si="30"/>
        <v/>
      </c>
      <c r="O264" s="163" t="str">
        <f t="shared" si="30"/>
        <v/>
      </c>
      <c r="P264" s="163" t="str">
        <f t="shared" si="30"/>
        <v/>
      </c>
      <c r="Q264" s="163" t="str">
        <f t="shared" si="30"/>
        <v/>
      </c>
      <c r="R264" s="163" t="str">
        <f t="shared" si="30"/>
        <v/>
      </c>
      <c r="S264" s="163" t="str">
        <f t="shared" si="30"/>
        <v/>
      </c>
      <c r="T264" s="163" t="str">
        <f t="shared" si="30"/>
        <v/>
      </c>
      <c r="U264" s="163" t="str">
        <f t="shared" si="30"/>
        <v/>
      </c>
      <c r="V264" s="163" t="str">
        <f t="shared" si="30"/>
        <v/>
      </c>
      <c r="W264" s="163" t="str">
        <f t="shared" si="30"/>
        <v/>
      </c>
      <c r="X264" s="163" t="str">
        <f t="shared" si="30"/>
        <v/>
      </c>
      <c r="Y264" s="163" t="str">
        <f t="shared" si="30"/>
        <v/>
      </c>
      <c r="Z264" s="163" t="str">
        <f t="shared" si="30"/>
        <v/>
      </c>
      <c r="AA264" s="163" t="str">
        <f t="shared" si="30"/>
        <v/>
      </c>
      <c r="AB264" s="163" t="str">
        <f t="shared" si="30"/>
        <v/>
      </c>
      <c r="AC264" s="163" t="str">
        <f t="shared" si="30"/>
        <v/>
      </c>
      <c r="AD264" s="163" t="str">
        <f t="shared" si="30"/>
        <v/>
      </c>
      <c r="AE264" s="163" t="str">
        <f t="shared" si="30"/>
        <v/>
      </c>
      <c r="AF264" s="163" t="str">
        <f t="shared" si="30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1">IF(B232&lt;100,"",B232-620)</f>
        <v/>
      </c>
      <c r="C265" s="163" t="str">
        <f t="shared" si="31"/>
        <v/>
      </c>
      <c r="D265" s="163" t="str">
        <f t="shared" si="31"/>
        <v/>
      </c>
      <c r="E265" s="163" t="str">
        <f t="shared" si="31"/>
        <v/>
      </c>
      <c r="F265" s="163" t="str">
        <f t="shared" si="31"/>
        <v/>
      </c>
      <c r="G265" s="163" t="str">
        <f t="shared" si="31"/>
        <v/>
      </c>
      <c r="H265" s="163" t="str">
        <f t="shared" si="31"/>
        <v/>
      </c>
      <c r="I265" s="163" t="str">
        <f t="shared" si="31"/>
        <v/>
      </c>
      <c r="J265" s="163" t="str">
        <f t="shared" si="31"/>
        <v/>
      </c>
      <c r="K265" s="163" t="str">
        <f t="shared" si="31"/>
        <v/>
      </c>
      <c r="L265" s="163" t="str">
        <f t="shared" si="31"/>
        <v/>
      </c>
      <c r="M265" s="163" t="str">
        <f t="shared" si="31"/>
        <v/>
      </c>
      <c r="N265" s="163" t="str">
        <f t="shared" si="31"/>
        <v/>
      </c>
      <c r="O265" s="163" t="str">
        <f t="shared" si="31"/>
        <v/>
      </c>
      <c r="P265" s="163" t="str">
        <f t="shared" si="31"/>
        <v/>
      </c>
      <c r="Q265" s="163" t="str">
        <f t="shared" si="31"/>
        <v/>
      </c>
      <c r="R265" s="163" t="str">
        <f t="shared" si="31"/>
        <v/>
      </c>
      <c r="S265" s="163" t="str">
        <f t="shared" si="31"/>
        <v/>
      </c>
      <c r="T265" s="163" t="str">
        <f t="shared" si="31"/>
        <v/>
      </c>
      <c r="U265" s="163" t="str">
        <f t="shared" si="31"/>
        <v/>
      </c>
      <c r="V265" s="163" t="str">
        <f t="shared" si="31"/>
        <v/>
      </c>
      <c r="W265" s="163" t="str">
        <f t="shared" si="31"/>
        <v/>
      </c>
      <c r="X265" s="163" t="str">
        <f t="shared" si="31"/>
        <v/>
      </c>
      <c r="Y265" s="163" t="str">
        <f t="shared" si="31"/>
        <v/>
      </c>
      <c r="Z265" s="163" t="str">
        <f t="shared" si="31"/>
        <v/>
      </c>
      <c r="AA265" s="163" t="str">
        <f t="shared" si="31"/>
        <v/>
      </c>
      <c r="AB265" s="163" t="str">
        <f t="shared" si="31"/>
        <v/>
      </c>
      <c r="AC265" s="163" t="str">
        <f t="shared" si="31"/>
        <v/>
      </c>
      <c r="AD265" s="163" t="str">
        <f t="shared" si="31"/>
        <v/>
      </c>
      <c r="AE265" s="163" t="str">
        <f t="shared" si="31"/>
        <v/>
      </c>
      <c r="AF265" s="163" t="str">
        <f t="shared" si="31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2">IF(B233&lt;100,"",B233-330)</f>
        <v/>
      </c>
      <c r="C266" s="163" t="str">
        <f t="shared" si="32"/>
        <v/>
      </c>
      <c r="D266" s="163" t="str">
        <f t="shared" si="32"/>
        <v/>
      </c>
      <c r="E266" s="163" t="str">
        <f t="shared" si="32"/>
        <v/>
      </c>
      <c r="F266" s="163" t="str">
        <f t="shared" si="32"/>
        <v/>
      </c>
      <c r="G266" s="163" t="str">
        <f t="shared" si="32"/>
        <v/>
      </c>
      <c r="H266" s="163" t="str">
        <f t="shared" si="32"/>
        <v/>
      </c>
      <c r="I266" s="163" t="str">
        <f t="shared" si="32"/>
        <v/>
      </c>
      <c r="J266" s="163" t="str">
        <f t="shared" si="32"/>
        <v/>
      </c>
      <c r="K266" s="163" t="str">
        <f t="shared" si="32"/>
        <v/>
      </c>
      <c r="L266" s="163" t="str">
        <f t="shared" si="32"/>
        <v/>
      </c>
      <c r="M266" s="163" t="str">
        <f t="shared" si="32"/>
        <v/>
      </c>
      <c r="N266" s="163" t="str">
        <f t="shared" si="32"/>
        <v/>
      </c>
      <c r="O266" s="163" t="str">
        <f t="shared" si="32"/>
        <v/>
      </c>
      <c r="P266" s="163" t="str">
        <f t="shared" si="32"/>
        <v/>
      </c>
      <c r="Q266" s="163" t="str">
        <f t="shared" si="32"/>
        <v/>
      </c>
      <c r="R266" s="163" t="str">
        <f t="shared" si="32"/>
        <v/>
      </c>
      <c r="S266" s="163" t="str">
        <f t="shared" si="32"/>
        <v/>
      </c>
      <c r="T266" s="163" t="str">
        <f t="shared" si="32"/>
        <v/>
      </c>
      <c r="U266" s="163" t="str">
        <f t="shared" si="32"/>
        <v/>
      </c>
      <c r="V266" s="163" t="str">
        <f t="shared" si="32"/>
        <v/>
      </c>
      <c r="W266" s="163" t="str">
        <f t="shared" si="32"/>
        <v/>
      </c>
      <c r="X266" s="163" t="str">
        <f t="shared" si="32"/>
        <v/>
      </c>
      <c r="Y266" s="163" t="str">
        <f t="shared" si="32"/>
        <v/>
      </c>
      <c r="Z266" s="163" t="str">
        <f t="shared" si="32"/>
        <v/>
      </c>
      <c r="AA266" s="163" t="str">
        <f t="shared" si="32"/>
        <v/>
      </c>
      <c r="AB266" s="163" t="str">
        <f t="shared" si="32"/>
        <v/>
      </c>
      <c r="AC266" s="163" t="str">
        <f t="shared" si="32"/>
        <v/>
      </c>
      <c r="AD266" s="163" t="str">
        <f t="shared" si="32"/>
        <v/>
      </c>
      <c r="AE266" s="163" t="str">
        <f t="shared" si="32"/>
        <v/>
      </c>
      <c r="AF266" s="163" t="str">
        <f t="shared" si="32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3">IF(B234&lt;100,"",B234-1500)</f>
        <v/>
      </c>
      <c r="C267" s="163" t="str">
        <f t="shared" si="33"/>
        <v/>
      </c>
      <c r="D267" s="163" t="str">
        <f t="shared" si="33"/>
        <v/>
      </c>
      <c r="E267" s="163" t="str">
        <f t="shared" si="33"/>
        <v/>
      </c>
      <c r="F267" s="163" t="str">
        <f t="shared" si="33"/>
        <v/>
      </c>
      <c r="G267" s="163" t="str">
        <f t="shared" si="33"/>
        <v/>
      </c>
      <c r="H267" s="163" t="str">
        <f t="shared" si="33"/>
        <v/>
      </c>
      <c r="I267" s="163" t="str">
        <f t="shared" si="33"/>
        <v/>
      </c>
      <c r="J267" s="163" t="str">
        <f t="shared" si="33"/>
        <v/>
      </c>
      <c r="K267" s="163" t="str">
        <f t="shared" si="33"/>
        <v/>
      </c>
      <c r="L267" s="163" t="str">
        <f t="shared" si="33"/>
        <v/>
      </c>
      <c r="M267" s="163" t="str">
        <f t="shared" si="33"/>
        <v/>
      </c>
      <c r="N267" s="163" t="str">
        <f t="shared" si="33"/>
        <v/>
      </c>
      <c r="O267" s="163" t="str">
        <f t="shared" si="33"/>
        <v/>
      </c>
      <c r="P267" s="163" t="str">
        <f t="shared" si="33"/>
        <v/>
      </c>
      <c r="Q267" s="163" t="str">
        <f t="shared" si="33"/>
        <v/>
      </c>
      <c r="R267" s="163" t="str">
        <f t="shared" si="33"/>
        <v/>
      </c>
      <c r="S267" s="163" t="str">
        <f t="shared" si="33"/>
        <v/>
      </c>
      <c r="T267" s="163" t="str">
        <f t="shared" si="33"/>
        <v/>
      </c>
      <c r="U267" s="163" t="str">
        <f t="shared" si="33"/>
        <v/>
      </c>
      <c r="V267" s="163" t="str">
        <f t="shared" si="33"/>
        <v/>
      </c>
      <c r="W267" s="163" t="str">
        <f t="shared" si="33"/>
        <v/>
      </c>
      <c r="X267" s="163" t="str">
        <f t="shared" si="33"/>
        <v/>
      </c>
      <c r="Y267" s="163" t="str">
        <f t="shared" si="33"/>
        <v/>
      </c>
      <c r="Z267" s="163" t="str">
        <f t="shared" si="33"/>
        <v/>
      </c>
      <c r="AA267" s="163" t="str">
        <f t="shared" si="33"/>
        <v/>
      </c>
      <c r="AB267" s="163" t="str">
        <f t="shared" si="33"/>
        <v/>
      </c>
      <c r="AC267" s="163" t="str">
        <f t="shared" si="33"/>
        <v/>
      </c>
      <c r="AD267" s="163" t="str">
        <f t="shared" si="33"/>
        <v/>
      </c>
      <c r="AE267" s="163" t="str">
        <f t="shared" si="33"/>
        <v/>
      </c>
      <c r="AF267" s="163" t="str">
        <f t="shared" si="33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29">
    <cfRule type="expression" dxfId="119" priority="120">
      <formula>$AH11=0</formula>
    </cfRule>
  </conditionalFormatting>
  <conditionalFormatting sqref="B8 M8 S8 AB8">
    <cfRule type="expression" dxfId="118" priority="241">
      <formula>AND(C$9&gt;=14/24,C$9&lt;20/24)</formula>
    </cfRule>
    <cfRule type="expression" dxfId="117" priority="242">
      <formula>AND(C$9&gt;=8/24,C$9&lt;14/24)</formula>
    </cfRule>
    <cfRule type="expression" dxfId="116" priority="243">
      <formula>C$9&lt;8/24</formula>
    </cfRule>
  </conditionalFormatting>
  <conditionalFormatting sqref="B11:W11">
    <cfRule type="expression" dxfId="111" priority="23">
      <formula>AND(B$9&gt;=14/24,B$9&lt;20/24)</formula>
    </cfRule>
    <cfRule type="expression" dxfId="110" priority="22">
      <formula>B$9&gt;=20/24</formula>
    </cfRule>
    <cfRule type="expression" dxfId="109" priority="24">
      <formula>AND(B$9&gt;=8/24,B$9&lt;14/24)</formula>
    </cfRule>
    <cfRule type="expression" dxfId="108" priority="25">
      <formula>B$9&lt;8/24</formula>
    </cfRule>
  </conditionalFormatting>
  <conditionalFormatting sqref="B12:W14">
    <cfRule type="expression" dxfId="107" priority="17">
      <formula>B$9&gt;=20/24</formula>
    </cfRule>
    <cfRule type="expression" dxfId="106" priority="18">
      <formula>AND(B$9&gt;=14/24,B$9&lt;20/24)</formula>
    </cfRule>
    <cfRule type="expression" dxfId="105" priority="19">
      <formula>AND(B$9&gt;=8/24,B$9&lt;14/24)</formula>
    </cfRule>
    <cfRule type="expression" dxfId="104" priority="20">
      <formula>B$9&lt;8/24</formula>
    </cfRule>
  </conditionalFormatting>
  <conditionalFormatting sqref="B15:W40">
    <cfRule type="expression" dxfId="103" priority="111">
      <formula>B$9&lt;8/24</formula>
    </cfRule>
    <cfRule type="expression" dxfId="102" priority="109">
      <formula>AND(B$9&gt;=14/24,B$9&lt;20/24)</formula>
    </cfRule>
    <cfRule type="expression" dxfId="101" priority="108">
      <formula>B$9&gt;=20/24</formula>
    </cfRule>
    <cfRule type="expression" dxfId="100" priority="110">
      <formula>AND(B$9&gt;=8/24,B$9&lt;14/24)</formula>
    </cfRule>
  </conditionalFormatting>
  <conditionalFormatting sqref="B41:W41">
    <cfRule type="expression" dxfId="99" priority="16">
      <formula>B$9&lt;8/24</formula>
    </cfRule>
    <cfRule type="expression" dxfId="98" priority="13">
      <formula>B$9&gt;=20/24</formula>
    </cfRule>
    <cfRule type="expression" dxfId="97" priority="14">
      <formula>AND(B$9&gt;=14/24,B$9&lt;20/24)</formula>
    </cfRule>
    <cfRule type="expression" dxfId="96" priority="15">
      <formula>AND(B$9&gt;=8/24,B$9&lt;14/24)</formula>
    </cfRule>
  </conditionalFormatting>
  <conditionalFormatting sqref="B42:W42">
    <cfRule type="expression" dxfId="95" priority="72">
      <formula>B$9&gt;=20/24</formula>
    </cfRule>
    <cfRule type="expression" dxfId="94" priority="73">
      <formula>AND(B$9&gt;=14/24,B$9&lt;20/24)</formula>
    </cfRule>
    <cfRule type="expression" dxfId="93" priority="75">
      <formula>B$9&lt;8/24</formula>
    </cfRule>
    <cfRule type="expression" dxfId="92" priority="74">
      <formula>AND(B$9&gt;=8/24,B$9&lt;14/24)</formula>
    </cfRule>
  </conditionalFormatting>
  <conditionalFormatting sqref="B9:AF10 B220:AF220 D222:AF223 B222:B228 D224:H224 J224:AF224 D225:AF228 U241:AF241">
    <cfRule type="expression" dxfId="91" priority="235">
      <formula>AND(B$9&gt;=14/24,B$9&lt;20/24)</formula>
    </cfRule>
    <cfRule type="expression" dxfId="90" priority="237">
      <formula>B$9&lt;8/24</formula>
    </cfRule>
    <cfRule type="expression" dxfId="89" priority="236">
      <formula>AND(B$9&gt;=8/24,B$9&lt;14/24)</formula>
    </cfRule>
    <cfRule type="expression" dxfId="88" priority="234">
      <formula>B$9&gt;=20/24</formula>
    </cfRule>
  </conditionalFormatting>
  <conditionalFormatting sqref="B11:AF66">
    <cfRule type="expression" dxfId="87" priority="21">
      <formula>B11&gt;$AG11</formula>
    </cfRule>
  </conditionalFormatting>
  <conditionalFormatting sqref="B43:AF43">
    <cfRule type="expression" dxfId="86" priority="106">
      <formula>AND(B$9&gt;=8/24,B$9&lt;14/24)</formula>
    </cfRule>
    <cfRule type="expression" dxfId="85" priority="104">
      <formula>B$9&gt;=20/24</formula>
    </cfRule>
    <cfRule type="expression" dxfId="84" priority="105">
      <formula>AND(B$9&gt;=14/24,B$9&lt;20/24)</formula>
    </cfRule>
    <cfRule type="expression" dxfId="83" priority="107">
      <formula>B$9&lt;8/24</formula>
    </cfRule>
  </conditionalFormatting>
  <conditionalFormatting sqref="B45:AF51">
    <cfRule type="expression" dxfId="82" priority="49">
      <formula>B$9&gt;=20/24</formula>
    </cfRule>
    <cfRule type="expression" dxfId="81" priority="50">
      <formula>AND(B$9&gt;=14/24,B$9&lt;20/24)</formula>
    </cfRule>
    <cfRule type="expression" dxfId="80" priority="51">
      <formula>AND(B$9&gt;=8/24,B$9&lt;14/24)</formula>
    </cfRule>
    <cfRule type="expression" dxfId="79" priority="52">
      <formula>B$9&lt;8/24</formula>
    </cfRule>
  </conditionalFormatting>
  <conditionalFormatting sqref="B54:AF60">
    <cfRule type="expression" dxfId="78" priority="31">
      <formula>B$9&lt;8/24</formula>
    </cfRule>
    <cfRule type="expression" dxfId="77" priority="30">
      <formula>AND(B$9&gt;=8/24,B$9&lt;14/24)</formula>
    </cfRule>
    <cfRule type="expression" dxfId="76" priority="28">
      <formula>B$9&gt;=20/24</formula>
    </cfRule>
    <cfRule type="expression" dxfId="75" priority="29">
      <formula>AND(B$9&gt;=14/24,B$9&lt;20/24)</formula>
    </cfRule>
  </conditionalFormatting>
  <conditionalFormatting sqref="B63:AF72">
    <cfRule type="expression" dxfId="74" priority="68">
      <formula>AND(B$9&gt;=14/24,B$9&lt;20/24)</formula>
    </cfRule>
    <cfRule type="expression" dxfId="73" priority="70">
      <formula>B$9&lt;8/24</formula>
    </cfRule>
    <cfRule type="expression" dxfId="72" priority="67">
      <formula>B$9&gt;=20/24</formula>
    </cfRule>
    <cfRule type="expression" dxfId="71" priority="69">
      <formula>AND(B$9&gt;=8/24,B$9&lt;14/24)</formula>
    </cfRule>
  </conditionalFormatting>
  <conditionalFormatting sqref="B73:AF85">
    <cfRule type="expression" dxfId="70" priority="9">
      <formula>B$9&gt;=20/24</formula>
    </cfRule>
    <cfRule type="expression" dxfId="69" priority="10">
      <formula>AND(B$9&gt;=14/24,B$9&lt;20/24)</formula>
    </cfRule>
    <cfRule type="expression" dxfId="68" priority="11">
      <formula>AND(B$9&gt;=8/24,B$9&lt;14/24)</formula>
    </cfRule>
    <cfRule type="expression" dxfId="67" priority="12">
      <formula>B$9&lt;8/24</formula>
    </cfRule>
  </conditionalFormatting>
  <conditionalFormatting sqref="B87:AF103">
    <cfRule type="expression" dxfId="62" priority="46">
      <formula>AND(B$9&gt;=8/24,B$9&lt;14/24)</formula>
    </cfRule>
    <cfRule type="expression" dxfId="61" priority="47">
      <formula>B$9&lt;8/24</formula>
    </cfRule>
    <cfRule type="expression" dxfId="60" priority="44">
      <formula>B$9&gt;=20/24</formula>
    </cfRule>
    <cfRule type="expression" dxfId="59" priority="45">
      <formula>AND(B$9&gt;=14/24,B$9&lt;20/24)</formula>
    </cfRule>
  </conditionalFormatting>
  <conditionalFormatting sqref="B105:AF112">
    <cfRule type="expression" dxfId="58" priority="34">
      <formula>AND(B$9&gt;=8/24,B$9&lt;14/24)</formula>
    </cfRule>
    <cfRule type="expression" dxfId="57" priority="33">
      <formula>AND(B$9&gt;=14/24,B$9&lt;20/24)</formula>
    </cfRule>
    <cfRule type="expression" dxfId="56" priority="35">
      <formula>B$9&lt;8/24</formula>
    </cfRule>
    <cfRule type="expression" dxfId="55" priority="32">
      <formula>B$9&gt;=20/24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50" priority="240">
      <formula>C$9&gt;=20/24</formula>
    </cfRule>
  </conditionalFormatting>
  <conditionalFormatting sqref="S8">
    <cfRule type="expression" dxfId="49" priority="216">
      <formula>U$9&lt;8/24</formula>
    </cfRule>
    <cfRule type="expression" dxfId="48" priority="215">
      <formula>AND(U$9&gt;=8/24,U$9&lt;14/24)</formula>
    </cfRule>
    <cfRule type="expression" dxfId="47" priority="214">
      <formula>AND(U$9&gt;=14/24,U$9&lt;20/24)</formula>
    </cfRule>
    <cfRule type="expression" dxfId="46" priority="213">
      <formula>U$9&gt;=20/24</formula>
    </cfRule>
  </conditionalFormatting>
  <conditionalFormatting sqref="S52:Z52 AA52:AF53 V53:Z53">
    <cfRule type="expression" dxfId="45" priority="207">
      <formula>S$9&lt;8/24</formula>
    </cfRule>
    <cfRule type="expression" dxfId="44" priority="205">
      <formula>AND(S$9&gt;=14/24,S$9&lt;20/24)</formula>
    </cfRule>
    <cfRule type="expression" dxfId="43" priority="204">
      <formula>S$9&gt;=20/24</formula>
    </cfRule>
    <cfRule type="expression" dxfId="42" priority="206">
      <formula>AND(S$9&gt;=8/24,S$9&lt;14/24)</formula>
    </cfRule>
  </conditionalFormatting>
  <conditionalFormatting sqref="T241">
    <cfRule type="expression" dxfId="41" priority="253">
      <formula>AX$9&gt;=20/24</formula>
    </cfRule>
    <cfRule type="expression" dxfId="40" priority="254">
      <formula>AND(AX$9&gt;=14/24,AX$9&lt;20/24)</formula>
    </cfRule>
    <cfRule type="expression" dxfId="39" priority="255">
      <formula>AND(AX$9&gt;=8/24,AX$9&lt;14/24)</formula>
    </cfRule>
    <cfRule type="expression" dxfId="38" priority="256">
      <formula>AX$9&lt;8/24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X11:AF42">
    <cfRule type="expression" dxfId="37" priority="178">
      <formula>AND(X$9&gt;=8/24,X$9&lt;14/24)</formula>
    </cfRule>
    <cfRule type="expression" dxfId="36" priority="177">
      <formula>AND(X$9&gt;=14/24,X$9&lt;20/24)</formula>
    </cfRule>
    <cfRule type="expression" dxfId="35" priority="176">
      <formula>X$9&gt;=20/24</formula>
    </cfRule>
    <cfRule type="expression" dxfId="34" priority="179">
      <formula>X$9&lt;8/24</formula>
    </cfRule>
  </conditionalFormatting>
  <conditionalFormatting sqref="AB8">
    <cfRule type="expression" dxfId="33" priority="212">
      <formula>AD$9&lt;8/24</formula>
    </cfRule>
    <cfRule type="expression" dxfId="32" priority="211">
      <formula>AND(AD$9&gt;=8/24,AD$9&lt;14/24)</formula>
    </cfRule>
    <cfRule type="expression" dxfId="31" priority="210">
      <formula>AND(AD$9&gt;=14/24,AD$9&lt;20/24)</formula>
    </cfRule>
    <cfRule type="expression" dxfId="30" priority="209">
      <formula>AD$9&gt;=20/24</formula>
    </cfRule>
  </conditionalFormatting>
  <conditionalFormatting sqref="AG44 AG61:AG62 AG66">
    <cfRule type="expression" dxfId="29" priority="166">
      <formula>AG44&gt;$AG44</formula>
    </cfRule>
  </conditionalFormatting>
  <conditionalFormatting sqref="AG48">
    <cfRule type="expression" dxfId="28" priority="146">
      <formula>AG48&gt;$AG48</formula>
    </cfRule>
    <cfRule type="expression" dxfId="27" priority="150">
      <formula>AG$9&lt;8/24</formula>
    </cfRule>
    <cfRule type="expression" dxfId="26" priority="149">
      <formula>AND(AG$9&gt;=8/24,AG$9&lt;14/24)</formula>
    </cfRule>
    <cfRule type="expression" dxfId="25" priority="148">
      <formula>AND(AG$9&gt;=14/24,AG$9&lt;20/24)</formula>
    </cfRule>
    <cfRule type="expression" dxfId="24" priority="147">
      <formula>AG$9&gt;=20/24</formula>
    </cfRule>
  </conditionalFormatting>
  <conditionalFormatting sqref="AG66 AG83">
    <cfRule type="expression" dxfId="23" priority="168">
      <formula>AND(AG$9&gt;=14/24,AG$9&lt;20/24)</formula>
    </cfRule>
    <cfRule type="expression" dxfId="22" priority="169">
      <formula>AND(AG$9&gt;=8/24,AG$9&lt;14/24)</formula>
    </cfRule>
    <cfRule type="expression" dxfId="21" priority="170">
      <formula>AG$9&lt;8/24</formula>
    </cfRule>
    <cfRule type="expression" dxfId="20" priority="167">
      <formula>AG$9&gt;=20/24</formula>
    </cfRule>
  </conditionalFormatting>
  <conditionalFormatting sqref="AG241">
    <cfRule type="expression" dxfId="19" priority="245">
      <formula>B$9&gt;=20/24</formula>
    </cfRule>
    <cfRule type="expression" dxfId="18" priority="248">
      <formula>B$9&lt;8/24</formula>
    </cfRule>
    <cfRule type="expression" dxfId="17" priority="247">
      <formula>AND(B$9&gt;=8/24,B$9&lt;14/24)</formula>
    </cfRule>
    <cfRule type="expression" dxfId="16" priority="246">
      <formula>AND(B$9&gt;=14/24,B$9&lt;20/24)</formula>
    </cfRule>
  </conditionalFormatting>
  <conditionalFormatting sqref="AH241:AX241">
    <cfRule type="expression" dxfId="15" priority="249">
      <formula>AG$9&gt;=20/24</formula>
    </cfRule>
    <cfRule type="expression" dxfId="14" priority="250">
      <formula>AND(AG$9&gt;=14/24,AG$9&lt;20/24)</formula>
    </cfRule>
    <cfRule type="expression" dxfId="13" priority="251">
      <formula>AND(AG$9&gt;=8/24,AG$9&lt;14/24)</formula>
    </cfRule>
    <cfRule type="expression" dxfId="12" priority="252">
      <formula>AG$9&lt;8/24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11" priority="258">
      <formula>AJ$9&gt;=20/24</formula>
    </cfRule>
    <cfRule type="expression" dxfId="10" priority="259">
      <formula>AND(AJ$9&gt;=14/24,AJ$9&lt;20/24)</formula>
    </cfRule>
    <cfRule type="expression" dxfId="9" priority="260">
      <formula>AND(AJ$9&gt;=8/24,AJ$9&lt;14/24)</formula>
    </cfRule>
    <cfRule type="expression" dxfId="8" priority="261">
      <formula>AJ$9&lt;8/24</formula>
    </cfRule>
  </conditionalFormatting>
  <conditionalFormatting sqref="AL74:AN74 AL80:AN80">
    <cfRule type="expression" dxfId="7" priority="6">
      <formula>AND(AL$9&gt;=14/24,AL$9&lt;20/24)</formula>
    </cfRule>
    <cfRule type="expression" dxfId="6" priority="7">
      <formula>AND(AL$9&gt;=8/24,AL$9&lt;14/24)</formula>
    </cfRule>
    <cfRule type="expression" dxfId="5" priority="8">
      <formula>AL$9&lt;8/24</formula>
    </cfRule>
    <cfRule type="expression" dxfId="4" priority="5">
      <formula>AL$9&gt;=20/24</formula>
    </cfRule>
  </conditionalFormatting>
  <conditionalFormatting sqref="AN75:AN78">
    <cfRule type="expression" dxfId="3" priority="2">
      <formula>AND(AN$9&gt;=14/24,AN$9&lt;20/24)</formula>
    </cfRule>
    <cfRule type="expression" dxfId="2" priority="3">
      <formula>AND(AN$9&gt;=8/24,AN$9&lt;14/24)</formula>
    </cfRule>
    <cfRule type="expression" dxfId="1" priority="4">
      <formula>AN$9&lt;8/24</formula>
    </cfRule>
    <cfRule type="expression" dxfId="0" priority="1">
      <formula>AN$9&gt;=20/24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id="{8150F891-8690-4A52-900A-665D4D40151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BFF53FDF-3609-496E-9BF1-54CEE97E93F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854E67EE-9E58-4854-A9DC-19B5B4AD0D8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11B3AA3C-DC55-4F16-A001-C7C77001D2F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1" id="{E5C38879-9F5F-45DC-9742-99F68A162E9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0" id="{9F6816AC-A1A8-494C-B21D-D8A3F08A3EB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3" id="{562E9F15-57B0-451D-86E5-0E0F41E4E8F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74BC2415-59DF-48B1-BD1C-73E3D8F47E0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7" id="{6DC7D6A3-F94A-48F3-8C12-9D10DAB07FE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6" id="{6E0F52AC-9973-4DA5-B793-B40740A316C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5" id="{75600FDE-007E-4E17-8C83-48CE3AEF824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4" id="{A875FB37-55C4-4425-B3A3-18CF68375D3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J274"/>
  <sheetViews>
    <sheetView topLeftCell="A46" zoomScale="115" zoomScaleNormal="115" workbookViewId="0">
      <selection activeCell="A69" sqref="A69:XFD6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hidden="1" customWidth="1"/>
    <col min="18" max="18" width="6.28515625" style="1" hidden="1" customWidth="1"/>
    <col min="19" max="19" width="7" style="1" hidden="1" customWidth="1"/>
    <col min="20" max="20" width="6.85546875" style="1" hidden="1" customWidth="1"/>
    <col min="21" max="21" width="6.5703125" style="1" hidden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2079/09/16</v>
      </c>
      <c r="C4" s="197"/>
      <c r="D4" s="197"/>
      <c r="E4" s="198" t="str">
        <f ca="1">"2079/"&amp;"09/"&amp;INT(MID(CELL("filename",G6),FIND("]",CELL("filename",G6))+1,200))</f>
        <v>2079/09/16</v>
      </c>
      <c r="F4" s="198"/>
      <c r="G4" s="198"/>
      <c r="H4" s="198" t="str">
        <f ca="1">TEXT(E4,"dddd")</f>
        <v>Saturday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287</v>
      </c>
      <c r="C5" s="30">
        <f t="shared" si="0"/>
        <v>299</v>
      </c>
      <c r="D5" s="30">
        <f t="shared" si="0"/>
        <v>289</v>
      </c>
      <c r="E5" s="30">
        <f t="shared" si="0"/>
        <v>294.7</v>
      </c>
      <c r="F5" s="30">
        <f t="shared" si="0"/>
        <v>295</v>
      </c>
      <c r="G5" s="30">
        <f t="shared" si="0"/>
        <v>390.7</v>
      </c>
      <c r="H5" s="30">
        <f t="shared" si="0"/>
        <v>384.7</v>
      </c>
      <c r="I5" s="30">
        <f t="shared" si="0"/>
        <v>392.09999999999997</v>
      </c>
      <c r="J5" s="30">
        <f t="shared" si="0"/>
        <v>331.9</v>
      </c>
      <c r="K5" s="30">
        <f t="shared" si="0"/>
        <v>140.1</v>
      </c>
      <c r="L5" s="30">
        <f t="shared" si="0"/>
        <v>128.19999999999999</v>
      </c>
      <c r="M5" s="30">
        <f t="shared" si="0"/>
        <v>158.5</v>
      </c>
      <c r="N5" s="30">
        <f t="shared" si="0"/>
        <v>143.30000000000001</v>
      </c>
      <c r="O5" s="30">
        <f t="shared" si="0"/>
        <v>280.60000000000002</v>
      </c>
      <c r="P5" s="30">
        <f t="shared" si="0"/>
        <v>266</v>
      </c>
      <c r="Q5" s="30">
        <f t="shared" si="0"/>
        <v>244.59999999999997</v>
      </c>
      <c r="R5" s="30">
        <f t="shared" si="0"/>
        <v>240</v>
      </c>
      <c r="S5" s="30">
        <f t="shared" si="0"/>
        <v>379.79999999999995</v>
      </c>
      <c r="T5" s="30">
        <f t="shared" si="0"/>
        <v>381.3</v>
      </c>
      <c r="U5" s="30">
        <f t="shared" si="0"/>
        <v>316.3</v>
      </c>
      <c r="V5" s="30">
        <f t="shared" si="0"/>
        <v>327.5</v>
      </c>
      <c r="W5" s="30">
        <f t="shared" si="0"/>
        <v>184.6</v>
      </c>
      <c r="X5" s="30">
        <f t="shared" si="0"/>
        <v>140.5</v>
      </c>
      <c r="Y5" s="30">
        <f t="shared" si="0"/>
        <v>217</v>
      </c>
      <c r="Z5" s="30">
        <f t="shared" si="0"/>
        <v>219.9</v>
      </c>
      <c r="AA5" s="30">
        <f t="shared" si="0"/>
        <v>233.3</v>
      </c>
      <c r="AB5" s="30">
        <f t="shared" si="0"/>
        <v>366</v>
      </c>
      <c r="AC5" s="30">
        <f t="shared" si="0"/>
        <v>354.5</v>
      </c>
      <c r="AD5" s="30">
        <f t="shared" si="0"/>
        <v>314.89999999999998</v>
      </c>
      <c r="AE5" s="30">
        <f t="shared" si="0"/>
        <v>315</v>
      </c>
      <c r="AF5" s="30">
        <f>B78</f>
        <v>362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1618MW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Load=1003</v>
      </c>
      <c r="B7" s="35">
        <f t="shared" ref="B7:AF7" si="1">B85</f>
        <v>1071.74</v>
      </c>
      <c r="C7" s="35">
        <f t="shared" si="1"/>
        <v>1002.94</v>
      </c>
      <c r="D7" s="35">
        <f t="shared" si="1"/>
        <v>1014.94</v>
      </c>
      <c r="E7" s="35">
        <f t="shared" si="1"/>
        <v>1014.94</v>
      </c>
      <c r="F7" s="35">
        <f t="shared" si="1"/>
        <v>1028.6400000000001</v>
      </c>
      <c r="G7" s="35">
        <f t="shared" si="1"/>
        <v>1058.94</v>
      </c>
      <c r="H7" s="35">
        <f t="shared" si="1"/>
        <v>1161.6400000000001</v>
      </c>
      <c r="I7" s="35">
        <f t="shared" si="1"/>
        <v>1201.3400000000001</v>
      </c>
      <c r="J7" s="35">
        <f t="shared" si="1"/>
        <v>1323.84</v>
      </c>
      <c r="K7" s="35">
        <f t="shared" si="1"/>
        <v>1439.04</v>
      </c>
      <c r="L7" s="35">
        <f t="shared" si="1"/>
        <v>1584.1399999999999</v>
      </c>
      <c r="M7" s="35">
        <f t="shared" si="1"/>
        <v>1595.5400000000002</v>
      </c>
      <c r="N7" s="35">
        <f>N85</f>
        <v>1617.74</v>
      </c>
      <c r="O7" s="35">
        <f t="shared" si="1"/>
        <v>1489.9399999999998</v>
      </c>
      <c r="P7" s="35">
        <f t="shared" si="1"/>
        <v>1350.1399999999999</v>
      </c>
      <c r="Q7" s="35">
        <f t="shared" si="1"/>
        <v>1287.7400000000002</v>
      </c>
      <c r="R7" s="35">
        <f t="shared" si="1"/>
        <v>1250.24</v>
      </c>
      <c r="S7" s="35">
        <f t="shared" si="1"/>
        <v>1226.54</v>
      </c>
      <c r="T7" s="35">
        <f t="shared" si="1"/>
        <v>1288.94</v>
      </c>
      <c r="U7" s="35">
        <f t="shared" si="1"/>
        <v>1221.54</v>
      </c>
      <c r="V7" s="35">
        <f t="shared" si="1"/>
        <v>1302.6400000000001</v>
      </c>
      <c r="W7" s="35">
        <f t="shared" si="1"/>
        <v>1494.74</v>
      </c>
      <c r="X7" s="35">
        <f t="shared" si="1"/>
        <v>1559.1399999999999</v>
      </c>
      <c r="Y7" s="35">
        <f t="shared" si="1"/>
        <v>1577.0400000000002</v>
      </c>
      <c r="Z7" s="35">
        <f t="shared" si="1"/>
        <v>1543.54</v>
      </c>
      <c r="AA7" s="35">
        <f t="shared" si="1"/>
        <v>1456.44</v>
      </c>
      <c r="AB7" s="35">
        <f t="shared" si="1"/>
        <v>1474.24</v>
      </c>
      <c r="AC7" s="35">
        <f t="shared" si="1"/>
        <v>1344.44</v>
      </c>
      <c r="AD7" s="35">
        <f t="shared" si="1"/>
        <v>1289.3399999999999</v>
      </c>
      <c r="AE7" s="35">
        <f t="shared" si="1"/>
        <v>1153.04</v>
      </c>
      <c r="AF7" s="35">
        <f t="shared" si="1"/>
        <v>1002.54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23.4</v>
      </c>
      <c r="C11" s="45">
        <v>23.4</v>
      </c>
      <c r="D11" s="45">
        <v>23.4</v>
      </c>
      <c r="E11" s="45">
        <v>23.4</v>
      </c>
      <c r="F11" s="45">
        <v>23.4</v>
      </c>
      <c r="G11" s="45">
        <v>23.4</v>
      </c>
      <c r="H11" s="45">
        <v>23.4</v>
      </c>
      <c r="I11" s="45">
        <v>23.7</v>
      </c>
      <c r="J11" s="45">
        <v>23.4</v>
      </c>
      <c r="K11" s="45">
        <v>23.4</v>
      </c>
      <c r="L11" s="45">
        <v>23.4</v>
      </c>
      <c r="M11" s="45">
        <v>23.4</v>
      </c>
      <c r="N11" s="45">
        <v>22.4</v>
      </c>
      <c r="O11" s="45">
        <v>22.4</v>
      </c>
      <c r="P11" s="45">
        <v>22.4</v>
      </c>
      <c r="Q11" s="45">
        <v>23.3</v>
      </c>
      <c r="R11" s="45">
        <v>23.3</v>
      </c>
      <c r="S11" s="45">
        <v>23.3</v>
      </c>
      <c r="T11" s="45">
        <v>23.3</v>
      </c>
      <c r="U11" s="45">
        <v>23.3</v>
      </c>
      <c r="V11" s="45">
        <v>23.3</v>
      </c>
      <c r="W11" s="45">
        <v>23.3</v>
      </c>
      <c r="X11" s="45">
        <v>22.3</v>
      </c>
      <c r="Y11" s="45">
        <v>22.3</v>
      </c>
      <c r="Z11" s="45">
        <v>22.3</v>
      </c>
      <c r="AA11" s="45">
        <v>22.3</v>
      </c>
      <c r="AB11" s="45">
        <v>22.3</v>
      </c>
      <c r="AC11" s="45">
        <v>23.2</v>
      </c>
      <c r="AD11" s="45">
        <v>23.2</v>
      </c>
      <c r="AE11" s="45">
        <v>23.2</v>
      </c>
      <c r="AF11" s="45">
        <v>23.2</v>
      </c>
      <c r="AG11" s="47">
        <v>52.4</v>
      </c>
      <c r="AH11" s="48">
        <f t="shared" ref="AH11:AH74" si="2">MAX(B11:AF11)</f>
        <v>23.7</v>
      </c>
      <c r="AI11" s="49">
        <f t="shared" ref="AI11:AI74" si="3">MIN(B11:AF11)</f>
        <v>22.3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43.8</v>
      </c>
      <c r="C12" s="45">
        <v>44</v>
      </c>
      <c r="D12" s="45">
        <v>44</v>
      </c>
      <c r="E12" s="45">
        <v>44</v>
      </c>
      <c r="F12" s="45">
        <v>44</v>
      </c>
      <c r="G12" s="45">
        <v>44</v>
      </c>
      <c r="H12" s="45">
        <v>44</v>
      </c>
      <c r="I12" s="45">
        <v>43.9</v>
      </c>
      <c r="J12" s="45">
        <v>44</v>
      </c>
      <c r="K12" s="45">
        <v>44</v>
      </c>
      <c r="L12" s="45">
        <v>44</v>
      </c>
      <c r="M12" s="45">
        <v>44</v>
      </c>
      <c r="N12" s="45">
        <v>44</v>
      </c>
      <c r="O12" s="45">
        <v>44</v>
      </c>
      <c r="P12" s="45">
        <v>44</v>
      </c>
      <c r="Q12" s="45">
        <v>44</v>
      </c>
      <c r="R12" s="45">
        <v>44</v>
      </c>
      <c r="S12" s="45">
        <v>44</v>
      </c>
      <c r="T12" s="45">
        <v>44</v>
      </c>
      <c r="U12" s="45">
        <v>44</v>
      </c>
      <c r="V12" s="45">
        <v>44</v>
      </c>
      <c r="W12" s="45">
        <v>44</v>
      </c>
      <c r="X12" s="45">
        <v>44</v>
      </c>
      <c r="Y12" s="45">
        <v>44</v>
      </c>
      <c r="Z12" s="45">
        <v>44</v>
      </c>
      <c r="AA12" s="45">
        <v>44</v>
      </c>
      <c r="AB12" s="45">
        <v>44</v>
      </c>
      <c r="AC12" s="45">
        <v>44</v>
      </c>
      <c r="AD12" s="45">
        <v>44</v>
      </c>
      <c r="AE12" s="45">
        <v>44</v>
      </c>
      <c r="AF12" s="45">
        <v>44</v>
      </c>
      <c r="AG12" s="51">
        <v>50</v>
      </c>
      <c r="AH12" s="48">
        <f t="shared" si="2"/>
        <v>44</v>
      </c>
      <c r="AI12" s="49">
        <f t="shared" si="3"/>
        <v>43.8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22.5</v>
      </c>
      <c r="C13" s="45">
        <v>22.5</v>
      </c>
      <c r="D13" s="45">
        <v>22.5</v>
      </c>
      <c r="E13" s="45">
        <v>22.5</v>
      </c>
      <c r="F13" s="45">
        <v>22.5</v>
      </c>
      <c r="G13" s="45">
        <v>22.5</v>
      </c>
      <c r="H13" s="45">
        <v>22.5</v>
      </c>
      <c r="I13" s="45">
        <v>23.5</v>
      </c>
      <c r="J13" s="45">
        <v>22.5</v>
      </c>
      <c r="K13" s="45">
        <v>22.5</v>
      </c>
      <c r="L13" s="45">
        <v>22.5</v>
      </c>
      <c r="M13" s="45">
        <v>22.5</v>
      </c>
      <c r="N13" s="45">
        <v>22.8</v>
      </c>
      <c r="O13" s="45">
        <v>22.8</v>
      </c>
      <c r="P13" s="45">
        <v>22.8</v>
      </c>
      <c r="Q13" s="45">
        <v>22.8</v>
      </c>
      <c r="R13" s="45">
        <v>22.8</v>
      </c>
      <c r="S13" s="45">
        <v>22.8</v>
      </c>
      <c r="T13" s="45">
        <v>22.8</v>
      </c>
      <c r="U13" s="45">
        <v>22.8</v>
      </c>
      <c r="V13" s="45">
        <v>22.8</v>
      </c>
      <c r="W13" s="45">
        <v>22.8</v>
      </c>
      <c r="X13" s="45">
        <v>23.2</v>
      </c>
      <c r="Y13" s="45">
        <v>23.2</v>
      </c>
      <c r="Z13" s="45">
        <v>23.2</v>
      </c>
      <c r="AA13" s="45">
        <v>23.2</v>
      </c>
      <c r="AB13" s="45">
        <v>23.2</v>
      </c>
      <c r="AC13" s="45">
        <v>23.2</v>
      </c>
      <c r="AD13" s="45">
        <v>23.2</v>
      </c>
      <c r="AE13" s="45">
        <v>23.2</v>
      </c>
      <c r="AF13" s="45">
        <v>23.2</v>
      </c>
      <c r="AG13" s="51">
        <v>45</v>
      </c>
      <c r="AH13" s="48">
        <f t="shared" si="2"/>
        <v>23.5</v>
      </c>
      <c r="AI13" s="49">
        <f t="shared" si="3"/>
        <v>22.5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11.3</v>
      </c>
      <c r="C14" s="45">
        <v>11.3</v>
      </c>
      <c r="D14" s="45">
        <v>11.3</v>
      </c>
      <c r="E14" s="45">
        <v>11.3</v>
      </c>
      <c r="F14" s="45">
        <v>11.3</v>
      </c>
      <c r="G14" s="45">
        <v>11.3</v>
      </c>
      <c r="H14" s="45">
        <v>11.3</v>
      </c>
      <c r="I14" s="45">
        <v>11.3</v>
      </c>
      <c r="J14" s="45">
        <v>11.3</v>
      </c>
      <c r="K14" s="45">
        <v>11.3</v>
      </c>
      <c r="L14" s="45">
        <v>11.3</v>
      </c>
      <c r="M14" s="45">
        <v>11.3</v>
      </c>
      <c r="N14" s="45">
        <v>11</v>
      </c>
      <c r="O14" s="45">
        <v>11</v>
      </c>
      <c r="P14" s="45">
        <v>11</v>
      </c>
      <c r="Q14" s="45">
        <v>11</v>
      </c>
      <c r="R14" s="45">
        <v>11</v>
      </c>
      <c r="S14" s="45">
        <v>11</v>
      </c>
      <c r="T14" s="45">
        <v>11</v>
      </c>
      <c r="U14" s="45">
        <v>11</v>
      </c>
      <c r="V14" s="45">
        <v>11</v>
      </c>
      <c r="W14" s="45">
        <v>11</v>
      </c>
      <c r="X14" s="45">
        <v>11</v>
      </c>
      <c r="Y14" s="45">
        <v>11</v>
      </c>
      <c r="Z14" s="45">
        <v>11</v>
      </c>
      <c r="AA14" s="45">
        <v>11</v>
      </c>
      <c r="AB14" s="45">
        <v>11</v>
      </c>
      <c r="AC14" s="45">
        <v>11</v>
      </c>
      <c r="AD14" s="45">
        <v>11</v>
      </c>
      <c r="AE14" s="45">
        <v>11</v>
      </c>
      <c r="AF14" s="45">
        <v>11</v>
      </c>
      <c r="AG14" s="51">
        <v>42</v>
      </c>
      <c r="AH14" s="48">
        <f t="shared" si="2"/>
        <v>11.3</v>
      </c>
      <c r="AI14" s="49">
        <f t="shared" si="3"/>
        <v>11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17.3</v>
      </c>
      <c r="C15" s="45">
        <v>17.3</v>
      </c>
      <c r="D15" s="45">
        <v>17.3</v>
      </c>
      <c r="E15" s="45">
        <v>17.3</v>
      </c>
      <c r="F15" s="45">
        <v>17.3</v>
      </c>
      <c r="G15" s="45">
        <v>17.3</v>
      </c>
      <c r="H15" s="45">
        <v>17.3</v>
      </c>
      <c r="I15" s="45">
        <v>17.3</v>
      </c>
      <c r="J15" s="45">
        <v>17.3</v>
      </c>
      <c r="K15" s="45">
        <v>17.3</v>
      </c>
      <c r="L15" s="45">
        <v>17.3</v>
      </c>
      <c r="M15" s="45">
        <v>17.3</v>
      </c>
      <c r="N15" s="45">
        <v>17.3</v>
      </c>
      <c r="O15" s="45">
        <v>17.3</v>
      </c>
      <c r="P15" s="45">
        <v>17.3</v>
      </c>
      <c r="Q15" s="45">
        <v>17.3</v>
      </c>
      <c r="R15" s="45">
        <v>17.3</v>
      </c>
      <c r="S15" s="45">
        <v>17.3</v>
      </c>
      <c r="T15" s="45">
        <v>17.3</v>
      </c>
      <c r="U15" s="45">
        <v>17.3</v>
      </c>
      <c r="V15" s="45">
        <v>17.3</v>
      </c>
      <c r="W15" s="45">
        <v>17.3</v>
      </c>
      <c r="X15" s="45">
        <v>17.3</v>
      </c>
      <c r="Y15" s="45">
        <v>17.3</v>
      </c>
      <c r="Z15" s="45">
        <v>17.3</v>
      </c>
      <c r="AA15" s="45">
        <v>17.3</v>
      </c>
      <c r="AB15" s="45">
        <v>17.3</v>
      </c>
      <c r="AC15" s="45">
        <v>17.3</v>
      </c>
      <c r="AD15" s="45">
        <v>17.3</v>
      </c>
      <c r="AE15" s="45">
        <v>17.3</v>
      </c>
      <c r="AF15" s="45">
        <v>17.3</v>
      </c>
      <c r="AG15" s="51">
        <v>36</v>
      </c>
      <c r="AH15" s="48">
        <f t="shared" si="2"/>
        <v>17.3</v>
      </c>
      <c r="AI15" s="49">
        <f t="shared" si="3"/>
        <v>17.3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10.8</v>
      </c>
      <c r="C16" s="45">
        <v>10.8</v>
      </c>
      <c r="D16" s="45">
        <v>10.8</v>
      </c>
      <c r="E16" s="45">
        <v>10.8</v>
      </c>
      <c r="F16" s="45">
        <v>10.8</v>
      </c>
      <c r="G16" s="45">
        <v>10.8</v>
      </c>
      <c r="H16" s="45">
        <v>10.8</v>
      </c>
      <c r="I16" s="45">
        <v>10.8</v>
      </c>
      <c r="J16" s="45">
        <v>10.8</v>
      </c>
      <c r="K16" s="45">
        <v>10.8</v>
      </c>
      <c r="L16" s="45">
        <v>10.8</v>
      </c>
      <c r="M16" s="45">
        <v>10.8</v>
      </c>
      <c r="N16" s="45">
        <v>10.8</v>
      </c>
      <c r="O16" s="45">
        <v>10.8</v>
      </c>
      <c r="P16" s="45">
        <v>10.8</v>
      </c>
      <c r="Q16" s="45">
        <v>10.8</v>
      </c>
      <c r="R16" s="45">
        <v>10.8</v>
      </c>
      <c r="S16" s="45">
        <v>10.8</v>
      </c>
      <c r="T16" s="45">
        <v>10.8</v>
      </c>
      <c r="U16" s="45">
        <v>10.8</v>
      </c>
      <c r="V16" s="45">
        <v>10.8</v>
      </c>
      <c r="W16" s="45">
        <v>10.8</v>
      </c>
      <c r="X16" s="45">
        <v>10.8</v>
      </c>
      <c r="Y16" s="45">
        <v>10.8</v>
      </c>
      <c r="Z16" s="45">
        <v>10.8</v>
      </c>
      <c r="AA16" s="45">
        <v>10.8</v>
      </c>
      <c r="AB16" s="45">
        <v>10.8</v>
      </c>
      <c r="AC16" s="45">
        <v>10.8</v>
      </c>
      <c r="AD16" s="45">
        <v>10.8</v>
      </c>
      <c r="AE16" s="45">
        <v>10.8</v>
      </c>
      <c r="AF16" s="45">
        <v>10.8</v>
      </c>
      <c r="AG16" s="52">
        <v>30</v>
      </c>
      <c r="AH16" s="48">
        <f t="shared" si="2"/>
        <v>10.8</v>
      </c>
      <c r="AI16" s="49">
        <f t="shared" si="3"/>
        <v>10.8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10.9</v>
      </c>
      <c r="C17" s="45">
        <v>10.9</v>
      </c>
      <c r="D17" s="45">
        <v>10.9</v>
      </c>
      <c r="E17" s="45">
        <v>10.9</v>
      </c>
      <c r="F17" s="45">
        <v>10.9</v>
      </c>
      <c r="G17" s="45">
        <v>10.9</v>
      </c>
      <c r="H17" s="45">
        <v>10.9</v>
      </c>
      <c r="I17" s="45">
        <v>10.9</v>
      </c>
      <c r="J17" s="45">
        <v>10.9</v>
      </c>
      <c r="K17" s="45">
        <v>10.9</v>
      </c>
      <c r="L17" s="45">
        <v>10.9</v>
      </c>
      <c r="M17" s="45">
        <v>10.9</v>
      </c>
      <c r="N17" s="45">
        <v>10.9</v>
      </c>
      <c r="O17" s="45">
        <v>10.9</v>
      </c>
      <c r="P17" s="45">
        <v>10.9</v>
      </c>
      <c r="Q17" s="45">
        <v>10.9</v>
      </c>
      <c r="R17" s="45">
        <v>10.9</v>
      </c>
      <c r="S17" s="45">
        <v>10.9</v>
      </c>
      <c r="T17" s="45">
        <v>10.9</v>
      </c>
      <c r="U17" s="45">
        <v>10.9</v>
      </c>
      <c r="V17" s="45">
        <v>10.9</v>
      </c>
      <c r="W17" s="45">
        <v>10.9</v>
      </c>
      <c r="X17" s="45">
        <v>10.9</v>
      </c>
      <c r="Y17" s="45">
        <v>10.9</v>
      </c>
      <c r="Z17" s="45">
        <v>10.9</v>
      </c>
      <c r="AA17" s="45">
        <v>10.9</v>
      </c>
      <c r="AB17" s="45">
        <v>10.9</v>
      </c>
      <c r="AC17" s="45">
        <v>10.9</v>
      </c>
      <c r="AD17" s="45">
        <v>10.9</v>
      </c>
      <c r="AE17" s="45">
        <v>10.9</v>
      </c>
      <c r="AF17" s="45">
        <v>10.9</v>
      </c>
      <c r="AG17" s="51">
        <v>24.2</v>
      </c>
      <c r="AH17" s="48">
        <f t="shared" si="2"/>
        <v>10.9</v>
      </c>
      <c r="AI17" s="49">
        <f t="shared" si="3"/>
        <v>10.9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12</v>
      </c>
      <c r="C20" s="45">
        <v>12</v>
      </c>
      <c r="D20" s="45">
        <v>12</v>
      </c>
      <c r="E20" s="45">
        <v>12</v>
      </c>
      <c r="F20" s="45">
        <v>12</v>
      </c>
      <c r="G20" s="45">
        <v>12</v>
      </c>
      <c r="H20" s="45">
        <v>12</v>
      </c>
      <c r="I20" s="45">
        <v>12</v>
      </c>
      <c r="J20" s="45">
        <v>12</v>
      </c>
      <c r="K20" s="45">
        <v>12</v>
      </c>
      <c r="L20" s="45">
        <v>12</v>
      </c>
      <c r="M20" s="45">
        <v>12</v>
      </c>
      <c r="N20" s="45">
        <v>12</v>
      </c>
      <c r="O20" s="45">
        <v>12</v>
      </c>
      <c r="P20" s="45">
        <v>12</v>
      </c>
      <c r="Q20" s="45">
        <v>12</v>
      </c>
      <c r="R20" s="45">
        <v>12</v>
      </c>
      <c r="S20" s="45">
        <v>12</v>
      </c>
      <c r="T20" s="45">
        <v>12</v>
      </c>
      <c r="U20" s="45">
        <v>12</v>
      </c>
      <c r="V20" s="45">
        <v>12</v>
      </c>
      <c r="W20" s="45">
        <v>12</v>
      </c>
      <c r="X20" s="45">
        <v>12</v>
      </c>
      <c r="Y20" s="45">
        <v>12</v>
      </c>
      <c r="Z20" s="45">
        <v>12</v>
      </c>
      <c r="AA20" s="45">
        <v>12</v>
      </c>
      <c r="AB20" s="45">
        <v>12</v>
      </c>
      <c r="AC20" s="45">
        <v>12</v>
      </c>
      <c r="AD20" s="45">
        <v>12</v>
      </c>
      <c r="AE20" s="45">
        <v>12</v>
      </c>
      <c r="AF20" s="45">
        <v>12</v>
      </c>
      <c r="AG20" s="51">
        <v>25</v>
      </c>
      <c r="AH20" s="48">
        <f t="shared" si="2"/>
        <v>12</v>
      </c>
      <c r="AI20" s="49">
        <f t="shared" si="3"/>
        <v>12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11.1</v>
      </c>
      <c r="C24" s="45">
        <v>11.1</v>
      </c>
      <c r="D24" s="45">
        <v>11.1</v>
      </c>
      <c r="E24" s="45">
        <v>11.1</v>
      </c>
      <c r="F24" s="45">
        <v>11.1</v>
      </c>
      <c r="G24" s="45">
        <v>11.1</v>
      </c>
      <c r="H24" s="45">
        <v>11.1</v>
      </c>
      <c r="I24" s="45">
        <v>11.1</v>
      </c>
      <c r="J24" s="45">
        <v>11.1</v>
      </c>
      <c r="K24" s="45">
        <v>11.1</v>
      </c>
      <c r="L24" s="45">
        <v>11.1</v>
      </c>
      <c r="M24" s="45">
        <v>11.1</v>
      </c>
      <c r="N24" s="45">
        <v>11.1</v>
      </c>
      <c r="O24" s="45">
        <v>11.1</v>
      </c>
      <c r="P24" s="45">
        <v>11.1</v>
      </c>
      <c r="Q24" s="45">
        <v>11.1</v>
      </c>
      <c r="R24" s="45">
        <v>11.1</v>
      </c>
      <c r="S24" s="45">
        <v>11.1</v>
      </c>
      <c r="T24" s="45">
        <v>11.1</v>
      </c>
      <c r="U24" s="45">
        <v>11.1</v>
      </c>
      <c r="V24" s="45">
        <v>11.1</v>
      </c>
      <c r="W24" s="45">
        <v>11.1</v>
      </c>
      <c r="X24" s="45">
        <v>10</v>
      </c>
      <c r="Y24" s="45">
        <v>10</v>
      </c>
      <c r="Z24" s="45">
        <v>10</v>
      </c>
      <c r="AA24" s="45">
        <v>10</v>
      </c>
      <c r="AB24" s="45">
        <v>10</v>
      </c>
      <c r="AC24" s="45">
        <v>10</v>
      </c>
      <c r="AD24" s="45">
        <v>10</v>
      </c>
      <c r="AE24" s="45">
        <v>10</v>
      </c>
      <c r="AF24" s="45">
        <v>10</v>
      </c>
      <c r="AG24" s="51">
        <v>23.5</v>
      </c>
      <c r="AH24" s="48">
        <f t="shared" si="2"/>
        <v>11.1</v>
      </c>
      <c r="AI24" s="49">
        <f t="shared" si="3"/>
        <v>10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>
        <v>1.2</v>
      </c>
      <c r="S32" s="45">
        <v>1.2</v>
      </c>
      <c r="T32" s="45">
        <v>1.2</v>
      </c>
      <c r="U32" s="45">
        <v>1.2</v>
      </c>
      <c r="V32" s="45">
        <v>1.2</v>
      </c>
      <c r="W32" s="45">
        <v>1.2</v>
      </c>
      <c r="X32" s="45">
        <v>1.2</v>
      </c>
      <c r="Y32" s="45">
        <v>1.2</v>
      </c>
      <c r="Z32" s="45">
        <v>1.2</v>
      </c>
      <c r="AA32" s="45">
        <v>1.2</v>
      </c>
      <c r="AB32" s="45">
        <v>1.2</v>
      </c>
      <c r="AC32" s="45">
        <v>1.2</v>
      </c>
      <c r="AD32" s="45">
        <v>1.2</v>
      </c>
      <c r="AE32" s="45">
        <v>1.2</v>
      </c>
      <c r="AF32" s="45">
        <v>1.2</v>
      </c>
      <c r="AG32" s="51">
        <v>13.6</v>
      </c>
      <c r="AH32" s="48">
        <f t="shared" si="2"/>
        <v>3.6</v>
      </c>
      <c r="AI32" s="49">
        <f t="shared" si="3"/>
        <v>1.2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1</v>
      </c>
      <c r="T41" s="45">
        <v>1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1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180</v>
      </c>
      <c r="C42" s="57">
        <v>180</v>
      </c>
      <c r="D42" s="57">
        <v>180</v>
      </c>
      <c r="E42" s="57">
        <v>180</v>
      </c>
      <c r="F42" s="57">
        <v>180</v>
      </c>
      <c r="G42" s="57">
        <v>180</v>
      </c>
      <c r="H42" s="57">
        <v>180</v>
      </c>
      <c r="I42" s="57">
        <v>180</v>
      </c>
      <c r="J42" s="57">
        <v>180</v>
      </c>
      <c r="K42" s="57">
        <v>180</v>
      </c>
      <c r="L42" s="57">
        <v>180</v>
      </c>
      <c r="M42" s="57">
        <v>180</v>
      </c>
      <c r="N42" s="57">
        <v>180</v>
      </c>
      <c r="O42" s="57">
        <v>180</v>
      </c>
      <c r="P42" s="57">
        <v>180</v>
      </c>
      <c r="Q42" s="57">
        <v>180</v>
      </c>
      <c r="R42" s="57">
        <v>180</v>
      </c>
      <c r="S42" s="57">
        <v>180</v>
      </c>
      <c r="T42" s="57">
        <v>180</v>
      </c>
      <c r="U42" s="57">
        <v>180</v>
      </c>
      <c r="V42" s="57">
        <v>180</v>
      </c>
      <c r="W42" s="57">
        <v>180</v>
      </c>
      <c r="X42" s="57">
        <v>180</v>
      </c>
      <c r="Y42" s="57">
        <v>180</v>
      </c>
      <c r="Z42" s="57">
        <v>180</v>
      </c>
      <c r="AA42" s="57">
        <v>180</v>
      </c>
      <c r="AB42" s="57">
        <v>180</v>
      </c>
      <c r="AC42" s="57">
        <v>180</v>
      </c>
      <c r="AD42" s="57">
        <v>180</v>
      </c>
      <c r="AE42" s="57">
        <v>180</v>
      </c>
      <c r="AF42" s="57">
        <v>180</v>
      </c>
      <c r="AG42" s="55">
        <v>85</v>
      </c>
      <c r="AH42" s="48">
        <f t="shared" si="2"/>
        <v>180</v>
      </c>
      <c r="AI42" s="49">
        <f t="shared" si="3"/>
        <v>180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519.29999999999995</v>
      </c>
      <c r="C44" s="61">
        <f t="shared" si="4"/>
        <v>519.5</v>
      </c>
      <c r="D44" s="61">
        <f t="shared" si="4"/>
        <v>519.5</v>
      </c>
      <c r="E44" s="61">
        <f t="shared" si="4"/>
        <v>519.5</v>
      </c>
      <c r="F44" s="61">
        <f t="shared" si="4"/>
        <v>519.5</v>
      </c>
      <c r="G44" s="61">
        <f t="shared" si="4"/>
        <v>519.5</v>
      </c>
      <c r="H44" s="61">
        <f t="shared" si="4"/>
        <v>519.5</v>
      </c>
      <c r="I44" s="61">
        <f t="shared" si="4"/>
        <v>520.70000000000005</v>
      </c>
      <c r="J44" s="61">
        <f t="shared" si="4"/>
        <v>519.5</v>
      </c>
      <c r="K44" s="61">
        <f t="shared" si="4"/>
        <v>519.5</v>
      </c>
      <c r="L44" s="61">
        <f t="shared" si="4"/>
        <v>519.5</v>
      </c>
      <c r="M44" s="61">
        <f t="shared" si="4"/>
        <v>517.09999999999991</v>
      </c>
      <c r="N44" s="61">
        <f t="shared" si="4"/>
        <v>516.09999999999991</v>
      </c>
      <c r="O44" s="61">
        <f t="shared" si="4"/>
        <v>516.09999999999991</v>
      </c>
      <c r="P44" s="61">
        <f t="shared" si="4"/>
        <v>516.09999999999991</v>
      </c>
      <c r="Q44" s="61">
        <f t="shared" si="4"/>
        <v>517</v>
      </c>
      <c r="R44" s="61">
        <f t="shared" si="4"/>
        <v>517</v>
      </c>
      <c r="S44" s="61">
        <f t="shared" si="4"/>
        <v>518</v>
      </c>
      <c r="T44" s="61">
        <f t="shared" si="4"/>
        <v>518</v>
      </c>
      <c r="U44" s="61">
        <f t="shared" si="4"/>
        <v>517</v>
      </c>
      <c r="V44" s="61">
        <f t="shared" si="4"/>
        <v>517</v>
      </c>
      <c r="W44" s="61">
        <f t="shared" si="4"/>
        <v>517</v>
      </c>
      <c r="X44" s="61">
        <f t="shared" si="4"/>
        <v>515.29999999999995</v>
      </c>
      <c r="Y44" s="61">
        <f t="shared" si="4"/>
        <v>515.29999999999995</v>
      </c>
      <c r="Z44" s="61">
        <f t="shared" si="4"/>
        <v>515.29999999999995</v>
      </c>
      <c r="AA44" s="61">
        <f t="shared" si="4"/>
        <v>515.29999999999995</v>
      </c>
      <c r="AB44" s="61">
        <f t="shared" ref="AB44" si="5">SUM(AB11:AB42)</f>
        <v>515.29999999999995</v>
      </c>
      <c r="AC44" s="61">
        <f t="shared" si="4"/>
        <v>516.19999999999993</v>
      </c>
      <c r="AD44" s="61">
        <f t="shared" si="4"/>
        <v>516.19999999999993</v>
      </c>
      <c r="AE44" s="61">
        <f t="shared" si="4"/>
        <v>516.19999999999993</v>
      </c>
      <c r="AF44" s="61">
        <f t="shared" si="4"/>
        <v>516.19999999999993</v>
      </c>
      <c r="AG44" s="62">
        <f t="shared" si="4"/>
        <v>814.78000000000009</v>
      </c>
      <c r="AH44" s="48">
        <f t="shared" si="2"/>
        <v>520.70000000000005</v>
      </c>
      <c r="AI44" s="49">
        <f t="shared" si="3"/>
        <v>515.29999999999995</v>
      </c>
      <c r="AK44" s="50"/>
    </row>
    <row r="45" spans="1:88" x14ac:dyDescent="0.25">
      <c r="A45" s="6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15</v>
      </c>
      <c r="J45" s="45">
        <v>40</v>
      </c>
      <c r="K45" s="45">
        <v>160</v>
      </c>
      <c r="L45" s="45">
        <v>400</v>
      </c>
      <c r="M45" s="45">
        <v>420</v>
      </c>
      <c r="N45" s="164">
        <v>405</v>
      </c>
      <c r="O45" s="45">
        <v>360</v>
      </c>
      <c r="P45" s="45">
        <v>120</v>
      </c>
      <c r="Q45" s="45">
        <v>120</v>
      </c>
      <c r="R45" s="45">
        <v>110</v>
      </c>
      <c r="S45" s="45">
        <v>110</v>
      </c>
      <c r="T45" s="45">
        <v>110</v>
      </c>
      <c r="U45" s="45">
        <v>15</v>
      </c>
      <c r="V45" s="45">
        <v>50</v>
      </c>
      <c r="W45" s="45">
        <v>140</v>
      </c>
      <c r="X45" s="45">
        <v>320</v>
      </c>
      <c r="Y45" s="45">
        <v>380</v>
      </c>
      <c r="Z45" s="45">
        <v>270</v>
      </c>
      <c r="AA45" s="45">
        <v>180</v>
      </c>
      <c r="AB45" s="45">
        <v>180</v>
      </c>
      <c r="AC45" s="45">
        <v>42</v>
      </c>
      <c r="AD45" s="45">
        <v>15</v>
      </c>
      <c r="AE45" s="45">
        <v>15</v>
      </c>
      <c r="AF45" s="45">
        <v>0</v>
      </c>
      <c r="AG45" s="52">
        <v>456</v>
      </c>
      <c r="AH45" s="48">
        <f t="shared" si="2"/>
        <v>420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45">
        <v>0</v>
      </c>
      <c r="AG46" s="55">
        <v>60</v>
      </c>
      <c r="AH46" s="48">
        <f t="shared" si="2"/>
        <v>41</v>
      </c>
      <c r="AI46" s="49">
        <f t="shared" si="3"/>
        <v>0</v>
      </c>
      <c r="AK46" s="50"/>
    </row>
    <row r="47" spans="1:88" ht="15.75" thickBot="1" x14ac:dyDescent="0.3">
      <c r="A47" s="66" t="s">
        <v>55</v>
      </c>
      <c r="B47" s="67">
        <v>14.1</v>
      </c>
      <c r="C47" s="67">
        <v>14.1</v>
      </c>
      <c r="D47" s="67">
        <v>14.1</v>
      </c>
      <c r="E47" s="67">
        <v>14.1</v>
      </c>
      <c r="F47" s="67">
        <v>14.1</v>
      </c>
      <c r="G47" s="67">
        <v>14.1</v>
      </c>
      <c r="H47" s="67">
        <v>14.1</v>
      </c>
      <c r="I47" s="67">
        <v>14.1</v>
      </c>
      <c r="J47" s="67">
        <v>14.1</v>
      </c>
      <c r="K47" s="67">
        <v>14.1</v>
      </c>
      <c r="L47" s="67">
        <v>14.1</v>
      </c>
      <c r="M47" s="67">
        <v>15.2</v>
      </c>
      <c r="N47" s="67">
        <v>15.1</v>
      </c>
      <c r="O47" s="67">
        <v>15.2</v>
      </c>
      <c r="P47" s="67">
        <v>15.2</v>
      </c>
      <c r="Q47" s="67">
        <v>15.2</v>
      </c>
      <c r="R47" s="67">
        <v>13.5</v>
      </c>
      <c r="S47" s="67">
        <v>13.5</v>
      </c>
      <c r="T47" s="67">
        <v>13.5</v>
      </c>
      <c r="U47" s="67">
        <v>13.5</v>
      </c>
      <c r="V47" s="67">
        <v>13.5</v>
      </c>
      <c r="W47" s="67">
        <v>13.5</v>
      </c>
      <c r="X47" s="67">
        <v>20.100000000000001</v>
      </c>
      <c r="Y47" s="67">
        <v>20.100000000000001</v>
      </c>
      <c r="Z47" s="67">
        <v>20.100000000000001</v>
      </c>
      <c r="AA47" s="67">
        <v>20.100000000000001</v>
      </c>
      <c r="AB47" s="67">
        <v>20.100000000000001</v>
      </c>
      <c r="AC47" s="67">
        <v>14.1</v>
      </c>
      <c r="AD47" s="67">
        <v>14</v>
      </c>
      <c r="AE47" s="67">
        <v>14</v>
      </c>
      <c r="AF47" s="45">
        <v>0</v>
      </c>
      <c r="AG47" s="68">
        <v>22.1</v>
      </c>
      <c r="AH47" s="48">
        <f t="shared" si="2"/>
        <v>20.100000000000001</v>
      </c>
      <c r="AI47" s="49">
        <f t="shared" si="3"/>
        <v>0</v>
      </c>
      <c r="AK47" s="50"/>
    </row>
    <row r="48" spans="1:88" ht="15.75" thickBot="1" x14ac:dyDescent="0.3">
      <c r="A48" s="69" t="s">
        <v>56</v>
      </c>
      <c r="B48" s="61">
        <f t="shared" ref="B48:AG48" si="6">SUM(B45:B47)</f>
        <v>55.1</v>
      </c>
      <c r="C48" s="61">
        <f t="shared" si="6"/>
        <v>55.1</v>
      </c>
      <c r="D48" s="61">
        <f t="shared" si="6"/>
        <v>55.1</v>
      </c>
      <c r="E48" s="61">
        <f t="shared" si="6"/>
        <v>55.1</v>
      </c>
      <c r="F48" s="61">
        <f t="shared" si="6"/>
        <v>55.1</v>
      </c>
      <c r="G48" s="61">
        <f t="shared" si="6"/>
        <v>55.1</v>
      </c>
      <c r="H48" s="61">
        <f t="shared" si="6"/>
        <v>55.1</v>
      </c>
      <c r="I48" s="61">
        <f t="shared" si="6"/>
        <v>70.099999999999994</v>
      </c>
      <c r="J48" s="61">
        <f t="shared" si="6"/>
        <v>95.1</v>
      </c>
      <c r="K48" s="61">
        <f t="shared" si="6"/>
        <v>215.1</v>
      </c>
      <c r="L48" s="61">
        <f t="shared" si="6"/>
        <v>455.1</v>
      </c>
      <c r="M48" s="61">
        <f t="shared" si="6"/>
        <v>476.2</v>
      </c>
      <c r="N48" s="61">
        <f t="shared" si="6"/>
        <v>461.1</v>
      </c>
      <c r="O48" s="61">
        <f t="shared" si="6"/>
        <v>416.2</v>
      </c>
      <c r="P48" s="61">
        <f t="shared" si="6"/>
        <v>176.2</v>
      </c>
      <c r="Q48" s="61">
        <f t="shared" si="6"/>
        <v>176.2</v>
      </c>
      <c r="R48" s="61">
        <f t="shared" si="6"/>
        <v>164.5</v>
      </c>
      <c r="S48" s="61">
        <f t="shared" si="6"/>
        <v>164.5</v>
      </c>
      <c r="T48" s="61">
        <f t="shared" si="6"/>
        <v>164.5</v>
      </c>
      <c r="U48" s="61">
        <f t="shared" si="6"/>
        <v>69.5</v>
      </c>
      <c r="V48" s="61">
        <f t="shared" si="6"/>
        <v>104.5</v>
      </c>
      <c r="W48" s="61">
        <f t="shared" si="6"/>
        <v>194.5</v>
      </c>
      <c r="X48" s="61">
        <f t="shared" si="6"/>
        <v>381.1</v>
      </c>
      <c r="Y48" s="61">
        <f t="shared" si="6"/>
        <v>441.1</v>
      </c>
      <c r="Z48" s="61">
        <f t="shared" si="6"/>
        <v>331.1</v>
      </c>
      <c r="AA48" s="61">
        <f t="shared" si="6"/>
        <v>241.1</v>
      </c>
      <c r="AB48" s="61">
        <f t="shared" ref="AB48" si="7">SUM(AB45:AB47)</f>
        <v>241.1</v>
      </c>
      <c r="AC48" s="61">
        <f t="shared" si="6"/>
        <v>97.1</v>
      </c>
      <c r="AD48" s="61">
        <f t="shared" si="6"/>
        <v>70</v>
      </c>
      <c r="AE48" s="61">
        <f t="shared" si="6"/>
        <v>70</v>
      </c>
      <c r="AF48" s="61">
        <f t="shared" si="6"/>
        <v>0</v>
      </c>
      <c r="AG48" s="62">
        <f t="shared" si="6"/>
        <v>538.1</v>
      </c>
      <c r="AH48" s="48">
        <f t="shared" si="2"/>
        <v>476.2</v>
      </c>
      <c r="AI48" s="49">
        <f t="shared" si="3"/>
        <v>0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48</v>
      </c>
      <c r="H49" s="45">
        <v>32</v>
      </c>
      <c r="I49" s="45">
        <v>48.2</v>
      </c>
      <c r="J49" s="45">
        <v>110</v>
      </c>
      <c r="K49" s="45">
        <v>138</v>
      </c>
      <c r="L49" s="45">
        <v>141.19999999999999</v>
      </c>
      <c r="M49" s="45">
        <v>141.19999999999999</v>
      </c>
      <c r="N49" s="45">
        <v>141.19999999999999</v>
      </c>
      <c r="O49" s="45">
        <v>116.9</v>
      </c>
      <c r="P49" s="45">
        <v>117</v>
      </c>
      <c r="Q49" s="45">
        <v>123</v>
      </c>
      <c r="R49" s="45">
        <v>129.9</v>
      </c>
      <c r="S49" s="45">
        <v>112</v>
      </c>
      <c r="T49" s="45">
        <v>61.6</v>
      </c>
      <c r="U49" s="45">
        <v>73.2</v>
      </c>
      <c r="V49" s="45">
        <v>113</v>
      </c>
      <c r="W49" s="45">
        <v>113</v>
      </c>
      <c r="X49" s="45">
        <v>141</v>
      </c>
      <c r="Y49" s="45">
        <v>141</v>
      </c>
      <c r="Z49" s="45">
        <v>141</v>
      </c>
      <c r="AA49" s="45">
        <v>141</v>
      </c>
      <c r="AB49" s="45">
        <v>141</v>
      </c>
      <c r="AC49" s="45">
        <v>89</v>
      </c>
      <c r="AD49" s="45">
        <v>81</v>
      </c>
      <c r="AE49" s="45">
        <v>49.2</v>
      </c>
      <c r="AF49" s="45">
        <v>0</v>
      </c>
      <c r="AG49" s="52">
        <v>144</v>
      </c>
      <c r="AH49" s="48">
        <f t="shared" si="2"/>
        <v>141.19999999999999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23</v>
      </c>
      <c r="I50" s="65">
        <v>36.299999999999997</v>
      </c>
      <c r="J50" s="65">
        <v>45.6</v>
      </c>
      <c r="K50" s="65">
        <v>69.2</v>
      </c>
      <c r="L50" s="65">
        <v>71.5</v>
      </c>
      <c r="M50" s="65">
        <v>70.900000000000006</v>
      </c>
      <c r="N50" s="65">
        <v>69.3</v>
      </c>
      <c r="O50" s="65">
        <v>59.6</v>
      </c>
      <c r="P50" s="65">
        <v>59.6</v>
      </c>
      <c r="Q50" s="65">
        <v>59.3</v>
      </c>
      <c r="R50" s="45">
        <v>51.9</v>
      </c>
      <c r="S50" s="45">
        <v>50.9</v>
      </c>
      <c r="T50" s="45">
        <v>24.7</v>
      </c>
      <c r="U50" s="45">
        <v>24.2</v>
      </c>
      <c r="V50" s="45">
        <v>48.7</v>
      </c>
      <c r="W50" s="45">
        <v>71.599999999999994</v>
      </c>
      <c r="X50" s="45">
        <v>68</v>
      </c>
      <c r="Y50" s="45">
        <v>68</v>
      </c>
      <c r="Z50" s="45">
        <v>68</v>
      </c>
      <c r="AA50" s="45">
        <v>68</v>
      </c>
      <c r="AB50" s="45">
        <v>68</v>
      </c>
      <c r="AC50" s="65">
        <v>35</v>
      </c>
      <c r="AD50" s="65">
        <v>34</v>
      </c>
      <c r="AE50" s="65">
        <v>24</v>
      </c>
      <c r="AF50" s="45">
        <v>0</v>
      </c>
      <c r="AG50" s="55">
        <v>70</v>
      </c>
      <c r="AH50" s="48">
        <f t="shared" si="2"/>
        <v>71.599999999999994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16</v>
      </c>
      <c r="C51" s="65">
        <v>22</v>
      </c>
      <c r="D51" s="65">
        <v>22</v>
      </c>
      <c r="E51" s="65">
        <v>32</v>
      </c>
      <c r="F51" s="65">
        <v>40</v>
      </c>
      <c r="G51" s="65">
        <v>22</v>
      </c>
      <c r="H51" s="65">
        <v>22</v>
      </c>
      <c r="I51" s="65">
        <v>22</v>
      </c>
      <c r="J51" s="65">
        <v>42.2</v>
      </c>
      <c r="K51" s="65">
        <v>46</v>
      </c>
      <c r="L51" s="65">
        <v>67.5</v>
      </c>
      <c r="M51" s="65">
        <v>67.5</v>
      </c>
      <c r="N51" s="65">
        <v>66.7</v>
      </c>
      <c r="O51" s="65">
        <v>51.2</v>
      </c>
      <c r="P51" s="65">
        <v>52.9</v>
      </c>
      <c r="Q51" s="65">
        <v>21.4</v>
      </c>
      <c r="R51" s="45">
        <v>15.6</v>
      </c>
      <c r="S51" s="45">
        <v>15.8</v>
      </c>
      <c r="T51" s="45">
        <v>15</v>
      </c>
      <c r="U51" s="45">
        <v>33.5</v>
      </c>
      <c r="V51" s="45">
        <v>55.4</v>
      </c>
      <c r="W51" s="45">
        <v>65.3</v>
      </c>
      <c r="X51" s="45">
        <v>65.3</v>
      </c>
      <c r="Y51" s="45">
        <v>65.3</v>
      </c>
      <c r="Z51" s="45">
        <v>65.3</v>
      </c>
      <c r="AA51" s="45">
        <v>65.3</v>
      </c>
      <c r="AB51" s="45">
        <v>65.3</v>
      </c>
      <c r="AC51" s="65">
        <v>49</v>
      </c>
      <c r="AD51" s="65">
        <v>49</v>
      </c>
      <c r="AE51" s="65">
        <v>50</v>
      </c>
      <c r="AF51" s="65">
        <v>50</v>
      </c>
      <c r="AG51" s="55">
        <v>69</v>
      </c>
      <c r="AH51" s="48">
        <f t="shared" si="2"/>
        <v>67.5</v>
      </c>
      <c r="AI51" s="49">
        <f t="shared" si="3"/>
        <v>15</v>
      </c>
      <c r="AK51" s="50"/>
    </row>
    <row r="52" spans="1:41" x14ac:dyDescent="0.25">
      <c r="A52" s="54" t="s">
        <v>60</v>
      </c>
      <c r="B52" s="57">
        <v>60</v>
      </c>
      <c r="C52" s="57">
        <v>60</v>
      </c>
      <c r="D52" s="57">
        <v>60</v>
      </c>
      <c r="E52" s="57">
        <v>60</v>
      </c>
      <c r="F52" s="57">
        <v>60</v>
      </c>
      <c r="G52" s="57">
        <v>60</v>
      </c>
      <c r="H52" s="57">
        <v>60</v>
      </c>
      <c r="I52" s="57">
        <v>60</v>
      </c>
      <c r="J52" s="57">
        <v>60</v>
      </c>
      <c r="K52" s="57">
        <v>60</v>
      </c>
      <c r="L52" s="57">
        <v>60</v>
      </c>
      <c r="M52" s="57">
        <v>60</v>
      </c>
      <c r="N52" s="57">
        <v>60</v>
      </c>
      <c r="O52" s="57">
        <v>60</v>
      </c>
      <c r="P52" s="65">
        <v>60</v>
      </c>
      <c r="Q52" s="65">
        <v>60</v>
      </c>
      <c r="R52" s="65">
        <v>60</v>
      </c>
      <c r="S52" s="65">
        <v>58.5</v>
      </c>
      <c r="T52" s="65">
        <v>58.5</v>
      </c>
      <c r="U52" s="65">
        <v>60</v>
      </c>
      <c r="V52" s="65">
        <v>58.5</v>
      </c>
      <c r="W52" s="65">
        <v>58.5</v>
      </c>
      <c r="X52" s="65">
        <v>58.5</v>
      </c>
      <c r="Y52" s="65">
        <v>58.5</v>
      </c>
      <c r="Z52" s="65">
        <v>58.5</v>
      </c>
      <c r="AA52" s="65">
        <v>58.5</v>
      </c>
      <c r="AB52" s="65">
        <v>58.5</v>
      </c>
      <c r="AC52" s="65">
        <v>59</v>
      </c>
      <c r="AD52" s="65">
        <v>59</v>
      </c>
      <c r="AE52" s="65">
        <v>59</v>
      </c>
      <c r="AF52" s="65">
        <v>59</v>
      </c>
      <c r="AG52" s="55">
        <v>60</v>
      </c>
      <c r="AH52" s="48">
        <f t="shared" si="2"/>
        <v>60</v>
      </c>
      <c r="AI52" s="49">
        <f t="shared" si="3"/>
        <v>58.5</v>
      </c>
      <c r="AK52" s="50"/>
    </row>
    <row r="53" spans="1:41" x14ac:dyDescent="0.25">
      <c r="A53" s="54" t="s">
        <v>61</v>
      </c>
      <c r="B53" s="57">
        <v>8.1999999999999993</v>
      </c>
      <c r="C53" s="57">
        <v>8.1999999999999993</v>
      </c>
      <c r="D53" s="57">
        <v>8.1999999999999993</v>
      </c>
      <c r="E53" s="57">
        <v>8.1999999999999993</v>
      </c>
      <c r="F53" s="57">
        <v>8.1999999999999993</v>
      </c>
      <c r="G53" s="57">
        <v>8.1999999999999993</v>
      </c>
      <c r="H53" s="57">
        <v>8.1999999999999993</v>
      </c>
      <c r="I53" s="57">
        <v>8.1999999999999993</v>
      </c>
      <c r="J53" s="57">
        <v>8.1999999999999993</v>
      </c>
      <c r="K53" s="57">
        <v>8.1999999999999993</v>
      </c>
      <c r="L53" s="57">
        <v>8.1999999999999993</v>
      </c>
      <c r="M53" s="57">
        <v>8.1999999999999993</v>
      </c>
      <c r="N53" s="57">
        <v>8.1999999999999993</v>
      </c>
      <c r="O53" s="57">
        <v>8.1999999999999993</v>
      </c>
      <c r="P53" s="57">
        <v>8.5</v>
      </c>
      <c r="Q53" s="57">
        <v>8.5</v>
      </c>
      <c r="R53" s="57">
        <v>8.4</v>
      </c>
      <c r="S53" s="57">
        <v>8.5</v>
      </c>
      <c r="T53" s="57">
        <v>8.5</v>
      </c>
      <c r="U53" s="57">
        <v>8.5</v>
      </c>
      <c r="V53" s="65">
        <v>8.5</v>
      </c>
      <c r="W53" s="65">
        <v>8</v>
      </c>
      <c r="X53" s="65">
        <v>8</v>
      </c>
      <c r="Y53" s="65">
        <v>10</v>
      </c>
      <c r="Z53" s="65">
        <v>10</v>
      </c>
      <c r="AA53" s="65">
        <v>10</v>
      </c>
      <c r="AB53" s="65">
        <v>10</v>
      </c>
      <c r="AC53" s="65">
        <v>10</v>
      </c>
      <c r="AD53" s="65">
        <v>10</v>
      </c>
      <c r="AE53" s="65">
        <v>10</v>
      </c>
      <c r="AF53" s="65">
        <v>10</v>
      </c>
      <c r="AG53" s="55">
        <v>30</v>
      </c>
      <c r="AH53" s="48">
        <f t="shared" si="2"/>
        <v>10</v>
      </c>
      <c r="AI53" s="49">
        <f t="shared" si="3"/>
        <v>8</v>
      </c>
      <c r="AK53" s="50"/>
    </row>
    <row r="54" spans="1:41" x14ac:dyDescent="0.25">
      <c r="A54" s="54" t="s">
        <v>62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>
        <v>2</v>
      </c>
      <c r="N54" s="45">
        <v>2</v>
      </c>
      <c r="O54" s="45">
        <v>2</v>
      </c>
      <c r="P54" s="45">
        <v>2</v>
      </c>
      <c r="Q54" s="45">
        <v>2</v>
      </c>
      <c r="R54" s="45">
        <v>4</v>
      </c>
      <c r="S54" s="45">
        <v>4</v>
      </c>
      <c r="T54" s="45">
        <v>4</v>
      </c>
      <c r="U54" s="45">
        <v>0</v>
      </c>
      <c r="V54" s="45">
        <v>0</v>
      </c>
      <c r="W54" s="4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4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>
        <v>17</v>
      </c>
      <c r="S55" s="65">
        <v>17</v>
      </c>
      <c r="T55" s="65">
        <v>17</v>
      </c>
      <c r="U55" s="65">
        <v>17</v>
      </c>
      <c r="V55" s="65">
        <v>17</v>
      </c>
      <c r="W55" s="65">
        <v>17</v>
      </c>
      <c r="X55" s="6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5">
        <v>24</v>
      </c>
      <c r="AH55" s="48">
        <f t="shared" si="2"/>
        <v>17</v>
      </c>
      <c r="AI55" s="49">
        <f t="shared" si="3"/>
        <v>17</v>
      </c>
      <c r="AK55" s="50"/>
    </row>
    <row r="56" spans="1:41" x14ac:dyDescent="0.25">
      <c r="A56" s="54" t="s">
        <v>64</v>
      </c>
      <c r="B56" s="65">
        <v>2.8</v>
      </c>
      <c r="C56" s="65">
        <v>2.8</v>
      </c>
      <c r="D56" s="65">
        <v>2.8</v>
      </c>
      <c r="E56" s="65">
        <v>2.8</v>
      </c>
      <c r="F56" s="65">
        <v>2.8</v>
      </c>
      <c r="G56" s="65">
        <v>2.8</v>
      </c>
      <c r="H56" s="65">
        <v>2.8</v>
      </c>
      <c r="I56" s="65">
        <v>2.8</v>
      </c>
      <c r="J56" s="65">
        <v>2.8</v>
      </c>
      <c r="K56" s="65">
        <v>2.8</v>
      </c>
      <c r="L56" s="65">
        <v>2.8</v>
      </c>
      <c r="M56" s="65">
        <v>2.8</v>
      </c>
      <c r="N56" s="65">
        <v>2.8</v>
      </c>
      <c r="O56" s="65">
        <v>2.8</v>
      </c>
      <c r="P56" s="65">
        <v>2.8</v>
      </c>
      <c r="Q56" s="65">
        <v>2.8</v>
      </c>
      <c r="R56" s="65">
        <v>2.8</v>
      </c>
      <c r="S56" s="65">
        <v>2.8</v>
      </c>
      <c r="T56" s="65">
        <v>2.8</v>
      </c>
      <c r="U56" s="65">
        <v>2.8</v>
      </c>
      <c r="V56" s="65">
        <v>2.8</v>
      </c>
      <c r="W56" s="65">
        <v>2.8</v>
      </c>
      <c r="X56" s="65">
        <v>2.8</v>
      </c>
      <c r="Y56" s="65">
        <v>2.8</v>
      </c>
      <c r="Z56" s="65">
        <v>2.8</v>
      </c>
      <c r="AA56" s="65">
        <v>2.8</v>
      </c>
      <c r="AB56" s="65">
        <v>2.8</v>
      </c>
      <c r="AC56" s="65">
        <v>2.8</v>
      </c>
      <c r="AD56" s="65">
        <v>2.8</v>
      </c>
      <c r="AE56" s="65">
        <v>2.8</v>
      </c>
      <c r="AF56" s="65">
        <v>2.8</v>
      </c>
      <c r="AG56" s="55">
        <v>15</v>
      </c>
      <c r="AH56" s="48">
        <f t="shared" si="2"/>
        <v>2.8</v>
      </c>
      <c r="AI56" s="49">
        <f t="shared" si="3"/>
        <v>2.8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14.1</v>
      </c>
      <c r="C57" s="65">
        <v>14.1</v>
      </c>
      <c r="D57" s="65">
        <v>14.1</v>
      </c>
      <c r="E57" s="65">
        <v>14.1</v>
      </c>
      <c r="F57" s="65">
        <v>14.1</v>
      </c>
      <c r="G57" s="65">
        <v>14.1</v>
      </c>
      <c r="H57" s="65">
        <v>14.1</v>
      </c>
      <c r="I57" s="65">
        <v>14.1</v>
      </c>
      <c r="J57" s="65">
        <v>14.1</v>
      </c>
      <c r="K57" s="65">
        <v>14.1</v>
      </c>
      <c r="L57" s="65">
        <v>14.1</v>
      </c>
      <c r="M57" s="65">
        <v>14.1</v>
      </c>
      <c r="N57" s="65">
        <v>14.1</v>
      </c>
      <c r="O57" s="65">
        <v>14.1</v>
      </c>
      <c r="P57" s="65">
        <v>14.1</v>
      </c>
      <c r="Q57" s="65">
        <v>14.1</v>
      </c>
      <c r="R57" s="65">
        <v>14.1</v>
      </c>
      <c r="S57" s="65">
        <v>14.1</v>
      </c>
      <c r="T57" s="65">
        <v>14.1</v>
      </c>
      <c r="U57" s="65">
        <v>14.1</v>
      </c>
      <c r="V57" s="65">
        <v>14.1</v>
      </c>
      <c r="W57" s="65">
        <v>14.1</v>
      </c>
      <c r="X57" s="65">
        <v>14.1</v>
      </c>
      <c r="Y57" s="65">
        <v>14.1</v>
      </c>
      <c r="Z57" s="65">
        <v>14.1</v>
      </c>
      <c r="AA57" s="65">
        <v>14.1</v>
      </c>
      <c r="AB57" s="65">
        <v>14.1</v>
      </c>
      <c r="AC57" s="65">
        <v>14.1</v>
      </c>
      <c r="AD57" s="65">
        <v>14.1</v>
      </c>
      <c r="AE57" s="65">
        <v>14.1</v>
      </c>
      <c r="AF57" s="65">
        <v>14.1</v>
      </c>
      <c r="AG57" s="55">
        <v>14.1</v>
      </c>
      <c r="AH57" s="48">
        <f t="shared" si="2"/>
        <v>14.1</v>
      </c>
      <c r="AI57" s="49">
        <f t="shared" si="3"/>
        <v>14.1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7.2</v>
      </c>
      <c r="C58" s="65">
        <v>7.2</v>
      </c>
      <c r="D58" s="65">
        <v>7.2</v>
      </c>
      <c r="E58" s="65">
        <v>7.2</v>
      </c>
      <c r="F58" s="65">
        <v>7.2</v>
      </c>
      <c r="G58" s="65">
        <v>7.2</v>
      </c>
      <c r="H58" s="65">
        <v>7.2</v>
      </c>
      <c r="I58" s="65">
        <v>7.2</v>
      </c>
      <c r="J58" s="65">
        <v>7.2</v>
      </c>
      <c r="K58" s="65">
        <v>7.2</v>
      </c>
      <c r="L58" s="65">
        <v>7.2</v>
      </c>
      <c r="M58" s="65">
        <v>7.2</v>
      </c>
      <c r="N58" s="65">
        <v>7.2</v>
      </c>
      <c r="O58" s="65">
        <v>7.2</v>
      </c>
      <c r="P58" s="65">
        <v>7.2</v>
      </c>
      <c r="Q58" s="65">
        <v>7.2</v>
      </c>
      <c r="R58" s="65">
        <v>7.2</v>
      </c>
      <c r="S58" s="65">
        <v>7.2</v>
      </c>
      <c r="T58" s="65">
        <v>7.2</v>
      </c>
      <c r="U58" s="65">
        <v>7.2</v>
      </c>
      <c r="V58" s="65">
        <v>7.2</v>
      </c>
      <c r="W58" s="65">
        <v>7.2</v>
      </c>
      <c r="X58" s="65">
        <v>5.2</v>
      </c>
      <c r="Y58" s="65">
        <v>5.2</v>
      </c>
      <c r="Z58" s="65">
        <v>5.2</v>
      </c>
      <c r="AA58" s="65">
        <v>5.2</v>
      </c>
      <c r="AB58" s="65">
        <v>5.2</v>
      </c>
      <c r="AC58" s="65">
        <v>5.2</v>
      </c>
      <c r="AD58" s="65">
        <v>5.2</v>
      </c>
      <c r="AE58" s="65">
        <v>5.2</v>
      </c>
      <c r="AF58" s="65">
        <v>5.2</v>
      </c>
      <c r="AG58" s="55">
        <v>14</v>
      </c>
      <c r="AH58" s="48">
        <f t="shared" si="2"/>
        <v>7.2</v>
      </c>
      <c r="AI58" s="49">
        <f t="shared" si="3"/>
        <v>5.2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5">
        <v>6.2</v>
      </c>
      <c r="AH60" s="48">
        <f t="shared" si="2"/>
        <v>3.2</v>
      </c>
      <c r="AI60" s="49">
        <f t="shared" si="3"/>
        <v>0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8">SUM(B49:B61)</f>
        <v>135.34</v>
      </c>
      <c r="C62" s="61">
        <f t="shared" si="8"/>
        <v>141.33999999999997</v>
      </c>
      <c r="D62" s="61">
        <f t="shared" si="8"/>
        <v>141.33999999999997</v>
      </c>
      <c r="E62" s="61">
        <f t="shared" si="8"/>
        <v>151.33999999999997</v>
      </c>
      <c r="F62" s="61">
        <f t="shared" si="8"/>
        <v>159.33999999999997</v>
      </c>
      <c r="G62" s="61">
        <f t="shared" si="8"/>
        <v>189.33999999999997</v>
      </c>
      <c r="H62" s="61">
        <f t="shared" si="8"/>
        <v>196.33999999999997</v>
      </c>
      <c r="I62" s="61">
        <f t="shared" si="8"/>
        <v>225.83999999999997</v>
      </c>
      <c r="J62" s="61">
        <f t="shared" si="8"/>
        <v>317.14000000000004</v>
      </c>
      <c r="K62" s="61">
        <f t="shared" si="8"/>
        <v>372.54</v>
      </c>
      <c r="L62" s="61">
        <f t="shared" si="8"/>
        <v>399.54</v>
      </c>
      <c r="M62" s="61">
        <f t="shared" si="8"/>
        <v>404.14000000000004</v>
      </c>
      <c r="N62" s="61">
        <f t="shared" si="8"/>
        <v>401.74</v>
      </c>
      <c r="O62" s="61">
        <f t="shared" si="8"/>
        <v>352.24</v>
      </c>
      <c r="P62" s="61">
        <f t="shared" si="8"/>
        <v>354.34000000000003</v>
      </c>
      <c r="Q62" s="61">
        <f t="shared" si="8"/>
        <v>328.54000000000008</v>
      </c>
      <c r="R62" s="61">
        <f t="shared" si="8"/>
        <v>324.14</v>
      </c>
      <c r="S62" s="61">
        <f t="shared" si="8"/>
        <v>304.04000000000008</v>
      </c>
      <c r="T62" s="61">
        <f t="shared" si="8"/>
        <v>226.64</v>
      </c>
      <c r="U62" s="61">
        <f t="shared" si="8"/>
        <v>253.73999999999998</v>
      </c>
      <c r="V62" s="61">
        <f t="shared" si="8"/>
        <v>338.44000000000005</v>
      </c>
      <c r="W62" s="61">
        <f t="shared" si="8"/>
        <v>370.74</v>
      </c>
      <c r="X62" s="61">
        <f t="shared" si="8"/>
        <v>393.14000000000004</v>
      </c>
      <c r="Y62" s="61">
        <f t="shared" si="8"/>
        <v>395.14000000000004</v>
      </c>
      <c r="Z62" s="61">
        <f t="shared" si="8"/>
        <v>395.14000000000004</v>
      </c>
      <c r="AA62" s="61">
        <f t="shared" si="8"/>
        <v>395.14000000000004</v>
      </c>
      <c r="AB62" s="61">
        <f t="shared" si="8"/>
        <v>395.14000000000004</v>
      </c>
      <c r="AC62" s="61">
        <f t="shared" si="8"/>
        <v>294.34000000000003</v>
      </c>
      <c r="AD62" s="61">
        <f t="shared" si="8"/>
        <v>285.34000000000003</v>
      </c>
      <c r="AE62" s="61">
        <f t="shared" si="8"/>
        <v>244.53999999999996</v>
      </c>
      <c r="AF62" s="61">
        <f t="shared" si="8"/>
        <v>171.33999999999997</v>
      </c>
      <c r="AG62" s="62">
        <f t="shared" si="8"/>
        <v>489.91</v>
      </c>
      <c r="AH62" s="48">
        <f t="shared" si="2"/>
        <v>404.14000000000004</v>
      </c>
      <c r="AI62" s="49">
        <f t="shared" si="3"/>
        <v>135.34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50</v>
      </c>
      <c r="M63" s="45">
        <v>50</v>
      </c>
      <c r="N63" s="45">
        <v>50</v>
      </c>
      <c r="O63" s="45">
        <v>40</v>
      </c>
      <c r="P63" s="45">
        <v>14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14</v>
      </c>
      <c r="W63" s="45">
        <v>55</v>
      </c>
      <c r="X63" s="45">
        <v>55</v>
      </c>
      <c r="Y63" s="45">
        <v>55</v>
      </c>
      <c r="Z63" s="45">
        <v>55</v>
      </c>
      <c r="AA63" s="45">
        <v>55</v>
      </c>
      <c r="AB63" s="45">
        <v>55</v>
      </c>
      <c r="AC63" s="45">
        <v>40</v>
      </c>
      <c r="AD63" s="45">
        <v>40</v>
      </c>
      <c r="AE63" s="45">
        <v>0</v>
      </c>
      <c r="AF63" s="45">
        <v>0</v>
      </c>
      <c r="AG63" s="52">
        <v>60</v>
      </c>
      <c r="AH63" s="48">
        <f t="shared" si="2"/>
        <v>55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14.6</v>
      </c>
      <c r="M64" s="65">
        <v>14.6</v>
      </c>
      <c r="N64" s="65">
        <v>22.2</v>
      </c>
      <c r="O64" s="65">
        <v>16.2</v>
      </c>
      <c r="P64" s="65">
        <v>6.5</v>
      </c>
      <c r="Q64" s="45">
        <v>0</v>
      </c>
      <c r="R64" s="45">
        <v>0</v>
      </c>
      <c r="S64" s="65">
        <v>0</v>
      </c>
      <c r="T64" s="65">
        <v>0</v>
      </c>
      <c r="U64" s="65">
        <v>0</v>
      </c>
      <c r="V64" s="65">
        <v>9.1</v>
      </c>
      <c r="W64" s="65">
        <v>22</v>
      </c>
      <c r="X64" s="65">
        <v>22</v>
      </c>
      <c r="Y64" s="65">
        <v>22</v>
      </c>
      <c r="Z64" s="65">
        <v>22</v>
      </c>
      <c r="AA64" s="65">
        <v>22</v>
      </c>
      <c r="AB64" s="65">
        <v>25.2</v>
      </c>
      <c r="AC64" s="65">
        <v>22.6</v>
      </c>
      <c r="AD64" s="65">
        <v>17</v>
      </c>
      <c r="AE64" s="65">
        <v>5.4</v>
      </c>
      <c r="AF64" s="45">
        <v>0</v>
      </c>
      <c r="AG64" s="55">
        <v>32</v>
      </c>
      <c r="AH64" s="48">
        <f t="shared" si="2"/>
        <v>25.2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5.3</v>
      </c>
      <c r="M65" s="67">
        <v>5.3</v>
      </c>
      <c r="N65" s="67">
        <v>8.1</v>
      </c>
      <c r="O65" s="67">
        <v>5.9</v>
      </c>
      <c r="P65" s="67">
        <v>2.4</v>
      </c>
      <c r="Q65" s="45">
        <v>0</v>
      </c>
      <c r="R65" s="45">
        <v>0</v>
      </c>
      <c r="S65" s="67">
        <v>0</v>
      </c>
      <c r="T65" s="67">
        <v>0</v>
      </c>
      <c r="U65" s="67">
        <v>0</v>
      </c>
      <c r="V65" s="67">
        <v>3.3</v>
      </c>
      <c r="W65" s="67">
        <v>8</v>
      </c>
      <c r="X65" s="67">
        <v>8</v>
      </c>
      <c r="Y65" s="67">
        <v>8</v>
      </c>
      <c r="Z65" s="67">
        <v>8</v>
      </c>
      <c r="AA65" s="67">
        <v>8</v>
      </c>
      <c r="AB65" s="67">
        <v>9.1999999999999993</v>
      </c>
      <c r="AC65" s="67">
        <v>8.1999999999999993</v>
      </c>
      <c r="AD65" s="67">
        <v>6.3</v>
      </c>
      <c r="AE65" s="67">
        <v>2</v>
      </c>
      <c r="AF65" s="45">
        <v>0</v>
      </c>
      <c r="AG65" s="68">
        <v>14</v>
      </c>
      <c r="AH65" s="48">
        <f t="shared" si="2"/>
        <v>9.1999999999999993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69.899999999999991</v>
      </c>
      <c r="M66" s="61">
        <f t="shared" ref="M66:AF66" si="9">M63+M64+M65</f>
        <v>69.899999999999991</v>
      </c>
      <c r="N66" s="61">
        <f t="shared" si="9"/>
        <v>80.3</v>
      </c>
      <c r="O66" s="61">
        <f t="shared" si="9"/>
        <v>62.1</v>
      </c>
      <c r="P66" s="61">
        <f t="shared" si="9"/>
        <v>22.9</v>
      </c>
      <c r="Q66" s="61">
        <f t="shared" si="9"/>
        <v>0</v>
      </c>
      <c r="R66" s="61">
        <f t="shared" si="9"/>
        <v>0</v>
      </c>
      <c r="S66" s="61">
        <f t="shared" si="9"/>
        <v>0</v>
      </c>
      <c r="T66" s="61">
        <f t="shared" si="9"/>
        <v>0</v>
      </c>
      <c r="U66" s="61">
        <f t="shared" si="9"/>
        <v>0</v>
      </c>
      <c r="V66" s="61">
        <f t="shared" si="9"/>
        <v>26.400000000000002</v>
      </c>
      <c r="W66" s="61">
        <f t="shared" si="9"/>
        <v>85</v>
      </c>
      <c r="X66" s="61">
        <f t="shared" si="9"/>
        <v>85</v>
      </c>
      <c r="Y66" s="61">
        <f t="shared" si="9"/>
        <v>85</v>
      </c>
      <c r="Z66" s="61">
        <f t="shared" si="9"/>
        <v>85</v>
      </c>
      <c r="AA66" s="61">
        <f t="shared" si="9"/>
        <v>85</v>
      </c>
      <c r="AB66" s="61">
        <f t="shared" si="9"/>
        <v>89.4</v>
      </c>
      <c r="AC66" s="61">
        <f t="shared" si="9"/>
        <v>70.8</v>
      </c>
      <c r="AD66" s="61">
        <f t="shared" si="9"/>
        <v>63.3</v>
      </c>
      <c r="AE66" s="61">
        <f t="shared" si="9"/>
        <v>7.4</v>
      </c>
      <c r="AF66" s="61">
        <f t="shared" si="9"/>
        <v>0</v>
      </c>
      <c r="AG66" s="62">
        <f t="shared" ref="AG66" si="10">SUM(AG63:AG65)</f>
        <v>106</v>
      </c>
      <c r="AH66" s="48">
        <f t="shared" si="2"/>
        <v>89.4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52</v>
      </c>
      <c r="C67" s="45">
        <v>48</v>
      </c>
      <c r="D67" s="45">
        <v>45</v>
      </c>
      <c r="E67" s="45">
        <v>48</v>
      </c>
      <c r="F67" s="45">
        <v>48.7</v>
      </c>
      <c r="G67" s="45">
        <v>48</v>
      </c>
      <c r="H67" s="45">
        <v>54</v>
      </c>
      <c r="I67" s="45">
        <v>47.2</v>
      </c>
      <c r="J67" s="45">
        <v>55.7</v>
      </c>
      <c r="K67" s="45">
        <v>67.5</v>
      </c>
      <c r="L67" s="45">
        <v>65.7</v>
      </c>
      <c r="M67" s="45">
        <v>63.3</v>
      </c>
      <c r="N67" s="45">
        <v>63.8</v>
      </c>
      <c r="O67" s="45">
        <v>54</v>
      </c>
      <c r="P67" s="45">
        <v>56.5</v>
      </c>
      <c r="Q67" s="45">
        <v>46.6</v>
      </c>
      <c r="R67" s="45">
        <v>45.6</v>
      </c>
      <c r="S67" s="45">
        <v>50.5</v>
      </c>
      <c r="T67" s="45">
        <v>48.4</v>
      </c>
      <c r="U67" s="45">
        <v>46.8</v>
      </c>
      <c r="V67" s="45">
        <v>48.8</v>
      </c>
      <c r="W67" s="45">
        <v>60</v>
      </c>
      <c r="X67" s="45">
        <v>55.6</v>
      </c>
      <c r="Y67" s="45">
        <v>60.3</v>
      </c>
      <c r="Z67" s="45">
        <v>50.6</v>
      </c>
      <c r="AA67" s="45">
        <v>67</v>
      </c>
      <c r="AB67" s="45">
        <v>66</v>
      </c>
      <c r="AC67" s="45">
        <v>53</v>
      </c>
      <c r="AD67" s="45">
        <v>50.3</v>
      </c>
      <c r="AE67" s="45">
        <v>58.5</v>
      </c>
      <c r="AF67" s="45">
        <v>56</v>
      </c>
      <c r="AG67" s="52"/>
      <c r="AH67" s="48">
        <f t="shared" si="2"/>
        <v>67.5</v>
      </c>
      <c r="AI67" s="49">
        <f t="shared" si="3"/>
        <v>45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230</v>
      </c>
      <c r="C69" s="65">
        <v>167</v>
      </c>
      <c r="D69" s="65">
        <v>180</v>
      </c>
      <c r="E69" s="65">
        <v>167</v>
      </c>
      <c r="F69" s="65">
        <v>184</v>
      </c>
      <c r="G69" s="65">
        <v>170</v>
      </c>
      <c r="H69" s="65">
        <v>250</v>
      </c>
      <c r="I69" s="65">
        <v>265</v>
      </c>
      <c r="J69" s="65">
        <v>262</v>
      </c>
      <c r="K69" s="65">
        <v>190</v>
      </c>
      <c r="L69" s="65">
        <v>0</v>
      </c>
      <c r="M69" s="65">
        <v>0</v>
      </c>
      <c r="N69" s="65">
        <v>5</v>
      </c>
      <c r="O69" s="65">
        <v>2</v>
      </c>
      <c r="P69" s="65">
        <v>166.8</v>
      </c>
      <c r="Q69" s="65">
        <v>138</v>
      </c>
      <c r="R69" s="65">
        <v>129.19999999999999</v>
      </c>
      <c r="S69" s="65">
        <v>120</v>
      </c>
      <c r="T69" s="65">
        <v>263.5</v>
      </c>
      <c r="U69" s="65">
        <v>265</v>
      </c>
      <c r="V69" s="65">
        <v>200</v>
      </c>
      <c r="W69" s="65">
        <v>200</v>
      </c>
      <c r="X69" s="65">
        <v>50</v>
      </c>
      <c r="Y69" s="65">
        <v>-0.5</v>
      </c>
      <c r="Z69" s="65">
        <v>81</v>
      </c>
      <c r="AA69" s="65">
        <v>94.8</v>
      </c>
      <c r="AB69" s="65">
        <v>101</v>
      </c>
      <c r="AC69" s="65">
        <v>249</v>
      </c>
      <c r="AD69" s="65">
        <v>238</v>
      </c>
      <c r="AE69" s="65">
        <v>189</v>
      </c>
      <c r="AF69" s="65">
        <v>185</v>
      </c>
      <c r="AG69" s="75"/>
      <c r="AH69" s="48">
        <f t="shared" si="2"/>
        <v>265</v>
      </c>
      <c r="AI69" s="49">
        <f t="shared" si="3"/>
        <v>-0.5</v>
      </c>
      <c r="AK69" s="50"/>
    </row>
    <row r="70" spans="1:40" x14ac:dyDescent="0.25">
      <c r="A70" s="54" t="s">
        <v>78</v>
      </c>
      <c r="B70" s="76">
        <v>50</v>
      </c>
      <c r="C70" s="76">
        <v>47</v>
      </c>
      <c r="D70" s="76">
        <v>49</v>
      </c>
      <c r="E70" s="76">
        <v>49</v>
      </c>
      <c r="F70" s="76">
        <v>37</v>
      </c>
      <c r="G70" s="76">
        <v>52</v>
      </c>
      <c r="H70" s="76">
        <v>56.7</v>
      </c>
      <c r="I70" s="76">
        <v>40.5</v>
      </c>
      <c r="J70" s="76">
        <v>39.4</v>
      </c>
      <c r="K70" s="76">
        <v>39.4</v>
      </c>
      <c r="L70" s="76">
        <v>39.4</v>
      </c>
      <c r="M70" s="76">
        <v>34.9</v>
      </c>
      <c r="N70" s="76">
        <v>59.7</v>
      </c>
      <c r="O70" s="76">
        <v>57.3</v>
      </c>
      <c r="P70" s="76">
        <v>57.3</v>
      </c>
      <c r="Q70" s="76">
        <v>53.4</v>
      </c>
      <c r="R70" s="76">
        <v>44.8</v>
      </c>
      <c r="S70" s="76">
        <v>44.5</v>
      </c>
      <c r="T70" s="76">
        <v>42.9</v>
      </c>
      <c r="U70" s="76">
        <v>44.5</v>
      </c>
      <c r="V70" s="76">
        <v>42.5</v>
      </c>
      <c r="W70" s="76">
        <v>42.5</v>
      </c>
      <c r="X70" s="65">
        <v>54</v>
      </c>
      <c r="Y70" s="65">
        <v>50.2</v>
      </c>
      <c r="Z70" s="65">
        <v>55.4</v>
      </c>
      <c r="AA70" s="65">
        <v>53.1</v>
      </c>
      <c r="AB70" s="65">
        <v>49.3</v>
      </c>
      <c r="AC70" s="65">
        <v>47</v>
      </c>
      <c r="AD70" s="65">
        <v>49.2</v>
      </c>
      <c r="AE70" s="65">
        <v>50.4</v>
      </c>
      <c r="AF70" s="65">
        <v>57</v>
      </c>
      <c r="AG70" s="75"/>
      <c r="AH70" s="48">
        <f t="shared" si="2"/>
        <v>59.7</v>
      </c>
      <c r="AI70" s="49">
        <f t="shared" si="3"/>
        <v>34.9</v>
      </c>
      <c r="AK70" s="50"/>
    </row>
    <row r="71" spans="1:40" x14ac:dyDescent="0.25">
      <c r="A71" s="54" t="s">
        <v>79</v>
      </c>
      <c r="B71" s="45">
        <v>30</v>
      </c>
      <c r="C71" s="45">
        <v>25</v>
      </c>
      <c r="D71" s="45">
        <v>25</v>
      </c>
      <c r="E71" s="45">
        <v>25</v>
      </c>
      <c r="F71" s="45">
        <v>25</v>
      </c>
      <c r="G71" s="45">
        <v>25</v>
      </c>
      <c r="H71" s="45">
        <v>30</v>
      </c>
      <c r="I71" s="45">
        <v>32</v>
      </c>
      <c r="J71" s="45">
        <v>35</v>
      </c>
      <c r="K71" s="45">
        <v>35</v>
      </c>
      <c r="L71" s="45">
        <v>35</v>
      </c>
      <c r="M71" s="45">
        <v>30</v>
      </c>
      <c r="N71" s="45">
        <v>30</v>
      </c>
      <c r="O71" s="45">
        <v>30</v>
      </c>
      <c r="P71" s="45">
        <v>0</v>
      </c>
      <c r="Q71" s="45">
        <v>28</v>
      </c>
      <c r="R71" s="45">
        <v>25</v>
      </c>
      <c r="S71" s="45">
        <v>25</v>
      </c>
      <c r="T71" s="45">
        <v>25</v>
      </c>
      <c r="U71" s="45">
        <v>25</v>
      </c>
      <c r="V71" s="45">
        <v>25</v>
      </c>
      <c r="W71" s="45">
        <v>25</v>
      </c>
      <c r="X71" s="45">
        <v>25</v>
      </c>
      <c r="Y71" s="45">
        <v>25</v>
      </c>
      <c r="Z71" s="45">
        <v>25</v>
      </c>
      <c r="AA71" s="45">
        <v>0</v>
      </c>
      <c r="AB71" s="45">
        <v>12</v>
      </c>
      <c r="AC71" s="45">
        <v>12</v>
      </c>
      <c r="AD71" s="45">
        <v>12</v>
      </c>
      <c r="AE71" s="45">
        <v>12</v>
      </c>
      <c r="AF71" s="45">
        <v>12</v>
      </c>
      <c r="AG71" s="75"/>
      <c r="AH71" s="48">
        <f t="shared" si="2"/>
        <v>35</v>
      </c>
      <c r="AI71" s="49">
        <f t="shared" si="3"/>
        <v>0</v>
      </c>
      <c r="AK71" s="50"/>
    </row>
    <row r="72" spans="1:40" x14ac:dyDescent="0.25">
      <c r="A72" s="54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5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11">MAX(B75:AF75)</f>
        <v>0</v>
      </c>
      <c r="AI75" s="49">
        <f t="shared" ref="AI75:AI113" si="12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11"/>
        <v>0</v>
      </c>
      <c r="AI76" s="49">
        <f t="shared" si="12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11"/>
        <v>0</v>
      </c>
      <c r="AI77" s="49">
        <f t="shared" si="12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3">SUMIF(B67:B77,"&gt;0")</f>
        <v>362</v>
      </c>
      <c r="C78" s="61">
        <f t="shared" si="13"/>
        <v>287</v>
      </c>
      <c r="D78" s="61">
        <f t="shared" si="13"/>
        <v>299</v>
      </c>
      <c r="E78" s="61">
        <f t="shared" si="13"/>
        <v>289</v>
      </c>
      <c r="F78" s="61">
        <f t="shared" si="13"/>
        <v>294.7</v>
      </c>
      <c r="G78" s="61">
        <f t="shared" si="13"/>
        <v>295</v>
      </c>
      <c r="H78" s="61">
        <f t="shared" si="13"/>
        <v>390.7</v>
      </c>
      <c r="I78" s="61">
        <f t="shared" si="13"/>
        <v>384.7</v>
      </c>
      <c r="J78" s="61">
        <f t="shared" si="13"/>
        <v>392.09999999999997</v>
      </c>
      <c r="K78" s="61">
        <f t="shared" si="13"/>
        <v>331.9</v>
      </c>
      <c r="L78" s="61">
        <f t="shared" si="13"/>
        <v>140.1</v>
      </c>
      <c r="M78" s="61">
        <f t="shared" si="13"/>
        <v>128.19999999999999</v>
      </c>
      <c r="N78" s="61">
        <f t="shared" si="13"/>
        <v>158.5</v>
      </c>
      <c r="O78" s="61">
        <f t="shared" si="13"/>
        <v>143.30000000000001</v>
      </c>
      <c r="P78" s="61">
        <f t="shared" si="13"/>
        <v>280.60000000000002</v>
      </c>
      <c r="Q78" s="61">
        <f t="shared" si="13"/>
        <v>266</v>
      </c>
      <c r="R78" s="61">
        <f t="shared" si="13"/>
        <v>244.59999999999997</v>
      </c>
      <c r="S78" s="61">
        <f t="shared" si="13"/>
        <v>240</v>
      </c>
      <c r="T78" s="61">
        <f t="shared" si="13"/>
        <v>379.79999999999995</v>
      </c>
      <c r="U78" s="61">
        <f t="shared" si="13"/>
        <v>381.3</v>
      </c>
      <c r="V78" s="61">
        <f t="shared" si="13"/>
        <v>316.3</v>
      </c>
      <c r="W78" s="61">
        <f t="shared" si="13"/>
        <v>327.5</v>
      </c>
      <c r="X78" s="61">
        <f t="shared" si="13"/>
        <v>184.6</v>
      </c>
      <c r="Y78" s="61">
        <f t="shared" si="13"/>
        <v>140.5</v>
      </c>
      <c r="Z78" s="61">
        <f t="shared" si="13"/>
        <v>217</v>
      </c>
      <c r="AA78" s="61">
        <f t="shared" si="13"/>
        <v>219.9</v>
      </c>
      <c r="AB78" s="61">
        <f t="shared" si="13"/>
        <v>233.3</v>
      </c>
      <c r="AC78" s="61">
        <f t="shared" si="13"/>
        <v>366</v>
      </c>
      <c r="AD78" s="61">
        <f t="shared" si="13"/>
        <v>354.5</v>
      </c>
      <c r="AE78" s="61">
        <f t="shared" si="13"/>
        <v>314.89999999999998</v>
      </c>
      <c r="AF78" s="61">
        <f t="shared" si="13"/>
        <v>315</v>
      </c>
      <c r="AG78" s="81">
        <f>SUM(AG67:AG77)</f>
        <v>0</v>
      </c>
      <c r="AH78" s="48">
        <f t="shared" si="11"/>
        <v>392.09999999999997</v>
      </c>
      <c r="AI78" s="49">
        <f t="shared" si="12"/>
        <v>128.19999999999999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11"/>
        <v>0</v>
      </c>
      <c r="AI79" s="49">
        <f t="shared" si="12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11"/>
        <v>0</v>
      </c>
      <c r="AI80" s="49">
        <f t="shared" si="12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1"/>
        <v>0</v>
      </c>
      <c r="AI81" s="49">
        <f t="shared" si="12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11"/>
        <v>0</v>
      </c>
      <c r="AI82" s="49">
        <f t="shared" si="12"/>
        <v>0</v>
      </c>
    </row>
    <row r="83" spans="1:37" ht="15.75" thickBot="1" x14ac:dyDescent="0.3">
      <c r="A83" s="74" t="s">
        <v>91</v>
      </c>
      <c r="B83" s="83">
        <f>B44+B48+B66+B62+B78+B82</f>
        <v>1071.74</v>
      </c>
      <c r="C83" s="83">
        <f t="shared" ref="C83:AG83" si="14">C44+C48+C66+C62+C78+C82</f>
        <v>1002.94</v>
      </c>
      <c r="D83" s="83">
        <f t="shared" si="14"/>
        <v>1014.94</v>
      </c>
      <c r="E83" s="83">
        <f t="shared" si="14"/>
        <v>1014.94</v>
      </c>
      <c r="F83" s="83">
        <f t="shared" si="14"/>
        <v>1028.6400000000001</v>
      </c>
      <c r="G83" s="83">
        <f t="shared" si="14"/>
        <v>1058.94</v>
      </c>
      <c r="H83" s="83">
        <f t="shared" si="14"/>
        <v>1161.6400000000001</v>
      </c>
      <c r="I83" s="83">
        <f t="shared" si="14"/>
        <v>1201.3400000000001</v>
      </c>
      <c r="J83" s="83">
        <f t="shared" si="14"/>
        <v>1323.84</v>
      </c>
      <c r="K83" s="83">
        <f t="shared" si="14"/>
        <v>1439.04</v>
      </c>
      <c r="L83" s="83">
        <f t="shared" si="14"/>
        <v>1584.1399999999999</v>
      </c>
      <c r="M83" s="83">
        <f t="shared" si="14"/>
        <v>1595.5400000000002</v>
      </c>
      <c r="N83" s="83">
        <f t="shared" si="14"/>
        <v>1617.74</v>
      </c>
      <c r="O83" s="83">
        <f t="shared" si="14"/>
        <v>1489.9399999999998</v>
      </c>
      <c r="P83" s="83">
        <f t="shared" si="14"/>
        <v>1350.1399999999999</v>
      </c>
      <c r="Q83" s="83">
        <f t="shared" si="14"/>
        <v>1287.7400000000002</v>
      </c>
      <c r="R83" s="83">
        <f t="shared" si="14"/>
        <v>1250.24</v>
      </c>
      <c r="S83" s="83">
        <f t="shared" si="14"/>
        <v>1226.54</v>
      </c>
      <c r="T83" s="83">
        <f t="shared" si="14"/>
        <v>1288.94</v>
      </c>
      <c r="U83" s="83">
        <f t="shared" si="14"/>
        <v>1221.54</v>
      </c>
      <c r="V83" s="83">
        <f t="shared" si="14"/>
        <v>1302.6400000000001</v>
      </c>
      <c r="W83" s="83">
        <f t="shared" si="14"/>
        <v>1494.74</v>
      </c>
      <c r="X83" s="83">
        <f>X44+X48+X66+X62+X78+X82</f>
        <v>1559.1399999999999</v>
      </c>
      <c r="Y83" s="83">
        <f t="shared" si="14"/>
        <v>1577.0400000000002</v>
      </c>
      <c r="Z83" s="83">
        <f t="shared" si="14"/>
        <v>1543.54</v>
      </c>
      <c r="AA83" s="83">
        <f t="shared" si="14"/>
        <v>1456.44</v>
      </c>
      <c r="AB83" s="83">
        <f t="shared" si="14"/>
        <v>1474.24</v>
      </c>
      <c r="AC83" s="83">
        <f t="shared" si="14"/>
        <v>1344.44</v>
      </c>
      <c r="AD83" s="83">
        <f t="shared" si="14"/>
        <v>1289.3399999999999</v>
      </c>
      <c r="AE83" s="83">
        <f t="shared" si="14"/>
        <v>1153.04</v>
      </c>
      <c r="AF83" s="83">
        <f t="shared" si="14"/>
        <v>1002.54</v>
      </c>
      <c r="AG83" s="62">
        <f t="shared" si="14"/>
        <v>2004.1900000000003</v>
      </c>
      <c r="AH83" s="48">
        <f>MAX(B83:AF83)</f>
        <v>1617.74</v>
      </c>
      <c r="AI83" s="49">
        <f>MIN(B83:AF83)</f>
        <v>1002.54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11"/>
        <v>0</v>
      </c>
      <c r="AI84" s="49">
        <f t="shared" si="12"/>
        <v>0</v>
      </c>
    </row>
    <row r="85" spans="1:37" ht="15.75" thickBot="1" x14ac:dyDescent="0.3">
      <c r="A85" s="74" t="s">
        <v>93</v>
      </c>
      <c r="B85" s="83">
        <f>B83+B84</f>
        <v>1071.74</v>
      </c>
      <c r="C85" s="83">
        <f t="shared" ref="C85:AF85" si="15">C83+C84</f>
        <v>1002.94</v>
      </c>
      <c r="D85" s="83">
        <f t="shared" si="15"/>
        <v>1014.94</v>
      </c>
      <c r="E85" s="83">
        <f t="shared" si="15"/>
        <v>1014.94</v>
      </c>
      <c r="F85" s="83">
        <f t="shared" si="15"/>
        <v>1028.6400000000001</v>
      </c>
      <c r="G85" s="83">
        <f t="shared" si="15"/>
        <v>1058.94</v>
      </c>
      <c r="H85" s="83">
        <f t="shared" si="15"/>
        <v>1161.6400000000001</v>
      </c>
      <c r="I85" s="83">
        <f t="shared" si="15"/>
        <v>1201.3400000000001</v>
      </c>
      <c r="J85" s="83">
        <f t="shared" si="15"/>
        <v>1323.84</v>
      </c>
      <c r="K85" s="83">
        <f t="shared" si="15"/>
        <v>1439.04</v>
      </c>
      <c r="L85" s="83">
        <f t="shared" si="15"/>
        <v>1584.1399999999999</v>
      </c>
      <c r="M85" s="83">
        <f t="shared" si="15"/>
        <v>1595.5400000000002</v>
      </c>
      <c r="N85" s="83">
        <f t="shared" si="15"/>
        <v>1617.74</v>
      </c>
      <c r="O85" s="83">
        <f t="shared" si="15"/>
        <v>1489.9399999999998</v>
      </c>
      <c r="P85" s="83">
        <f t="shared" si="15"/>
        <v>1350.1399999999999</v>
      </c>
      <c r="Q85" s="83">
        <f t="shared" si="15"/>
        <v>1287.7400000000002</v>
      </c>
      <c r="R85" s="83">
        <f t="shared" si="15"/>
        <v>1250.24</v>
      </c>
      <c r="S85" s="83">
        <f t="shared" si="15"/>
        <v>1226.54</v>
      </c>
      <c r="T85" s="83">
        <f t="shared" si="15"/>
        <v>1288.94</v>
      </c>
      <c r="U85" s="83">
        <f t="shared" si="15"/>
        <v>1221.54</v>
      </c>
      <c r="V85" s="83">
        <f t="shared" si="15"/>
        <v>1302.6400000000001</v>
      </c>
      <c r="W85" s="83">
        <f t="shared" si="15"/>
        <v>1494.74</v>
      </c>
      <c r="X85" s="83">
        <f t="shared" si="15"/>
        <v>1559.1399999999999</v>
      </c>
      <c r="Y85" s="83">
        <f t="shared" si="15"/>
        <v>1577.0400000000002</v>
      </c>
      <c r="Z85" s="83">
        <f t="shared" si="15"/>
        <v>1543.54</v>
      </c>
      <c r="AA85" s="83">
        <f t="shared" si="15"/>
        <v>1456.44</v>
      </c>
      <c r="AB85" s="83">
        <f t="shared" si="15"/>
        <v>1474.24</v>
      </c>
      <c r="AC85" s="83">
        <f t="shared" si="15"/>
        <v>1344.44</v>
      </c>
      <c r="AD85" s="83">
        <f t="shared" si="15"/>
        <v>1289.3399999999999</v>
      </c>
      <c r="AE85" s="83">
        <f t="shared" si="15"/>
        <v>1153.04</v>
      </c>
      <c r="AF85" s="83">
        <f t="shared" si="15"/>
        <v>1002.54</v>
      </c>
      <c r="AG85" s="81">
        <f>AG82+AG78+AG66+AG62+AG44+AG84</f>
        <v>1466.0900000000001</v>
      </c>
      <c r="AH85" s="48">
        <f t="shared" si="11"/>
        <v>1617.74</v>
      </c>
      <c r="AI85" s="49">
        <f t="shared" si="12"/>
        <v>1002.54</v>
      </c>
    </row>
    <row r="86" spans="1:37" ht="15.75" thickBot="1" x14ac:dyDescent="0.3">
      <c r="A86" s="74" t="s">
        <v>94</v>
      </c>
      <c r="B86" s="83">
        <f t="shared" ref="B86:AF86" si="16">B85-B93</f>
        <v>1071.74</v>
      </c>
      <c r="C86" s="83">
        <f t="shared" si="16"/>
        <v>1002.94</v>
      </c>
      <c r="D86" s="83">
        <f t="shared" si="16"/>
        <v>1014.94</v>
      </c>
      <c r="E86" s="83">
        <f t="shared" si="16"/>
        <v>1014.94</v>
      </c>
      <c r="F86" s="83">
        <f t="shared" si="16"/>
        <v>1028.6400000000001</v>
      </c>
      <c r="G86" s="83">
        <f t="shared" si="16"/>
        <v>1058.94</v>
      </c>
      <c r="H86" s="83">
        <f t="shared" si="16"/>
        <v>1161.6400000000001</v>
      </c>
      <c r="I86" s="83">
        <f t="shared" si="16"/>
        <v>1201.3400000000001</v>
      </c>
      <c r="J86" s="83">
        <f t="shared" si="16"/>
        <v>1323.84</v>
      </c>
      <c r="K86" s="83">
        <f t="shared" si="16"/>
        <v>1439.04</v>
      </c>
      <c r="L86" s="83">
        <f t="shared" si="16"/>
        <v>1584.1399999999999</v>
      </c>
      <c r="M86" s="83">
        <f t="shared" si="16"/>
        <v>1595.5400000000002</v>
      </c>
      <c r="N86" s="83">
        <f t="shared" si="16"/>
        <v>1617.74</v>
      </c>
      <c r="O86" s="83">
        <f t="shared" si="16"/>
        <v>1489.9399999999998</v>
      </c>
      <c r="P86" s="83">
        <f t="shared" si="16"/>
        <v>1350.1399999999999</v>
      </c>
      <c r="Q86" s="83">
        <f t="shared" si="16"/>
        <v>1287.7400000000002</v>
      </c>
      <c r="R86" s="83">
        <f t="shared" si="16"/>
        <v>1250.24</v>
      </c>
      <c r="S86" s="83">
        <f t="shared" si="16"/>
        <v>1226.54</v>
      </c>
      <c r="T86" s="83">
        <f t="shared" si="16"/>
        <v>1288.94</v>
      </c>
      <c r="U86" s="83">
        <f t="shared" si="16"/>
        <v>1221.54</v>
      </c>
      <c r="V86" s="83">
        <f t="shared" si="16"/>
        <v>1302.6400000000001</v>
      </c>
      <c r="W86" s="83">
        <f t="shared" si="16"/>
        <v>1494.74</v>
      </c>
      <c r="X86" s="83">
        <f t="shared" si="16"/>
        <v>1559.1399999999999</v>
      </c>
      <c r="Y86" s="83">
        <f t="shared" si="16"/>
        <v>1527.0400000000002</v>
      </c>
      <c r="Z86" s="83">
        <f t="shared" si="16"/>
        <v>1543.54</v>
      </c>
      <c r="AA86" s="83">
        <f t="shared" si="16"/>
        <v>1456.44</v>
      </c>
      <c r="AB86" s="83">
        <f t="shared" si="16"/>
        <v>1474.24</v>
      </c>
      <c r="AC86" s="83">
        <f t="shared" si="16"/>
        <v>1344.44</v>
      </c>
      <c r="AD86" s="83">
        <f t="shared" si="16"/>
        <v>1289.3399999999999</v>
      </c>
      <c r="AE86" s="83">
        <f t="shared" si="16"/>
        <v>1153.04</v>
      </c>
      <c r="AF86" s="83">
        <f t="shared" si="16"/>
        <v>1002.54</v>
      </c>
      <c r="AG86" s="81"/>
      <c r="AH86" s="48">
        <f t="shared" si="11"/>
        <v>1617.74</v>
      </c>
      <c r="AI86" s="49">
        <f t="shared" si="12"/>
        <v>1002.54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11"/>
        <v>0</v>
      </c>
      <c r="AI87" s="49">
        <f t="shared" si="12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11"/>
        <v>0</v>
      </c>
      <c r="AI88" s="49">
        <f t="shared" si="12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11"/>
        <v>0</v>
      </c>
      <c r="AI89" s="49">
        <f t="shared" si="12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11"/>
        <v>0</v>
      </c>
      <c r="AI90" s="49">
        <f t="shared" si="12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11"/>
        <v>0</v>
      </c>
      <c r="AI91" s="49">
        <f t="shared" si="12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11"/>
        <v>0</v>
      </c>
      <c r="AI92" s="49">
        <f t="shared" si="12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>
        <v>50</v>
      </c>
      <c r="Z93" s="61"/>
      <c r="AA93" s="61"/>
      <c r="AB93" s="61"/>
      <c r="AC93" s="61"/>
      <c r="AD93" s="61"/>
      <c r="AE93" s="61"/>
      <c r="AF93" s="61"/>
      <c r="AG93" s="81"/>
      <c r="AH93" s="48">
        <f t="shared" si="11"/>
        <v>50</v>
      </c>
      <c r="AI93" s="49">
        <f t="shared" si="12"/>
        <v>0</v>
      </c>
      <c r="AK93" s="50"/>
    </row>
    <row r="94" spans="1:37" ht="15.75" thickBot="1" x14ac:dyDescent="0.3">
      <c r="A94" s="74" t="s">
        <v>99</v>
      </c>
      <c r="B94" s="61">
        <f t="shared" ref="B94:AF94" si="17">B78-B93</f>
        <v>362</v>
      </c>
      <c r="C94" s="61">
        <f t="shared" si="17"/>
        <v>287</v>
      </c>
      <c r="D94" s="61">
        <f t="shared" si="17"/>
        <v>299</v>
      </c>
      <c r="E94" s="61">
        <f t="shared" si="17"/>
        <v>289</v>
      </c>
      <c r="F94" s="61">
        <f t="shared" si="17"/>
        <v>294.7</v>
      </c>
      <c r="G94" s="61">
        <f t="shared" si="17"/>
        <v>295</v>
      </c>
      <c r="H94" s="61">
        <f t="shared" si="17"/>
        <v>390.7</v>
      </c>
      <c r="I94" s="61">
        <f t="shared" si="17"/>
        <v>384.7</v>
      </c>
      <c r="J94" s="61">
        <f t="shared" si="17"/>
        <v>392.09999999999997</v>
      </c>
      <c r="K94" s="61">
        <f t="shared" si="17"/>
        <v>331.9</v>
      </c>
      <c r="L94" s="61">
        <f t="shared" si="17"/>
        <v>140.1</v>
      </c>
      <c r="M94" s="61">
        <f t="shared" si="17"/>
        <v>128.19999999999999</v>
      </c>
      <c r="N94" s="61">
        <f t="shared" si="17"/>
        <v>158.5</v>
      </c>
      <c r="O94" s="61">
        <f t="shared" si="17"/>
        <v>143.30000000000001</v>
      </c>
      <c r="P94" s="61">
        <f t="shared" si="17"/>
        <v>280.60000000000002</v>
      </c>
      <c r="Q94" s="61">
        <f t="shared" si="17"/>
        <v>266</v>
      </c>
      <c r="R94" s="61">
        <f t="shared" si="17"/>
        <v>244.59999999999997</v>
      </c>
      <c r="S94" s="61">
        <f t="shared" si="17"/>
        <v>240</v>
      </c>
      <c r="T94" s="61">
        <f t="shared" si="17"/>
        <v>379.79999999999995</v>
      </c>
      <c r="U94" s="61">
        <f t="shared" si="17"/>
        <v>381.3</v>
      </c>
      <c r="V94" s="61">
        <f t="shared" si="17"/>
        <v>316.3</v>
      </c>
      <c r="W94" s="61">
        <f t="shared" si="17"/>
        <v>327.5</v>
      </c>
      <c r="X94" s="61">
        <v>151.6</v>
      </c>
      <c r="Y94" s="61">
        <f t="shared" si="17"/>
        <v>90.5</v>
      </c>
      <c r="Z94" s="61">
        <f t="shared" si="17"/>
        <v>217</v>
      </c>
      <c r="AA94" s="61">
        <f t="shared" si="17"/>
        <v>219.9</v>
      </c>
      <c r="AB94" s="61">
        <f t="shared" si="17"/>
        <v>233.3</v>
      </c>
      <c r="AC94" s="61">
        <f t="shared" si="17"/>
        <v>366</v>
      </c>
      <c r="AD94" s="61">
        <f t="shared" si="17"/>
        <v>354.5</v>
      </c>
      <c r="AE94" s="61">
        <f t="shared" si="17"/>
        <v>314.89999999999998</v>
      </c>
      <c r="AF94" s="61">
        <f t="shared" si="17"/>
        <v>315</v>
      </c>
      <c r="AG94" s="81"/>
      <c r="AH94" s="48">
        <f t="shared" si="11"/>
        <v>392.09999999999997</v>
      </c>
      <c r="AI94" s="49">
        <f t="shared" si="12"/>
        <v>90.5</v>
      </c>
    </row>
    <row r="95" spans="1:37" x14ac:dyDescent="0.25">
      <c r="A95" s="88" t="s">
        <v>100</v>
      </c>
      <c r="B95" s="89">
        <v>49.98</v>
      </c>
      <c r="C95" s="89">
        <v>49.99</v>
      </c>
      <c r="D95" s="89">
        <v>50.06</v>
      </c>
      <c r="E95" s="89">
        <v>50.05</v>
      </c>
      <c r="F95" s="89">
        <v>50.07</v>
      </c>
      <c r="G95" s="89">
        <v>50</v>
      </c>
      <c r="H95" s="89">
        <v>49.94</v>
      </c>
      <c r="I95" s="89">
        <v>49.9</v>
      </c>
      <c r="J95" s="89">
        <v>50.07</v>
      </c>
      <c r="K95" s="89">
        <v>50.25</v>
      </c>
      <c r="L95" s="89">
        <v>50.03</v>
      </c>
      <c r="M95" s="89">
        <v>50.005000000000003</v>
      </c>
      <c r="N95" s="89">
        <v>50.036999999999999</v>
      </c>
      <c r="O95" s="89">
        <v>50.042999999999999</v>
      </c>
      <c r="P95" s="89">
        <v>50.079000000000001</v>
      </c>
      <c r="Q95" s="89">
        <v>50.069000000000003</v>
      </c>
      <c r="R95" s="89">
        <v>50.027000000000001</v>
      </c>
      <c r="S95" s="89">
        <v>50.048000000000002</v>
      </c>
      <c r="T95" s="89">
        <v>50.01</v>
      </c>
      <c r="U95" s="89">
        <v>49.939</v>
      </c>
      <c r="V95" s="89">
        <v>49.901000000000003</v>
      </c>
      <c r="W95" s="89">
        <v>49.988</v>
      </c>
      <c r="X95" s="89">
        <v>49.898000000000003</v>
      </c>
      <c r="Y95" s="89">
        <v>49.951999999999998</v>
      </c>
      <c r="Z95" s="89">
        <v>50.110999999999997</v>
      </c>
      <c r="AA95" s="89">
        <v>49.954999999999998</v>
      </c>
      <c r="AB95" s="89">
        <v>50.113999999999997</v>
      </c>
      <c r="AC95" s="89">
        <v>49.999000000000002</v>
      </c>
      <c r="AD95" s="89">
        <v>49.991</v>
      </c>
      <c r="AE95" s="89">
        <v>50.072000000000003</v>
      </c>
      <c r="AF95" s="89">
        <v>49.963000000000001</v>
      </c>
      <c r="AG95" s="90"/>
      <c r="AH95" s="48">
        <f t="shared" si="11"/>
        <v>50.25</v>
      </c>
      <c r="AI95" s="49">
        <f t="shared" si="12"/>
        <v>49.898000000000003</v>
      </c>
    </row>
    <row r="96" spans="1:37" x14ac:dyDescent="0.25">
      <c r="A96" s="91" t="s">
        <v>101</v>
      </c>
      <c r="B96" s="65">
        <v>129.5</v>
      </c>
      <c r="C96" s="65">
        <v>129.5</v>
      </c>
      <c r="D96" s="65">
        <v>129.5</v>
      </c>
      <c r="E96" s="65">
        <v>129.5</v>
      </c>
      <c r="F96" s="65">
        <v>128.6</v>
      </c>
      <c r="G96" s="65">
        <v>125</v>
      </c>
      <c r="H96" s="65">
        <v>126.3</v>
      </c>
      <c r="I96" s="65">
        <v>123.4</v>
      </c>
      <c r="J96" s="65">
        <v>126.3</v>
      </c>
      <c r="K96" s="65">
        <v>123.6</v>
      </c>
      <c r="L96" s="65">
        <v>124.7</v>
      </c>
      <c r="M96" s="65">
        <v>125.5</v>
      </c>
      <c r="N96" s="65">
        <v>124.4</v>
      </c>
      <c r="O96" s="65">
        <v>125.9</v>
      </c>
      <c r="P96" s="65">
        <v>122.9</v>
      </c>
      <c r="Q96" s="65">
        <v>123.7</v>
      </c>
      <c r="R96" s="65">
        <v>122.5</v>
      </c>
      <c r="S96" s="65">
        <v>123</v>
      </c>
      <c r="T96" s="65">
        <v>127.3</v>
      </c>
      <c r="U96" s="65">
        <v>126.8</v>
      </c>
      <c r="V96" s="65">
        <v>128.9</v>
      </c>
      <c r="W96" s="65">
        <v>128</v>
      </c>
      <c r="X96" s="65">
        <v>128.30000000000001</v>
      </c>
      <c r="Y96" s="65">
        <v>128.69999999999999</v>
      </c>
      <c r="Z96" s="65">
        <v>130.19999999999999</v>
      </c>
      <c r="AA96" s="65">
        <v>130</v>
      </c>
      <c r="AB96" s="65">
        <v>130.4</v>
      </c>
      <c r="AC96" s="65">
        <v>130.5</v>
      </c>
      <c r="AD96" s="65">
        <v>130</v>
      </c>
      <c r="AE96" s="65">
        <v>128.6</v>
      </c>
      <c r="AF96" s="65">
        <v>129.6</v>
      </c>
      <c r="AG96" s="92"/>
      <c r="AH96" s="48">
        <f t="shared" si="11"/>
        <v>130.5</v>
      </c>
      <c r="AI96" s="49">
        <f t="shared" si="12"/>
        <v>122.5</v>
      </c>
    </row>
    <row r="97" spans="1:35" x14ac:dyDescent="0.25">
      <c r="A97" s="91" t="s">
        <v>102</v>
      </c>
      <c r="B97" s="65">
        <v>130</v>
      </c>
      <c r="C97" s="65">
        <v>130</v>
      </c>
      <c r="D97" s="65">
        <v>130</v>
      </c>
      <c r="E97" s="65">
        <v>130</v>
      </c>
      <c r="F97" s="65">
        <v>130</v>
      </c>
      <c r="G97" s="65">
        <v>130</v>
      </c>
      <c r="H97" s="65">
        <v>130</v>
      </c>
      <c r="I97" s="65">
        <v>130</v>
      </c>
      <c r="J97" s="65">
        <v>130</v>
      </c>
      <c r="K97" s="65">
        <v>130</v>
      </c>
      <c r="L97" s="65">
        <v>130</v>
      </c>
      <c r="M97" s="65">
        <v>130</v>
      </c>
      <c r="N97" s="65">
        <v>130</v>
      </c>
      <c r="O97" s="65">
        <v>130</v>
      </c>
      <c r="P97" s="65">
        <v>130</v>
      </c>
      <c r="Q97" s="65">
        <v>130</v>
      </c>
      <c r="R97" s="65">
        <v>130</v>
      </c>
      <c r="S97" s="65">
        <v>130</v>
      </c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92"/>
      <c r="AH97" s="48">
        <f t="shared" si="11"/>
        <v>130</v>
      </c>
      <c r="AI97" s="49">
        <f t="shared" si="12"/>
        <v>130</v>
      </c>
    </row>
    <row r="98" spans="1:35" x14ac:dyDescent="0.25">
      <c r="A98" s="91" t="s">
        <v>103</v>
      </c>
      <c r="B98" s="65">
        <v>132</v>
      </c>
      <c r="C98" s="65">
        <v>132</v>
      </c>
      <c r="D98" s="65">
        <v>132</v>
      </c>
      <c r="E98" s="65">
        <v>132</v>
      </c>
      <c r="F98" s="65">
        <v>133.80000000000001</v>
      </c>
      <c r="G98" s="65">
        <v>130.80000000000001</v>
      </c>
      <c r="H98" s="65"/>
      <c r="I98" s="65">
        <v>130.5</v>
      </c>
      <c r="J98" s="65">
        <v>130.9</v>
      </c>
      <c r="K98" s="65">
        <v>131.80000000000001</v>
      </c>
      <c r="L98" s="65">
        <v>128.69999999999999</v>
      </c>
      <c r="M98" s="65">
        <v>127.3</v>
      </c>
      <c r="N98" s="65">
        <v>130.69999999999999</v>
      </c>
      <c r="O98" s="65">
        <v>132</v>
      </c>
      <c r="P98" s="65">
        <v>131.4</v>
      </c>
      <c r="Q98" s="65">
        <v>132.6</v>
      </c>
      <c r="R98" s="65">
        <v>130.69999999999999</v>
      </c>
      <c r="S98" s="65">
        <v>128.19999999999999</v>
      </c>
      <c r="T98" s="65">
        <v>128</v>
      </c>
      <c r="U98" s="65">
        <v>127.5</v>
      </c>
      <c r="V98" s="65">
        <v>130</v>
      </c>
      <c r="W98" s="65">
        <v>128</v>
      </c>
      <c r="X98" s="65">
        <v>128.19999999999999</v>
      </c>
      <c r="Y98" s="65">
        <v>130.80000000000001</v>
      </c>
      <c r="Z98" s="65">
        <v>132.30000000000001</v>
      </c>
      <c r="AA98" s="65">
        <v>129</v>
      </c>
      <c r="AB98" s="65">
        <v>131</v>
      </c>
      <c r="AC98" s="65">
        <v>131.5</v>
      </c>
      <c r="AD98" s="65">
        <v>132.6</v>
      </c>
      <c r="AE98" s="65">
        <v>131.19999999999999</v>
      </c>
      <c r="AF98" s="65">
        <v>131.30000000000001</v>
      </c>
      <c r="AG98" s="92"/>
      <c r="AH98" s="48">
        <f t="shared" si="11"/>
        <v>133.80000000000001</v>
      </c>
      <c r="AI98" s="49">
        <f t="shared" si="12"/>
        <v>127.3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1"/>
        <v>0</v>
      </c>
      <c r="AI99" s="49">
        <f t="shared" si="12"/>
        <v>0</v>
      </c>
    </row>
    <row r="100" spans="1:35" x14ac:dyDescent="0.25">
      <c r="A100" s="93" t="s">
        <v>105</v>
      </c>
      <c r="B100" s="94">
        <v>133</v>
      </c>
      <c r="C100" s="94">
        <v>134.69999999999999</v>
      </c>
      <c r="D100" s="94">
        <v>134.69999999999999</v>
      </c>
      <c r="E100" s="94">
        <v>134.69999999999999</v>
      </c>
      <c r="F100" s="94">
        <v>133.9</v>
      </c>
      <c r="G100" s="94">
        <v>132.4</v>
      </c>
      <c r="H100" s="94">
        <v>132.6</v>
      </c>
      <c r="I100" s="94">
        <v>132.80000000000001</v>
      </c>
      <c r="J100" s="94">
        <v>135.19999999999999</v>
      </c>
      <c r="K100" s="94">
        <v>131.4</v>
      </c>
      <c r="L100" s="94">
        <v>129.6</v>
      </c>
      <c r="M100" s="94">
        <v>132.9</v>
      </c>
      <c r="N100" s="94">
        <v>134.80000000000001</v>
      </c>
      <c r="O100" s="94">
        <v>133.9</v>
      </c>
      <c r="P100" s="94">
        <v>134.19999999999999</v>
      </c>
      <c r="Q100" s="94">
        <v>132.6</v>
      </c>
      <c r="R100" s="94">
        <v>134.5</v>
      </c>
      <c r="S100" s="94">
        <v>134</v>
      </c>
      <c r="T100" s="94">
        <v>133</v>
      </c>
      <c r="U100" s="94">
        <v>132.80000000000001</v>
      </c>
      <c r="V100" s="94">
        <v>135.80000000000001</v>
      </c>
      <c r="W100" s="94">
        <v>132.1</v>
      </c>
      <c r="X100" s="94">
        <v>132.30000000000001</v>
      </c>
      <c r="Y100" s="94">
        <v>135</v>
      </c>
      <c r="Z100" s="94">
        <v>134.80000000000001</v>
      </c>
      <c r="AA100" s="94">
        <v>135.6</v>
      </c>
      <c r="AB100" s="94">
        <v>133.6</v>
      </c>
      <c r="AC100" s="94">
        <v>134.30000000000001</v>
      </c>
      <c r="AD100" s="94">
        <v>132.6</v>
      </c>
      <c r="AE100" s="94">
        <v>135.19999999999999</v>
      </c>
      <c r="AF100" s="94">
        <v>137.5</v>
      </c>
      <c r="AG100" s="95"/>
      <c r="AH100" s="48">
        <f t="shared" si="11"/>
        <v>137.5</v>
      </c>
      <c r="AI100" s="49">
        <f t="shared" si="12"/>
        <v>129.6</v>
      </c>
    </row>
    <row r="101" spans="1:35" x14ac:dyDescent="0.25">
      <c r="A101" s="91" t="s">
        <v>106</v>
      </c>
      <c r="B101" s="65">
        <v>130</v>
      </c>
      <c r="C101" s="65">
        <v>126</v>
      </c>
      <c r="D101" s="65">
        <v>126</v>
      </c>
      <c r="E101" s="65">
        <v>126</v>
      </c>
      <c r="F101" s="65">
        <v>135.1</v>
      </c>
      <c r="G101" s="65">
        <v>127.9</v>
      </c>
      <c r="H101" s="65">
        <v>123</v>
      </c>
      <c r="I101" s="65">
        <v>128.4</v>
      </c>
      <c r="J101" s="65">
        <v>132.30000000000001</v>
      </c>
      <c r="K101" s="65">
        <v>124.9</v>
      </c>
      <c r="L101" s="65">
        <v>125.5</v>
      </c>
      <c r="M101" s="65">
        <v>128.80000000000001</v>
      </c>
      <c r="N101" s="65">
        <v>119.9</v>
      </c>
      <c r="O101" s="65">
        <v>129</v>
      </c>
      <c r="P101" s="65">
        <v>123.6</v>
      </c>
      <c r="Q101" s="65">
        <v>126.6</v>
      </c>
      <c r="R101" s="65">
        <v>129.4</v>
      </c>
      <c r="S101" s="65">
        <v>128.19999999999999</v>
      </c>
      <c r="T101" s="65">
        <v>127.7</v>
      </c>
      <c r="U101" s="65">
        <v>130.69999999999999</v>
      </c>
      <c r="V101" s="65">
        <v>134.30000000000001</v>
      </c>
      <c r="W101" s="65">
        <v>130</v>
      </c>
      <c r="X101" s="65">
        <v>130.5</v>
      </c>
      <c r="Y101" s="65">
        <v>135.4</v>
      </c>
      <c r="Z101" s="65">
        <v>131.6</v>
      </c>
      <c r="AA101" s="65">
        <v>132</v>
      </c>
      <c r="AB101" s="65">
        <v>128.19999999999999</v>
      </c>
      <c r="AC101" s="65">
        <v>128.30000000000001</v>
      </c>
      <c r="AD101" s="65">
        <v>129.80000000000001</v>
      </c>
      <c r="AE101" s="65">
        <v>129.19999999999999</v>
      </c>
      <c r="AF101" s="65">
        <v>132.30000000000001</v>
      </c>
      <c r="AG101" s="92"/>
      <c r="AH101" s="48">
        <f t="shared" si="11"/>
        <v>135.4</v>
      </c>
      <c r="AI101" s="49">
        <f t="shared" si="12"/>
        <v>119.9</v>
      </c>
    </row>
    <row r="102" spans="1:35" ht="15.75" thickBot="1" x14ac:dyDescent="0.3">
      <c r="A102" s="91" t="s">
        <v>107</v>
      </c>
      <c r="B102" s="96">
        <v>65</v>
      </c>
      <c r="C102" s="96">
        <v>65</v>
      </c>
      <c r="D102" s="96">
        <v>65</v>
      </c>
      <c r="E102" s="96">
        <v>65</v>
      </c>
      <c r="F102" s="96">
        <v>65</v>
      </c>
      <c r="G102" s="96">
        <v>65</v>
      </c>
      <c r="H102" s="96">
        <v>65</v>
      </c>
      <c r="I102" s="96">
        <v>65</v>
      </c>
      <c r="J102" s="96">
        <v>65</v>
      </c>
      <c r="K102" s="96">
        <v>65</v>
      </c>
      <c r="L102" s="96">
        <v>65</v>
      </c>
      <c r="M102" s="96">
        <v>65</v>
      </c>
      <c r="N102" s="96">
        <v>65</v>
      </c>
      <c r="O102" s="96">
        <v>65</v>
      </c>
      <c r="P102" s="96">
        <v>65</v>
      </c>
      <c r="Q102" s="96">
        <v>65</v>
      </c>
      <c r="R102" s="96">
        <v>65</v>
      </c>
      <c r="S102" s="96">
        <v>65</v>
      </c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>
        <v>65.7</v>
      </c>
      <c r="AF102" s="96">
        <v>66.7</v>
      </c>
      <c r="AG102" s="97"/>
      <c r="AH102" s="48">
        <f t="shared" si="11"/>
        <v>66.7</v>
      </c>
      <c r="AI102" s="49">
        <f t="shared" si="12"/>
        <v>65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1"/>
        <v>0</v>
      </c>
      <c r="AI103" s="49">
        <f t="shared" si="12"/>
        <v>0</v>
      </c>
    </row>
    <row r="104" spans="1:35" ht="15.75" thickBot="1" x14ac:dyDescent="0.3">
      <c r="A104" s="99" t="s">
        <v>108</v>
      </c>
      <c r="B104" s="100">
        <f t="shared" ref="B104:AF104" si="18">SUM(B16,B22,B25:B26,B52,B54:B55,B57,B59,B105:B109,B131,B137,B143,B152,B154,B166,B173,B176:B177,B184,B186,B188,B192:B194,B196:B198,B203,B209:B210,B212:B214,B222,B227)</f>
        <v>196.39999999999998</v>
      </c>
      <c r="C104" s="100">
        <f t="shared" si="18"/>
        <v>178.77999999999997</v>
      </c>
      <c r="D104" s="100">
        <f t="shared" si="18"/>
        <v>173.77999999999997</v>
      </c>
      <c r="E104" s="100">
        <f t="shared" si="18"/>
        <v>167.33999999999997</v>
      </c>
      <c r="F104" s="100">
        <f t="shared" si="18"/>
        <v>171.33999999999997</v>
      </c>
      <c r="G104" s="100">
        <f t="shared" si="18"/>
        <v>193.33999999999997</v>
      </c>
      <c r="H104" s="100">
        <f t="shared" si="18"/>
        <v>209.33999999999997</v>
      </c>
      <c r="I104" s="100">
        <f t="shared" si="18"/>
        <v>237.53999999999996</v>
      </c>
      <c r="J104" s="100">
        <f t="shared" si="18"/>
        <v>257.33999999999997</v>
      </c>
      <c r="K104" s="100">
        <f t="shared" si="18"/>
        <v>299.94</v>
      </c>
      <c r="L104" s="100">
        <f t="shared" si="18"/>
        <v>288.33999999999997</v>
      </c>
      <c r="M104" s="100">
        <f t="shared" si="18"/>
        <v>312.33999999999997</v>
      </c>
      <c r="N104" s="100">
        <f t="shared" si="18"/>
        <v>359.14000000000004</v>
      </c>
      <c r="O104" s="100">
        <f t="shared" si="18"/>
        <v>342.14000000000004</v>
      </c>
      <c r="P104" s="100">
        <v>42</v>
      </c>
      <c r="Q104" s="100">
        <f t="shared" si="18"/>
        <v>248.7</v>
      </c>
      <c r="R104" s="100">
        <f t="shared" si="18"/>
        <v>260.10000000000002</v>
      </c>
      <c r="S104" s="100">
        <f t="shared" si="18"/>
        <v>245.95000000000002</v>
      </c>
      <c r="T104" s="100">
        <f t="shared" si="18"/>
        <v>298.5</v>
      </c>
      <c r="U104" s="100">
        <f t="shared" si="18"/>
        <v>303.33</v>
      </c>
      <c r="V104" s="100">
        <f t="shared" si="18"/>
        <v>264.5</v>
      </c>
      <c r="W104" s="100">
        <f t="shared" si="18"/>
        <v>317.89999999999998</v>
      </c>
      <c r="X104" s="100">
        <v>390.59708333333339</v>
      </c>
      <c r="Y104" s="100">
        <f t="shared" si="18"/>
        <v>351.59999999999997</v>
      </c>
      <c r="Z104" s="100">
        <f t="shared" si="18"/>
        <v>333.09999999999997</v>
      </c>
      <c r="AA104" s="100">
        <f t="shared" si="18"/>
        <v>308.09999999999997</v>
      </c>
      <c r="AB104" s="100">
        <f t="shared" si="18"/>
        <v>266.39999999999998</v>
      </c>
      <c r="AC104" s="100">
        <f t="shared" si="18"/>
        <v>255.39999999999998</v>
      </c>
      <c r="AD104" s="100">
        <f t="shared" si="18"/>
        <v>238.49999999999997</v>
      </c>
      <c r="AE104" s="100">
        <f t="shared" si="18"/>
        <v>220.7</v>
      </c>
      <c r="AF104" s="100">
        <f t="shared" si="18"/>
        <v>128.99999999999997</v>
      </c>
      <c r="AG104" s="101"/>
      <c r="AH104" s="48">
        <f t="shared" si="11"/>
        <v>390.59708333333339</v>
      </c>
      <c r="AI104" s="49">
        <f t="shared" si="12"/>
        <v>42</v>
      </c>
    </row>
    <row r="105" spans="1:35" x14ac:dyDescent="0.25">
      <c r="A105" s="88" t="s">
        <v>109</v>
      </c>
      <c r="B105" s="102">
        <v>49</v>
      </c>
      <c r="C105" s="102">
        <v>49.44</v>
      </c>
      <c r="D105" s="102">
        <v>49.44</v>
      </c>
      <c r="E105" s="102">
        <v>42</v>
      </c>
      <c r="F105" s="102">
        <v>49.4</v>
      </c>
      <c r="G105" s="102">
        <v>49.4</v>
      </c>
      <c r="H105" s="102">
        <v>49.4</v>
      </c>
      <c r="I105" s="102">
        <v>49.4</v>
      </c>
      <c r="J105" s="102">
        <v>49.4</v>
      </c>
      <c r="K105" s="102">
        <v>49.4</v>
      </c>
      <c r="L105" s="102">
        <v>49.4</v>
      </c>
      <c r="M105" s="102">
        <v>49.4</v>
      </c>
      <c r="N105" s="102">
        <v>49.4</v>
      </c>
      <c r="O105" s="102">
        <v>49.4</v>
      </c>
      <c r="P105" s="102">
        <v>49.4</v>
      </c>
      <c r="Q105" s="102">
        <v>49.4</v>
      </c>
      <c r="R105" s="102">
        <v>49.4</v>
      </c>
      <c r="S105" s="102">
        <v>49.45</v>
      </c>
      <c r="T105" s="102">
        <v>59.4</v>
      </c>
      <c r="U105" s="102">
        <v>48.9</v>
      </c>
      <c r="V105" s="102">
        <v>13.7</v>
      </c>
      <c r="W105" s="102">
        <v>31</v>
      </c>
      <c r="X105" s="102">
        <v>24</v>
      </c>
      <c r="Y105" s="102">
        <v>29</v>
      </c>
      <c r="Z105" s="102">
        <v>18</v>
      </c>
      <c r="AA105" s="102">
        <v>7.2</v>
      </c>
      <c r="AB105" s="102">
        <v>-10.199999999999999</v>
      </c>
      <c r="AC105" s="102">
        <v>-24</v>
      </c>
      <c r="AD105" s="102">
        <v>-35.4</v>
      </c>
      <c r="AE105" s="102">
        <v>25.4</v>
      </c>
      <c r="AF105" s="102">
        <v>-25.4</v>
      </c>
      <c r="AG105" s="103">
        <v>75</v>
      </c>
      <c r="AH105" s="48">
        <f t="shared" si="11"/>
        <v>59.4</v>
      </c>
      <c r="AI105" s="49">
        <f t="shared" si="12"/>
        <v>-35.4</v>
      </c>
    </row>
    <row r="106" spans="1:35" x14ac:dyDescent="0.25">
      <c r="A106" s="91" t="s">
        <v>110</v>
      </c>
      <c r="B106" s="104">
        <v>0</v>
      </c>
      <c r="C106" s="104">
        <v>6</v>
      </c>
      <c r="D106" s="104">
        <v>4</v>
      </c>
      <c r="E106" s="104">
        <v>4</v>
      </c>
      <c r="F106" s="104">
        <v>8.9</v>
      </c>
      <c r="G106" s="104">
        <v>14.4</v>
      </c>
      <c r="H106" s="104">
        <v>19.3</v>
      </c>
      <c r="I106" s="104">
        <v>11.7</v>
      </c>
      <c r="J106" s="104">
        <v>40</v>
      </c>
      <c r="K106" s="104">
        <v>51.2</v>
      </c>
      <c r="L106" s="104">
        <v>45.4</v>
      </c>
      <c r="M106" s="104">
        <v>39.200000000000003</v>
      </c>
      <c r="N106" s="104">
        <v>51.1</v>
      </c>
      <c r="O106" s="104">
        <v>49</v>
      </c>
      <c r="P106" s="104">
        <v>81</v>
      </c>
      <c r="Q106" s="104">
        <v>81.599999999999994</v>
      </c>
      <c r="R106" s="104">
        <v>79.8</v>
      </c>
      <c r="S106" s="104">
        <v>69.599999999999994</v>
      </c>
      <c r="T106" s="104">
        <v>28.6</v>
      </c>
      <c r="U106" s="104">
        <v>29</v>
      </c>
      <c r="V106" s="104">
        <v>52.9</v>
      </c>
      <c r="W106" s="104">
        <v>53</v>
      </c>
      <c r="X106" s="104">
        <v>50.6</v>
      </c>
      <c r="Y106" s="104">
        <v>49.7</v>
      </c>
      <c r="Z106" s="104">
        <v>56</v>
      </c>
      <c r="AA106" s="104">
        <v>68</v>
      </c>
      <c r="AB106" s="104">
        <v>61.1</v>
      </c>
      <c r="AC106" s="104">
        <v>40.700000000000003</v>
      </c>
      <c r="AD106" s="104">
        <v>34.299999999999997</v>
      </c>
      <c r="AE106" s="104">
        <v>36.6</v>
      </c>
      <c r="AF106" s="104">
        <v>21.6</v>
      </c>
      <c r="AG106" s="103">
        <v>240</v>
      </c>
      <c r="AH106" s="48">
        <f t="shared" si="11"/>
        <v>81.599999999999994</v>
      </c>
      <c r="AI106" s="49">
        <f t="shared" si="12"/>
        <v>0</v>
      </c>
    </row>
    <row r="107" spans="1:35" x14ac:dyDescent="0.25">
      <c r="A107" s="91" t="s">
        <v>111</v>
      </c>
      <c r="B107" s="104">
        <v>-50</v>
      </c>
      <c r="C107" s="104">
        <v>-58</v>
      </c>
      <c r="D107" s="104">
        <v>-66</v>
      </c>
      <c r="E107" s="104">
        <v>-62</v>
      </c>
      <c r="F107" s="104">
        <f>-33.5-36</f>
        <v>-69.5</v>
      </c>
      <c r="G107" s="104">
        <f>-27.8-29</f>
        <v>-56.8</v>
      </c>
      <c r="H107" s="104">
        <f>-27.7-30</f>
        <v>-57.7</v>
      </c>
      <c r="I107" s="104">
        <f>-21.7-23.2</f>
        <v>-44.9</v>
      </c>
      <c r="J107" s="104">
        <f>-21.3-23.8</f>
        <v>-45.1</v>
      </c>
      <c r="K107" s="104">
        <f>-16.8-18.3</f>
        <v>-35.1</v>
      </c>
      <c r="L107" s="104">
        <f>-24.3-8.7</f>
        <v>-33</v>
      </c>
      <c r="M107" s="104">
        <v>-21.8</v>
      </c>
      <c r="N107" s="104">
        <v>2.2999999999999998</v>
      </c>
      <c r="O107" s="104">
        <v>1.5</v>
      </c>
      <c r="P107" s="104">
        <f>-22-25</f>
        <v>-47</v>
      </c>
      <c r="Q107" s="104">
        <f>-8.6-9.1</f>
        <v>-17.7</v>
      </c>
      <c r="R107" s="104">
        <v>-6.5</v>
      </c>
      <c r="S107" s="104">
        <v>-9</v>
      </c>
      <c r="T107" s="104">
        <v>-15</v>
      </c>
      <c r="U107" s="104">
        <v>1.2</v>
      </c>
      <c r="V107" s="104">
        <v>-2.5</v>
      </c>
      <c r="W107" s="104">
        <v>11</v>
      </c>
      <c r="X107" s="104">
        <v>20</v>
      </c>
      <c r="Y107" s="104">
        <v>27</v>
      </c>
      <c r="Z107" s="104">
        <v>14</v>
      </c>
      <c r="AA107" s="104">
        <v>-10</v>
      </c>
      <c r="AB107" s="104">
        <v>-8.5</v>
      </c>
      <c r="AC107" s="104">
        <v>21</v>
      </c>
      <c r="AD107" s="104">
        <v>15</v>
      </c>
      <c r="AE107" s="104">
        <v>0.5</v>
      </c>
      <c r="AF107" s="104">
        <v>-55</v>
      </c>
      <c r="AG107" s="103">
        <v>240</v>
      </c>
      <c r="AH107" s="48">
        <f t="shared" si="11"/>
        <v>27</v>
      </c>
      <c r="AI107" s="49">
        <f t="shared" si="12"/>
        <v>-69.5</v>
      </c>
    </row>
    <row r="108" spans="1:35" x14ac:dyDescent="0.25">
      <c r="A108" s="91" t="s">
        <v>112</v>
      </c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>
        <v>26.8</v>
      </c>
      <c r="AE108" s="104">
        <v>6.9</v>
      </c>
      <c r="AF108" s="104">
        <v>3.8</v>
      </c>
      <c r="AG108" s="103">
        <v>60</v>
      </c>
      <c r="AH108" s="48">
        <f t="shared" si="11"/>
        <v>26.8</v>
      </c>
      <c r="AI108" s="49">
        <f t="shared" si="12"/>
        <v>3.8</v>
      </c>
    </row>
    <row r="109" spans="1:35" x14ac:dyDescent="0.25">
      <c r="A109" s="105" t="s">
        <v>113</v>
      </c>
      <c r="B109" s="106">
        <v>64</v>
      </c>
      <c r="C109" s="106">
        <v>47</v>
      </c>
      <c r="D109" s="106">
        <v>52</v>
      </c>
      <c r="E109" s="106">
        <v>49</v>
      </c>
      <c r="F109" s="106">
        <v>48.2</v>
      </c>
      <c r="G109" s="106">
        <v>52</v>
      </c>
      <c r="H109" s="106">
        <v>64</v>
      </c>
      <c r="I109" s="106">
        <v>87</v>
      </c>
      <c r="J109" s="106">
        <v>78.7</v>
      </c>
      <c r="K109" s="106">
        <v>100.1</v>
      </c>
      <c r="L109" s="106">
        <v>92.2</v>
      </c>
      <c r="M109" s="106">
        <v>109.2</v>
      </c>
      <c r="N109" s="106">
        <v>120</v>
      </c>
      <c r="O109" s="106">
        <v>105.9</v>
      </c>
      <c r="P109" s="106">
        <v>78.5</v>
      </c>
      <c r="Q109" s="106">
        <v>0</v>
      </c>
      <c r="R109" s="106">
        <v>0</v>
      </c>
      <c r="S109" s="106">
        <v>0</v>
      </c>
      <c r="T109" s="106">
        <v>89.6</v>
      </c>
      <c r="U109" s="106">
        <v>90.83</v>
      </c>
      <c r="V109" s="106">
        <v>68.5</v>
      </c>
      <c r="W109" s="106">
        <v>91</v>
      </c>
      <c r="X109" s="106">
        <v>116</v>
      </c>
      <c r="Y109" s="106">
        <v>114</v>
      </c>
      <c r="Z109" s="106">
        <v>113.2</v>
      </c>
      <c r="AA109" s="106">
        <v>111</v>
      </c>
      <c r="AB109" s="106">
        <v>92.1</v>
      </c>
      <c r="AC109" s="106">
        <v>85.3</v>
      </c>
      <c r="AD109" s="106">
        <v>65.400000000000006</v>
      </c>
      <c r="AE109" s="106">
        <v>18.899999999999999</v>
      </c>
      <c r="AF109" s="106">
        <v>51.6</v>
      </c>
      <c r="AG109" s="107">
        <v>120</v>
      </c>
      <c r="AH109" s="48">
        <f t="shared" si="11"/>
        <v>120</v>
      </c>
      <c r="AI109" s="49">
        <f t="shared" si="12"/>
        <v>0</v>
      </c>
    </row>
    <row r="110" spans="1:35" x14ac:dyDescent="0.25">
      <c r="A110" s="105" t="s">
        <v>115</v>
      </c>
      <c r="B110" s="106">
        <v>69</v>
      </c>
      <c r="C110" s="106">
        <v>53</v>
      </c>
      <c r="D110" s="106">
        <v>64</v>
      </c>
      <c r="E110" s="106">
        <v>65</v>
      </c>
      <c r="F110" s="106">
        <v>61</v>
      </c>
      <c r="G110" s="106">
        <v>75.5</v>
      </c>
      <c r="H110" s="106">
        <v>73.5</v>
      </c>
      <c r="I110" s="106">
        <v>92.6</v>
      </c>
      <c r="J110" s="106">
        <v>79.5</v>
      </c>
      <c r="K110" s="106">
        <v>88.5</v>
      </c>
      <c r="L110" s="106">
        <v>87.1</v>
      </c>
      <c r="M110" s="106">
        <v>91.4</v>
      </c>
      <c r="N110" s="106">
        <v>94.2</v>
      </c>
      <c r="O110" s="106">
        <v>82.7</v>
      </c>
      <c r="P110" s="106">
        <v>78</v>
      </c>
      <c r="Q110" s="106">
        <v>95</v>
      </c>
      <c r="R110" s="106">
        <v>106.7</v>
      </c>
      <c r="S110" s="106">
        <v>101</v>
      </c>
      <c r="T110" s="106">
        <v>83.1</v>
      </c>
      <c r="U110" s="106">
        <v>74</v>
      </c>
      <c r="V110" s="106">
        <v>47</v>
      </c>
      <c r="W110" s="106">
        <v>61</v>
      </c>
      <c r="X110" s="106">
        <v>70</v>
      </c>
      <c r="Y110" s="106">
        <v>65</v>
      </c>
      <c r="Z110" s="106">
        <v>53</v>
      </c>
      <c r="AA110" s="106">
        <v>30</v>
      </c>
      <c r="AB110" s="106">
        <v>34.799999999999997</v>
      </c>
      <c r="AC110" s="106">
        <v>63</v>
      </c>
      <c r="AD110" s="106">
        <v>69.7</v>
      </c>
      <c r="AE110" s="106">
        <v>79.8</v>
      </c>
      <c r="AF110" s="106">
        <v>57.4</v>
      </c>
      <c r="AG110" s="107"/>
      <c r="AH110" s="48">
        <f t="shared" si="11"/>
        <v>106.7</v>
      </c>
      <c r="AI110" s="49">
        <f t="shared" si="12"/>
        <v>30</v>
      </c>
    </row>
    <row r="111" spans="1:35" x14ac:dyDescent="0.25">
      <c r="A111" s="105" t="s">
        <v>116</v>
      </c>
      <c r="B111" s="106">
        <v>32</v>
      </c>
      <c r="C111" s="106">
        <v>29</v>
      </c>
      <c r="D111" s="106">
        <v>33</v>
      </c>
      <c r="E111" s="106">
        <v>33.5</v>
      </c>
      <c r="F111" s="106">
        <v>31.3</v>
      </c>
      <c r="G111" s="106">
        <v>27.3</v>
      </c>
      <c r="H111" s="106">
        <v>26.5</v>
      </c>
      <c r="I111" s="106">
        <v>34.200000000000003</v>
      </c>
      <c r="J111" s="106">
        <v>20.7</v>
      </c>
      <c r="K111" s="106">
        <v>23.3</v>
      </c>
      <c r="L111" s="106">
        <v>27.4</v>
      </c>
      <c r="M111" s="106">
        <v>27.6</v>
      </c>
      <c r="N111" s="106">
        <v>18.899999999999999</v>
      </c>
      <c r="O111" s="106">
        <v>15.9</v>
      </c>
      <c r="P111" s="106">
        <v>7.7</v>
      </c>
      <c r="Q111" s="106">
        <v>-3.8</v>
      </c>
      <c r="R111" s="106">
        <v>2.7</v>
      </c>
      <c r="S111" s="106">
        <v>5.7</v>
      </c>
      <c r="T111" s="106">
        <v>18</v>
      </c>
      <c r="U111" s="106">
        <v>20</v>
      </c>
      <c r="V111" s="106">
        <v>12</v>
      </c>
      <c r="W111" s="106">
        <v>15</v>
      </c>
      <c r="X111" s="106">
        <v>16.2</v>
      </c>
      <c r="Y111" s="106">
        <v>19.3</v>
      </c>
      <c r="Z111" s="106">
        <v>16</v>
      </c>
      <c r="AA111" s="106">
        <v>5.5</v>
      </c>
      <c r="AB111" s="106">
        <v>6.1</v>
      </c>
      <c r="AC111" s="106">
        <v>15.7</v>
      </c>
      <c r="AD111" s="106">
        <v>26.1</v>
      </c>
      <c r="AE111" s="106">
        <v>23.4</v>
      </c>
      <c r="AF111" s="106">
        <v>21.6</v>
      </c>
      <c r="AG111" s="108"/>
      <c r="AH111" s="48">
        <f t="shared" si="11"/>
        <v>34.200000000000003</v>
      </c>
      <c r="AI111" s="49">
        <f t="shared" si="12"/>
        <v>-3.8</v>
      </c>
    </row>
    <row r="112" spans="1:35" x14ac:dyDescent="0.25">
      <c r="A112" s="109" t="s">
        <v>117</v>
      </c>
      <c r="B112" s="94">
        <v>58</v>
      </c>
      <c r="C112" s="94">
        <v>58</v>
      </c>
      <c r="D112" s="94">
        <v>62</v>
      </c>
      <c r="E112" s="94">
        <v>66.8</v>
      </c>
      <c r="F112" s="94">
        <v>67</v>
      </c>
      <c r="G112" s="94">
        <v>53.9</v>
      </c>
      <c r="H112" s="94">
        <v>53.6</v>
      </c>
      <c r="I112" s="94">
        <v>44.7</v>
      </c>
      <c r="J112" s="94">
        <v>32.5</v>
      </c>
      <c r="K112" s="94">
        <v>22.1</v>
      </c>
      <c r="L112" s="94">
        <v>19</v>
      </c>
      <c r="M112" s="94">
        <v>11.4</v>
      </c>
      <c r="N112" s="94">
        <v>11.6</v>
      </c>
      <c r="O112" s="94">
        <v>21.8</v>
      </c>
      <c r="P112" s="94">
        <v>28.4</v>
      </c>
      <c r="Q112" s="94">
        <v>49.6</v>
      </c>
      <c r="R112" s="94">
        <v>54.3</v>
      </c>
      <c r="S112" s="94">
        <v>46</v>
      </c>
      <c r="T112" s="94">
        <v>37.1</v>
      </c>
      <c r="U112" s="94">
        <v>29</v>
      </c>
      <c r="V112" s="94">
        <v>0</v>
      </c>
      <c r="W112" s="94">
        <v>-21</v>
      </c>
      <c r="X112" s="94">
        <v>-12</v>
      </c>
      <c r="Y112" s="94">
        <v>-6.2</v>
      </c>
      <c r="Z112" s="94">
        <v>2</v>
      </c>
      <c r="AA112" s="94">
        <v>16.7</v>
      </c>
      <c r="AB112" s="94">
        <v>27.4</v>
      </c>
      <c r="AC112" s="94">
        <v>33</v>
      </c>
      <c r="AD112" s="94">
        <v>39.700000000000003</v>
      </c>
      <c r="AE112" s="94">
        <v>60.3</v>
      </c>
      <c r="AF112" s="94">
        <v>64.099999999999994</v>
      </c>
      <c r="AG112" s="108"/>
      <c r="AH112" s="48">
        <f t="shared" si="11"/>
        <v>67</v>
      </c>
      <c r="AI112" s="49">
        <f t="shared" si="12"/>
        <v>-21</v>
      </c>
    </row>
    <row r="113" spans="1:37" ht="15.75" thickBot="1" x14ac:dyDescent="0.3">
      <c r="A113" s="109" t="s">
        <v>118</v>
      </c>
      <c r="B113" s="94"/>
      <c r="C113" s="94">
        <v>29</v>
      </c>
      <c r="D113" s="94">
        <v>32</v>
      </c>
      <c r="E113" s="94">
        <v>32.9</v>
      </c>
      <c r="F113" s="94">
        <v>35.4</v>
      </c>
      <c r="G113" s="94">
        <v>29.3</v>
      </c>
      <c r="H113" s="94">
        <v>32.700000000000003</v>
      </c>
      <c r="I113" s="94">
        <v>20.100000000000001</v>
      </c>
      <c r="J113" s="94">
        <v>32.700000000000003</v>
      </c>
      <c r="K113" s="94">
        <v>23.9</v>
      </c>
      <c r="L113" s="94">
        <v>22</v>
      </c>
      <c r="M113" s="94">
        <v>12.1</v>
      </c>
      <c r="N113" s="94">
        <v>19.3</v>
      </c>
      <c r="O113" s="94">
        <v>14.4</v>
      </c>
      <c r="P113" s="94">
        <v>22.8</v>
      </c>
      <c r="Q113" s="94">
        <v>1.9</v>
      </c>
      <c r="R113" s="94">
        <v>-3.9</v>
      </c>
      <c r="S113" s="94">
        <v>-3.1</v>
      </c>
      <c r="T113" s="94">
        <v>4</v>
      </c>
      <c r="U113" s="94">
        <v>-4.3</v>
      </c>
      <c r="V113" s="94">
        <v>18.600000000000001</v>
      </c>
      <c r="W113" s="94">
        <v>17</v>
      </c>
      <c r="X113" s="94">
        <v>-2.1</v>
      </c>
      <c r="Y113" s="94">
        <v>-8.4</v>
      </c>
      <c r="Z113" s="94">
        <v>16</v>
      </c>
      <c r="AA113" s="94">
        <v>32</v>
      </c>
      <c r="AB113" s="94">
        <v>24.8</v>
      </c>
      <c r="AC113" s="94">
        <v>-1.3</v>
      </c>
      <c r="AD113" s="94">
        <v>-1.3</v>
      </c>
      <c r="AE113" s="94">
        <v>-1.5</v>
      </c>
      <c r="AF113" s="94">
        <v>35.9</v>
      </c>
      <c r="AG113" s="108"/>
      <c r="AH113" s="48">
        <f t="shared" si="11"/>
        <v>35.9</v>
      </c>
      <c r="AI113" s="49">
        <f t="shared" si="12"/>
        <v>-8.4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19">SUM(B115:B219)</f>
        <v>0</v>
      </c>
      <c r="C220" s="125">
        <f t="shared" si="19"/>
        <v>0</v>
      </c>
      <c r="D220" s="125">
        <f t="shared" si="19"/>
        <v>0</v>
      </c>
      <c r="E220" s="125">
        <f t="shared" si="19"/>
        <v>0</v>
      </c>
      <c r="F220" s="125">
        <f t="shared" si="19"/>
        <v>0</v>
      </c>
      <c r="G220" s="125">
        <f t="shared" si="19"/>
        <v>0</v>
      </c>
      <c r="H220" s="125">
        <f t="shared" si="19"/>
        <v>0</v>
      </c>
      <c r="I220" s="125">
        <f t="shared" si="19"/>
        <v>0</v>
      </c>
      <c r="J220" s="125">
        <f t="shared" si="19"/>
        <v>0</v>
      </c>
      <c r="K220" s="125">
        <f t="shared" si="19"/>
        <v>0</v>
      </c>
      <c r="L220" s="125">
        <f t="shared" si="19"/>
        <v>0</v>
      </c>
      <c r="M220" s="125">
        <f t="shared" si="19"/>
        <v>0</v>
      </c>
      <c r="N220" s="125">
        <f t="shared" si="19"/>
        <v>0</v>
      </c>
      <c r="O220" s="125">
        <f t="shared" si="19"/>
        <v>0</v>
      </c>
      <c r="P220" s="125">
        <f t="shared" si="19"/>
        <v>0</v>
      </c>
      <c r="Q220" s="125">
        <f t="shared" si="19"/>
        <v>0</v>
      </c>
      <c r="R220" s="125">
        <f t="shared" si="19"/>
        <v>0</v>
      </c>
      <c r="S220" s="125">
        <f t="shared" si="19"/>
        <v>0</v>
      </c>
      <c r="T220" s="125">
        <f t="shared" si="19"/>
        <v>0</v>
      </c>
      <c r="U220" s="125">
        <f t="shared" si="19"/>
        <v>0</v>
      </c>
      <c r="V220" s="125">
        <f t="shared" si="19"/>
        <v>0</v>
      </c>
      <c r="W220" s="125">
        <f t="shared" si="19"/>
        <v>0</v>
      </c>
      <c r="X220" s="125">
        <f t="shared" si="19"/>
        <v>0</v>
      </c>
      <c r="Y220" s="125">
        <f t="shared" si="19"/>
        <v>0</v>
      </c>
      <c r="Z220" s="125">
        <f t="shared" si="19"/>
        <v>0</v>
      </c>
      <c r="AA220" s="125">
        <f t="shared" si="19"/>
        <v>0</v>
      </c>
      <c r="AB220" s="125">
        <f t="shared" si="19"/>
        <v>0</v>
      </c>
      <c r="AC220" s="125">
        <f t="shared" si="19"/>
        <v>0</v>
      </c>
      <c r="AD220" s="125">
        <f t="shared" si="19"/>
        <v>0</v>
      </c>
      <c r="AE220" s="125">
        <f t="shared" si="19"/>
        <v>0</v>
      </c>
      <c r="AF220" s="126">
        <f t="shared" si="19"/>
        <v>0</v>
      </c>
      <c r="AG220" s="127">
        <f t="shared" si="19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20">AF222</f>
        <v>0</v>
      </c>
      <c r="C222" s="129">
        <v>0.3</v>
      </c>
      <c r="D222" s="129">
        <f t="shared" ref="D222:P227" si="21">C222</f>
        <v>0.3</v>
      </c>
      <c r="E222" s="129">
        <f t="shared" si="21"/>
        <v>0.3</v>
      </c>
      <c r="F222" s="129">
        <f t="shared" si="21"/>
        <v>0.3</v>
      </c>
      <c r="G222" s="129">
        <f t="shared" si="21"/>
        <v>0.3</v>
      </c>
      <c r="H222" s="129">
        <f t="shared" si="21"/>
        <v>0.3</v>
      </c>
      <c r="I222" s="129">
        <f t="shared" si="21"/>
        <v>0.3</v>
      </c>
      <c r="J222" s="129">
        <f t="shared" si="21"/>
        <v>0.3</v>
      </c>
      <c r="K222" s="129">
        <f t="shared" si="21"/>
        <v>0.3</v>
      </c>
      <c r="L222" s="129">
        <f t="shared" si="21"/>
        <v>0.3</v>
      </c>
      <c r="M222" s="129">
        <f t="shared" si="21"/>
        <v>0.3</v>
      </c>
      <c r="N222" s="129">
        <f t="shared" si="21"/>
        <v>0.3</v>
      </c>
      <c r="O222" s="129">
        <f t="shared" si="21"/>
        <v>0.3</v>
      </c>
      <c r="P222" s="129">
        <f t="shared" si="21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20"/>
        <v>0</v>
      </c>
      <c r="C223" s="117">
        <v>0.4</v>
      </c>
      <c r="D223" s="117">
        <f t="shared" si="21"/>
        <v>0.4</v>
      </c>
      <c r="E223" s="117">
        <f t="shared" si="21"/>
        <v>0.4</v>
      </c>
      <c r="F223" s="117">
        <f t="shared" si="21"/>
        <v>0.4</v>
      </c>
      <c r="G223" s="117">
        <f t="shared" si="21"/>
        <v>0.4</v>
      </c>
      <c r="H223" s="117">
        <f t="shared" si="21"/>
        <v>0.4</v>
      </c>
      <c r="I223" s="117">
        <f t="shared" si="21"/>
        <v>0.4</v>
      </c>
      <c r="J223" s="117">
        <f t="shared" si="21"/>
        <v>0.4</v>
      </c>
      <c r="K223" s="117">
        <f t="shared" si="21"/>
        <v>0.4</v>
      </c>
      <c r="L223" s="117">
        <f t="shared" si="21"/>
        <v>0.4</v>
      </c>
      <c r="M223" s="117">
        <f t="shared" si="21"/>
        <v>0.4</v>
      </c>
      <c r="N223" s="117">
        <f t="shared" si="21"/>
        <v>0.4</v>
      </c>
      <c r="O223" s="117">
        <f t="shared" si="21"/>
        <v>0.4</v>
      </c>
      <c r="P223" s="117">
        <f t="shared" si="21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20"/>
        <v>0</v>
      </c>
      <c r="C224" s="117">
        <v>1.5</v>
      </c>
      <c r="D224" s="117">
        <f t="shared" si="21"/>
        <v>1.5</v>
      </c>
      <c r="E224" s="117">
        <f t="shared" si="21"/>
        <v>1.5</v>
      </c>
      <c r="F224" s="117">
        <f t="shared" si="21"/>
        <v>1.5</v>
      </c>
      <c r="G224" s="117">
        <f t="shared" si="21"/>
        <v>1.5</v>
      </c>
      <c r="H224" s="117">
        <f t="shared" si="21"/>
        <v>1.5</v>
      </c>
      <c r="I224" s="100">
        <f t="shared" ref="I224" ca="1" si="22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21"/>
        <v>1.5</v>
      </c>
      <c r="K224" s="117">
        <f t="shared" ca="1" si="21"/>
        <v>1.5</v>
      </c>
      <c r="L224" s="117">
        <f t="shared" ca="1" si="21"/>
        <v>1.5</v>
      </c>
      <c r="M224" s="117">
        <f t="shared" ca="1" si="21"/>
        <v>1.5</v>
      </c>
      <c r="N224" s="117">
        <f t="shared" ca="1" si="21"/>
        <v>1.5</v>
      </c>
      <c r="O224" s="117">
        <f t="shared" ca="1" si="21"/>
        <v>1.5</v>
      </c>
      <c r="P224" s="117">
        <f t="shared" ca="1" si="21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20"/>
        <v>0</v>
      </c>
      <c r="C225" s="117">
        <v>0.3</v>
      </c>
      <c r="D225" s="117">
        <f t="shared" si="21"/>
        <v>0.3</v>
      </c>
      <c r="E225" s="117">
        <f t="shared" si="21"/>
        <v>0.3</v>
      </c>
      <c r="F225" s="117">
        <f t="shared" si="21"/>
        <v>0.3</v>
      </c>
      <c r="G225" s="117">
        <f t="shared" si="21"/>
        <v>0.3</v>
      </c>
      <c r="H225" s="117">
        <f t="shared" si="21"/>
        <v>0.3</v>
      </c>
      <c r="I225" s="117">
        <f t="shared" si="21"/>
        <v>0.3</v>
      </c>
      <c r="J225" s="117">
        <f t="shared" si="21"/>
        <v>0.3</v>
      </c>
      <c r="K225" s="117">
        <f t="shared" si="21"/>
        <v>0.3</v>
      </c>
      <c r="L225" s="117">
        <f t="shared" si="21"/>
        <v>0.3</v>
      </c>
      <c r="M225" s="117">
        <f t="shared" si="21"/>
        <v>0.3</v>
      </c>
      <c r="N225" s="117">
        <f t="shared" si="21"/>
        <v>0.3</v>
      </c>
      <c r="O225" s="117">
        <f t="shared" si="21"/>
        <v>0.3</v>
      </c>
      <c r="P225" s="117">
        <f t="shared" si="21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20"/>
        <v>0</v>
      </c>
      <c r="C226" s="117">
        <v>0.4</v>
      </c>
      <c r="D226" s="117">
        <f t="shared" si="21"/>
        <v>0.4</v>
      </c>
      <c r="E226" s="117">
        <f t="shared" si="21"/>
        <v>0.4</v>
      </c>
      <c r="F226" s="117">
        <f t="shared" si="21"/>
        <v>0.4</v>
      </c>
      <c r="G226" s="117">
        <f t="shared" si="21"/>
        <v>0.4</v>
      </c>
      <c r="H226" s="117">
        <f t="shared" si="21"/>
        <v>0.4</v>
      </c>
      <c r="I226" s="117">
        <f t="shared" si="21"/>
        <v>0.4</v>
      </c>
      <c r="J226" s="117">
        <f t="shared" si="21"/>
        <v>0.4</v>
      </c>
      <c r="K226" s="117">
        <f t="shared" si="21"/>
        <v>0.4</v>
      </c>
      <c r="L226" s="117">
        <f t="shared" si="21"/>
        <v>0.4</v>
      </c>
      <c r="M226" s="117">
        <f t="shared" si="21"/>
        <v>0.4</v>
      </c>
      <c r="N226" s="117">
        <f t="shared" si="21"/>
        <v>0.4</v>
      </c>
      <c r="O226" s="117">
        <f t="shared" si="21"/>
        <v>0.4</v>
      </c>
      <c r="P226" s="117">
        <f t="shared" si="21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20"/>
        <v>0</v>
      </c>
      <c r="C227" s="121">
        <v>0.64</v>
      </c>
      <c r="D227" s="121">
        <f t="shared" si="21"/>
        <v>0.64</v>
      </c>
      <c r="E227" s="121">
        <f t="shared" si="21"/>
        <v>0.64</v>
      </c>
      <c r="F227" s="121">
        <f t="shared" si="21"/>
        <v>0.64</v>
      </c>
      <c r="G227" s="121">
        <f t="shared" si="21"/>
        <v>0.64</v>
      </c>
      <c r="H227" s="121">
        <f t="shared" si="21"/>
        <v>0.64</v>
      </c>
      <c r="I227" s="121">
        <f t="shared" si="21"/>
        <v>0.64</v>
      </c>
      <c r="J227" s="121">
        <f t="shared" si="21"/>
        <v>0.64</v>
      </c>
      <c r="K227" s="121">
        <f t="shared" si="21"/>
        <v>0.64</v>
      </c>
      <c r="L227" s="121">
        <f t="shared" si="21"/>
        <v>0.64</v>
      </c>
      <c r="M227" s="121">
        <f t="shared" si="21"/>
        <v>0.64</v>
      </c>
      <c r="N227" s="121">
        <f t="shared" si="21"/>
        <v>0.64</v>
      </c>
      <c r="O227" s="121">
        <f t="shared" si="21"/>
        <v>0.64</v>
      </c>
      <c r="P227" s="121">
        <f t="shared" si="21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3">SUM(B222:B227)</f>
        <v>0</v>
      </c>
      <c r="C228" s="125">
        <f t="shared" si="23"/>
        <v>3.54</v>
      </c>
      <c r="D228" s="125">
        <f t="shared" si="23"/>
        <v>3.54</v>
      </c>
      <c r="E228" s="125">
        <f t="shared" si="23"/>
        <v>3.54</v>
      </c>
      <c r="F228" s="125">
        <f t="shared" si="23"/>
        <v>3.54</v>
      </c>
      <c r="G228" s="125">
        <f t="shared" si="23"/>
        <v>3.54</v>
      </c>
      <c r="H228" s="125">
        <f t="shared" si="23"/>
        <v>3.54</v>
      </c>
      <c r="I228" s="125">
        <f t="shared" ca="1" si="23"/>
        <v>3.54</v>
      </c>
      <c r="J228" s="125">
        <f t="shared" ca="1" si="23"/>
        <v>3.54</v>
      </c>
      <c r="K228" s="125">
        <f t="shared" ca="1" si="23"/>
        <v>3.54</v>
      </c>
      <c r="L228" s="125">
        <f t="shared" ca="1" si="23"/>
        <v>3.54</v>
      </c>
      <c r="M228" s="125">
        <f t="shared" ca="1" si="23"/>
        <v>3.54</v>
      </c>
      <c r="N228" s="125">
        <f t="shared" ca="1" si="23"/>
        <v>3.54</v>
      </c>
      <c r="O228" s="125">
        <f t="shared" ca="1" si="23"/>
        <v>3.54</v>
      </c>
      <c r="P228" s="125">
        <f t="shared" ca="1" si="23"/>
        <v>3.54</v>
      </c>
      <c r="Q228" s="125">
        <f t="shared" si="23"/>
        <v>0</v>
      </c>
      <c r="R228" s="125">
        <f t="shared" si="23"/>
        <v>0</v>
      </c>
      <c r="S228" s="125">
        <f t="shared" si="23"/>
        <v>0</v>
      </c>
      <c r="T228" s="125">
        <f t="shared" si="23"/>
        <v>0</v>
      </c>
      <c r="U228" s="125">
        <f t="shared" si="23"/>
        <v>0</v>
      </c>
      <c r="V228" s="125">
        <f t="shared" si="23"/>
        <v>0</v>
      </c>
      <c r="W228" s="125">
        <f t="shared" si="23"/>
        <v>0</v>
      </c>
      <c r="X228" s="125">
        <f t="shared" si="23"/>
        <v>0</v>
      </c>
      <c r="Y228" s="125">
        <f t="shared" si="23"/>
        <v>0</v>
      </c>
      <c r="Z228" s="125">
        <f t="shared" si="23"/>
        <v>0</v>
      </c>
      <c r="AA228" s="125">
        <f t="shared" si="23"/>
        <v>0</v>
      </c>
      <c r="AB228" s="125">
        <f t="shared" si="23"/>
        <v>0</v>
      </c>
      <c r="AC228" s="125">
        <f t="shared" si="23"/>
        <v>0</v>
      </c>
      <c r="AD228" s="125">
        <f t="shared" si="23"/>
        <v>0</v>
      </c>
      <c r="AE228" s="125">
        <f t="shared" si="23"/>
        <v>0</v>
      </c>
      <c r="AF228" s="125">
        <f t="shared" si="23"/>
        <v>0</v>
      </c>
      <c r="AG228" s="134">
        <f t="shared" si="23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1617.74</v>
      </c>
      <c r="C237" s="150">
        <f>INDEX(G9:N9,1,MATCH(MAX(G85:N85),G85:N85,0))</f>
        <v>0.375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16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2079/09/16)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2079/09/16)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4">B85</f>
        <v>1071.74</v>
      </c>
      <c r="U242" s="159">
        <f t="shared" si="24"/>
        <v>1002.94</v>
      </c>
      <c r="V242" s="159">
        <f t="shared" si="24"/>
        <v>1014.94</v>
      </c>
      <c r="W242" s="159">
        <f t="shared" si="24"/>
        <v>1014.94</v>
      </c>
      <c r="X242" s="159">
        <f t="shared" si="24"/>
        <v>1028.6400000000001</v>
      </c>
      <c r="Y242" s="159">
        <f t="shared" si="24"/>
        <v>1058.94</v>
      </c>
      <c r="Z242" s="159">
        <f t="shared" si="24"/>
        <v>1161.6400000000001</v>
      </c>
      <c r="AA242" s="159">
        <f t="shared" si="24"/>
        <v>1201.3400000000001</v>
      </c>
      <c r="AB242" s="159">
        <f t="shared" si="24"/>
        <v>1323.84</v>
      </c>
      <c r="AC242" s="159">
        <f t="shared" si="24"/>
        <v>1439.04</v>
      </c>
      <c r="AD242" s="159">
        <f t="shared" si="24"/>
        <v>1584.1399999999999</v>
      </c>
      <c r="AE242" s="159">
        <f t="shared" si="24"/>
        <v>1595.5400000000002</v>
      </c>
      <c r="AF242" s="159">
        <f t="shared" si="24"/>
        <v>1617.74</v>
      </c>
      <c r="AG242" s="159">
        <f t="shared" si="24"/>
        <v>1489.9399999999998</v>
      </c>
      <c r="AH242" s="159">
        <f t="shared" si="24"/>
        <v>1350.1399999999999</v>
      </c>
      <c r="AI242" s="159">
        <f t="shared" si="24"/>
        <v>1287.7400000000002</v>
      </c>
      <c r="AJ242" s="159">
        <f t="shared" si="24"/>
        <v>1250.24</v>
      </c>
      <c r="AK242" s="159">
        <f t="shared" si="24"/>
        <v>1226.54</v>
      </c>
      <c r="AL242" s="159">
        <f t="shared" si="24"/>
        <v>1288.94</v>
      </c>
      <c r="AM242" s="159">
        <f t="shared" si="24"/>
        <v>1221.54</v>
      </c>
      <c r="AN242" s="159">
        <f t="shared" si="24"/>
        <v>1302.6400000000001</v>
      </c>
      <c r="AO242" s="159">
        <f t="shared" si="24"/>
        <v>1494.74</v>
      </c>
      <c r="AP242" s="159">
        <f t="shared" si="24"/>
        <v>1559.1399999999999</v>
      </c>
      <c r="AQ242" s="159">
        <f t="shared" si="24"/>
        <v>1577.0400000000002</v>
      </c>
      <c r="AR242" s="159">
        <f t="shared" si="24"/>
        <v>1543.54</v>
      </c>
      <c r="AS242" s="159">
        <f t="shared" si="24"/>
        <v>1456.44</v>
      </c>
      <c r="AT242" s="159">
        <f t="shared" si="24"/>
        <v>1474.24</v>
      </c>
      <c r="AU242" s="159">
        <f t="shared" si="24"/>
        <v>1344.44</v>
      </c>
      <c r="AV242" s="159">
        <f t="shared" si="24"/>
        <v>1289.3399999999999</v>
      </c>
      <c r="AW242" s="159">
        <f t="shared" si="24"/>
        <v>1153.04</v>
      </c>
      <c r="AX242" s="159">
        <f t="shared" si="24"/>
        <v>1002.54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5">C227</f>
        <v>0.64</v>
      </c>
      <c r="C263" s="162">
        <f t="shared" si="25"/>
        <v>0.64</v>
      </c>
      <c r="D263" s="162">
        <f t="shared" si="25"/>
        <v>0.64</v>
      </c>
      <c r="E263" s="162">
        <f t="shared" si="25"/>
        <v>0.64</v>
      </c>
      <c r="F263" s="162">
        <f t="shared" si="25"/>
        <v>0.64</v>
      </c>
      <c r="G263" s="162">
        <f t="shared" si="25"/>
        <v>0.64</v>
      </c>
      <c r="H263" s="162">
        <f t="shared" si="25"/>
        <v>0.64</v>
      </c>
      <c r="I263" s="162">
        <f t="shared" si="25"/>
        <v>0.64</v>
      </c>
      <c r="J263" s="162">
        <f t="shared" si="25"/>
        <v>0.64</v>
      </c>
      <c r="K263" s="162">
        <f t="shared" si="25"/>
        <v>0.64</v>
      </c>
      <c r="L263" s="162">
        <f t="shared" si="25"/>
        <v>0.64</v>
      </c>
      <c r="M263" s="162">
        <f t="shared" si="25"/>
        <v>0.64</v>
      </c>
      <c r="N263" s="162">
        <f t="shared" si="25"/>
        <v>0.64</v>
      </c>
      <c r="O263" s="162">
        <f t="shared" si="25"/>
        <v>0.64</v>
      </c>
      <c r="P263" s="162">
        <f t="shared" si="25"/>
        <v>0</v>
      </c>
      <c r="Q263" s="162">
        <f t="shared" si="25"/>
        <v>0</v>
      </c>
      <c r="R263" s="162">
        <f t="shared" si="25"/>
        <v>0</v>
      </c>
      <c r="S263" s="162">
        <f t="shared" si="25"/>
        <v>0</v>
      </c>
      <c r="T263" s="162">
        <f t="shared" si="25"/>
        <v>0</v>
      </c>
      <c r="U263" s="162">
        <f t="shared" si="25"/>
        <v>0</v>
      </c>
      <c r="V263" s="162">
        <f t="shared" si="25"/>
        <v>0</v>
      </c>
      <c r="W263" s="162">
        <f t="shared" si="25"/>
        <v>0</v>
      </c>
      <c r="X263" s="162">
        <f t="shared" si="25"/>
        <v>0</v>
      </c>
      <c r="Y263" s="162">
        <f t="shared" si="25"/>
        <v>0</v>
      </c>
      <c r="Z263" s="162">
        <f t="shared" si="25"/>
        <v>0</v>
      </c>
      <c r="AA263" s="162">
        <f t="shared" si="25"/>
        <v>0</v>
      </c>
      <c r="AB263" s="162">
        <f t="shared" si="25"/>
        <v>0</v>
      </c>
      <c r="AC263" s="162">
        <f t="shared" si="25"/>
        <v>0</v>
      </c>
      <c r="AD263" s="162">
        <f t="shared" si="25"/>
        <v>0</v>
      </c>
      <c r="AE263" s="162">
        <f t="shared" si="25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6">IF(B231&lt;100,"",B231-520)</f>
        <v/>
      </c>
      <c r="C264" s="163" t="str">
        <f t="shared" si="26"/>
        <v/>
      </c>
      <c r="D264" s="163" t="str">
        <f t="shared" si="26"/>
        <v/>
      </c>
      <c r="E264" s="163" t="str">
        <f t="shared" si="26"/>
        <v/>
      </c>
      <c r="F264" s="163" t="str">
        <f t="shared" si="26"/>
        <v/>
      </c>
      <c r="G264" s="163" t="str">
        <f t="shared" si="26"/>
        <v/>
      </c>
      <c r="H264" s="163" t="str">
        <f t="shared" si="26"/>
        <v/>
      </c>
      <c r="I264" s="163" t="str">
        <f t="shared" si="26"/>
        <v/>
      </c>
      <c r="J264" s="163" t="str">
        <f t="shared" si="26"/>
        <v/>
      </c>
      <c r="K264" s="163" t="str">
        <f t="shared" si="26"/>
        <v/>
      </c>
      <c r="L264" s="163" t="str">
        <f t="shared" si="26"/>
        <v/>
      </c>
      <c r="M264" s="163" t="str">
        <f t="shared" si="26"/>
        <v/>
      </c>
      <c r="N264" s="163" t="str">
        <f t="shared" si="26"/>
        <v/>
      </c>
      <c r="O264" s="163" t="str">
        <f t="shared" si="26"/>
        <v/>
      </c>
      <c r="P264" s="163" t="str">
        <f t="shared" si="26"/>
        <v/>
      </c>
      <c r="Q264" s="163" t="str">
        <f t="shared" si="26"/>
        <v/>
      </c>
      <c r="R264" s="163" t="str">
        <f t="shared" si="26"/>
        <v/>
      </c>
      <c r="S264" s="163" t="str">
        <f t="shared" si="26"/>
        <v/>
      </c>
      <c r="T264" s="163" t="str">
        <f t="shared" si="26"/>
        <v/>
      </c>
      <c r="U264" s="163" t="str">
        <f t="shared" si="26"/>
        <v/>
      </c>
      <c r="V264" s="163" t="str">
        <f t="shared" si="26"/>
        <v/>
      </c>
      <c r="W264" s="163" t="str">
        <f t="shared" si="26"/>
        <v/>
      </c>
      <c r="X264" s="163" t="str">
        <f t="shared" si="26"/>
        <v/>
      </c>
      <c r="Y264" s="163" t="str">
        <f t="shared" si="26"/>
        <v/>
      </c>
      <c r="Z264" s="163" t="str">
        <f t="shared" si="26"/>
        <v/>
      </c>
      <c r="AA264" s="163" t="str">
        <f t="shared" si="26"/>
        <v/>
      </c>
      <c r="AB264" s="163" t="str">
        <f t="shared" si="26"/>
        <v/>
      </c>
      <c r="AC264" s="163" t="str">
        <f t="shared" si="26"/>
        <v/>
      </c>
      <c r="AD264" s="163" t="str">
        <f t="shared" si="26"/>
        <v/>
      </c>
      <c r="AE264" s="163" t="str">
        <f t="shared" si="26"/>
        <v/>
      </c>
      <c r="AF264" s="163" t="str">
        <f t="shared" si="26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7">IF(B232&lt;100,"",B232-620)</f>
        <v/>
      </c>
      <c r="C265" s="163" t="str">
        <f t="shared" si="27"/>
        <v/>
      </c>
      <c r="D265" s="163" t="str">
        <f t="shared" si="27"/>
        <v/>
      </c>
      <c r="E265" s="163" t="str">
        <f t="shared" si="27"/>
        <v/>
      </c>
      <c r="F265" s="163" t="str">
        <f t="shared" si="27"/>
        <v/>
      </c>
      <c r="G265" s="163" t="str">
        <f t="shared" si="27"/>
        <v/>
      </c>
      <c r="H265" s="163" t="str">
        <f t="shared" si="27"/>
        <v/>
      </c>
      <c r="I265" s="163" t="str">
        <f t="shared" si="27"/>
        <v/>
      </c>
      <c r="J265" s="163" t="str">
        <f t="shared" si="27"/>
        <v/>
      </c>
      <c r="K265" s="163" t="str">
        <f t="shared" si="27"/>
        <v/>
      </c>
      <c r="L265" s="163" t="str">
        <f t="shared" si="27"/>
        <v/>
      </c>
      <c r="M265" s="163" t="str">
        <f t="shared" si="27"/>
        <v/>
      </c>
      <c r="N265" s="163" t="str">
        <f t="shared" si="27"/>
        <v/>
      </c>
      <c r="O265" s="163" t="str">
        <f t="shared" si="27"/>
        <v/>
      </c>
      <c r="P265" s="163" t="str">
        <f t="shared" si="27"/>
        <v/>
      </c>
      <c r="Q265" s="163" t="str">
        <f t="shared" si="27"/>
        <v/>
      </c>
      <c r="R265" s="163" t="str">
        <f t="shared" si="27"/>
        <v/>
      </c>
      <c r="S265" s="163" t="str">
        <f t="shared" si="27"/>
        <v/>
      </c>
      <c r="T265" s="163" t="str">
        <f t="shared" si="27"/>
        <v/>
      </c>
      <c r="U265" s="163" t="str">
        <f t="shared" si="27"/>
        <v/>
      </c>
      <c r="V265" s="163" t="str">
        <f t="shared" si="27"/>
        <v/>
      </c>
      <c r="W265" s="163" t="str">
        <f t="shared" si="27"/>
        <v/>
      </c>
      <c r="X265" s="163" t="str">
        <f t="shared" si="27"/>
        <v/>
      </c>
      <c r="Y265" s="163" t="str">
        <f t="shared" si="27"/>
        <v/>
      </c>
      <c r="Z265" s="163" t="str">
        <f t="shared" si="27"/>
        <v/>
      </c>
      <c r="AA265" s="163" t="str">
        <f t="shared" si="27"/>
        <v/>
      </c>
      <c r="AB265" s="163" t="str">
        <f t="shared" si="27"/>
        <v/>
      </c>
      <c r="AC265" s="163" t="str">
        <f t="shared" si="27"/>
        <v/>
      </c>
      <c r="AD265" s="163" t="str">
        <f t="shared" si="27"/>
        <v/>
      </c>
      <c r="AE265" s="163" t="str">
        <f t="shared" si="27"/>
        <v/>
      </c>
      <c r="AF265" s="163" t="str">
        <f t="shared" si="27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28">IF(B233&lt;100,"",B233-330)</f>
        <v/>
      </c>
      <c r="C266" s="163" t="str">
        <f t="shared" si="28"/>
        <v/>
      </c>
      <c r="D266" s="163" t="str">
        <f t="shared" si="28"/>
        <v/>
      </c>
      <c r="E266" s="163" t="str">
        <f t="shared" si="28"/>
        <v/>
      </c>
      <c r="F266" s="163" t="str">
        <f t="shared" si="28"/>
        <v/>
      </c>
      <c r="G266" s="163" t="str">
        <f t="shared" si="28"/>
        <v/>
      </c>
      <c r="H266" s="163" t="str">
        <f t="shared" si="28"/>
        <v/>
      </c>
      <c r="I266" s="163" t="str">
        <f t="shared" si="28"/>
        <v/>
      </c>
      <c r="J266" s="163" t="str">
        <f t="shared" si="28"/>
        <v/>
      </c>
      <c r="K266" s="163" t="str">
        <f t="shared" si="28"/>
        <v/>
      </c>
      <c r="L266" s="163" t="str">
        <f t="shared" si="28"/>
        <v/>
      </c>
      <c r="M266" s="163" t="str">
        <f t="shared" si="28"/>
        <v/>
      </c>
      <c r="N266" s="163" t="str">
        <f t="shared" si="28"/>
        <v/>
      </c>
      <c r="O266" s="163" t="str">
        <f t="shared" si="28"/>
        <v/>
      </c>
      <c r="P266" s="163" t="str">
        <f t="shared" si="28"/>
        <v/>
      </c>
      <c r="Q266" s="163" t="str">
        <f t="shared" si="28"/>
        <v/>
      </c>
      <c r="R266" s="163" t="str">
        <f t="shared" si="28"/>
        <v/>
      </c>
      <c r="S266" s="163" t="str">
        <f t="shared" si="28"/>
        <v/>
      </c>
      <c r="T266" s="163" t="str">
        <f t="shared" si="28"/>
        <v/>
      </c>
      <c r="U266" s="163" t="str">
        <f t="shared" si="28"/>
        <v/>
      </c>
      <c r="V266" s="163" t="str">
        <f t="shared" si="28"/>
        <v/>
      </c>
      <c r="W266" s="163" t="str">
        <f t="shared" si="28"/>
        <v/>
      </c>
      <c r="X266" s="163" t="str">
        <f t="shared" si="28"/>
        <v/>
      </c>
      <c r="Y266" s="163" t="str">
        <f t="shared" si="28"/>
        <v/>
      </c>
      <c r="Z266" s="163" t="str">
        <f t="shared" si="28"/>
        <v/>
      </c>
      <c r="AA266" s="163" t="str">
        <f t="shared" si="28"/>
        <v/>
      </c>
      <c r="AB266" s="163" t="str">
        <f t="shared" si="28"/>
        <v/>
      </c>
      <c r="AC266" s="163" t="str">
        <f t="shared" si="28"/>
        <v/>
      </c>
      <c r="AD266" s="163" t="str">
        <f t="shared" si="28"/>
        <v/>
      </c>
      <c r="AE266" s="163" t="str">
        <f t="shared" si="28"/>
        <v/>
      </c>
      <c r="AF266" s="163" t="str">
        <f t="shared" si="28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29">IF(B234&lt;100,"",B234-1500)</f>
        <v/>
      </c>
      <c r="C267" s="163" t="str">
        <f t="shared" si="29"/>
        <v/>
      </c>
      <c r="D267" s="163" t="str">
        <f t="shared" si="29"/>
        <v/>
      </c>
      <c r="E267" s="163" t="str">
        <f t="shared" si="29"/>
        <v/>
      </c>
      <c r="F267" s="163" t="str">
        <f t="shared" si="29"/>
        <v/>
      </c>
      <c r="G267" s="163" t="str">
        <f t="shared" si="29"/>
        <v/>
      </c>
      <c r="H267" s="163" t="str">
        <f t="shared" si="29"/>
        <v/>
      </c>
      <c r="I267" s="163" t="str">
        <f t="shared" si="29"/>
        <v/>
      </c>
      <c r="J267" s="163" t="str">
        <f t="shared" si="29"/>
        <v/>
      </c>
      <c r="K267" s="163" t="str">
        <f t="shared" si="29"/>
        <v/>
      </c>
      <c r="L267" s="163" t="str">
        <f t="shared" si="29"/>
        <v/>
      </c>
      <c r="M267" s="163" t="str">
        <f t="shared" si="29"/>
        <v/>
      </c>
      <c r="N267" s="163" t="str">
        <f t="shared" si="29"/>
        <v/>
      </c>
      <c r="O267" s="163" t="str">
        <f t="shared" si="29"/>
        <v/>
      </c>
      <c r="P267" s="163" t="str">
        <f t="shared" si="29"/>
        <v/>
      </c>
      <c r="Q267" s="163" t="str">
        <f t="shared" si="29"/>
        <v/>
      </c>
      <c r="R267" s="163" t="str">
        <f t="shared" si="29"/>
        <v/>
      </c>
      <c r="S267" s="163" t="str">
        <f t="shared" si="29"/>
        <v/>
      </c>
      <c r="T267" s="163" t="str">
        <f t="shared" si="29"/>
        <v/>
      </c>
      <c r="U267" s="163" t="str">
        <f t="shared" si="29"/>
        <v/>
      </c>
      <c r="V267" s="163" t="str">
        <f t="shared" si="29"/>
        <v/>
      </c>
      <c r="W267" s="163" t="str">
        <f t="shared" si="29"/>
        <v/>
      </c>
      <c r="X267" s="163" t="str">
        <f t="shared" si="29"/>
        <v/>
      </c>
      <c r="Y267" s="163" t="str">
        <f t="shared" si="29"/>
        <v/>
      </c>
      <c r="Z267" s="163" t="str">
        <f t="shared" si="29"/>
        <v/>
      </c>
      <c r="AA267" s="163" t="str">
        <f t="shared" si="29"/>
        <v/>
      </c>
      <c r="AB267" s="163" t="str">
        <f t="shared" si="29"/>
        <v/>
      </c>
      <c r="AC267" s="163" t="str">
        <f t="shared" si="29"/>
        <v/>
      </c>
      <c r="AD267" s="163" t="str">
        <f t="shared" si="29"/>
        <v/>
      </c>
      <c r="AE267" s="163" t="str">
        <f t="shared" si="29"/>
        <v/>
      </c>
      <c r="AF267" s="163" t="str">
        <f t="shared" si="29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E105:AF105 E107:AF112 X11:AF41">
    <cfRule type="expression" dxfId="6572" priority="234">
      <formula>B$9&gt;=20/24</formula>
    </cfRule>
    <cfRule type="expression" dxfId="6571" priority="235">
      <formula>AND(B$9&gt;=14/24,B$9&lt;20/24)</formula>
    </cfRule>
    <cfRule type="expression" dxfId="6570" priority="236">
      <formula>AND(B$9&gt;=8/24,B$9&lt;14/24)</formula>
    </cfRule>
    <cfRule type="expression" dxfId="6569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X11:AF41">
    <cfRule type="expression" dxfId="6568" priority="232">
      <formula>X11&gt;$AG11</formula>
    </cfRule>
  </conditionalFormatting>
  <conditionalFormatting sqref="A95:A105 A55:A82 A91:A93 A198:A228 A42:A53 A114:A185 A38:A39 A87:A89 A84:A85 A107:A109 A35:A36 A17:A18 A11:A15 A20:A33">
    <cfRule type="expression" dxfId="6567" priority="231">
      <formula>$AH11=0</formula>
    </cfRule>
  </conditionalFormatting>
  <conditionalFormatting sqref="A110">
    <cfRule type="expression" dxfId="6566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6565" priority="228">
      <formula>$AH41=0</formula>
    </cfRule>
  </conditionalFormatting>
  <conditionalFormatting sqref="A94">
    <cfRule type="expression" dxfId="6564" priority="227">
      <formula>$AH94=0</formula>
    </cfRule>
  </conditionalFormatting>
  <conditionalFormatting sqref="A16">
    <cfRule type="expression" dxfId="6563" priority="226">
      <formula>$AH16=0</formula>
    </cfRule>
  </conditionalFormatting>
  <conditionalFormatting sqref="A192:A197">
    <cfRule type="expression" dxfId="6562" priority="225">
      <formula>$AH192=0</formula>
    </cfRule>
  </conditionalFormatting>
  <conditionalFormatting sqref="A186:A191">
    <cfRule type="expression" dxfId="6561" priority="224">
      <formula>$AH186=0</formula>
    </cfRule>
  </conditionalFormatting>
  <conditionalFormatting sqref="A54">
    <cfRule type="expression" dxfId="6560" priority="223">
      <formula>$AH54=0</formula>
    </cfRule>
  </conditionalFormatting>
  <conditionalFormatting sqref="A90">
    <cfRule type="expression" dxfId="6559" priority="222">
      <formula>$AH90=0</formula>
    </cfRule>
  </conditionalFormatting>
  <conditionalFormatting sqref="E95:X95 AD95:AF95">
    <cfRule type="expression" dxfId="6558" priority="218">
      <formula>E$9&gt;=20/24</formula>
    </cfRule>
    <cfRule type="expression" dxfId="6557" priority="219">
      <formula>AND(E$9&gt;=14/24,E$9&lt;20/24)</formula>
    </cfRule>
    <cfRule type="expression" dxfId="6556" priority="220">
      <formula>AND(E$9&gt;=8/24,E$9&lt;14/24)</formula>
    </cfRule>
    <cfRule type="expression" dxfId="6555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554" priority="240">
      <formula>C$9&gt;=20/24</formula>
    </cfRule>
    <cfRule type="expression" dxfId="6553" priority="241">
      <formula>AND(C$9&gt;=14/24,C$9&lt;20/24)</formula>
    </cfRule>
    <cfRule type="expression" dxfId="6552" priority="242">
      <formula>AND(C$9&gt;=8/24,C$9&lt;14/24)</formula>
    </cfRule>
    <cfRule type="expression" dxfId="6551" priority="243">
      <formula>C$9&lt;8/24</formula>
    </cfRule>
  </conditionalFormatting>
  <conditionalFormatting sqref="A229">
    <cfRule type="expression" dxfId="6550" priority="244">
      <formula>$AH229=0</formula>
    </cfRule>
  </conditionalFormatting>
  <conditionalFormatting sqref="AG241">
    <cfRule type="expression" dxfId="6549" priority="245">
      <formula>B$9&gt;=20/24</formula>
    </cfRule>
    <cfRule type="expression" dxfId="6548" priority="246">
      <formula>AND(B$9&gt;=14/24,B$9&lt;20/24)</formula>
    </cfRule>
    <cfRule type="expression" dxfId="6547" priority="247">
      <formula>AND(B$9&gt;=8/24,B$9&lt;14/24)</formula>
    </cfRule>
    <cfRule type="expression" dxfId="6546" priority="248">
      <formula>B$9&lt;8/24</formula>
    </cfRule>
  </conditionalFormatting>
  <conditionalFormatting sqref="S8">
    <cfRule type="expression" dxfId="6545" priority="213">
      <formula>U$9&gt;=20/24</formula>
    </cfRule>
    <cfRule type="expression" dxfId="6544" priority="214">
      <formula>AND(U$9&gt;=14/24,U$9&lt;20/24)</formula>
    </cfRule>
    <cfRule type="expression" dxfId="6543" priority="215">
      <formula>AND(U$9&gt;=8/24,U$9&lt;14/24)</formula>
    </cfRule>
    <cfRule type="expression" dxfId="6542" priority="216">
      <formula>U$9&lt;8/24</formula>
    </cfRule>
  </conditionalFormatting>
  <conditionalFormatting sqref="AB8">
    <cfRule type="expression" dxfId="6541" priority="209">
      <formula>AD$9&gt;=20/24</formula>
    </cfRule>
    <cfRule type="expression" dxfId="6540" priority="210">
      <formula>AND(AD$9&gt;=14/24,AD$9&lt;20/24)</formula>
    </cfRule>
    <cfRule type="expression" dxfId="6539" priority="211">
      <formula>AND(AD$9&gt;=8/24,AD$9&lt;14/24)</formula>
    </cfRule>
    <cfRule type="expression" dxfId="6538" priority="212">
      <formula>AD$9&lt;8/24</formula>
    </cfRule>
  </conditionalFormatting>
  <conditionalFormatting sqref="AH241:AX241">
    <cfRule type="expression" dxfId="6537" priority="249">
      <formula>AG$9&gt;=20/24</formula>
    </cfRule>
    <cfRule type="expression" dxfId="6536" priority="250">
      <formula>AND(AG$9&gt;=14/24,AG$9&lt;20/24)</formula>
    </cfRule>
    <cfRule type="expression" dxfId="6535" priority="251">
      <formula>AND(AG$9&gt;=8/24,AG$9&lt;14/24)</formula>
    </cfRule>
    <cfRule type="expression" dxfId="6534" priority="252">
      <formula>AG$9&lt;8/24</formula>
    </cfRule>
  </conditionalFormatting>
  <conditionalFormatting sqref="T241">
    <cfRule type="expression" dxfId="6533" priority="253">
      <formula>AX$9&gt;=20/24</formula>
    </cfRule>
    <cfRule type="expression" dxfId="6532" priority="254">
      <formula>AND(AX$9&gt;=14/24,AX$9&lt;20/24)</formula>
    </cfRule>
    <cfRule type="expression" dxfId="6531" priority="255">
      <formula>AND(AX$9&gt;=8/24,AX$9&lt;14/24)</formula>
    </cfRule>
    <cfRule type="expression" dxfId="6530" priority="256">
      <formula>AX$9&lt;8/24</formula>
    </cfRule>
  </conditionalFormatting>
  <conditionalFormatting sqref="A111:A112">
    <cfRule type="expression" dxfId="6529" priority="208">
      <formula>$AH111=0</formula>
    </cfRule>
  </conditionalFormatting>
  <conditionalFormatting sqref="O50:Q51 V53 P52:V52 G67:AF67 AC50:AD51 W52:AD53 AE50:AF53">
    <cfRule type="expression" dxfId="6528" priority="204">
      <formula>G$9&gt;=20/24</formula>
    </cfRule>
    <cfRule type="expression" dxfId="6527" priority="205">
      <formula>AND(G$9&gt;=14/24,G$9&lt;20/24)</formula>
    </cfRule>
    <cfRule type="expression" dxfId="6526" priority="206">
      <formula>AND(G$9&gt;=8/24,G$9&lt;14/24)</formula>
    </cfRule>
    <cfRule type="expression" dxfId="6525" priority="207">
      <formula>G$9&lt;8/24</formula>
    </cfRule>
  </conditionalFormatting>
  <conditionalFormatting sqref="O49:Q49 AC49:AF49 AF50">
    <cfRule type="expression" dxfId="6524" priority="200">
      <formula>O$9&gt;=20/24</formula>
    </cfRule>
    <cfRule type="expression" dxfId="6523" priority="201">
      <formula>AND(O$9&gt;=14/24,O$9&lt;20/24)</formula>
    </cfRule>
    <cfRule type="expression" dxfId="6522" priority="202">
      <formula>AND(O$9&gt;=8/24,O$9&lt;14/24)</formula>
    </cfRule>
    <cfRule type="expression" dxfId="6521" priority="203">
      <formula>O$9&lt;8/24</formula>
    </cfRule>
  </conditionalFormatting>
  <conditionalFormatting sqref="O49:Q51 V53 P52:V52 AC49:AD51 W52:AD53 AE49:AF53">
    <cfRule type="expression" dxfId="6520" priority="199">
      <formula>O49&gt;$AG49</formula>
    </cfRule>
  </conditionalFormatting>
  <conditionalFormatting sqref="D82:AF82 M96:X102 X92:AF92 AD96:AF102 G68:W69 X68:AF70 X43:AF43 X63:AF65">
    <cfRule type="expression" dxfId="6519" priority="195">
      <formula>D$9&gt;=20/24</formula>
    </cfRule>
    <cfRule type="expression" dxfId="6518" priority="196">
      <formula>AND(D$9&gt;=14/24,D$9&lt;20/24)</formula>
    </cfRule>
    <cfRule type="expression" dxfId="6517" priority="197">
      <formula>AND(D$9&gt;=8/24,D$9&lt;14/24)</formula>
    </cfRule>
    <cfRule type="expression" dxfId="6516" priority="198">
      <formula>D$9&lt;8/24</formula>
    </cfRule>
  </conditionalFormatting>
  <conditionalFormatting sqref="X43:AF43 X63:AF65">
    <cfRule type="expression" dxfId="6515" priority="194">
      <formula>X43&gt;$AG43</formula>
    </cfRule>
  </conditionalFormatting>
  <conditionalFormatting sqref="R49:AB51">
    <cfRule type="expression" dxfId="6514" priority="190">
      <formula>R$9&gt;=20/24</formula>
    </cfRule>
    <cfRule type="expression" dxfId="6513" priority="191">
      <formula>AND(R$9&gt;=14/24,R$9&lt;20/24)</formula>
    </cfRule>
    <cfRule type="expression" dxfId="6512" priority="192">
      <formula>AND(R$9&gt;=8/24,R$9&lt;14/24)</formula>
    </cfRule>
    <cfRule type="expression" dxfId="6511" priority="193">
      <formula>R$9&lt;8/24</formula>
    </cfRule>
  </conditionalFormatting>
  <conditionalFormatting sqref="R49:AB51">
    <cfRule type="expression" dxfId="6510" priority="189">
      <formula>R49&gt;$AG49</formula>
    </cfRule>
  </conditionalFormatting>
  <conditionalFormatting sqref="C84:AF84 C93:AF93">
    <cfRule type="expression" dxfId="6509" priority="185">
      <formula>C$9&gt;=20/24</formula>
    </cfRule>
    <cfRule type="expression" dxfId="6508" priority="186">
      <formula>AND(C$9&gt;=14/24,C$9&lt;20/24)</formula>
    </cfRule>
    <cfRule type="expression" dxfId="6507" priority="187">
      <formula>AND(C$9&gt;=8/24,C$9&lt;14/24)</formula>
    </cfRule>
    <cfRule type="expression" dxfId="6506" priority="188">
      <formula>C$9&lt;8/24</formula>
    </cfRule>
  </conditionalFormatting>
  <conditionalFormatting sqref="T43:W43">
    <cfRule type="expression" dxfId="6505" priority="181">
      <formula>T$9&gt;=20/24</formula>
    </cfRule>
    <cfRule type="expression" dxfId="6504" priority="182">
      <formula>AND(T$9&gt;=14/24,T$9&lt;20/24)</formula>
    </cfRule>
    <cfRule type="expression" dxfId="6503" priority="183">
      <formula>AND(T$9&gt;=8/24,T$9&lt;14/24)</formula>
    </cfRule>
    <cfRule type="expression" dxfId="6502" priority="184">
      <formula>T$9&lt;8/24</formula>
    </cfRule>
  </conditionalFormatting>
  <conditionalFormatting sqref="T43:W43">
    <cfRule type="expression" dxfId="6501" priority="180">
      <formula>T43&gt;$AG43</formula>
    </cfRule>
  </conditionalFormatting>
  <conditionalFormatting sqref="X42:AF42">
    <cfRule type="expression" dxfId="6500" priority="176">
      <formula>X$9&gt;=20/24</formula>
    </cfRule>
    <cfRule type="expression" dxfId="6499" priority="177">
      <formula>AND(X$9&gt;=14/24,X$9&lt;20/24)</formula>
    </cfRule>
    <cfRule type="expression" dxfId="6498" priority="178">
      <formula>AND(X$9&gt;=8/24,X$9&lt;14/24)</formula>
    </cfRule>
    <cfRule type="expression" dxfId="6497" priority="179">
      <formula>X$9&lt;8/24</formula>
    </cfRule>
  </conditionalFormatting>
  <conditionalFormatting sqref="X42:AF42">
    <cfRule type="expression" dxfId="6496" priority="171">
      <formula>X42&gt;$AG42</formula>
    </cfRule>
  </conditionalFormatting>
  <conditionalFormatting sqref="AG66 AG83 F96:L102 Q63:W65">
    <cfRule type="expression" dxfId="6495" priority="167">
      <formula>F$9&gt;=20/24</formula>
    </cfRule>
    <cfRule type="expression" dxfId="6494" priority="168">
      <formula>AND(F$9&gt;=14/24,F$9&lt;20/24)</formula>
    </cfRule>
    <cfRule type="expression" dxfId="6493" priority="169">
      <formula>AND(F$9&gt;=8/24,F$9&lt;14/24)</formula>
    </cfRule>
    <cfRule type="expression" dxfId="6492" priority="170">
      <formula>F$9&lt;8/24</formula>
    </cfRule>
  </conditionalFormatting>
  <conditionalFormatting sqref="AG44 AG62 AG66 O52 P53:U53 Q63:W65">
    <cfRule type="expression" dxfId="6491" priority="166">
      <formula>O44&gt;$AG44</formula>
    </cfRule>
  </conditionalFormatting>
  <conditionalFormatting sqref="X54:AF54">
    <cfRule type="expression" dxfId="6490" priority="162">
      <formula>X$9&gt;=20/24</formula>
    </cfRule>
    <cfRule type="expression" dxfId="6489" priority="163">
      <formula>AND(X$9&gt;=14/24,X$9&lt;20/24)</formula>
    </cfRule>
    <cfRule type="expression" dxfId="6488" priority="164">
      <formula>AND(X$9&gt;=8/24,X$9&lt;14/24)</formula>
    </cfRule>
    <cfRule type="expression" dxfId="6487" priority="165">
      <formula>X$9&lt;8/24</formula>
    </cfRule>
  </conditionalFormatting>
  <conditionalFormatting sqref="X54:AF54">
    <cfRule type="expression" dxfId="6486" priority="161">
      <formula>X54&gt;$AG54</formula>
    </cfRule>
  </conditionalFormatting>
  <conditionalFormatting sqref="A40">
    <cfRule type="expression" dxfId="6485" priority="160">
      <formula>$AH40=0</formula>
    </cfRule>
  </conditionalFormatting>
  <conditionalFormatting sqref="X87:AF91">
    <cfRule type="expression" dxfId="6484" priority="156">
      <formula>X$9&gt;=20/24</formula>
    </cfRule>
    <cfRule type="expression" dxfId="6483" priority="157">
      <formula>AND(X$9&gt;=14/24,X$9&lt;20/24)</formula>
    </cfRule>
    <cfRule type="expression" dxfId="6482" priority="158">
      <formula>AND(X$9&gt;=8/24,X$9&lt;14/24)</formula>
    </cfRule>
    <cfRule type="expression" dxfId="6481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N45:AF47">
    <cfRule type="expression" dxfId="6480" priority="152">
      <formula>N$9&gt;=20/24</formula>
    </cfRule>
    <cfRule type="expression" dxfId="6479" priority="153">
      <formula>AND(N$9&gt;=14/24,N$9&lt;20/24)</formula>
    </cfRule>
    <cfRule type="expression" dxfId="6478" priority="154">
      <formula>AND(N$9&gt;=8/24,N$9&lt;14/24)</formula>
    </cfRule>
    <cfRule type="expression" dxfId="6477" priority="155">
      <formula>N$9&lt;8/24</formula>
    </cfRule>
  </conditionalFormatting>
  <conditionalFormatting sqref="N45:AF47">
    <cfRule type="expression" dxfId="6476" priority="151">
      <formula>N45&gt;$AG45</formula>
    </cfRule>
  </conditionalFormatting>
  <conditionalFormatting sqref="AG48">
    <cfRule type="expression" dxfId="6475" priority="147">
      <formula>AG$9&gt;=20/24</formula>
    </cfRule>
    <cfRule type="expression" dxfId="6474" priority="148">
      <formula>AND(AG$9&gt;=14/24,AG$9&lt;20/24)</formula>
    </cfRule>
    <cfRule type="expression" dxfId="6473" priority="149">
      <formula>AND(AG$9&gt;=8/24,AG$9&lt;14/24)</formula>
    </cfRule>
    <cfRule type="expression" dxfId="6472" priority="150">
      <formula>AG$9&lt;8/24</formula>
    </cfRule>
  </conditionalFormatting>
  <conditionalFormatting sqref="AG48">
    <cfRule type="expression" dxfId="6471" priority="146">
      <formula>AG48&gt;$AG48</formula>
    </cfRule>
  </conditionalFormatting>
  <conditionalFormatting sqref="C103:AF103">
    <cfRule type="expression" dxfId="6470" priority="142">
      <formula>C$9&gt;=20/24</formula>
    </cfRule>
    <cfRule type="expression" dxfId="6469" priority="143">
      <formula>AND(C$9&gt;=14/24,C$9&lt;20/24)</formula>
    </cfRule>
    <cfRule type="expression" dxfId="6468" priority="144">
      <formula>AND(C$9&gt;=8/24,C$9&lt;14/24)</formula>
    </cfRule>
    <cfRule type="expression" dxfId="6467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466" priority="140">
      <formula>$AH37=0</formula>
    </cfRule>
  </conditionalFormatting>
  <conditionalFormatting sqref="A86">
    <cfRule type="expression" dxfId="6465" priority="138">
      <formula>$AH86=0</formula>
    </cfRule>
  </conditionalFormatting>
  <conditionalFormatting sqref="A83">
    <cfRule type="expression" dxfId="6464" priority="139">
      <formula>$AH83=0</formula>
    </cfRule>
  </conditionalFormatting>
  <conditionalFormatting sqref="A113">
    <cfRule type="expression" dxfId="6463" priority="129">
      <formula>$AH113=0</formula>
    </cfRule>
  </conditionalFormatting>
  <conditionalFormatting sqref="E106:AF106">
    <cfRule type="expression" dxfId="6462" priority="125">
      <formula>E$9&gt;=20/24</formula>
    </cfRule>
    <cfRule type="expression" dxfId="6461" priority="126">
      <formula>AND(E$9&gt;=14/24,E$9&lt;20/24)</formula>
    </cfRule>
    <cfRule type="expression" dxfId="6460" priority="127">
      <formula>AND(E$9&gt;=8/24,E$9&lt;14/24)</formula>
    </cfRule>
    <cfRule type="expression" dxfId="6459" priority="128">
      <formula>E$9&lt;8/24</formula>
    </cfRule>
  </conditionalFormatting>
  <conditionalFormatting sqref="A106">
    <cfRule type="expression" dxfId="6458" priority="124">
      <formula>$AH106=0</formula>
    </cfRule>
  </conditionalFormatting>
  <conditionalFormatting sqref="A19">
    <cfRule type="expression" dxfId="6457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6456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6455" priority="116">
      <formula>Y$9&gt;=20/24</formula>
    </cfRule>
    <cfRule type="expression" dxfId="6454" priority="117">
      <formula>AND(Y$9&gt;=14/24,Y$9&lt;20/24)</formula>
    </cfRule>
    <cfRule type="expression" dxfId="6453" priority="118">
      <formula>AND(Y$9&gt;=8/24,Y$9&lt;14/24)</formula>
    </cfRule>
    <cfRule type="expression" dxfId="6452" priority="119">
      <formula>Y$9&lt;8/24</formula>
    </cfRule>
  </conditionalFormatting>
  <conditionalFormatting sqref="Y96:AC102">
    <cfRule type="expression" dxfId="6451" priority="112">
      <formula>Y$9&gt;=20/24</formula>
    </cfRule>
    <cfRule type="expression" dxfId="6450" priority="113">
      <formula>AND(Y$9&gt;=14/24,Y$9&lt;20/24)</formula>
    </cfRule>
    <cfRule type="expression" dxfId="6449" priority="114">
      <formula>AND(Y$9&gt;=8/24,Y$9&lt;14/24)</formula>
    </cfRule>
    <cfRule type="expression" dxfId="6448" priority="115">
      <formula>Y$9&lt;8/24</formula>
    </cfRule>
  </conditionalFormatting>
  <conditionalFormatting sqref="B105:D105 B107:D112 B15:W40">
    <cfRule type="expression" dxfId="6447" priority="108">
      <formula>B$9&gt;=20/24</formula>
    </cfRule>
    <cfRule type="expression" dxfId="6446" priority="109">
      <formula>AND(B$9&gt;=14/24,B$9&lt;20/24)</formula>
    </cfRule>
    <cfRule type="expression" dxfId="6445" priority="110">
      <formula>AND(B$9&gt;=8/24,B$9&lt;14/24)</formula>
    </cfRule>
    <cfRule type="expression" dxfId="6444" priority="111">
      <formula>B$9&lt;8/24</formula>
    </cfRule>
  </conditionalFormatting>
  <conditionalFormatting sqref="B43:S43">
    <cfRule type="expression" dxfId="6443" priority="104">
      <formula>B$9&gt;=20/24</formula>
    </cfRule>
    <cfRule type="expression" dxfId="6442" priority="105">
      <formula>AND(B$9&gt;=14/24,B$9&lt;20/24)</formula>
    </cfRule>
    <cfRule type="expression" dxfId="6441" priority="106">
      <formula>AND(B$9&gt;=8/24,B$9&lt;14/24)</formula>
    </cfRule>
    <cfRule type="expression" dxfId="6440" priority="107">
      <formula>B$9&lt;8/24</formula>
    </cfRule>
  </conditionalFormatting>
  <conditionalFormatting sqref="B43:S43 B15:W40">
    <cfRule type="expression" dxfId="6439" priority="103">
      <formula>B15&gt;$AG15</formula>
    </cfRule>
  </conditionalFormatting>
  <conditionalFormatting sqref="B95:D95">
    <cfRule type="expression" dxfId="6438" priority="99">
      <formula>B$9&gt;=20/24</formula>
    </cfRule>
    <cfRule type="expression" dxfId="6437" priority="100">
      <formula>AND(B$9&gt;=14/24,B$9&lt;20/24)</formula>
    </cfRule>
    <cfRule type="expression" dxfId="6436" priority="101">
      <formula>AND(B$9&gt;=8/24,B$9&lt;14/24)</formula>
    </cfRule>
    <cfRule type="expression" dxfId="6435" priority="102">
      <formula>B$9&lt;8/24</formula>
    </cfRule>
  </conditionalFormatting>
  <conditionalFormatting sqref="B67:F67 B50:N51">
    <cfRule type="expression" dxfId="6434" priority="95">
      <formula>B$9&gt;=20/24</formula>
    </cfRule>
    <cfRule type="expression" dxfId="6433" priority="96">
      <formula>AND(B$9&gt;=14/24,B$9&lt;20/24)</formula>
    </cfRule>
    <cfRule type="expression" dxfId="6432" priority="97">
      <formula>AND(B$9&gt;=8/24,B$9&lt;14/24)</formula>
    </cfRule>
    <cfRule type="expression" dxfId="6431" priority="98">
      <formula>B$9&lt;8/24</formula>
    </cfRule>
  </conditionalFormatting>
  <conditionalFormatting sqref="B49:N49">
    <cfRule type="expression" dxfId="6430" priority="91">
      <formula>B$9&gt;=20/24</formula>
    </cfRule>
    <cfRule type="expression" dxfId="6429" priority="92">
      <formula>AND(B$9&gt;=14/24,B$9&lt;20/24)</formula>
    </cfRule>
    <cfRule type="expression" dxfId="6428" priority="93">
      <formula>AND(B$9&gt;=8/24,B$9&lt;14/24)</formula>
    </cfRule>
    <cfRule type="expression" dxfId="6427" priority="94">
      <formula>B$9&lt;8/24</formula>
    </cfRule>
  </conditionalFormatting>
  <conditionalFormatting sqref="B49:N51">
    <cfRule type="expression" dxfId="6426" priority="90">
      <formula>B49&gt;$AG49</formula>
    </cfRule>
  </conditionalFormatting>
  <conditionalFormatting sqref="B82:C82 B92:W92 B79:AF81 B73:B77 B68:F72 B96:E102 B63:P65 G70:W72 X71:AF72">
    <cfRule type="expression" dxfId="6425" priority="86">
      <formula>B$9&gt;=20/24</formula>
    </cfRule>
    <cfRule type="expression" dxfId="6424" priority="87">
      <formula>AND(B$9&gt;=14/24,B$9&lt;20/24)</formula>
    </cfRule>
    <cfRule type="expression" dxfId="6423" priority="88">
      <formula>AND(B$9&gt;=8/24,B$9&lt;14/24)</formula>
    </cfRule>
    <cfRule type="expression" dxfId="6422" priority="89">
      <formula>B$9&lt;8/24</formula>
    </cfRule>
  </conditionalFormatting>
  <conditionalFormatting sqref="B63:P65 B52:N53 O53">
    <cfRule type="expression" dxfId="6421" priority="85">
      <formula>B52&gt;$AG52</formula>
    </cfRule>
  </conditionalFormatting>
  <conditionalFormatting sqref="B54:W54">
    <cfRule type="expression" dxfId="6420" priority="81">
      <formula>B$9&gt;=20/24</formula>
    </cfRule>
    <cfRule type="expression" dxfId="6419" priority="82">
      <formula>AND(B$9&gt;=14/24,B$9&lt;20/24)</formula>
    </cfRule>
    <cfRule type="expression" dxfId="6418" priority="83">
      <formula>AND(B$9&gt;=8/24,B$9&lt;14/24)</formula>
    </cfRule>
    <cfRule type="expression" dxfId="6417" priority="84">
      <formula>B$9&lt;8/24</formula>
    </cfRule>
  </conditionalFormatting>
  <conditionalFormatting sqref="B54:W54">
    <cfRule type="expression" dxfId="6416" priority="80">
      <formula>B54&gt;$AG54</formula>
    </cfRule>
  </conditionalFormatting>
  <conditionalFormatting sqref="B84 B93">
    <cfRule type="expression" dxfId="6415" priority="76">
      <formula>B$9&gt;=20/24</formula>
    </cfRule>
    <cfRule type="expression" dxfId="6414" priority="77">
      <formula>AND(B$9&gt;=14/24,B$9&lt;20/24)</formula>
    </cfRule>
    <cfRule type="expression" dxfId="6413" priority="78">
      <formula>AND(B$9&gt;=8/24,B$9&lt;14/24)</formula>
    </cfRule>
    <cfRule type="expression" dxfId="6412" priority="79">
      <formula>B$9&lt;8/24</formula>
    </cfRule>
  </conditionalFormatting>
  <conditionalFormatting sqref="B42:W42">
    <cfRule type="expression" dxfId="6411" priority="72">
      <formula>B$9&gt;=20/24</formula>
    </cfRule>
    <cfRule type="expression" dxfId="6410" priority="73">
      <formula>AND(B$9&gt;=14/24,B$9&lt;20/24)</formula>
    </cfRule>
    <cfRule type="expression" dxfId="6409" priority="74">
      <formula>AND(B$9&gt;=8/24,B$9&lt;14/24)</formula>
    </cfRule>
    <cfRule type="expression" dxfId="6408" priority="75">
      <formula>B$9&lt;8/24</formula>
    </cfRule>
  </conditionalFormatting>
  <conditionalFormatting sqref="B42:W42">
    <cfRule type="expression" dxfId="6407" priority="71">
      <formula>B42&gt;$AG42</formula>
    </cfRule>
  </conditionalFormatting>
  <conditionalFormatting sqref="B94:AF94 B83:AF83 B66:AF66 B85:AF85">
    <cfRule type="expression" dxfId="6406" priority="67">
      <formula>B$9&gt;=20/24</formula>
    </cfRule>
    <cfRule type="expression" dxfId="6405" priority="68">
      <formula>AND(B$9&gt;=14/24,B$9&lt;20/24)</formula>
    </cfRule>
    <cfRule type="expression" dxfId="6404" priority="69">
      <formula>AND(B$9&gt;=8/24,B$9&lt;14/24)</formula>
    </cfRule>
    <cfRule type="expression" dxfId="6403" priority="70">
      <formula>B$9&lt;8/24</formula>
    </cfRule>
  </conditionalFormatting>
  <conditionalFormatting sqref="B61:AF62 B66:AF66 B44:AF44">
    <cfRule type="expression" dxfId="6402" priority="66">
      <formula>B44&gt;$AG44</formula>
    </cfRule>
  </conditionalFormatting>
  <conditionalFormatting sqref="B78:AF78">
    <cfRule type="expression" dxfId="6401" priority="62">
      <formula>B$9&gt;=20/24</formula>
    </cfRule>
    <cfRule type="expression" dxfId="6400" priority="63">
      <formula>AND(B$9&gt;=14/24,B$9&lt;20/24)</formula>
    </cfRule>
    <cfRule type="expression" dxfId="6399" priority="64">
      <formula>AND(B$9&gt;=8/24,B$9&lt;14/24)</formula>
    </cfRule>
    <cfRule type="expression" dxfId="6398" priority="65">
      <formula>B$9&lt;8/24</formula>
    </cfRule>
  </conditionalFormatting>
  <conditionalFormatting sqref="B87:W91">
    <cfRule type="expression" dxfId="6397" priority="58">
      <formula>B$9&gt;=20/24</formula>
    </cfRule>
    <cfRule type="expression" dxfId="6396" priority="59">
      <formula>AND(B$9&gt;=14/24,B$9&lt;20/24)</formula>
    </cfRule>
    <cfRule type="expression" dxfId="6395" priority="60">
      <formula>AND(B$9&gt;=8/24,B$9&lt;14/24)</formula>
    </cfRule>
    <cfRule type="expression" dxfId="6394" priority="61">
      <formula>B$9&lt;8/24</formula>
    </cfRule>
  </conditionalFormatting>
  <conditionalFormatting sqref="B45:M47">
    <cfRule type="expression" dxfId="6393" priority="54">
      <formula>B$9&gt;=20/24</formula>
    </cfRule>
    <cfRule type="expression" dxfId="6392" priority="55">
      <formula>AND(B$9&gt;=14/24,B$9&lt;20/24)</formula>
    </cfRule>
    <cfRule type="expression" dxfId="6391" priority="56">
      <formula>AND(B$9&gt;=8/24,B$9&lt;14/24)</formula>
    </cfRule>
    <cfRule type="expression" dxfId="6390" priority="57">
      <formula>B$9&lt;8/24</formula>
    </cfRule>
  </conditionalFormatting>
  <conditionalFormatting sqref="B45:M47">
    <cfRule type="expression" dxfId="6389" priority="53">
      <formula>B45&gt;$AG45</formula>
    </cfRule>
  </conditionalFormatting>
  <conditionalFormatting sqref="B48:AF48">
    <cfRule type="expression" dxfId="6388" priority="49">
      <formula>B$9&gt;=20/24</formula>
    </cfRule>
    <cfRule type="expression" dxfId="6387" priority="50">
      <formula>AND(B$9&gt;=14/24,B$9&lt;20/24)</formula>
    </cfRule>
    <cfRule type="expression" dxfId="6386" priority="51">
      <formula>AND(B$9&gt;=8/24,B$9&lt;14/24)</formula>
    </cfRule>
    <cfRule type="expression" dxfId="6385" priority="52">
      <formula>B$9&lt;8/24</formula>
    </cfRule>
  </conditionalFormatting>
  <conditionalFormatting sqref="B48:AF48">
    <cfRule type="expression" dxfId="6384" priority="48">
      <formula>B48&gt;$AG48</formula>
    </cfRule>
  </conditionalFormatting>
  <conditionalFormatting sqref="B103">
    <cfRule type="expression" dxfId="6383" priority="44">
      <formula>B$9&gt;=20/24</formula>
    </cfRule>
    <cfRule type="expression" dxfId="6382" priority="45">
      <formula>AND(B$9&gt;=14/24,B$9&lt;20/24)</formula>
    </cfRule>
    <cfRule type="expression" dxfId="6381" priority="46">
      <formula>AND(B$9&gt;=8/24,B$9&lt;14/24)</formula>
    </cfRule>
    <cfRule type="expression" dxfId="6380" priority="47">
      <formula>B$9&lt;8/24</formula>
    </cfRule>
  </conditionalFormatting>
  <conditionalFormatting sqref="B106:D106">
    <cfRule type="expression" dxfId="6379" priority="32">
      <formula>B$9&gt;=20/24</formula>
    </cfRule>
    <cfRule type="expression" dxfId="6378" priority="33">
      <formula>AND(B$9&gt;=14/24,B$9&lt;20/24)</formula>
    </cfRule>
    <cfRule type="expression" dxfId="6377" priority="34">
      <formula>AND(B$9&gt;=8/24,B$9&lt;14/24)</formula>
    </cfRule>
    <cfRule type="expression" dxfId="6376" priority="35">
      <formula>B$9&lt;8/24</formula>
    </cfRule>
  </conditionalFormatting>
  <conditionalFormatting sqref="B55:AF60">
    <cfRule type="expression" dxfId="6375" priority="28">
      <formula>B$9&gt;=20/24</formula>
    </cfRule>
    <cfRule type="expression" dxfId="6374" priority="29">
      <formula>AND(B$9&gt;=14/24,B$9&lt;20/24)</formula>
    </cfRule>
    <cfRule type="expression" dxfId="6373" priority="30">
      <formula>AND(B$9&gt;=8/24,B$9&lt;14/24)</formula>
    </cfRule>
    <cfRule type="expression" dxfId="6372" priority="31">
      <formula>B$9&lt;8/24</formula>
    </cfRule>
  </conditionalFormatting>
  <conditionalFormatting sqref="B55:AF60">
    <cfRule type="expression" dxfId="6371" priority="27">
      <formula>B55&gt;$AG55</formula>
    </cfRule>
  </conditionalFormatting>
  <conditionalFormatting sqref="B41:W41 B12:W14">
    <cfRule type="expression" dxfId="6370" priority="26">
      <formula>B12&gt;$AG12</formula>
    </cfRule>
  </conditionalFormatting>
  <conditionalFormatting sqref="B11:W11">
    <cfRule type="expression" dxfId="6369" priority="22">
      <formula>B$9&gt;=20/24</formula>
    </cfRule>
    <cfRule type="expression" dxfId="6368" priority="23">
      <formula>AND(B$9&gt;=14/24,B$9&lt;20/24)</formula>
    </cfRule>
    <cfRule type="expression" dxfId="6367" priority="24">
      <formula>AND(B$9&gt;=8/24,B$9&lt;14/24)</formula>
    </cfRule>
    <cfRule type="expression" dxfId="6366" priority="25">
      <formula>B$9&lt;8/24</formula>
    </cfRule>
  </conditionalFormatting>
  <conditionalFormatting sqref="B11:W11">
    <cfRule type="expression" dxfId="6365" priority="21">
      <formula>B11&gt;$AG11</formula>
    </cfRule>
  </conditionalFormatting>
  <conditionalFormatting sqref="B12:W14">
    <cfRule type="expression" dxfId="6364" priority="17">
      <formula>B$9&gt;=20/24</formula>
    </cfRule>
    <cfRule type="expression" dxfId="6363" priority="18">
      <formula>AND(B$9&gt;=14/24,B$9&lt;20/24)</formula>
    </cfRule>
    <cfRule type="expression" dxfId="6362" priority="19">
      <formula>AND(B$9&gt;=8/24,B$9&lt;14/24)</formula>
    </cfRule>
    <cfRule type="expression" dxfId="6361" priority="20">
      <formula>B$9&lt;8/24</formula>
    </cfRule>
  </conditionalFormatting>
  <conditionalFormatting sqref="B41:W41">
    <cfRule type="expression" dxfId="6360" priority="13">
      <formula>B$9&gt;=20/24</formula>
    </cfRule>
    <cfRule type="expression" dxfId="6359" priority="14">
      <formula>AND(B$9&gt;=14/24,B$9&lt;20/24)</formula>
    </cfRule>
    <cfRule type="expression" dxfId="6358" priority="15">
      <formula>AND(B$9&gt;=8/24,B$9&lt;14/24)</formula>
    </cfRule>
    <cfRule type="expression" dxfId="6357" priority="16">
      <formula>B$9&lt;8/24</formula>
    </cfRule>
  </conditionalFormatting>
  <conditionalFormatting sqref="C73:AF77">
    <cfRule type="expression" dxfId="6356" priority="9">
      <formula>C$9&gt;=20/24</formula>
    </cfRule>
    <cfRule type="expression" dxfId="6355" priority="10">
      <formula>AND(C$9&gt;=14/24,C$9&lt;20/24)</formula>
    </cfRule>
    <cfRule type="expression" dxfId="6354" priority="11">
      <formula>AND(C$9&gt;=8/24,C$9&lt;14/24)</formula>
    </cfRule>
    <cfRule type="expression" dxfId="6353" priority="12">
      <formula>C$9&lt;8/24</formula>
    </cfRule>
  </conditionalFormatting>
  <conditionalFormatting sqref="AL74:AN74 AL80:AN80 AN75:AN76">
    <cfRule type="expression" dxfId="6352" priority="5">
      <formula>AL$9&gt;=20/24</formula>
    </cfRule>
    <cfRule type="expression" dxfId="6351" priority="6">
      <formula>AND(AL$9&gt;=14/24,AL$9&lt;20/24)</formula>
    </cfRule>
    <cfRule type="expression" dxfId="6350" priority="7">
      <formula>AND(AL$9&gt;=8/24,AL$9&lt;14/24)</formula>
    </cfRule>
    <cfRule type="expression" dxfId="6349" priority="8">
      <formula>AL$9&lt;8/24</formula>
    </cfRule>
  </conditionalFormatting>
  <conditionalFormatting sqref="AN77:AN78">
    <cfRule type="expression" dxfId="6348" priority="1">
      <formula>AN$9&gt;=20/24</formula>
    </cfRule>
    <cfRule type="expression" dxfId="6347" priority="2">
      <formula>AND(AN$9&gt;=14/24,AN$9&lt;20/24)</formula>
    </cfRule>
    <cfRule type="expression" dxfId="6346" priority="3">
      <formula>AND(AN$9&gt;=8/24,AN$9&lt;14/24)</formula>
    </cfRule>
    <cfRule type="expression" dxfId="6345" priority="4">
      <formula>AN$9&lt;8/24</formula>
    </cfRule>
  </conditionalFormatting>
  <conditionalFormatting sqref="AL75:AM79">
    <cfRule type="expression" dxfId="6344" priority="258">
      <formula>AJ$9&gt;=20/24</formula>
    </cfRule>
    <cfRule type="expression" dxfId="6343" priority="259">
      <formula>AND(AJ$9&gt;=14/24,AJ$9&lt;20/24)</formula>
    </cfRule>
    <cfRule type="expression" dxfId="6342" priority="260">
      <formula>AND(AJ$9&gt;=8/24,AJ$9&lt;14/24)</formula>
    </cfRule>
    <cfRule type="expression" dxfId="6341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8DBE63D4-8F9C-4EA9-A43F-2CDD84AF395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D85A23D1-94C4-499B-A5CC-69F8ECEB5C6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D1DD983E-F48E-4A1F-961A-07C3A4F50FF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0444C126-0018-44D4-93AB-1D9B4FCAF90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E113:AF113</xm:sqref>
        </x14:conditionalFormatting>
        <x14:conditionalFormatting xmlns:xm="http://schemas.microsoft.com/office/excel/2006/main">
          <x14:cfRule type="expression" priority="130" id="{4BC0350D-7527-416B-9B8C-354F77FE31B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C10936DD-6982-45A2-A287-0EC7799BBE3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901E45FC-BED1-4B24-9FB3-3CFF4546C82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0EDF2904-FB17-43CE-B2D7-9FE864F2479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C113:D113</xm:sqref>
        </x14:conditionalFormatting>
        <x14:conditionalFormatting xmlns:xm="http://schemas.microsoft.com/office/excel/2006/main">
          <x14:cfRule type="expression" priority="40" id="{0360F45A-18F4-4676-AD1D-61982488707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9997E54F-872C-4059-BB8E-150983A585D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7F93855F-D88B-428B-A7F4-75D9947AE29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42A36C9A-5858-4BCE-B092-AB05AB24142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6598CBD9-820E-425A-B81F-B0B95250A00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08F2E0C9-EE09-497B-BF42-02A5B714906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6C650661-8763-43CD-9E05-EE67A1361DC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5AF91CEC-33B6-409E-8F9E-FCA816D0BEE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J274"/>
  <sheetViews>
    <sheetView topLeftCell="A40" workbookViewId="0">
      <selection activeCell="S69" sqref="S69:V6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2079/09/17</v>
      </c>
      <c r="C4" s="197"/>
      <c r="D4" s="197"/>
      <c r="E4" s="198" t="str">
        <f ca="1">"2079/"&amp;"09/"&amp;INT(MID(CELL("filename",G6),FIND("]",CELL("filename",G6))+1,200))</f>
        <v>2079/09/17</v>
      </c>
      <c r="F4" s="198"/>
      <c r="G4" s="198"/>
      <c r="H4" s="198" t="str">
        <f ca="1">TEXT(E4,"dddd")</f>
        <v>Sunday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292.5</v>
      </c>
      <c r="C5" s="30">
        <f t="shared" si="0"/>
        <v>264</v>
      </c>
      <c r="D5" s="30">
        <f t="shared" si="0"/>
        <v>246.6</v>
      </c>
      <c r="E5" s="30">
        <f t="shared" si="0"/>
        <v>247</v>
      </c>
      <c r="F5" s="30">
        <f t="shared" si="0"/>
        <v>249</v>
      </c>
      <c r="G5" s="30">
        <f t="shared" si="0"/>
        <v>249</v>
      </c>
      <c r="H5" s="30">
        <f t="shared" si="0"/>
        <v>249</v>
      </c>
      <c r="I5" s="30">
        <f t="shared" si="0"/>
        <v>249</v>
      </c>
      <c r="J5" s="30">
        <f t="shared" si="0"/>
        <v>156.60000000000002</v>
      </c>
      <c r="K5" s="30">
        <f t="shared" si="0"/>
        <v>156.60000000000002</v>
      </c>
      <c r="L5" s="30">
        <f t="shared" si="0"/>
        <v>194.3</v>
      </c>
      <c r="M5" s="30">
        <f t="shared" si="0"/>
        <v>213</v>
      </c>
      <c r="N5" s="30">
        <f t="shared" si="0"/>
        <v>219.10000000000002</v>
      </c>
      <c r="O5" s="30">
        <f t="shared" si="0"/>
        <v>271.64</v>
      </c>
      <c r="P5" s="30">
        <f t="shared" si="0"/>
        <v>473.1</v>
      </c>
      <c r="Q5" s="30">
        <f t="shared" si="0"/>
        <v>464.6</v>
      </c>
      <c r="R5" s="30">
        <f t="shared" si="0"/>
        <v>444.3</v>
      </c>
      <c r="S5" s="30">
        <f t="shared" si="0"/>
        <v>460.8</v>
      </c>
      <c r="T5" s="30">
        <f t="shared" si="0"/>
        <v>425</v>
      </c>
      <c r="U5" s="30">
        <f t="shared" si="0"/>
        <v>400</v>
      </c>
      <c r="V5" s="30">
        <f t="shared" si="0"/>
        <v>412.4</v>
      </c>
      <c r="W5" s="30">
        <f t="shared" si="0"/>
        <v>322.2</v>
      </c>
      <c r="X5" s="30">
        <f t="shared" si="0"/>
        <v>237.5</v>
      </c>
      <c r="Y5" s="30">
        <f t="shared" si="0"/>
        <v>247.4</v>
      </c>
      <c r="Z5" s="30">
        <f t="shared" si="0"/>
        <v>241.70000000000002</v>
      </c>
      <c r="AA5" s="30">
        <f t="shared" si="0"/>
        <v>381</v>
      </c>
      <c r="AB5" s="30">
        <f t="shared" si="0"/>
        <v>391.5</v>
      </c>
      <c r="AC5" s="30">
        <f t="shared" si="0"/>
        <v>379.6</v>
      </c>
      <c r="AD5" s="30">
        <f t="shared" si="0"/>
        <v>329.2</v>
      </c>
      <c r="AE5" s="30">
        <f t="shared" si="0"/>
        <v>316.5</v>
      </c>
      <c r="AF5" s="30">
        <f>B78</f>
        <v>302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1674MW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Load=970</v>
      </c>
      <c r="B7" s="35">
        <f t="shared" ref="B7:AF7" si="1">B85</f>
        <v>1012.54</v>
      </c>
      <c r="C7" s="35">
        <f t="shared" si="1"/>
        <v>1003.04</v>
      </c>
      <c r="D7" s="35">
        <f t="shared" si="1"/>
        <v>985.54</v>
      </c>
      <c r="E7" s="35">
        <f t="shared" si="1"/>
        <v>969.54</v>
      </c>
      <c r="F7" s="35">
        <f t="shared" si="1"/>
        <v>983.7399999999999</v>
      </c>
      <c r="G7" s="35">
        <f t="shared" si="1"/>
        <v>1018.04</v>
      </c>
      <c r="H7" s="35">
        <f t="shared" si="1"/>
        <v>1062.94</v>
      </c>
      <c r="I7" s="35">
        <f t="shared" si="1"/>
        <v>1093.94</v>
      </c>
      <c r="J7" s="35">
        <f t="shared" si="1"/>
        <v>1070.94</v>
      </c>
      <c r="K7" s="35">
        <f t="shared" si="1"/>
        <v>1266.54</v>
      </c>
      <c r="L7" s="35">
        <f t="shared" si="1"/>
        <v>1549.94</v>
      </c>
      <c r="M7" s="35">
        <f t="shared" si="1"/>
        <v>1674.34</v>
      </c>
      <c r="N7" s="35">
        <f>N85</f>
        <v>1603.54</v>
      </c>
      <c r="O7" s="35">
        <f t="shared" si="1"/>
        <v>1530.2399999999998</v>
      </c>
      <c r="P7" s="35">
        <f t="shared" si="1"/>
        <v>1482.08</v>
      </c>
      <c r="Q7" s="35">
        <f t="shared" si="1"/>
        <v>1401.8400000000001</v>
      </c>
      <c r="R7" s="35">
        <f t="shared" si="1"/>
        <v>1348.8400000000001</v>
      </c>
      <c r="S7" s="35">
        <f t="shared" si="1"/>
        <v>1302.6400000000001</v>
      </c>
      <c r="T7" s="35">
        <f t="shared" si="1"/>
        <v>1304.94</v>
      </c>
      <c r="U7" s="35">
        <f t="shared" si="1"/>
        <v>1365.84</v>
      </c>
      <c r="V7" s="35">
        <f t="shared" si="1"/>
        <v>1451.04</v>
      </c>
      <c r="W7" s="35">
        <f t="shared" si="1"/>
        <v>1551.44</v>
      </c>
      <c r="X7" s="35">
        <f t="shared" si="1"/>
        <v>1623.74</v>
      </c>
      <c r="Y7" s="35">
        <f t="shared" si="1"/>
        <v>1603.94</v>
      </c>
      <c r="Z7" s="35">
        <f t="shared" si="1"/>
        <v>1551.74</v>
      </c>
      <c r="AA7" s="35">
        <f t="shared" si="1"/>
        <v>1530.14</v>
      </c>
      <c r="AB7" s="35">
        <f t="shared" si="1"/>
        <v>1488.74</v>
      </c>
      <c r="AC7" s="35">
        <f t="shared" si="1"/>
        <v>1413.24</v>
      </c>
      <c r="AD7" s="35">
        <f t="shared" si="1"/>
        <v>1342.04</v>
      </c>
      <c r="AE7" s="35">
        <f t="shared" si="1"/>
        <v>1180.44</v>
      </c>
      <c r="AF7" s="35">
        <f t="shared" si="1"/>
        <v>1062.6400000000001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23.2</v>
      </c>
      <c r="C11" s="45">
        <v>23.2</v>
      </c>
      <c r="D11" s="45">
        <v>23.2</v>
      </c>
      <c r="E11" s="45">
        <v>24.2</v>
      </c>
      <c r="F11" s="45">
        <v>24</v>
      </c>
      <c r="G11" s="45">
        <v>24.2</v>
      </c>
      <c r="H11" s="45">
        <v>24.2</v>
      </c>
      <c r="I11" s="45">
        <v>24.2</v>
      </c>
      <c r="J11" s="45">
        <v>24.2</v>
      </c>
      <c r="K11" s="45">
        <v>24.2</v>
      </c>
      <c r="L11" s="45">
        <v>24.2</v>
      </c>
      <c r="M11" s="45">
        <v>24.2</v>
      </c>
      <c r="N11" s="45">
        <v>24.2</v>
      </c>
      <c r="O11" s="45">
        <v>24.2</v>
      </c>
      <c r="P11" s="45">
        <v>24.2</v>
      </c>
      <c r="Q11" s="45">
        <v>24.2</v>
      </c>
      <c r="R11" s="45">
        <v>22.9</v>
      </c>
      <c r="S11" s="45">
        <v>22.9</v>
      </c>
      <c r="T11" s="45">
        <v>22.9</v>
      </c>
      <c r="U11" s="45">
        <v>22.9</v>
      </c>
      <c r="V11" s="45">
        <v>22.9</v>
      </c>
      <c r="W11" s="45">
        <v>22.9</v>
      </c>
      <c r="X11" s="45">
        <v>22.8</v>
      </c>
      <c r="Y11" s="45">
        <v>22.8</v>
      </c>
      <c r="Z11" s="45">
        <v>22.8</v>
      </c>
      <c r="AA11" s="45">
        <v>22.8</v>
      </c>
      <c r="AB11" s="45">
        <v>22.8</v>
      </c>
      <c r="AC11" s="45">
        <v>22.8</v>
      </c>
      <c r="AD11" s="45">
        <v>22.8</v>
      </c>
      <c r="AE11" s="45">
        <v>22.8</v>
      </c>
      <c r="AF11" s="45">
        <v>22.8</v>
      </c>
      <c r="AG11" s="47">
        <v>52.4</v>
      </c>
      <c r="AH11" s="48">
        <f t="shared" ref="AH11:AH74" si="2">MAX(B11:AF11)</f>
        <v>24.2</v>
      </c>
      <c r="AI11" s="49">
        <f t="shared" ref="AI11:AI74" si="3">MIN(B11:AF11)</f>
        <v>22.8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44</v>
      </c>
      <c r="C12" s="45">
        <v>44</v>
      </c>
      <c r="D12" s="45">
        <v>44</v>
      </c>
      <c r="E12" s="45">
        <v>43.2</v>
      </c>
      <c r="F12" s="45">
        <v>43.2</v>
      </c>
      <c r="G12" s="45">
        <v>43.2</v>
      </c>
      <c r="H12" s="45">
        <v>43.2</v>
      </c>
      <c r="I12" s="45">
        <v>43.2</v>
      </c>
      <c r="J12" s="45">
        <v>43.2</v>
      </c>
      <c r="K12" s="45">
        <v>43.2</v>
      </c>
      <c r="L12" s="45">
        <v>43.2</v>
      </c>
      <c r="M12" s="45">
        <v>43.2</v>
      </c>
      <c r="N12" s="45">
        <v>43.2</v>
      </c>
      <c r="O12" s="45">
        <v>43.2</v>
      </c>
      <c r="P12" s="45">
        <v>43.2</v>
      </c>
      <c r="Q12" s="45">
        <v>43.2</v>
      </c>
      <c r="R12" s="45">
        <v>43.2</v>
      </c>
      <c r="S12" s="45">
        <v>43.2</v>
      </c>
      <c r="T12" s="45">
        <v>43.2</v>
      </c>
      <c r="U12" s="45">
        <v>43.2</v>
      </c>
      <c r="V12" s="45">
        <v>43.2</v>
      </c>
      <c r="W12" s="45">
        <v>43.2</v>
      </c>
      <c r="X12" s="45">
        <v>42.1</v>
      </c>
      <c r="Y12" s="45">
        <v>42.1</v>
      </c>
      <c r="Z12" s="45">
        <v>42.1</v>
      </c>
      <c r="AA12" s="45">
        <v>42.1</v>
      </c>
      <c r="AB12" s="45">
        <v>42.1</v>
      </c>
      <c r="AC12" s="45">
        <v>42.1</v>
      </c>
      <c r="AD12" s="45">
        <v>42.1</v>
      </c>
      <c r="AE12" s="45">
        <v>42.1</v>
      </c>
      <c r="AF12" s="45">
        <v>42.1</v>
      </c>
      <c r="AG12" s="51">
        <v>50</v>
      </c>
      <c r="AH12" s="48">
        <f t="shared" si="2"/>
        <v>44</v>
      </c>
      <c r="AI12" s="49">
        <f t="shared" si="3"/>
        <v>42.1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23.2</v>
      </c>
      <c r="C13" s="45">
        <v>23.2</v>
      </c>
      <c r="D13" s="45">
        <v>23.2</v>
      </c>
      <c r="E13" s="45">
        <v>23</v>
      </c>
      <c r="F13" s="45">
        <v>23</v>
      </c>
      <c r="G13" s="45">
        <v>23</v>
      </c>
      <c r="H13" s="45">
        <v>23</v>
      </c>
      <c r="I13" s="45">
        <v>23</v>
      </c>
      <c r="J13" s="45">
        <v>23</v>
      </c>
      <c r="K13" s="45">
        <v>23</v>
      </c>
      <c r="L13" s="45">
        <v>23</v>
      </c>
      <c r="M13" s="45">
        <v>23</v>
      </c>
      <c r="N13" s="45">
        <v>23</v>
      </c>
      <c r="O13" s="45">
        <v>23</v>
      </c>
      <c r="P13" s="45">
        <v>23</v>
      </c>
      <c r="Q13" s="45">
        <v>23</v>
      </c>
      <c r="R13" s="45">
        <v>20.9</v>
      </c>
      <c r="S13" s="45">
        <v>20.9</v>
      </c>
      <c r="T13" s="45">
        <v>20.9</v>
      </c>
      <c r="U13" s="45">
        <v>20.9</v>
      </c>
      <c r="V13" s="45">
        <v>20.9</v>
      </c>
      <c r="W13" s="45">
        <v>20.9</v>
      </c>
      <c r="X13" s="45">
        <v>23.5</v>
      </c>
      <c r="Y13" s="45">
        <v>23.5</v>
      </c>
      <c r="Z13" s="45">
        <v>23.5</v>
      </c>
      <c r="AA13" s="45">
        <v>23.5</v>
      </c>
      <c r="AB13" s="45">
        <v>23.5</v>
      </c>
      <c r="AC13" s="45">
        <v>23.5</v>
      </c>
      <c r="AD13" s="45">
        <v>23.5</v>
      </c>
      <c r="AE13" s="45">
        <v>23.5</v>
      </c>
      <c r="AF13" s="45">
        <v>23.5</v>
      </c>
      <c r="AG13" s="51">
        <v>45</v>
      </c>
      <c r="AH13" s="48">
        <f t="shared" si="2"/>
        <v>23.5</v>
      </c>
      <c r="AI13" s="49">
        <f t="shared" si="3"/>
        <v>20.9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11</v>
      </c>
      <c r="C14" s="45">
        <v>11</v>
      </c>
      <c r="D14" s="45">
        <v>11</v>
      </c>
      <c r="E14" s="45">
        <v>11</v>
      </c>
      <c r="F14" s="45">
        <v>11</v>
      </c>
      <c r="G14" s="45">
        <v>11</v>
      </c>
      <c r="H14" s="45">
        <v>11</v>
      </c>
      <c r="I14" s="45">
        <v>11</v>
      </c>
      <c r="J14" s="45">
        <v>11</v>
      </c>
      <c r="K14" s="45">
        <v>11</v>
      </c>
      <c r="L14" s="45">
        <v>11</v>
      </c>
      <c r="M14" s="45">
        <v>11</v>
      </c>
      <c r="N14" s="45">
        <v>11</v>
      </c>
      <c r="O14" s="45">
        <v>11</v>
      </c>
      <c r="P14" s="45">
        <v>11</v>
      </c>
      <c r="Q14" s="45">
        <v>11</v>
      </c>
      <c r="R14" s="45">
        <v>10.5</v>
      </c>
      <c r="S14" s="45">
        <v>10.5</v>
      </c>
      <c r="T14" s="45">
        <v>10.5</v>
      </c>
      <c r="U14" s="45">
        <v>10.5</v>
      </c>
      <c r="V14" s="45">
        <v>10.5</v>
      </c>
      <c r="W14" s="45">
        <v>10.5</v>
      </c>
      <c r="X14" s="45">
        <v>11</v>
      </c>
      <c r="Y14" s="45">
        <v>11</v>
      </c>
      <c r="Z14" s="45">
        <v>11</v>
      </c>
      <c r="AA14" s="45">
        <v>11</v>
      </c>
      <c r="AB14" s="45">
        <v>11</v>
      </c>
      <c r="AC14" s="45">
        <v>11</v>
      </c>
      <c r="AD14" s="45">
        <v>11</v>
      </c>
      <c r="AE14" s="45">
        <v>11</v>
      </c>
      <c r="AF14" s="45">
        <v>11</v>
      </c>
      <c r="AG14" s="51">
        <v>42</v>
      </c>
      <c r="AH14" s="48">
        <f t="shared" si="2"/>
        <v>11</v>
      </c>
      <c r="AI14" s="49">
        <f t="shared" si="3"/>
        <v>10.5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17.3</v>
      </c>
      <c r="C15" s="45">
        <v>17.3</v>
      </c>
      <c r="D15" s="45">
        <v>17.3</v>
      </c>
      <c r="E15" s="45">
        <v>17.3</v>
      </c>
      <c r="F15" s="45">
        <v>17.3</v>
      </c>
      <c r="G15" s="45">
        <v>17.3</v>
      </c>
      <c r="H15" s="45">
        <v>17.3</v>
      </c>
      <c r="I15" s="45">
        <v>17.3</v>
      </c>
      <c r="J15" s="45">
        <v>17.3</v>
      </c>
      <c r="K15" s="45">
        <v>17.3</v>
      </c>
      <c r="L15" s="45">
        <v>17.3</v>
      </c>
      <c r="M15" s="45">
        <v>17.3</v>
      </c>
      <c r="N15" s="45">
        <v>17.3</v>
      </c>
      <c r="O15" s="45">
        <v>17.3</v>
      </c>
      <c r="P15" s="45">
        <v>17.3</v>
      </c>
      <c r="Q15" s="45">
        <v>17.3</v>
      </c>
      <c r="R15" s="45">
        <v>17.3</v>
      </c>
      <c r="S15" s="45">
        <v>17.3</v>
      </c>
      <c r="T15" s="45">
        <v>17.3</v>
      </c>
      <c r="U15" s="45">
        <v>17.3</v>
      </c>
      <c r="V15" s="45">
        <v>17.3</v>
      </c>
      <c r="W15" s="45">
        <v>17.3</v>
      </c>
      <c r="X15" s="45">
        <v>17.3</v>
      </c>
      <c r="Y15" s="45">
        <v>17.3</v>
      </c>
      <c r="Z15" s="45">
        <v>17.3</v>
      </c>
      <c r="AA15" s="45">
        <v>17.3</v>
      </c>
      <c r="AB15" s="45">
        <v>17.3</v>
      </c>
      <c r="AC15" s="45">
        <v>17.3</v>
      </c>
      <c r="AD15" s="45">
        <v>17.3</v>
      </c>
      <c r="AE15" s="45">
        <v>17.3</v>
      </c>
      <c r="AF15" s="45">
        <v>17.3</v>
      </c>
      <c r="AG15" s="51">
        <v>36</v>
      </c>
      <c r="AH15" s="48">
        <f t="shared" si="2"/>
        <v>17.3</v>
      </c>
      <c r="AI15" s="49">
        <f t="shared" si="3"/>
        <v>17.3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10.8</v>
      </c>
      <c r="C16" s="45">
        <v>10.8</v>
      </c>
      <c r="D16" s="45">
        <v>10.8</v>
      </c>
      <c r="E16" s="45">
        <v>10.7</v>
      </c>
      <c r="F16" s="45">
        <v>10.7</v>
      </c>
      <c r="G16" s="45">
        <v>10.7</v>
      </c>
      <c r="H16" s="45">
        <v>10.7</v>
      </c>
      <c r="I16" s="45">
        <v>10.7</v>
      </c>
      <c r="J16" s="45">
        <v>10.7</v>
      </c>
      <c r="K16" s="45">
        <v>10.7</v>
      </c>
      <c r="L16" s="45">
        <v>10.7</v>
      </c>
      <c r="M16" s="45">
        <v>10.7</v>
      </c>
      <c r="N16" s="45">
        <v>10.7</v>
      </c>
      <c r="O16" s="45">
        <v>10.7</v>
      </c>
      <c r="P16" s="45">
        <v>10.7</v>
      </c>
      <c r="Q16" s="45">
        <v>10.7</v>
      </c>
      <c r="R16" s="45">
        <v>10.7</v>
      </c>
      <c r="S16" s="45">
        <v>10.7</v>
      </c>
      <c r="T16" s="45">
        <v>10.7</v>
      </c>
      <c r="U16" s="45">
        <v>10.7</v>
      </c>
      <c r="V16" s="45">
        <v>10.7</v>
      </c>
      <c r="W16" s="45">
        <v>10.7</v>
      </c>
      <c r="X16" s="45">
        <v>11.2</v>
      </c>
      <c r="Y16" s="45">
        <v>11.2</v>
      </c>
      <c r="Z16" s="45">
        <v>11.2</v>
      </c>
      <c r="AA16" s="45">
        <v>11.2</v>
      </c>
      <c r="AB16" s="45">
        <v>11.2</v>
      </c>
      <c r="AC16" s="45">
        <v>11.2</v>
      </c>
      <c r="AD16" s="45">
        <v>11.2</v>
      </c>
      <c r="AE16" s="45">
        <v>11.2</v>
      </c>
      <c r="AF16" s="45">
        <v>11.2</v>
      </c>
      <c r="AG16" s="52">
        <v>30</v>
      </c>
      <c r="AH16" s="48">
        <f t="shared" si="2"/>
        <v>11.2</v>
      </c>
      <c r="AI16" s="49">
        <f t="shared" si="3"/>
        <v>10.7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10.9</v>
      </c>
      <c r="C17" s="45">
        <v>10.9</v>
      </c>
      <c r="D17" s="45">
        <v>10.9</v>
      </c>
      <c r="E17" s="45">
        <v>10.6</v>
      </c>
      <c r="F17" s="45">
        <v>10.6</v>
      </c>
      <c r="G17" s="45">
        <v>10.6</v>
      </c>
      <c r="H17" s="45">
        <v>10.6</v>
      </c>
      <c r="I17" s="45">
        <v>10.6</v>
      </c>
      <c r="J17" s="45">
        <v>10.6</v>
      </c>
      <c r="K17" s="45">
        <v>10.6</v>
      </c>
      <c r="L17" s="45">
        <v>10.6</v>
      </c>
      <c r="M17" s="45">
        <v>10.6</v>
      </c>
      <c r="N17" s="45">
        <v>10.6</v>
      </c>
      <c r="O17" s="45">
        <v>10.6</v>
      </c>
      <c r="P17" s="45">
        <v>10.6</v>
      </c>
      <c r="Q17" s="45">
        <v>10.6</v>
      </c>
      <c r="R17" s="45">
        <v>10.6</v>
      </c>
      <c r="S17" s="45">
        <v>10.6</v>
      </c>
      <c r="T17" s="45">
        <v>10.6</v>
      </c>
      <c r="U17" s="45">
        <v>10.6</v>
      </c>
      <c r="V17" s="45">
        <v>10.6</v>
      </c>
      <c r="W17" s="45">
        <v>10.6</v>
      </c>
      <c r="X17" s="45">
        <v>10.3</v>
      </c>
      <c r="Y17" s="45">
        <v>10.3</v>
      </c>
      <c r="Z17" s="45">
        <v>10.3</v>
      </c>
      <c r="AA17" s="45">
        <v>10.3</v>
      </c>
      <c r="AB17" s="45">
        <v>10.3</v>
      </c>
      <c r="AC17" s="45">
        <v>10.3</v>
      </c>
      <c r="AD17" s="45">
        <v>10.3</v>
      </c>
      <c r="AE17" s="45">
        <v>10.3</v>
      </c>
      <c r="AF17" s="45">
        <v>10.3</v>
      </c>
      <c r="AG17" s="51">
        <v>24.2</v>
      </c>
      <c r="AH17" s="48">
        <f t="shared" si="2"/>
        <v>10.9</v>
      </c>
      <c r="AI17" s="49">
        <f t="shared" si="3"/>
        <v>10.3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12</v>
      </c>
      <c r="C20" s="45">
        <v>12</v>
      </c>
      <c r="D20" s="45">
        <v>12</v>
      </c>
      <c r="E20" s="45">
        <v>12</v>
      </c>
      <c r="F20" s="45">
        <v>12</v>
      </c>
      <c r="G20" s="45">
        <v>12</v>
      </c>
      <c r="H20" s="45">
        <v>12</v>
      </c>
      <c r="I20" s="45">
        <v>12</v>
      </c>
      <c r="J20" s="45">
        <v>12</v>
      </c>
      <c r="K20" s="45">
        <v>12</v>
      </c>
      <c r="L20" s="45">
        <v>12</v>
      </c>
      <c r="M20" s="45">
        <v>12</v>
      </c>
      <c r="N20" s="45">
        <v>12</v>
      </c>
      <c r="O20" s="45">
        <v>12</v>
      </c>
      <c r="P20" s="45">
        <v>12</v>
      </c>
      <c r="Q20" s="45">
        <v>12</v>
      </c>
      <c r="R20" s="45">
        <v>12</v>
      </c>
      <c r="S20" s="45">
        <v>12</v>
      </c>
      <c r="T20" s="45">
        <v>12</v>
      </c>
      <c r="U20" s="45">
        <v>12</v>
      </c>
      <c r="V20" s="45">
        <v>12</v>
      </c>
      <c r="W20" s="45">
        <v>12</v>
      </c>
      <c r="X20" s="45">
        <v>12</v>
      </c>
      <c r="Y20" s="45">
        <v>12</v>
      </c>
      <c r="Z20" s="45">
        <v>12</v>
      </c>
      <c r="AA20" s="45">
        <v>12</v>
      </c>
      <c r="AB20" s="45">
        <v>12</v>
      </c>
      <c r="AC20" s="45">
        <v>12</v>
      </c>
      <c r="AD20" s="45">
        <v>12</v>
      </c>
      <c r="AE20" s="45">
        <v>12</v>
      </c>
      <c r="AF20" s="45">
        <v>12</v>
      </c>
      <c r="AG20" s="51">
        <v>25</v>
      </c>
      <c r="AH20" s="48">
        <f t="shared" si="2"/>
        <v>12</v>
      </c>
      <c r="AI20" s="49">
        <f t="shared" si="3"/>
        <v>12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10</v>
      </c>
      <c r="C24" s="45">
        <v>10</v>
      </c>
      <c r="D24" s="45">
        <v>10</v>
      </c>
      <c r="E24" s="45">
        <v>10</v>
      </c>
      <c r="F24" s="45">
        <v>10</v>
      </c>
      <c r="G24" s="45">
        <v>10</v>
      </c>
      <c r="H24" s="45">
        <v>10</v>
      </c>
      <c r="I24" s="45">
        <v>10</v>
      </c>
      <c r="J24" s="45">
        <v>10</v>
      </c>
      <c r="K24" s="45">
        <v>10</v>
      </c>
      <c r="L24" s="45">
        <v>10</v>
      </c>
      <c r="M24" s="45">
        <v>10</v>
      </c>
      <c r="N24" s="45">
        <v>10</v>
      </c>
      <c r="O24" s="45">
        <v>10</v>
      </c>
      <c r="P24" s="45">
        <v>10</v>
      </c>
      <c r="Q24" s="45">
        <v>10</v>
      </c>
      <c r="R24" s="45">
        <v>10</v>
      </c>
      <c r="S24" s="45">
        <v>10</v>
      </c>
      <c r="T24" s="45">
        <v>10</v>
      </c>
      <c r="U24" s="45">
        <v>10</v>
      </c>
      <c r="V24" s="45">
        <v>10</v>
      </c>
      <c r="W24" s="45">
        <v>10</v>
      </c>
      <c r="X24" s="45">
        <v>10</v>
      </c>
      <c r="Y24" s="45">
        <v>10</v>
      </c>
      <c r="Z24" s="45">
        <v>10</v>
      </c>
      <c r="AA24" s="45">
        <v>10</v>
      </c>
      <c r="AB24" s="45">
        <v>10</v>
      </c>
      <c r="AC24" s="45">
        <v>10</v>
      </c>
      <c r="AD24" s="45">
        <v>10</v>
      </c>
      <c r="AE24" s="45">
        <v>10</v>
      </c>
      <c r="AF24" s="45">
        <v>10</v>
      </c>
      <c r="AG24" s="51">
        <v>23.5</v>
      </c>
      <c r="AH24" s="48">
        <f t="shared" si="2"/>
        <v>10</v>
      </c>
      <c r="AI24" s="49">
        <f t="shared" si="3"/>
        <v>10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>
        <v>1.2</v>
      </c>
      <c r="S32" s="45">
        <v>1.2</v>
      </c>
      <c r="T32" s="45">
        <v>1.2</v>
      </c>
      <c r="U32" s="45">
        <v>1.2</v>
      </c>
      <c r="V32" s="45">
        <v>1.2</v>
      </c>
      <c r="W32" s="45">
        <v>1.2</v>
      </c>
      <c r="X32" s="45">
        <v>1.2</v>
      </c>
      <c r="Y32" s="45">
        <v>1.2</v>
      </c>
      <c r="Z32" s="45">
        <v>1.2</v>
      </c>
      <c r="AA32" s="45">
        <v>1.2</v>
      </c>
      <c r="AB32" s="45">
        <v>1.2</v>
      </c>
      <c r="AC32" s="45">
        <v>1.2</v>
      </c>
      <c r="AD32" s="45">
        <v>1.2</v>
      </c>
      <c r="AE32" s="45">
        <v>1.2</v>
      </c>
      <c r="AF32" s="45">
        <v>1.2</v>
      </c>
      <c r="AG32" s="51">
        <v>13.6</v>
      </c>
      <c r="AH32" s="48">
        <f t="shared" si="2"/>
        <v>1.2</v>
      </c>
      <c r="AI32" s="49">
        <f t="shared" si="3"/>
        <v>1.2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180</v>
      </c>
      <c r="C42" s="57">
        <v>180</v>
      </c>
      <c r="D42" s="57">
        <v>180</v>
      </c>
      <c r="E42" s="57">
        <v>180</v>
      </c>
      <c r="F42" s="57">
        <v>180</v>
      </c>
      <c r="G42" s="57">
        <v>180</v>
      </c>
      <c r="H42" s="57">
        <v>180</v>
      </c>
      <c r="I42" s="57">
        <v>180</v>
      </c>
      <c r="J42" s="57">
        <v>180</v>
      </c>
      <c r="K42" s="57">
        <v>180</v>
      </c>
      <c r="L42" s="57">
        <v>180</v>
      </c>
      <c r="M42" s="57">
        <v>180</v>
      </c>
      <c r="N42" s="57">
        <v>180</v>
      </c>
      <c r="O42" s="57">
        <v>180</v>
      </c>
      <c r="P42" s="57">
        <v>180</v>
      </c>
      <c r="Q42" s="57">
        <v>180</v>
      </c>
      <c r="R42" s="57">
        <v>180</v>
      </c>
      <c r="S42" s="57">
        <v>180</v>
      </c>
      <c r="T42" s="57">
        <v>180</v>
      </c>
      <c r="U42" s="57">
        <v>180</v>
      </c>
      <c r="V42" s="57">
        <v>180</v>
      </c>
      <c r="W42" s="57">
        <v>180</v>
      </c>
      <c r="X42" s="57">
        <v>180</v>
      </c>
      <c r="Y42" s="57">
        <v>180</v>
      </c>
      <c r="Z42" s="57">
        <v>180</v>
      </c>
      <c r="AA42" s="57">
        <v>180</v>
      </c>
      <c r="AB42" s="57">
        <v>180</v>
      </c>
      <c r="AC42" s="57">
        <v>180</v>
      </c>
      <c r="AD42" s="57">
        <v>180</v>
      </c>
      <c r="AE42" s="57">
        <v>180</v>
      </c>
      <c r="AF42" s="57">
        <v>180</v>
      </c>
      <c r="AG42" s="55">
        <v>85</v>
      </c>
      <c r="AH42" s="48">
        <f t="shared" si="2"/>
        <v>180</v>
      </c>
      <c r="AI42" s="49">
        <f t="shared" si="3"/>
        <v>180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516.19999999999993</v>
      </c>
      <c r="C44" s="61">
        <f t="shared" si="4"/>
        <v>516.19999999999993</v>
      </c>
      <c r="D44" s="61">
        <f t="shared" si="4"/>
        <v>516.19999999999993</v>
      </c>
      <c r="E44" s="61">
        <f t="shared" si="4"/>
        <v>515.79999999999995</v>
      </c>
      <c r="F44" s="61">
        <f t="shared" si="4"/>
        <v>515.59999999999991</v>
      </c>
      <c r="G44" s="61">
        <f t="shared" si="4"/>
        <v>515.79999999999995</v>
      </c>
      <c r="H44" s="61">
        <f t="shared" si="4"/>
        <v>515.79999999999995</v>
      </c>
      <c r="I44" s="61">
        <f t="shared" si="4"/>
        <v>515.79999999999995</v>
      </c>
      <c r="J44" s="61">
        <f t="shared" si="4"/>
        <v>515.79999999999995</v>
      </c>
      <c r="K44" s="61">
        <f t="shared" si="4"/>
        <v>515.79999999999995</v>
      </c>
      <c r="L44" s="61">
        <f t="shared" si="4"/>
        <v>515.79999999999995</v>
      </c>
      <c r="M44" s="61">
        <f t="shared" si="4"/>
        <v>515.79999999999995</v>
      </c>
      <c r="N44" s="61">
        <f t="shared" si="4"/>
        <v>515.79999999999995</v>
      </c>
      <c r="O44" s="61">
        <f t="shared" si="4"/>
        <v>515.79999999999995</v>
      </c>
      <c r="P44" s="61">
        <f t="shared" si="4"/>
        <v>515.79999999999995</v>
      </c>
      <c r="Q44" s="61">
        <f t="shared" si="4"/>
        <v>515.79999999999995</v>
      </c>
      <c r="R44" s="61">
        <f t="shared" si="4"/>
        <v>511.9</v>
      </c>
      <c r="S44" s="61">
        <f t="shared" si="4"/>
        <v>511.9</v>
      </c>
      <c r="T44" s="61">
        <f t="shared" si="4"/>
        <v>511.9</v>
      </c>
      <c r="U44" s="61">
        <f t="shared" si="4"/>
        <v>511.9</v>
      </c>
      <c r="V44" s="61">
        <f t="shared" si="4"/>
        <v>511.9</v>
      </c>
      <c r="W44" s="61">
        <f t="shared" si="4"/>
        <v>511.9</v>
      </c>
      <c r="X44" s="61">
        <f t="shared" si="4"/>
        <v>514</v>
      </c>
      <c r="Y44" s="61">
        <f t="shared" si="4"/>
        <v>514</v>
      </c>
      <c r="Z44" s="61">
        <f t="shared" si="4"/>
        <v>514</v>
      </c>
      <c r="AA44" s="61">
        <f t="shared" si="4"/>
        <v>514</v>
      </c>
      <c r="AB44" s="61">
        <f t="shared" si="4"/>
        <v>514</v>
      </c>
      <c r="AC44" s="61">
        <f t="shared" si="4"/>
        <v>514</v>
      </c>
      <c r="AD44" s="61">
        <f t="shared" si="4"/>
        <v>514</v>
      </c>
      <c r="AE44" s="61">
        <f t="shared" si="4"/>
        <v>514</v>
      </c>
      <c r="AF44" s="61">
        <f t="shared" si="4"/>
        <v>514</v>
      </c>
      <c r="AG44" s="62">
        <f t="shared" si="4"/>
        <v>814.78000000000009</v>
      </c>
      <c r="AH44" s="48">
        <f t="shared" si="2"/>
        <v>516.19999999999993</v>
      </c>
      <c r="AI44" s="49">
        <f t="shared" si="3"/>
        <v>511.9</v>
      </c>
      <c r="AK44" s="50"/>
    </row>
    <row r="45" spans="1:88" x14ac:dyDescent="0.25">
      <c r="A45" s="6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15</v>
      </c>
      <c r="K45" s="45">
        <v>150</v>
      </c>
      <c r="L45" s="45">
        <v>330</v>
      </c>
      <c r="M45" s="164">
        <v>410</v>
      </c>
      <c r="N45" s="164">
        <v>350</v>
      </c>
      <c r="O45" s="45">
        <v>300</v>
      </c>
      <c r="P45" s="45">
        <v>230</v>
      </c>
      <c r="Q45" s="45">
        <v>15</v>
      </c>
      <c r="R45" s="45">
        <v>0</v>
      </c>
      <c r="S45" s="45">
        <v>0</v>
      </c>
      <c r="T45" s="45">
        <v>0</v>
      </c>
      <c r="U45" s="45">
        <v>60</v>
      </c>
      <c r="V45" s="45">
        <v>100</v>
      </c>
      <c r="W45" s="45">
        <v>140</v>
      </c>
      <c r="X45" s="45">
        <v>250</v>
      </c>
      <c r="Y45" s="45">
        <v>330</v>
      </c>
      <c r="Z45" s="45">
        <v>290</v>
      </c>
      <c r="AA45" s="45">
        <v>270</v>
      </c>
      <c r="AB45" s="45">
        <v>100</v>
      </c>
      <c r="AC45" s="45">
        <v>80</v>
      </c>
      <c r="AD45" s="45">
        <v>80</v>
      </c>
      <c r="AE45" s="45">
        <v>50</v>
      </c>
      <c r="AF45" s="45">
        <v>20</v>
      </c>
      <c r="AG45" s="52">
        <v>456</v>
      </c>
      <c r="AH45" s="48">
        <f t="shared" si="2"/>
        <v>410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40</v>
      </c>
      <c r="C46" s="65">
        <v>40</v>
      </c>
      <c r="D46" s="65">
        <v>40</v>
      </c>
      <c r="E46" s="65">
        <v>40</v>
      </c>
      <c r="F46" s="65">
        <v>40</v>
      </c>
      <c r="G46" s="65">
        <v>40</v>
      </c>
      <c r="H46" s="65">
        <v>40</v>
      </c>
      <c r="I46" s="65">
        <v>40</v>
      </c>
      <c r="J46" s="65">
        <v>40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40</v>
      </c>
      <c r="AK46" s="50"/>
    </row>
    <row r="47" spans="1:88" ht="15.75" thickBot="1" x14ac:dyDescent="0.3">
      <c r="A47" s="66" t="s">
        <v>55</v>
      </c>
      <c r="B47" s="67">
        <v>14</v>
      </c>
      <c r="C47" s="67">
        <v>14</v>
      </c>
      <c r="D47" s="67">
        <v>14</v>
      </c>
      <c r="E47" s="67">
        <v>14</v>
      </c>
      <c r="F47" s="67">
        <v>14</v>
      </c>
      <c r="G47" s="67">
        <v>14</v>
      </c>
      <c r="H47" s="67">
        <v>14</v>
      </c>
      <c r="I47" s="67">
        <v>14</v>
      </c>
      <c r="J47" s="67">
        <v>14</v>
      </c>
      <c r="K47" s="67">
        <v>14</v>
      </c>
      <c r="L47" s="67">
        <v>13.9</v>
      </c>
      <c r="M47" s="67">
        <v>13.9</v>
      </c>
      <c r="N47" s="67">
        <v>13.9</v>
      </c>
      <c r="O47" s="67">
        <v>13.9</v>
      </c>
      <c r="P47" s="67">
        <v>13.9</v>
      </c>
      <c r="Q47" s="67">
        <v>14.1</v>
      </c>
      <c r="R47" s="67">
        <v>12.5</v>
      </c>
      <c r="S47" s="67">
        <v>12.7</v>
      </c>
      <c r="T47" s="67">
        <v>12.7</v>
      </c>
      <c r="U47" s="67">
        <v>12.7</v>
      </c>
      <c r="V47" s="67">
        <v>13.7</v>
      </c>
      <c r="W47" s="67">
        <v>13.7</v>
      </c>
      <c r="X47" s="67">
        <v>21.1</v>
      </c>
      <c r="Y47" s="67">
        <v>21.1</v>
      </c>
      <c r="Z47" s="67">
        <v>21.1</v>
      </c>
      <c r="AA47" s="67">
        <v>21.1</v>
      </c>
      <c r="AB47" s="67">
        <v>21.1</v>
      </c>
      <c r="AC47" s="67">
        <v>21.1</v>
      </c>
      <c r="AD47" s="67">
        <v>13.7</v>
      </c>
      <c r="AE47" s="67">
        <v>13.7</v>
      </c>
      <c r="AF47" s="67">
        <v>13.7</v>
      </c>
      <c r="AG47" s="68">
        <v>22.1</v>
      </c>
      <c r="AH47" s="48">
        <f t="shared" si="2"/>
        <v>21.1</v>
      </c>
      <c r="AI47" s="49">
        <f t="shared" si="3"/>
        <v>12.5</v>
      </c>
      <c r="AK47" s="50"/>
    </row>
    <row r="48" spans="1:88" ht="15.75" thickBot="1" x14ac:dyDescent="0.3">
      <c r="A48" s="69" t="s">
        <v>56</v>
      </c>
      <c r="B48" s="61">
        <f t="shared" ref="B48:AG48" si="5">SUM(B45:B47)</f>
        <v>54</v>
      </c>
      <c r="C48" s="61">
        <f t="shared" si="5"/>
        <v>54</v>
      </c>
      <c r="D48" s="61">
        <f t="shared" si="5"/>
        <v>54</v>
      </c>
      <c r="E48" s="61">
        <f t="shared" si="5"/>
        <v>54</v>
      </c>
      <c r="F48" s="61">
        <f t="shared" si="5"/>
        <v>54</v>
      </c>
      <c r="G48" s="61">
        <f t="shared" si="5"/>
        <v>54</v>
      </c>
      <c r="H48" s="61">
        <f t="shared" si="5"/>
        <v>54</v>
      </c>
      <c r="I48" s="61">
        <f t="shared" si="5"/>
        <v>54</v>
      </c>
      <c r="J48" s="61">
        <f t="shared" si="5"/>
        <v>69</v>
      </c>
      <c r="K48" s="61">
        <f t="shared" si="5"/>
        <v>205</v>
      </c>
      <c r="L48" s="61">
        <f t="shared" si="5"/>
        <v>384.9</v>
      </c>
      <c r="M48" s="61">
        <f t="shared" si="5"/>
        <v>464.9</v>
      </c>
      <c r="N48" s="61">
        <f t="shared" si="5"/>
        <v>404.9</v>
      </c>
      <c r="O48" s="61">
        <f t="shared" si="5"/>
        <v>354.9</v>
      </c>
      <c r="P48" s="61">
        <f t="shared" si="5"/>
        <v>284.89999999999998</v>
      </c>
      <c r="Q48" s="61">
        <f t="shared" si="5"/>
        <v>70.099999999999994</v>
      </c>
      <c r="R48" s="61">
        <f t="shared" si="5"/>
        <v>53.5</v>
      </c>
      <c r="S48" s="61">
        <f t="shared" si="5"/>
        <v>53.7</v>
      </c>
      <c r="T48" s="61">
        <f t="shared" si="5"/>
        <v>53.7</v>
      </c>
      <c r="U48" s="61">
        <f t="shared" si="5"/>
        <v>113.7</v>
      </c>
      <c r="V48" s="61">
        <f t="shared" si="5"/>
        <v>154.69999999999999</v>
      </c>
      <c r="W48" s="61">
        <f t="shared" si="5"/>
        <v>194.7</v>
      </c>
      <c r="X48" s="61">
        <f t="shared" si="5"/>
        <v>312.10000000000002</v>
      </c>
      <c r="Y48" s="61">
        <f t="shared" si="5"/>
        <v>392.1</v>
      </c>
      <c r="Z48" s="61">
        <f t="shared" si="5"/>
        <v>352.1</v>
      </c>
      <c r="AA48" s="61">
        <f t="shared" si="5"/>
        <v>332.1</v>
      </c>
      <c r="AB48" s="61">
        <f t="shared" si="5"/>
        <v>162.1</v>
      </c>
      <c r="AC48" s="61">
        <f t="shared" si="5"/>
        <v>142.1</v>
      </c>
      <c r="AD48" s="61">
        <f t="shared" si="5"/>
        <v>134.69999999999999</v>
      </c>
      <c r="AE48" s="61">
        <f t="shared" si="5"/>
        <v>104.7</v>
      </c>
      <c r="AF48" s="61">
        <f t="shared" si="5"/>
        <v>74.7</v>
      </c>
      <c r="AG48" s="62">
        <f t="shared" si="5"/>
        <v>538.1</v>
      </c>
      <c r="AH48" s="48">
        <f t="shared" si="2"/>
        <v>464.9</v>
      </c>
      <c r="AI48" s="49">
        <f t="shared" si="3"/>
        <v>53.5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30</v>
      </c>
      <c r="H49" s="45">
        <v>40</v>
      </c>
      <c r="I49" s="45">
        <v>45</v>
      </c>
      <c r="J49" s="45"/>
      <c r="K49" s="45">
        <v>140</v>
      </c>
      <c r="L49" s="45">
        <v>142.5</v>
      </c>
      <c r="M49" s="45">
        <v>142.1</v>
      </c>
      <c r="N49" s="45">
        <v>142.19999999999999</v>
      </c>
      <c r="O49" s="45">
        <v>142</v>
      </c>
      <c r="P49" s="45">
        <v>130</v>
      </c>
      <c r="Q49" s="45">
        <v>111.8</v>
      </c>
      <c r="R49" s="45">
        <v>105</v>
      </c>
      <c r="S49" s="45">
        <v>92.1</v>
      </c>
      <c r="T49" s="45">
        <v>80.599999999999994</v>
      </c>
      <c r="U49" s="45">
        <v>73</v>
      </c>
      <c r="V49" s="45">
        <v>120</v>
      </c>
      <c r="W49" s="45">
        <v>120</v>
      </c>
      <c r="X49" s="45">
        <v>140.19999999999999</v>
      </c>
      <c r="Y49" s="45">
        <v>140.19999999999999</v>
      </c>
      <c r="Z49" s="45">
        <v>131.80000000000001</v>
      </c>
      <c r="AA49" s="45">
        <v>132.1</v>
      </c>
      <c r="AB49" s="45">
        <v>132.1</v>
      </c>
      <c r="AC49" s="45">
        <v>81.5</v>
      </c>
      <c r="AD49" s="45">
        <v>61.5</v>
      </c>
      <c r="AE49" s="45">
        <v>30.8</v>
      </c>
      <c r="AF49" s="45">
        <v>0</v>
      </c>
      <c r="AG49" s="52">
        <v>144</v>
      </c>
      <c r="AH49" s="48">
        <f t="shared" si="2"/>
        <v>142.5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22</v>
      </c>
      <c r="H50" s="65">
        <v>45</v>
      </c>
      <c r="I50" s="65">
        <v>71</v>
      </c>
      <c r="J50" s="65">
        <v>70</v>
      </c>
      <c r="K50" s="65">
        <v>70</v>
      </c>
      <c r="L50" s="65">
        <v>70</v>
      </c>
      <c r="M50" s="65">
        <v>69.8</v>
      </c>
      <c r="N50" s="65">
        <v>58.3</v>
      </c>
      <c r="O50" s="65">
        <v>41.3</v>
      </c>
      <c r="P50" s="65">
        <v>51.2</v>
      </c>
      <c r="Q50" s="65">
        <v>52.1</v>
      </c>
      <c r="R50" s="45">
        <v>46</v>
      </c>
      <c r="S50" s="45">
        <v>46</v>
      </c>
      <c r="T50" s="45">
        <v>44.5</v>
      </c>
      <c r="U50" s="45">
        <v>49</v>
      </c>
      <c r="V50" s="45">
        <v>48.8</v>
      </c>
      <c r="W50" s="45">
        <v>48.8</v>
      </c>
      <c r="X50" s="45">
        <v>70.3</v>
      </c>
      <c r="Y50" s="45">
        <v>68.8</v>
      </c>
      <c r="Z50" s="45">
        <v>60</v>
      </c>
      <c r="AA50" s="45">
        <v>63.1</v>
      </c>
      <c r="AB50" s="65">
        <v>63.1</v>
      </c>
      <c r="AC50" s="65">
        <v>48.1</v>
      </c>
      <c r="AD50" s="65">
        <v>24.5</v>
      </c>
      <c r="AE50" s="65">
        <v>22</v>
      </c>
      <c r="AF50" s="65">
        <v>0</v>
      </c>
      <c r="AG50" s="55">
        <v>70</v>
      </c>
      <c r="AH50" s="48">
        <f t="shared" si="2"/>
        <v>71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21</v>
      </c>
      <c r="C51" s="65">
        <v>21</v>
      </c>
      <c r="D51" s="65">
        <v>32</v>
      </c>
      <c r="E51" s="65">
        <v>32</v>
      </c>
      <c r="F51" s="65">
        <v>46</v>
      </c>
      <c r="G51" s="65">
        <v>34.1</v>
      </c>
      <c r="H51" s="65">
        <v>46</v>
      </c>
      <c r="I51" s="65">
        <v>46</v>
      </c>
      <c r="J51" s="65">
        <v>54</v>
      </c>
      <c r="K51" s="65">
        <v>66</v>
      </c>
      <c r="L51" s="65">
        <v>67</v>
      </c>
      <c r="M51" s="65">
        <v>67.5</v>
      </c>
      <c r="N51" s="65">
        <v>58.5</v>
      </c>
      <c r="O51" s="65">
        <v>48.7</v>
      </c>
      <c r="P51" s="65">
        <v>45.2</v>
      </c>
      <c r="Q51" s="65">
        <v>44.3</v>
      </c>
      <c r="R51" s="45">
        <v>35</v>
      </c>
      <c r="S51" s="45">
        <v>35</v>
      </c>
      <c r="T51" s="45">
        <v>33.799999999999997</v>
      </c>
      <c r="U51" s="45">
        <v>44</v>
      </c>
      <c r="V51" s="45">
        <v>63.9</v>
      </c>
      <c r="W51" s="45">
        <v>63.9</v>
      </c>
      <c r="X51" s="45">
        <v>66.7</v>
      </c>
      <c r="Y51" s="45">
        <v>66.7</v>
      </c>
      <c r="Z51" s="45">
        <v>66.7</v>
      </c>
      <c r="AA51" s="45">
        <v>67.2</v>
      </c>
      <c r="AB51" s="65">
        <v>67</v>
      </c>
      <c r="AC51" s="65">
        <v>65</v>
      </c>
      <c r="AD51" s="65">
        <v>65.8</v>
      </c>
      <c r="AE51" s="65">
        <v>50.5</v>
      </c>
      <c r="AF51" s="65">
        <v>35</v>
      </c>
      <c r="AG51" s="55">
        <v>69</v>
      </c>
      <c r="AH51" s="48">
        <f t="shared" si="2"/>
        <v>67.5</v>
      </c>
      <c r="AI51" s="49">
        <f t="shared" si="3"/>
        <v>21</v>
      </c>
      <c r="AK51" s="50"/>
    </row>
    <row r="52" spans="1:41" x14ac:dyDescent="0.25">
      <c r="A52" s="54" t="s">
        <v>60</v>
      </c>
      <c r="B52" s="57">
        <v>59</v>
      </c>
      <c r="C52" s="57">
        <v>59</v>
      </c>
      <c r="D52" s="57">
        <v>59</v>
      </c>
      <c r="E52" s="57">
        <v>60</v>
      </c>
      <c r="F52" s="57">
        <v>60</v>
      </c>
      <c r="G52" s="57">
        <v>60</v>
      </c>
      <c r="H52" s="57">
        <v>60</v>
      </c>
      <c r="I52" s="57">
        <v>60</v>
      </c>
      <c r="J52" s="57">
        <v>60</v>
      </c>
      <c r="K52" s="57">
        <v>60</v>
      </c>
      <c r="L52" s="57">
        <v>60</v>
      </c>
      <c r="M52" s="57">
        <v>60</v>
      </c>
      <c r="N52" s="65">
        <v>60</v>
      </c>
      <c r="O52" s="65">
        <v>60</v>
      </c>
      <c r="P52" s="65">
        <v>59.2</v>
      </c>
      <c r="Q52" s="65">
        <v>57.2</v>
      </c>
      <c r="R52" s="45">
        <v>56.4</v>
      </c>
      <c r="S52" s="45">
        <v>56.4</v>
      </c>
      <c r="T52" s="45">
        <v>56.4</v>
      </c>
      <c r="U52" s="45">
        <v>58</v>
      </c>
      <c r="V52" s="65">
        <v>57.2</v>
      </c>
      <c r="W52" s="65">
        <v>57.2</v>
      </c>
      <c r="X52" s="65">
        <v>57.2</v>
      </c>
      <c r="Y52" s="65">
        <v>57.2</v>
      </c>
      <c r="Z52" s="65">
        <v>55.9</v>
      </c>
      <c r="AA52" s="65">
        <v>57.5</v>
      </c>
      <c r="AB52" s="65">
        <v>57.5</v>
      </c>
      <c r="AC52" s="65">
        <v>60.4</v>
      </c>
      <c r="AD52" s="65">
        <v>60.4</v>
      </c>
      <c r="AE52" s="65">
        <v>60.4</v>
      </c>
      <c r="AF52" s="65">
        <v>60.4</v>
      </c>
      <c r="AG52" s="55">
        <v>60</v>
      </c>
      <c r="AH52" s="48">
        <f t="shared" ref="AH52:AH60" si="6">MAX(B52:AF52)</f>
        <v>60.4</v>
      </c>
      <c r="AI52" s="49">
        <f t="shared" ref="AI52:AI60" si="7">MIN(B52:AF52)</f>
        <v>55.9</v>
      </c>
      <c r="AK52" s="50"/>
    </row>
    <row r="53" spans="1:41" x14ac:dyDescent="0.25">
      <c r="A53" s="54" t="s">
        <v>61</v>
      </c>
      <c r="B53" s="57">
        <v>8</v>
      </c>
      <c r="C53" s="57">
        <v>8</v>
      </c>
      <c r="D53" s="57">
        <v>8</v>
      </c>
      <c r="E53" s="57">
        <v>8</v>
      </c>
      <c r="F53" s="57">
        <v>8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8</v>
      </c>
      <c r="N53" s="65">
        <v>8</v>
      </c>
      <c r="O53" s="65">
        <v>8.1</v>
      </c>
      <c r="P53" s="65">
        <v>8.1</v>
      </c>
      <c r="Q53" s="65">
        <v>8.1</v>
      </c>
      <c r="R53" s="65">
        <v>8.1</v>
      </c>
      <c r="S53" s="65">
        <v>8.1</v>
      </c>
      <c r="T53" s="65">
        <v>8.1</v>
      </c>
      <c r="U53" s="65">
        <v>8.1</v>
      </c>
      <c r="V53" s="65">
        <v>8.1</v>
      </c>
      <c r="W53" s="65">
        <v>8.1</v>
      </c>
      <c r="X53" s="65">
        <v>8</v>
      </c>
      <c r="Y53" s="65">
        <v>8</v>
      </c>
      <c r="Z53" s="65">
        <v>8</v>
      </c>
      <c r="AA53" s="65">
        <v>8</v>
      </c>
      <c r="AB53" s="65">
        <v>8</v>
      </c>
      <c r="AC53" s="65">
        <v>8</v>
      </c>
      <c r="AD53" s="65">
        <v>8</v>
      </c>
      <c r="AE53" s="65">
        <v>8</v>
      </c>
      <c r="AF53" s="65">
        <v>8</v>
      </c>
      <c r="AG53" s="55">
        <v>30</v>
      </c>
      <c r="AH53" s="48">
        <f t="shared" si="6"/>
        <v>8.1</v>
      </c>
      <c r="AI53" s="49">
        <f t="shared" si="7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2</v>
      </c>
      <c r="T54" s="45">
        <v>2</v>
      </c>
      <c r="U54" s="45">
        <v>2</v>
      </c>
      <c r="V54" s="45">
        <v>2</v>
      </c>
      <c r="W54" s="45">
        <v>2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6"/>
        <v>2</v>
      </c>
      <c r="AI54" s="49">
        <f t="shared" si="7"/>
        <v>0</v>
      </c>
      <c r="AK54" s="50"/>
    </row>
    <row r="55" spans="1:41" x14ac:dyDescent="0.25">
      <c r="A55" s="54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>
        <v>17</v>
      </c>
      <c r="S55" s="65">
        <v>17</v>
      </c>
      <c r="T55" s="65">
        <v>17</v>
      </c>
      <c r="U55" s="65">
        <v>17</v>
      </c>
      <c r="V55" s="65">
        <v>17</v>
      </c>
      <c r="W55" s="65">
        <v>17</v>
      </c>
      <c r="X55" s="6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5">
        <v>24</v>
      </c>
      <c r="AH55" s="48">
        <f t="shared" si="6"/>
        <v>17</v>
      </c>
      <c r="AI55" s="49">
        <f t="shared" si="7"/>
        <v>17</v>
      </c>
      <c r="AK55" s="50"/>
    </row>
    <row r="56" spans="1:41" x14ac:dyDescent="0.25">
      <c r="A56" s="54" t="s">
        <v>64</v>
      </c>
      <c r="B56" s="65">
        <v>2.8</v>
      </c>
      <c r="C56" s="65">
        <v>2.8</v>
      </c>
      <c r="D56" s="65">
        <v>2.8</v>
      </c>
      <c r="E56" s="65">
        <v>2.6</v>
      </c>
      <c r="F56" s="65">
        <v>2.6</v>
      </c>
      <c r="G56" s="65">
        <v>2.6</v>
      </c>
      <c r="H56" s="65">
        <v>2.6</v>
      </c>
      <c r="I56" s="65">
        <v>2.6</v>
      </c>
      <c r="J56" s="65">
        <v>2.6</v>
      </c>
      <c r="K56" s="65">
        <v>2.6</v>
      </c>
      <c r="L56" s="65">
        <v>2.6</v>
      </c>
      <c r="M56" s="65">
        <v>2.6</v>
      </c>
      <c r="N56" s="65">
        <v>2.6</v>
      </c>
      <c r="O56" s="65">
        <v>2.6</v>
      </c>
      <c r="P56" s="65">
        <v>2.6</v>
      </c>
      <c r="Q56" s="65">
        <v>2.6</v>
      </c>
      <c r="R56" s="65">
        <v>2.6</v>
      </c>
      <c r="S56" s="65">
        <v>2.6</v>
      </c>
      <c r="T56" s="65">
        <v>2.6</v>
      </c>
      <c r="U56" s="65">
        <v>2.6</v>
      </c>
      <c r="V56" s="65">
        <v>2.6</v>
      </c>
      <c r="W56" s="65">
        <v>2.6</v>
      </c>
      <c r="X56" s="65">
        <v>2.6</v>
      </c>
      <c r="Y56" s="65">
        <v>2.6</v>
      </c>
      <c r="Z56" s="65">
        <v>2.6</v>
      </c>
      <c r="AA56" s="65">
        <v>2.6</v>
      </c>
      <c r="AB56" s="65">
        <v>2.6</v>
      </c>
      <c r="AC56" s="65">
        <v>2.6</v>
      </c>
      <c r="AD56" s="65">
        <v>2.6</v>
      </c>
      <c r="AE56" s="65">
        <v>2.6</v>
      </c>
      <c r="AF56" s="65">
        <v>2.6</v>
      </c>
      <c r="AG56" s="55">
        <v>15</v>
      </c>
      <c r="AH56" s="48">
        <f t="shared" si="6"/>
        <v>2.8</v>
      </c>
      <c r="AI56" s="49">
        <f t="shared" si="7"/>
        <v>2.6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14.1</v>
      </c>
      <c r="C57" s="65">
        <v>14.1</v>
      </c>
      <c r="D57" s="65">
        <v>14.1</v>
      </c>
      <c r="E57" s="65">
        <v>14.9</v>
      </c>
      <c r="F57" s="65">
        <v>14.9</v>
      </c>
      <c r="G57" s="65">
        <v>14.9</v>
      </c>
      <c r="H57" s="65">
        <v>14.9</v>
      </c>
      <c r="I57" s="65">
        <v>14.9</v>
      </c>
      <c r="J57" s="65">
        <v>14.9</v>
      </c>
      <c r="K57" s="65">
        <v>14.9</v>
      </c>
      <c r="L57" s="65">
        <v>14.9</v>
      </c>
      <c r="M57" s="65">
        <v>14.9</v>
      </c>
      <c r="N57" s="65">
        <v>14.9</v>
      </c>
      <c r="O57" s="65">
        <v>14.9</v>
      </c>
      <c r="P57" s="65">
        <v>14.9</v>
      </c>
      <c r="Q57" s="65">
        <v>14.9</v>
      </c>
      <c r="R57" s="65">
        <v>14.9</v>
      </c>
      <c r="S57" s="65">
        <v>14.9</v>
      </c>
      <c r="T57" s="65">
        <v>14.9</v>
      </c>
      <c r="U57" s="65">
        <v>14.9</v>
      </c>
      <c r="V57" s="65">
        <v>14.9</v>
      </c>
      <c r="W57" s="65">
        <v>14.9</v>
      </c>
      <c r="X57" s="65">
        <v>13.5</v>
      </c>
      <c r="Y57" s="65">
        <v>13.5</v>
      </c>
      <c r="Z57" s="65">
        <v>14.4</v>
      </c>
      <c r="AA57" s="65">
        <v>14.4</v>
      </c>
      <c r="AB57" s="65">
        <v>14.4</v>
      </c>
      <c r="AC57" s="65">
        <v>14.4</v>
      </c>
      <c r="AD57" s="65">
        <v>14.4</v>
      </c>
      <c r="AE57" s="65">
        <v>14.4</v>
      </c>
      <c r="AF57" s="65">
        <v>14.4</v>
      </c>
      <c r="AG57" s="55">
        <v>14.1</v>
      </c>
      <c r="AH57" s="48">
        <f t="shared" si="6"/>
        <v>14.9</v>
      </c>
      <c r="AI57" s="49">
        <f t="shared" si="7"/>
        <v>13.5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5.2</v>
      </c>
      <c r="C58" s="65">
        <v>5.2</v>
      </c>
      <c r="D58" s="65">
        <v>5.2</v>
      </c>
      <c r="E58" s="65">
        <v>5.4</v>
      </c>
      <c r="F58" s="65">
        <v>5.4</v>
      </c>
      <c r="G58" s="65">
        <v>5.4</v>
      </c>
      <c r="H58" s="65">
        <v>5.4</v>
      </c>
      <c r="I58" s="65">
        <v>5.4</v>
      </c>
      <c r="J58" s="65">
        <v>5.4</v>
      </c>
      <c r="K58" s="65">
        <v>5.4</v>
      </c>
      <c r="L58" s="65">
        <v>5.4</v>
      </c>
      <c r="M58" s="65">
        <v>5.4</v>
      </c>
      <c r="N58" s="65">
        <v>5.4</v>
      </c>
      <c r="O58" s="65">
        <v>5.4</v>
      </c>
      <c r="P58" s="65">
        <v>5.4</v>
      </c>
      <c r="Q58" s="65">
        <v>5.4</v>
      </c>
      <c r="R58" s="65">
        <v>5.4</v>
      </c>
      <c r="S58" s="65">
        <v>5.4</v>
      </c>
      <c r="T58" s="65">
        <v>5.4</v>
      </c>
      <c r="U58" s="65">
        <v>5.4</v>
      </c>
      <c r="V58" s="65">
        <v>5.4</v>
      </c>
      <c r="W58" s="65">
        <v>5.4</v>
      </c>
      <c r="X58" s="65">
        <v>5.2</v>
      </c>
      <c r="Y58" s="65">
        <v>5.2</v>
      </c>
      <c r="Z58" s="65">
        <v>6.8</v>
      </c>
      <c r="AA58" s="65">
        <v>6.8</v>
      </c>
      <c r="AB58" s="65">
        <v>6.8</v>
      </c>
      <c r="AC58" s="65">
        <v>6.8</v>
      </c>
      <c r="AD58" s="65">
        <v>6.8</v>
      </c>
      <c r="AE58" s="65">
        <v>6.8</v>
      </c>
      <c r="AF58" s="65">
        <v>6.8</v>
      </c>
      <c r="AG58" s="55">
        <v>14</v>
      </c>
      <c r="AH58" s="48">
        <f t="shared" si="6"/>
        <v>6.8</v>
      </c>
      <c r="AI58" s="49">
        <f t="shared" si="7"/>
        <v>5.2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6"/>
        <v>6.5</v>
      </c>
      <c r="AI59" s="49">
        <f t="shared" si="7"/>
        <v>6.5</v>
      </c>
      <c r="AK59" s="50"/>
    </row>
    <row r="60" spans="1:41" x14ac:dyDescent="0.25">
      <c r="A60" s="54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5">
        <v>6.2</v>
      </c>
      <c r="AH60" s="48">
        <f t="shared" si="6"/>
        <v>3.2</v>
      </c>
      <c r="AI60" s="49">
        <f t="shared" si="7"/>
        <v>3.2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8">SUM(B49:B61)</f>
        <v>140.33999999999997</v>
      </c>
      <c r="C62" s="61">
        <f t="shared" si="8"/>
        <v>140.33999999999997</v>
      </c>
      <c r="D62" s="61">
        <f t="shared" si="8"/>
        <v>151.33999999999997</v>
      </c>
      <c r="E62" s="61">
        <f t="shared" si="8"/>
        <v>153.13999999999999</v>
      </c>
      <c r="F62" s="61">
        <f t="shared" si="8"/>
        <v>167.14</v>
      </c>
      <c r="G62" s="61">
        <f t="shared" si="8"/>
        <v>199.23999999999998</v>
      </c>
      <c r="H62" s="61">
        <f t="shared" si="8"/>
        <v>244.14</v>
      </c>
      <c r="I62" s="61">
        <f t="shared" si="8"/>
        <v>275.14</v>
      </c>
      <c r="J62" s="61">
        <f t="shared" si="8"/>
        <v>237.14</v>
      </c>
      <c r="K62" s="61">
        <f t="shared" si="8"/>
        <v>389.14</v>
      </c>
      <c r="L62" s="61">
        <f t="shared" si="8"/>
        <v>392.64</v>
      </c>
      <c r="M62" s="61">
        <f t="shared" si="8"/>
        <v>400.53999999999996</v>
      </c>
      <c r="N62" s="61">
        <f t="shared" si="8"/>
        <v>380.14</v>
      </c>
      <c r="O62" s="61">
        <f t="shared" si="8"/>
        <v>353.24</v>
      </c>
      <c r="P62" s="61">
        <f t="shared" si="8"/>
        <v>346.84</v>
      </c>
      <c r="Q62" s="61">
        <f t="shared" si="8"/>
        <v>326.64</v>
      </c>
      <c r="R62" s="61">
        <f t="shared" si="8"/>
        <v>303.64</v>
      </c>
      <c r="S62" s="61">
        <f t="shared" si="8"/>
        <v>292.74</v>
      </c>
      <c r="T62" s="61">
        <f t="shared" si="8"/>
        <v>278.53999999999996</v>
      </c>
      <c r="U62" s="61">
        <f t="shared" si="8"/>
        <v>287.23999999999995</v>
      </c>
      <c r="V62" s="61">
        <f t="shared" si="8"/>
        <v>353.14000000000004</v>
      </c>
      <c r="W62" s="61">
        <f t="shared" si="8"/>
        <v>353.14000000000004</v>
      </c>
      <c r="X62" s="61">
        <f>SUM(X49:X61)</f>
        <v>393.94</v>
      </c>
      <c r="Y62" s="61">
        <f t="shared" si="8"/>
        <v>392.44</v>
      </c>
      <c r="Z62" s="61">
        <f t="shared" si="8"/>
        <v>376.44</v>
      </c>
      <c r="AA62" s="61">
        <f t="shared" si="8"/>
        <v>381.94</v>
      </c>
      <c r="AB62" s="61">
        <f t="shared" si="8"/>
        <v>381.74</v>
      </c>
      <c r="AC62" s="61">
        <f t="shared" si="8"/>
        <v>317.04000000000002</v>
      </c>
      <c r="AD62" s="61">
        <f t="shared" si="8"/>
        <v>274.24</v>
      </c>
      <c r="AE62" s="61">
        <f t="shared" si="8"/>
        <v>225.73999999999998</v>
      </c>
      <c r="AF62" s="61">
        <f t="shared" si="8"/>
        <v>157.44</v>
      </c>
      <c r="AG62" s="62">
        <f t="shared" si="8"/>
        <v>489.91</v>
      </c>
      <c r="AH62" s="48">
        <f t="shared" si="2"/>
        <v>400.53999999999996</v>
      </c>
      <c r="AI62" s="49">
        <f t="shared" si="3"/>
        <v>140.33999999999997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30</v>
      </c>
      <c r="L63" s="45">
        <v>60</v>
      </c>
      <c r="M63" s="45">
        <v>60</v>
      </c>
      <c r="N63" s="45">
        <v>50</v>
      </c>
      <c r="O63" s="45">
        <v>50</v>
      </c>
      <c r="P63" s="45">
        <v>40</v>
      </c>
      <c r="Q63" s="45">
        <v>10</v>
      </c>
      <c r="R63" s="45">
        <v>10</v>
      </c>
      <c r="S63" s="45">
        <v>0</v>
      </c>
      <c r="T63" s="45">
        <v>0</v>
      </c>
      <c r="U63" s="45">
        <v>14</v>
      </c>
      <c r="V63" s="45">
        <v>20</v>
      </c>
      <c r="W63" s="45">
        <v>50</v>
      </c>
      <c r="X63" s="45">
        <v>50</v>
      </c>
      <c r="Y63" s="45">
        <v>45</v>
      </c>
      <c r="Z63" s="45">
        <v>40</v>
      </c>
      <c r="AA63" s="45">
        <v>40</v>
      </c>
      <c r="AB63" s="45">
        <v>30</v>
      </c>
      <c r="AC63" s="45">
        <v>30</v>
      </c>
      <c r="AD63" s="45">
        <v>20</v>
      </c>
      <c r="AE63" s="45">
        <v>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45">
        <v>0</v>
      </c>
      <c r="C64" s="45">
        <v>0</v>
      </c>
      <c r="D64" s="4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15</v>
      </c>
      <c r="L64" s="65">
        <v>30</v>
      </c>
      <c r="M64" s="65">
        <v>28.8</v>
      </c>
      <c r="N64" s="65">
        <v>29.1</v>
      </c>
      <c r="O64" s="65">
        <v>27</v>
      </c>
      <c r="P64" s="65">
        <v>16.8</v>
      </c>
      <c r="Q64" s="45">
        <v>4.5</v>
      </c>
      <c r="R64" s="45">
        <v>3.8</v>
      </c>
      <c r="S64" s="65">
        <v>0</v>
      </c>
      <c r="T64" s="65">
        <v>0</v>
      </c>
      <c r="U64" s="65">
        <v>10</v>
      </c>
      <c r="V64" s="65">
        <v>8.3000000000000007</v>
      </c>
      <c r="W64" s="65">
        <v>21.5</v>
      </c>
      <c r="X64" s="65">
        <v>23.1</v>
      </c>
      <c r="Y64" s="65">
        <v>16.8</v>
      </c>
      <c r="Z64" s="65">
        <v>16</v>
      </c>
      <c r="AA64" s="65">
        <v>14.9</v>
      </c>
      <c r="AB64" s="65">
        <v>15</v>
      </c>
      <c r="AC64" s="65">
        <v>13.7</v>
      </c>
      <c r="AD64" s="65">
        <v>14.3</v>
      </c>
      <c r="AE64" s="65">
        <v>5</v>
      </c>
      <c r="AF64" s="45">
        <v>0</v>
      </c>
      <c r="AG64" s="55">
        <v>32</v>
      </c>
      <c r="AH64" s="48">
        <f t="shared" si="2"/>
        <v>30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45">
        <v>0</v>
      </c>
      <c r="C65" s="45">
        <v>0</v>
      </c>
      <c r="D65" s="45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4.9000000000000004</v>
      </c>
      <c r="L65" s="67">
        <v>10</v>
      </c>
      <c r="M65" s="67">
        <v>10</v>
      </c>
      <c r="N65" s="67">
        <v>10.6</v>
      </c>
      <c r="O65" s="67">
        <v>10.199999999999999</v>
      </c>
      <c r="P65" s="67">
        <v>6.1</v>
      </c>
      <c r="Q65" s="45">
        <v>1.7</v>
      </c>
      <c r="R65" s="45">
        <v>1.4</v>
      </c>
      <c r="S65" s="67">
        <v>0</v>
      </c>
      <c r="T65" s="67">
        <v>0</v>
      </c>
      <c r="U65" s="67">
        <v>4</v>
      </c>
      <c r="V65" s="67">
        <v>3</v>
      </c>
      <c r="W65" s="67">
        <v>7.8</v>
      </c>
      <c r="X65" s="67">
        <v>8.4</v>
      </c>
      <c r="Y65" s="67">
        <v>6.1</v>
      </c>
      <c r="Z65" s="67">
        <v>5.8</v>
      </c>
      <c r="AA65" s="67">
        <v>5.5</v>
      </c>
      <c r="AB65" s="67">
        <v>4.9000000000000004</v>
      </c>
      <c r="AC65" s="67">
        <v>4.9000000000000004</v>
      </c>
      <c r="AD65" s="67">
        <v>5.2</v>
      </c>
      <c r="AE65" s="67">
        <v>1.8</v>
      </c>
      <c r="AF65" s="45">
        <v>0</v>
      </c>
      <c r="AG65" s="68">
        <v>14</v>
      </c>
      <c r="AH65" s="48">
        <f t="shared" si="2"/>
        <v>10.6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100</v>
      </c>
      <c r="M66" s="61">
        <f t="shared" ref="M66:AF66" si="9">M63+M64+M65</f>
        <v>98.8</v>
      </c>
      <c r="N66" s="61">
        <f t="shared" si="9"/>
        <v>89.699999999999989</v>
      </c>
      <c r="O66" s="61">
        <f t="shared" si="9"/>
        <v>87.2</v>
      </c>
      <c r="P66" s="61">
        <f t="shared" si="9"/>
        <v>62.9</v>
      </c>
      <c r="Q66" s="61">
        <f t="shared" si="9"/>
        <v>16.2</v>
      </c>
      <c r="R66" s="61">
        <f t="shared" si="9"/>
        <v>15.200000000000001</v>
      </c>
      <c r="S66" s="61">
        <f t="shared" si="9"/>
        <v>0</v>
      </c>
      <c r="T66" s="61">
        <f t="shared" si="9"/>
        <v>0</v>
      </c>
      <c r="U66" s="61">
        <f t="shared" si="9"/>
        <v>28</v>
      </c>
      <c r="V66" s="61">
        <f t="shared" si="9"/>
        <v>31.3</v>
      </c>
      <c r="W66" s="61">
        <f t="shared" si="9"/>
        <v>79.3</v>
      </c>
      <c r="X66" s="61">
        <f t="shared" si="9"/>
        <v>81.5</v>
      </c>
      <c r="Y66" s="61">
        <f t="shared" si="9"/>
        <v>67.899999999999991</v>
      </c>
      <c r="Z66" s="61">
        <f t="shared" si="9"/>
        <v>61.8</v>
      </c>
      <c r="AA66" s="61">
        <f t="shared" si="9"/>
        <v>60.4</v>
      </c>
      <c r="AB66" s="61">
        <f t="shared" si="9"/>
        <v>49.9</v>
      </c>
      <c r="AC66" s="61">
        <f t="shared" si="9"/>
        <v>48.6</v>
      </c>
      <c r="AD66" s="61">
        <f t="shared" si="9"/>
        <v>39.5</v>
      </c>
      <c r="AE66" s="61">
        <f t="shared" si="9"/>
        <v>6.8</v>
      </c>
      <c r="AF66" s="61">
        <f t="shared" si="9"/>
        <v>0</v>
      </c>
      <c r="AG66" s="62">
        <f t="shared" ref="AG66" si="10">SUM(AG63:AG65)</f>
        <v>106</v>
      </c>
      <c r="AH66" s="48">
        <f t="shared" si="2"/>
        <v>100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55</v>
      </c>
      <c r="C67" s="45">
        <v>65</v>
      </c>
      <c r="D67" s="45">
        <v>65</v>
      </c>
      <c r="E67" s="45">
        <v>63</v>
      </c>
      <c r="F67" s="45">
        <v>61</v>
      </c>
      <c r="G67" s="45">
        <v>62</v>
      </c>
      <c r="H67" s="45">
        <v>62</v>
      </c>
      <c r="I67" s="45">
        <v>62</v>
      </c>
      <c r="J67" s="45">
        <v>62</v>
      </c>
      <c r="K67" s="45">
        <v>70</v>
      </c>
      <c r="L67" s="45">
        <v>70</v>
      </c>
      <c r="M67" s="45">
        <v>60</v>
      </c>
      <c r="N67" s="45">
        <v>65</v>
      </c>
      <c r="O67" s="45">
        <v>59</v>
      </c>
      <c r="P67" s="45">
        <v>57.74</v>
      </c>
      <c r="Q67" s="45">
        <v>63.1</v>
      </c>
      <c r="R67" s="45">
        <v>63.6</v>
      </c>
      <c r="S67" s="45">
        <v>63.5</v>
      </c>
      <c r="T67" s="45">
        <v>61.1</v>
      </c>
      <c r="U67" s="45">
        <v>64</v>
      </c>
      <c r="V67" s="45">
        <v>70.5</v>
      </c>
      <c r="W67" s="45">
        <v>66.5</v>
      </c>
      <c r="X67" s="45">
        <v>66.099999999999994</v>
      </c>
      <c r="Y67" s="45">
        <v>64.599999999999994</v>
      </c>
      <c r="Z67" s="45">
        <v>62.1</v>
      </c>
      <c r="AA67" s="45">
        <v>60</v>
      </c>
      <c r="AB67" s="45">
        <v>68</v>
      </c>
      <c r="AC67" s="45">
        <v>69.3</v>
      </c>
      <c r="AD67" s="45">
        <v>65.099999999999994</v>
      </c>
      <c r="AE67" s="45">
        <v>59</v>
      </c>
      <c r="AF67" s="45">
        <v>60</v>
      </c>
      <c r="AG67" s="52"/>
      <c r="AH67" s="48">
        <f t="shared" si="2"/>
        <v>70.5</v>
      </c>
      <c r="AI67" s="49">
        <f t="shared" si="3"/>
        <v>55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166</v>
      </c>
      <c r="C69" s="65">
        <v>166.5</v>
      </c>
      <c r="D69" s="65">
        <v>179</v>
      </c>
      <c r="E69" s="65">
        <v>163</v>
      </c>
      <c r="F69" s="65">
        <v>165</v>
      </c>
      <c r="G69" s="65">
        <v>168</v>
      </c>
      <c r="H69" s="65">
        <v>168</v>
      </c>
      <c r="I69" s="65">
        <v>168</v>
      </c>
      <c r="J69" s="65">
        <v>168</v>
      </c>
      <c r="K69" s="65"/>
      <c r="L69" s="65"/>
      <c r="M69" s="65">
        <v>48</v>
      </c>
      <c r="N69" s="65">
        <v>63</v>
      </c>
      <c r="O69" s="65">
        <v>75</v>
      </c>
      <c r="P69" s="65">
        <v>130.9</v>
      </c>
      <c r="Q69" s="65">
        <v>317</v>
      </c>
      <c r="R69" s="65">
        <v>320</v>
      </c>
      <c r="S69" s="65">
        <v>300</v>
      </c>
      <c r="T69" s="65">
        <v>311.39999999999998</v>
      </c>
      <c r="U69" s="65">
        <v>270</v>
      </c>
      <c r="V69" s="65">
        <v>240</v>
      </c>
      <c r="W69" s="65">
        <v>254.7</v>
      </c>
      <c r="X69" s="65">
        <v>170.4</v>
      </c>
      <c r="Y69" s="65">
        <v>89</v>
      </c>
      <c r="Z69" s="65">
        <v>104.7</v>
      </c>
      <c r="AA69" s="65">
        <v>95</v>
      </c>
      <c r="AB69" s="65">
        <v>230</v>
      </c>
      <c r="AC69" s="65">
        <v>243</v>
      </c>
      <c r="AD69" s="65">
        <v>238</v>
      </c>
      <c r="AE69" s="65">
        <v>200</v>
      </c>
      <c r="AF69" s="65">
        <v>180</v>
      </c>
      <c r="AG69" s="75"/>
      <c r="AH69" s="48">
        <f t="shared" si="2"/>
        <v>320</v>
      </c>
      <c r="AI69" s="49">
        <f t="shared" si="3"/>
        <v>48</v>
      </c>
      <c r="AK69" s="50"/>
    </row>
    <row r="70" spans="1:40" x14ac:dyDescent="0.25">
      <c r="A70" s="54" t="s">
        <v>78</v>
      </c>
      <c r="B70" s="76">
        <v>55</v>
      </c>
      <c r="C70" s="76">
        <v>56</v>
      </c>
      <c r="D70" s="76">
        <v>5</v>
      </c>
      <c r="E70" s="76">
        <v>4.5999999999999996</v>
      </c>
      <c r="F70" s="76">
        <v>6</v>
      </c>
      <c r="G70" s="76">
        <v>4</v>
      </c>
      <c r="H70" s="76">
        <v>4</v>
      </c>
      <c r="I70" s="76">
        <v>4</v>
      </c>
      <c r="J70" s="76">
        <v>4</v>
      </c>
      <c r="K70" s="76">
        <v>60.3</v>
      </c>
      <c r="L70" s="76">
        <v>60.3</v>
      </c>
      <c r="M70" s="76">
        <v>59.3</v>
      </c>
      <c r="N70" s="76">
        <v>56.8</v>
      </c>
      <c r="O70" s="76">
        <v>55.8</v>
      </c>
      <c r="P70" s="76">
        <v>55</v>
      </c>
      <c r="Q70" s="76">
        <v>64</v>
      </c>
      <c r="R70" s="76">
        <v>56</v>
      </c>
      <c r="S70" s="76">
        <v>55.8</v>
      </c>
      <c r="T70" s="76">
        <v>56.5</v>
      </c>
      <c r="U70" s="76">
        <v>60</v>
      </c>
      <c r="V70" s="76">
        <v>61</v>
      </c>
      <c r="W70" s="76">
        <v>63.7</v>
      </c>
      <c r="X70" s="65">
        <v>58.2</v>
      </c>
      <c r="Y70" s="65">
        <v>56.6</v>
      </c>
      <c r="Z70" s="65">
        <v>54.5</v>
      </c>
      <c r="AA70" s="65">
        <v>60.4</v>
      </c>
      <c r="AB70" s="65">
        <v>56</v>
      </c>
      <c r="AC70" s="65">
        <v>53.3</v>
      </c>
      <c r="AD70" s="65">
        <v>52</v>
      </c>
      <c r="AE70" s="65">
        <v>45.4</v>
      </c>
      <c r="AF70" s="65">
        <v>51.3</v>
      </c>
      <c r="AG70" s="75"/>
      <c r="AH70" s="48">
        <f t="shared" si="2"/>
        <v>64</v>
      </c>
      <c r="AI70" s="49">
        <f t="shared" si="3"/>
        <v>4</v>
      </c>
      <c r="AK70" s="50"/>
    </row>
    <row r="71" spans="1:40" x14ac:dyDescent="0.25">
      <c r="A71" s="54" t="s">
        <v>79</v>
      </c>
      <c r="B71" s="45">
        <v>21</v>
      </c>
      <c r="C71" s="45">
        <v>0</v>
      </c>
      <c r="D71" s="45">
        <v>15</v>
      </c>
      <c r="E71" s="45">
        <v>16</v>
      </c>
      <c r="F71" s="45">
        <v>15</v>
      </c>
      <c r="G71" s="45">
        <v>15</v>
      </c>
      <c r="H71" s="45">
        <v>15</v>
      </c>
      <c r="I71" s="45">
        <v>15</v>
      </c>
      <c r="J71" s="45">
        <v>15</v>
      </c>
      <c r="K71" s="45">
        <v>26.3</v>
      </c>
      <c r="L71" s="45">
        <v>26.3</v>
      </c>
      <c r="M71" s="45">
        <v>27</v>
      </c>
      <c r="N71" s="45">
        <v>28.2</v>
      </c>
      <c r="O71" s="45">
        <v>29.3</v>
      </c>
      <c r="P71" s="45">
        <v>28</v>
      </c>
      <c r="Q71" s="45">
        <v>29</v>
      </c>
      <c r="R71" s="45">
        <v>25</v>
      </c>
      <c r="S71" s="45">
        <v>25</v>
      </c>
      <c r="T71" s="45">
        <v>26.8</v>
      </c>
      <c r="U71" s="45">
        <v>26</v>
      </c>
      <c r="V71" s="45">
        <v>23.5</v>
      </c>
      <c r="W71" s="45">
        <v>22.5</v>
      </c>
      <c r="X71" s="45">
        <v>22.5</v>
      </c>
      <c r="Y71" s="45">
        <v>22.3</v>
      </c>
      <c r="Z71" s="45">
        <v>21.1</v>
      </c>
      <c r="AA71" s="45">
        <v>21.3</v>
      </c>
      <c r="AB71" s="45">
        <v>22</v>
      </c>
      <c r="AC71" s="45">
        <v>20.9</v>
      </c>
      <c r="AD71" s="45">
        <v>19.5</v>
      </c>
      <c r="AE71" s="45">
        <v>19.8</v>
      </c>
      <c r="AF71" s="45">
        <v>20.2</v>
      </c>
      <c r="AG71" s="75"/>
      <c r="AH71" s="48">
        <f t="shared" si="2"/>
        <v>29.3</v>
      </c>
      <c r="AI71" s="49">
        <f t="shared" si="3"/>
        <v>0</v>
      </c>
      <c r="AK71" s="50"/>
    </row>
    <row r="72" spans="1:40" x14ac:dyDescent="0.25">
      <c r="A72" s="54" t="s">
        <v>80</v>
      </c>
      <c r="B72" s="77">
        <v>5</v>
      </c>
      <c r="C72" s="77">
        <v>5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5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11">MAX(B75:AF75)</f>
        <v>0</v>
      </c>
      <c r="AI75" s="49">
        <f t="shared" ref="AI75:AI113" si="12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11"/>
        <v>0</v>
      </c>
      <c r="AI76" s="49">
        <f t="shared" si="12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11"/>
        <v>0</v>
      </c>
      <c r="AI77" s="49">
        <f t="shared" si="12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3">SUMIF(B67:B77,"&gt;0")</f>
        <v>302</v>
      </c>
      <c r="C78" s="61">
        <f t="shared" si="13"/>
        <v>292.5</v>
      </c>
      <c r="D78" s="61">
        <f t="shared" si="13"/>
        <v>264</v>
      </c>
      <c r="E78" s="61">
        <f t="shared" si="13"/>
        <v>246.6</v>
      </c>
      <c r="F78" s="61">
        <f t="shared" si="13"/>
        <v>247</v>
      </c>
      <c r="G78" s="61">
        <f t="shared" si="13"/>
        <v>249</v>
      </c>
      <c r="H78" s="61">
        <f t="shared" si="13"/>
        <v>249</v>
      </c>
      <c r="I78" s="61">
        <f t="shared" si="13"/>
        <v>249</v>
      </c>
      <c r="J78" s="61">
        <f t="shared" si="13"/>
        <v>249</v>
      </c>
      <c r="K78" s="61">
        <f t="shared" si="13"/>
        <v>156.60000000000002</v>
      </c>
      <c r="L78" s="61">
        <f t="shared" si="13"/>
        <v>156.60000000000002</v>
      </c>
      <c r="M78" s="61">
        <f t="shared" si="13"/>
        <v>194.3</v>
      </c>
      <c r="N78" s="61">
        <f t="shared" si="13"/>
        <v>213</v>
      </c>
      <c r="O78" s="61">
        <f t="shared" si="13"/>
        <v>219.10000000000002</v>
      </c>
      <c r="P78" s="61">
        <f t="shared" si="13"/>
        <v>271.64</v>
      </c>
      <c r="Q78" s="61">
        <f t="shared" si="13"/>
        <v>473.1</v>
      </c>
      <c r="R78" s="61">
        <f t="shared" si="13"/>
        <v>464.6</v>
      </c>
      <c r="S78" s="61">
        <f t="shared" si="13"/>
        <v>444.3</v>
      </c>
      <c r="T78" s="61">
        <f t="shared" si="13"/>
        <v>460.8</v>
      </c>
      <c r="U78" s="61">
        <f t="shared" si="13"/>
        <v>425</v>
      </c>
      <c r="V78" s="61">
        <f t="shared" si="13"/>
        <v>400</v>
      </c>
      <c r="W78" s="61">
        <f t="shared" si="13"/>
        <v>412.4</v>
      </c>
      <c r="X78" s="61">
        <f t="shared" si="13"/>
        <v>322.2</v>
      </c>
      <c r="Y78" s="61">
        <f t="shared" si="13"/>
        <v>237.5</v>
      </c>
      <c r="Z78" s="61">
        <f t="shared" si="13"/>
        <v>247.4</v>
      </c>
      <c r="AA78" s="61">
        <f t="shared" si="13"/>
        <v>241.70000000000002</v>
      </c>
      <c r="AB78" s="61">
        <f t="shared" si="13"/>
        <v>381</v>
      </c>
      <c r="AC78" s="61">
        <f t="shared" si="13"/>
        <v>391.5</v>
      </c>
      <c r="AD78" s="61">
        <f t="shared" si="13"/>
        <v>379.6</v>
      </c>
      <c r="AE78" s="61">
        <f t="shared" si="13"/>
        <v>329.2</v>
      </c>
      <c r="AF78" s="61">
        <f t="shared" si="13"/>
        <v>316.5</v>
      </c>
      <c r="AG78" s="81">
        <f>SUM(AG67:AG77)</f>
        <v>0</v>
      </c>
      <c r="AH78" s="48">
        <f t="shared" si="11"/>
        <v>473.1</v>
      </c>
      <c r="AI78" s="49">
        <f t="shared" si="12"/>
        <v>156.60000000000002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11"/>
        <v>0</v>
      </c>
      <c r="AI79" s="49">
        <f t="shared" si="12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11"/>
        <v>0</v>
      </c>
      <c r="AI80" s="49">
        <f t="shared" si="12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1"/>
        <v>0</v>
      </c>
      <c r="AI81" s="49">
        <f t="shared" si="12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11"/>
        <v>0</v>
      </c>
      <c r="AI82" s="49">
        <f t="shared" si="12"/>
        <v>0</v>
      </c>
    </row>
    <row r="83" spans="1:37" ht="15.75" thickBot="1" x14ac:dyDescent="0.3">
      <c r="A83" s="74" t="s">
        <v>91</v>
      </c>
      <c r="B83" s="83">
        <f>B44+B48+B66+B62+B78+B82</f>
        <v>1012.54</v>
      </c>
      <c r="C83" s="83">
        <f t="shared" ref="C83:AG83" si="14">C44+C48+C66+C62+C78+C82</f>
        <v>1003.04</v>
      </c>
      <c r="D83" s="83">
        <f t="shared" si="14"/>
        <v>985.54</v>
      </c>
      <c r="E83" s="83">
        <f t="shared" si="14"/>
        <v>969.54</v>
      </c>
      <c r="F83" s="83">
        <f t="shared" si="14"/>
        <v>983.7399999999999</v>
      </c>
      <c r="G83" s="83">
        <f t="shared" si="14"/>
        <v>1018.04</v>
      </c>
      <c r="H83" s="83">
        <f t="shared" si="14"/>
        <v>1062.94</v>
      </c>
      <c r="I83" s="83">
        <f t="shared" si="14"/>
        <v>1093.94</v>
      </c>
      <c r="J83" s="83">
        <f t="shared" si="14"/>
        <v>1070.94</v>
      </c>
      <c r="K83" s="83">
        <f t="shared" si="14"/>
        <v>1266.54</v>
      </c>
      <c r="L83" s="83">
        <f t="shared" si="14"/>
        <v>1549.94</v>
      </c>
      <c r="M83" s="83">
        <f t="shared" si="14"/>
        <v>1674.34</v>
      </c>
      <c r="N83" s="83">
        <f t="shared" si="14"/>
        <v>1603.54</v>
      </c>
      <c r="O83" s="83">
        <f t="shared" si="14"/>
        <v>1530.2399999999998</v>
      </c>
      <c r="P83" s="83">
        <f t="shared" si="14"/>
        <v>1482.08</v>
      </c>
      <c r="Q83" s="83">
        <f t="shared" si="14"/>
        <v>1401.8400000000001</v>
      </c>
      <c r="R83" s="83">
        <f t="shared" si="14"/>
        <v>1348.8400000000001</v>
      </c>
      <c r="S83" s="83">
        <f t="shared" si="14"/>
        <v>1302.6400000000001</v>
      </c>
      <c r="T83" s="83">
        <f t="shared" si="14"/>
        <v>1304.94</v>
      </c>
      <c r="U83" s="83">
        <f t="shared" si="14"/>
        <v>1365.84</v>
      </c>
      <c r="V83" s="83">
        <f t="shared" si="14"/>
        <v>1451.04</v>
      </c>
      <c r="W83" s="83">
        <f t="shared" si="14"/>
        <v>1551.44</v>
      </c>
      <c r="X83" s="83">
        <f t="shared" si="14"/>
        <v>1623.74</v>
      </c>
      <c r="Y83" s="83">
        <f t="shared" si="14"/>
        <v>1603.94</v>
      </c>
      <c r="Z83" s="83">
        <f t="shared" si="14"/>
        <v>1551.74</v>
      </c>
      <c r="AA83" s="83">
        <f t="shared" si="14"/>
        <v>1530.14</v>
      </c>
      <c r="AB83" s="83">
        <f t="shared" si="14"/>
        <v>1488.74</v>
      </c>
      <c r="AC83" s="83">
        <f t="shared" si="14"/>
        <v>1413.24</v>
      </c>
      <c r="AD83" s="83">
        <f t="shared" si="14"/>
        <v>1342.04</v>
      </c>
      <c r="AE83" s="83">
        <f t="shared" si="14"/>
        <v>1180.44</v>
      </c>
      <c r="AF83" s="83">
        <f t="shared" si="14"/>
        <v>1062.6400000000001</v>
      </c>
      <c r="AG83" s="62">
        <f t="shared" si="14"/>
        <v>2004.1900000000003</v>
      </c>
      <c r="AH83" s="48">
        <f>MAX(B83:AF83)</f>
        <v>1674.34</v>
      </c>
      <c r="AI83" s="49">
        <f>MIN(B83:AF83)</f>
        <v>969.54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11"/>
        <v>0</v>
      </c>
      <c r="AI84" s="49">
        <f t="shared" si="12"/>
        <v>0</v>
      </c>
    </row>
    <row r="85" spans="1:37" ht="15.75" thickBot="1" x14ac:dyDescent="0.3">
      <c r="A85" s="74" t="s">
        <v>93</v>
      </c>
      <c r="B85" s="83">
        <f>B83+B84</f>
        <v>1012.54</v>
      </c>
      <c r="C85" s="83">
        <f t="shared" ref="C85:AF85" si="15">C83+C84</f>
        <v>1003.04</v>
      </c>
      <c r="D85" s="83">
        <f t="shared" si="15"/>
        <v>985.54</v>
      </c>
      <c r="E85" s="83">
        <f t="shared" si="15"/>
        <v>969.54</v>
      </c>
      <c r="F85" s="83">
        <f t="shared" si="15"/>
        <v>983.7399999999999</v>
      </c>
      <c r="G85" s="83">
        <f t="shared" si="15"/>
        <v>1018.04</v>
      </c>
      <c r="H85" s="83">
        <f t="shared" si="15"/>
        <v>1062.94</v>
      </c>
      <c r="I85" s="83">
        <f t="shared" si="15"/>
        <v>1093.94</v>
      </c>
      <c r="J85" s="83">
        <f t="shared" si="15"/>
        <v>1070.94</v>
      </c>
      <c r="K85" s="83">
        <f t="shared" si="15"/>
        <v>1266.54</v>
      </c>
      <c r="L85" s="83">
        <f t="shared" si="15"/>
        <v>1549.94</v>
      </c>
      <c r="M85" s="83">
        <f t="shared" si="15"/>
        <v>1674.34</v>
      </c>
      <c r="N85" s="83">
        <f t="shared" si="15"/>
        <v>1603.54</v>
      </c>
      <c r="O85" s="83">
        <f t="shared" si="15"/>
        <v>1530.2399999999998</v>
      </c>
      <c r="P85" s="83">
        <f t="shared" si="15"/>
        <v>1482.08</v>
      </c>
      <c r="Q85" s="83">
        <f t="shared" si="15"/>
        <v>1401.8400000000001</v>
      </c>
      <c r="R85" s="83">
        <f t="shared" si="15"/>
        <v>1348.8400000000001</v>
      </c>
      <c r="S85" s="83">
        <f t="shared" si="15"/>
        <v>1302.6400000000001</v>
      </c>
      <c r="T85" s="83">
        <f t="shared" si="15"/>
        <v>1304.94</v>
      </c>
      <c r="U85" s="83">
        <f t="shared" si="15"/>
        <v>1365.84</v>
      </c>
      <c r="V85" s="83">
        <f t="shared" si="15"/>
        <v>1451.04</v>
      </c>
      <c r="W85" s="83">
        <f t="shared" si="15"/>
        <v>1551.44</v>
      </c>
      <c r="X85" s="83">
        <f t="shared" si="15"/>
        <v>1623.74</v>
      </c>
      <c r="Y85" s="83">
        <f t="shared" si="15"/>
        <v>1603.94</v>
      </c>
      <c r="Z85" s="83">
        <f t="shared" si="15"/>
        <v>1551.74</v>
      </c>
      <c r="AA85" s="83">
        <f t="shared" si="15"/>
        <v>1530.14</v>
      </c>
      <c r="AB85" s="83">
        <f t="shared" si="15"/>
        <v>1488.74</v>
      </c>
      <c r="AC85" s="83">
        <f t="shared" si="15"/>
        <v>1413.24</v>
      </c>
      <c r="AD85" s="83">
        <f t="shared" si="15"/>
        <v>1342.04</v>
      </c>
      <c r="AE85" s="83">
        <f t="shared" si="15"/>
        <v>1180.44</v>
      </c>
      <c r="AF85" s="83">
        <f t="shared" si="15"/>
        <v>1062.6400000000001</v>
      </c>
      <c r="AG85" s="81">
        <f>AG82+AG78+AG66+AG62+AG44+AG84</f>
        <v>1466.0900000000001</v>
      </c>
      <c r="AH85" s="48">
        <f t="shared" si="11"/>
        <v>1674.34</v>
      </c>
      <c r="AI85" s="49">
        <f t="shared" si="12"/>
        <v>969.54</v>
      </c>
    </row>
    <row r="86" spans="1:37" ht="15.75" thickBot="1" x14ac:dyDescent="0.3">
      <c r="A86" s="74" t="s">
        <v>94</v>
      </c>
      <c r="B86" s="83">
        <f t="shared" ref="B86:AF86" si="16">B85-B93</f>
        <v>1012.54</v>
      </c>
      <c r="C86" s="83">
        <f t="shared" si="16"/>
        <v>1003.04</v>
      </c>
      <c r="D86" s="83">
        <f t="shared" si="16"/>
        <v>985.54</v>
      </c>
      <c r="E86" s="83">
        <f t="shared" si="16"/>
        <v>969.54</v>
      </c>
      <c r="F86" s="83">
        <f t="shared" si="16"/>
        <v>983.7399999999999</v>
      </c>
      <c r="G86" s="83">
        <f t="shared" si="16"/>
        <v>1018.04</v>
      </c>
      <c r="H86" s="83">
        <f t="shared" si="16"/>
        <v>1062.94</v>
      </c>
      <c r="I86" s="83">
        <f t="shared" si="16"/>
        <v>1093.94</v>
      </c>
      <c r="J86" s="83">
        <f t="shared" si="16"/>
        <v>1070.94</v>
      </c>
      <c r="K86" s="83">
        <f t="shared" si="16"/>
        <v>1266.54</v>
      </c>
      <c r="L86" s="83">
        <f t="shared" si="16"/>
        <v>1549.94</v>
      </c>
      <c r="M86" s="83">
        <f t="shared" si="16"/>
        <v>1674.34</v>
      </c>
      <c r="N86" s="83">
        <f t="shared" si="16"/>
        <v>1603.54</v>
      </c>
      <c r="O86" s="83">
        <f t="shared" si="16"/>
        <v>1530.2399999999998</v>
      </c>
      <c r="P86" s="83">
        <f t="shared" si="16"/>
        <v>1482.08</v>
      </c>
      <c r="Q86" s="83">
        <f t="shared" si="16"/>
        <v>1401.8400000000001</v>
      </c>
      <c r="R86" s="83">
        <f t="shared" si="16"/>
        <v>1348.8400000000001</v>
      </c>
      <c r="S86" s="83">
        <f t="shared" si="16"/>
        <v>1302.6400000000001</v>
      </c>
      <c r="T86" s="83">
        <f t="shared" si="16"/>
        <v>1304.94</v>
      </c>
      <c r="U86" s="83">
        <f t="shared" si="16"/>
        <v>1365.84</v>
      </c>
      <c r="V86" s="83">
        <f t="shared" si="16"/>
        <v>1451.04</v>
      </c>
      <c r="W86" s="83">
        <f t="shared" si="16"/>
        <v>1551.44</v>
      </c>
      <c r="X86" s="83">
        <f t="shared" si="16"/>
        <v>1623.74</v>
      </c>
      <c r="Y86" s="83">
        <f t="shared" si="16"/>
        <v>1553.94</v>
      </c>
      <c r="Z86" s="83">
        <f t="shared" si="16"/>
        <v>1551.74</v>
      </c>
      <c r="AA86" s="83">
        <f t="shared" si="16"/>
        <v>1530.14</v>
      </c>
      <c r="AB86" s="83">
        <f t="shared" si="16"/>
        <v>1488.74</v>
      </c>
      <c r="AC86" s="83">
        <f t="shared" si="16"/>
        <v>1413.24</v>
      </c>
      <c r="AD86" s="83">
        <f t="shared" si="16"/>
        <v>1342.04</v>
      </c>
      <c r="AE86" s="83">
        <f t="shared" si="16"/>
        <v>1180.44</v>
      </c>
      <c r="AF86" s="83">
        <f t="shared" si="16"/>
        <v>1062.6400000000001</v>
      </c>
      <c r="AG86" s="81"/>
      <c r="AH86" s="48">
        <f t="shared" si="11"/>
        <v>1674.34</v>
      </c>
      <c r="AI86" s="49">
        <f t="shared" si="12"/>
        <v>969.54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11"/>
        <v>0</v>
      </c>
      <c r="AI87" s="49">
        <f t="shared" si="12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11"/>
        <v>0</v>
      </c>
      <c r="AI88" s="49">
        <f t="shared" si="12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11"/>
        <v>0</v>
      </c>
      <c r="AI89" s="49">
        <f t="shared" si="12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11"/>
        <v>0</v>
      </c>
      <c r="AI90" s="49">
        <f t="shared" si="12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11"/>
        <v>0</v>
      </c>
      <c r="AI91" s="49">
        <f t="shared" si="12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11"/>
        <v>0</v>
      </c>
      <c r="AI92" s="49">
        <f t="shared" si="12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>
        <v>50</v>
      </c>
      <c r="Z93" s="61"/>
      <c r="AA93" s="61"/>
      <c r="AB93" s="61"/>
      <c r="AC93" s="61"/>
      <c r="AD93" s="61"/>
      <c r="AE93" s="61"/>
      <c r="AF93" s="61"/>
      <c r="AG93" s="81"/>
      <c r="AH93" s="48">
        <f t="shared" si="11"/>
        <v>50</v>
      </c>
      <c r="AI93" s="49">
        <f t="shared" si="12"/>
        <v>0</v>
      </c>
      <c r="AK93" s="50"/>
    </row>
    <row r="94" spans="1:37" ht="15.75" thickBot="1" x14ac:dyDescent="0.3">
      <c r="A94" s="74" t="s">
        <v>99</v>
      </c>
      <c r="B94" s="61">
        <f t="shared" ref="B94:AF94" si="17">B78-B93</f>
        <v>302</v>
      </c>
      <c r="C94" s="61">
        <f t="shared" si="17"/>
        <v>292.5</v>
      </c>
      <c r="D94" s="61">
        <f t="shared" si="17"/>
        <v>264</v>
      </c>
      <c r="E94" s="61">
        <f t="shared" si="17"/>
        <v>246.6</v>
      </c>
      <c r="F94" s="61">
        <f t="shared" si="17"/>
        <v>247</v>
      </c>
      <c r="G94" s="61">
        <f t="shared" si="17"/>
        <v>249</v>
      </c>
      <c r="H94" s="61">
        <f t="shared" si="17"/>
        <v>249</v>
      </c>
      <c r="I94" s="61">
        <f t="shared" si="17"/>
        <v>249</v>
      </c>
      <c r="J94" s="61">
        <f t="shared" si="17"/>
        <v>249</v>
      </c>
      <c r="K94" s="61">
        <f t="shared" si="17"/>
        <v>156.60000000000002</v>
      </c>
      <c r="L94" s="61">
        <f t="shared" si="17"/>
        <v>156.60000000000002</v>
      </c>
      <c r="M94" s="61">
        <f t="shared" si="17"/>
        <v>194.3</v>
      </c>
      <c r="N94" s="61">
        <f t="shared" si="17"/>
        <v>213</v>
      </c>
      <c r="O94" s="61">
        <f t="shared" si="17"/>
        <v>219.10000000000002</v>
      </c>
      <c r="P94" s="61">
        <f t="shared" si="17"/>
        <v>271.64</v>
      </c>
      <c r="Q94" s="61">
        <f t="shared" si="17"/>
        <v>473.1</v>
      </c>
      <c r="R94" s="61">
        <f t="shared" si="17"/>
        <v>464.6</v>
      </c>
      <c r="S94" s="61">
        <f t="shared" si="17"/>
        <v>444.3</v>
      </c>
      <c r="T94" s="61">
        <f t="shared" si="17"/>
        <v>460.8</v>
      </c>
      <c r="U94" s="61">
        <f t="shared" si="17"/>
        <v>425</v>
      </c>
      <c r="V94" s="61">
        <f t="shared" si="17"/>
        <v>400</v>
      </c>
      <c r="W94" s="61">
        <f t="shared" si="17"/>
        <v>412.4</v>
      </c>
      <c r="X94" s="61">
        <v>151.6</v>
      </c>
      <c r="Y94" s="61">
        <f t="shared" si="17"/>
        <v>187.5</v>
      </c>
      <c r="Z94" s="61">
        <f t="shared" si="17"/>
        <v>247.4</v>
      </c>
      <c r="AA94" s="61">
        <f t="shared" si="17"/>
        <v>241.70000000000002</v>
      </c>
      <c r="AB94" s="61">
        <f t="shared" si="17"/>
        <v>381</v>
      </c>
      <c r="AC94" s="61">
        <f t="shared" si="17"/>
        <v>391.5</v>
      </c>
      <c r="AD94" s="61">
        <f t="shared" si="17"/>
        <v>379.6</v>
      </c>
      <c r="AE94" s="61">
        <f t="shared" si="17"/>
        <v>329.2</v>
      </c>
      <c r="AF94" s="61">
        <f t="shared" si="17"/>
        <v>316.5</v>
      </c>
      <c r="AG94" s="81"/>
      <c r="AH94" s="48">
        <f t="shared" si="11"/>
        <v>473.1</v>
      </c>
      <c r="AI94" s="49">
        <f t="shared" si="12"/>
        <v>151.6</v>
      </c>
    </row>
    <row r="95" spans="1:37" x14ac:dyDescent="0.25">
      <c r="A95" s="88" t="s">
        <v>100</v>
      </c>
      <c r="B95" s="89">
        <v>49.902999999999999</v>
      </c>
      <c r="C95" s="89">
        <v>49.99</v>
      </c>
      <c r="D95" s="89">
        <v>49.935000000000002</v>
      </c>
      <c r="E95" s="89">
        <v>50.030999999999999</v>
      </c>
      <c r="F95" s="89">
        <v>49.963000000000001</v>
      </c>
      <c r="G95" s="89">
        <v>49.865000000000002</v>
      </c>
      <c r="H95" s="89">
        <v>49.865000000000002</v>
      </c>
      <c r="I95" s="89">
        <v>49.865000000000002</v>
      </c>
      <c r="J95" s="89">
        <v>49.865000000000002</v>
      </c>
      <c r="K95" s="89">
        <v>49.865000000000002</v>
      </c>
      <c r="L95" s="89">
        <v>49.865000000000002</v>
      </c>
      <c r="M95" s="89">
        <v>50.014000000000003</v>
      </c>
      <c r="N95" s="89">
        <v>50.08</v>
      </c>
      <c r="O95" s="89">
        <v>49.999000000000002</v>
      </c>
      <c r="P95" s="89">
        <v>50.103000000000002</v>
      </c>
      <c r="Q95" s="89">
        <v>50.027999999999999</v>
      </c>
      <c r="R95" s="89">
        <v>49.972000000000001</v>
      </c>
      <c r="S95" s="89">
        <v>49.948999999999998</v>
      </c>
      <c r="T95" s="89">
        <v>50.067999999999998</v>
      </c>
      <c r="U95" s="89">
        <v>50</v>
      </c>
      <c r="V95" s="89">
        <v>50.076000000000001</v>
      </c>
      <c r="W95" s="89">
        <v>50.149000000000001</v>
      </c>
      <c r="X95" s="89">
        <v>49.963000000000001</v>
      </c>
      <c r="Y95" s="89">
        <v>50.088999999999999</v>
      </c>
      <c r="Z95" s="89">
        <v>49.95</v>
      </c>
      <c r="AA95" s="89">
        <v>49.957999999999998</v>
      </c>
      <c r="AB95" s="89">
        <v>49.811999999999998</v>
      </c>
      <c r="AC95" s="89">
        <v>49.792000000000002</v>
      </c>
      <c r="AD95" s="89">
        <v>49.85</v>
      </c>
      <c r="AE95" s="89">
        <v>50.011000000000003</v>
      </c>
      <c r="AF95" s="89">
        <v>49.963999999999999</v>
      </c>
      <c r="AG95" s="90"/>
      <c r="AH95" s="48">
        <f t="shared" si="11"/>
        <v>50.149000000000001</v>
      </c>
      <c r="AI95" s="49">
        <f t="shared" si="12"/>
        <v>49.792000000000002</v>
      </c>
    </row>
    <row r="96" spans="1:37" x14ac:dyDescent="0.25">
      <c r="A96" s="91" t="s">
        <v>101</v>
      </c>
      <c r="B96" s="65">
        <v>130.19999999999999</v>
      </c>
      <c r="C96" s="65">
        <v>129.80000000000001</v>
      </c>
      <c r="D96" s="65">
        <v>128.1</v>
      </c>
      <c r="E96" s="65">
        <v>129.9</v>
      </c>
      <c r="F96" s="65">
        <v>128.80000000000001</v>
      </c>
      <c r="G96" s="65">
        <v>128.36000000000001</v>
      </c>
      <c r="H96" s="65">
        <v>128.36000000000001</v>
      </c>
      <c r="I96" s="65">
        <v>128.36000000000001</v>
      </c>
      <c r="J96" s="65">
        <v>128.36000000000001</v>
      </c>
      <c r="K96" s="65">
        <v>128.36000000000001</v>
      </c>
      <c r="L96" s="65">
        <v>128.36000000000001</v>
      </c>
      <c r="M96" s="65">
        <v>123.8</v>
      </c>
      <c r="N96" s="65">
        <v>124.9</v>
      </c>
      <c r="O96" s="65">
        <v>126</v>
      </c>
      <c r="P96" s="65">
        <v>127</v>
      </c>
      <c r="Q96" s="65">
        <v>122.7</v>
      </c>
      <c r="R96" s="65">
        <v>124.2</v>
      </c>
      <c r="S96" s="65">
        <v>124.2</v>
      </c>
      <c r="T96" s="65">
        <v>123.6</v>
      </c>
      <c r="U96" s="65">
        <v>125</v>
      </c>
      <c r="V96" s="65">
        <v>126.8</v>
      </c>
      <c r="W96" s="65">
        <v>126.5</v>
      </c>
      <c r="X96" s="65">
        <v>127.3</v>
      </c>
      <c r="Y96" s="65">
        <v>127.1</v>
      </c>
      <c r="Z96" s="65">
        <v>126.7</v>
      </c>
      <c r="AA96" s="65">
        <v>127.3</v>
      </c>
      <c r="AB96" s="65">
        <v>127.3</v>
      </c>
      <c r="AC96" s="65">
        <v>127.5</v>
      </c>
      <c r="AD96" s="65">
        <v>127.8</v>
      </c>
      <c r="AE96" s="65">
        <v>130</v>
      </c>
      <c r="AF96" s="65">
        <v>129.5</v>
      </c>
      <c r="AG96" s="92"/>
      <c r="AH96" s="48">
        <f t="shared" si="11"/>
        <v>130.19999999999999</v>
      </c>
      <c r="AI96" s="49">
        <f t="shared" si="12"/>
        <v>122.7</v>
      </c>
    </row>
    <row r="97" spans="1:35" x14ac:dyDescent="0.25">
      <c r="A97" s="91" t="s">
        <v>102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>
        <v>128.1</v>
      </c>
      <c r="W97" s="65">
        <v>128</v>
      </c>
      <c r="X97" s="65">
        <v>128.30000000000001</v>
      </c>
      <c r="Y97" s="65">
        <v>128.19999999999999</v>
      </c>
      <c r="Z97" s="65">
        <v>127.5</v>
      </c>
      <c r="AA97" s="65">
        <v>128.19999999999999</v>
      </c>
      <c r="AB97" s="65">
        <v>128.5</v>
      </c>
      <c r="AC97" s="65">
        <v>128.80000000000001</v>
      </c>
      <c r="AD97" s="65">
        <v>129.4</v>
      </c>
      <c r="AE97" s="65">
        <v>132.1</v>
      </c>
      <c r="AF97" s="65">
        <v>132.69999999999999</v>
      </c>
      <c r="AG97" s="92"/>
      <c r="AH97" s="48">
        <f t="shared" si="11"/>
        <v>132.69999999999999</v>
      </c>
      <c r="AI97" s="49">
        <f t="shared" si="12"/>
        <v>127.5</v>
      </c>
    </row>
    <row r="98" spans="1:35" x14ac:dyDescent="0.25">
      <c r="A98" s="91" t="s">
        <v>103</v>
      </c>
      <c r="B98" s="65">
        <v>130.6</v>
      </c>
      <c r="C98" s="65">
        <v>133.1</v>
      </c>
      <c r="D98" s="65">
        <v>132.6</v>
      </c>
      <c r="E98" s="65">
        <v>132.6</v>
      </c>
      <c r="F98" s="65">
        <v>131.69999999999999</v>
      </c>
      <c r="G98" s="65">
        <v>131.69999999999999</v>
      </c>
      <c r="H98" s="65">
        <v>131.69999999999999</v>
      </c>
      <c r="I98" s="65">
        <v>131.69999999999999</v>
      </c>
      <c r="J98" s="65">
        <v>131.69999999999999</v>
      </c>
      <c r="K98" s="65">
        <v>131.69999999999999</v>
      </c>
      <c r="L98" s="65">
        <v>131.69999999999999</v>
      </c>
      <c r="M98" s="65">
        <v>126.6</v>
      </c>
      <c r="N98" s="65">
        <v>129.54</v>
      </c>
      <c r="O98" s="65">
        <v>129.19999999999999</v>
      </c>
      <c r="P98" s="65">
        <v>130.5</v>
      </c>
      <c r="Q98" s="65">
        <v>131.9</v>
      </c>
      <c r="R98" s="65">
        <v>132.80000000000001</v>
      </c>
      <c r="S98" s="65">
        <v>133.9</v>
      </c>
      <c r="T98" s="65">
        <v>129.5</v>
      </c>
      <c r="U98" s="65">
        <v>129</v>
      </c>
      <c r="V98" s="65">
        <v>130.1</v>
      </c>
      <c r="W98" s="65">
        <v>127.7</v>
      </c>
      <c r="X98" s="65">
        <v>130</v>
      </c>
      <c r="Y98" s="65">
        <v>131.1</v>
      </c>
      <c r="Z98" s="65">
        <v>131</v>
      </c>
      <c r="AA98" s="65">
        <v>131.19999999999999</v>
      </c>
      <c r="AB98" s="65">
        <v>132</v>
      </c>
      <c r="AC98" s="65">
        <v>130.19999999999999</v>
      </c>
      <c r="AD98" s="65">
        <v>130.5</v>
      </c>
      <c r="AE98" s="65">
        <v>132.1</v>
      </c>
      <c r="AF98" s="65">
        <v>131.69999999999999</v>
      </c>
      <c r="AG98" s="92"/>
      <c r="AH98" s="48">
        <f t="shared" si="11"/>
        <v>133.9</v>
      </c>
      <c r="AI98" s="49">
        <f t="shared" si="12"/>
        <v>126.6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1"/>
        <v>0</v>
      </c>
      <c r="AI99" s="49">
        <f t="shared" si="12"/>
        <v>0</v>
      </c>
    </row>
    <row r="100" spans="1:35" x14ac:dyDescent="0.25">
      <c r="A100" s="93" t="s">
        <v>105</v>
      </c>
      <c r="B100" s="94">
        <v>137.30000000000001</v>
      </c>
      <c r="C100" s="94">
        <v>134.30000000000001</v>
      </c>
      <c r="D100" s="94">
        <v>131.30000000000001</v>
      </c>
      <c r="E100" s="94">
        <v>132.6</v>
      </c>
      <c r="F100" s="94">
        <v>133.5</v>
      </c>
      <c r="G100" s="94">
        <v>134.1</v>
      </c>
      <c r="H100" s="94">
        <v>134.1</v>
      </c>
      <c r="I100" s="94">
        <v>134.1</v>
      </c>
      <c r="J100" s="94">
        <v>134.1</v>
      </c>
      <c r="K100" s="94">
        <v>134.1</v>
      </c>
      <c r="L100" s="94">
        <v>134.1</v>
      </c>
      <c r="M100" s="94">
        <v>134.5</v>
      </c>
      <c r="N100" s="94">
        <v>135</v>
      </c>
      <c r="O100" s="94">
        <v>135</v>
      </c>
      <c r="P100" s="94">
        <v>135.69999999999999</v>
      </c>
      <c r="Q100" s="94">
        <v>134.1</v>
      </c>
      <c r="R100" s="94">
        <v>132.30000000000001</v>
      </c>
      <c r="S100" s="94">
        <v>131.69999999999999</v>
      </c>
      <c r="T100" s="94">
        <v>131.9</v>
      </c>
      <c r="U100" s="94">
        <v>131.80000000000001</v>
      </c>
      <c r="V100" s="94">
        <v>133.69999999999999</v>
      </c>
      <c r="W100" s="94">
        <v>134.19999999999999</v>
      </c>
      <c r="X100" s="94">
        <v>134</v>
      </c>
      <c r="Y100" s="94">
        <v>135.1</v>
      </c>
      <c r="Z100" s="94">
        <v>132.9</v>
      </c>
      <c r="AA100" s="94">
        <v>135.19999999999999</v>
      </c>
      <c r="AB100" s="94">
        <v>134.4</v>
      </c>
      <c r="AC100" s="94">
        <v>134.6</v>
      </c>
      <c r="AD100" s="94">
        <v>134</v>
      </c>
      <c r="AE100" s="94">
        <v>136.1</v>
      </c>
      <c r="AF100" s="94">
        <v>135</v>
      </c>
      <c r="AG100" s="95"/>
      <c r="AH100" s="48">
        <f t="shared" si="11"/>
        <v>137.30000000000001</v>
      </c>
      <c r="AI100" s="49">
        <f t="shared" si="12"/>
        <v>131.30000000000001</v>
      </c>
    </row>
    <row r="101" spans="1:35" x14ac:dyDescent="0.25">
      <c r="A101" s="91" t="s">
        <v>106</v>
      </c>
      <c r="B101" s="65">
        <v>131.80000000000001</v>
      </c>
      <c r="C101" s="65">
        <v>136.69999999999999</v>
      </c>
      <c r="D101" s="65">
        <v>132</v>
      </c>
      <c r="E101" s="65">
        <v>135.6</v>
      </c>
      <c r="F101" s="65">
        <v>134.6</v>
      </c>
      <c r="G101" s="65">
        <v>127</v>
      </c>
      <c r="H101" s="65">
        <v>127</v>
      </c>
      <c r="I101" s="65">
        <v>127</v>
      </c>
      <c r="J101" s="65">
        <v>127</v>
      </c>
      <c r="K101" s="65">
        <v>127</v>
      </c>
      <c r="L101" s="65">
        <v>127</v>
      </c>
      <c r="M101" s="65">
        <v>134.30000000000001</v>
      </c>
      <c r="N101" s="65">
        <v>129.1</v>
      </c>
      <c r="O101" s="65">
        <v>126.6</v>
      </c>
      <c r="P101" s="65">
        <v>130.5</v>
      </c>
      <c r="Q101" s="65">
        <v>133.1</v>
      </c>
      <c r="R101" s="65">
        <v>127.2</v>
      </c>
      <c r="S101" s="65">
        <v>132.5</v>
      </c>
      <c r="T101" s="65">
        <v>128.6</v>
      </c>
      <c r="U101" s="65">
        <v>128</v>
      </c>
      <c r="V101" s="65">
        <v>128.69999999999999</v>
      </c>
      <c r="W101" s="65">
        <v>129.6</v>
      </c>
      <c r="X101" s="65">
        <v>133.5</v>
      </c>
      <c r="Y101" s="65">
        <v>129.80000000000001</v>
      </c>
      <c r="Z101" s="65">
        <v>131</v>
      </c>
      <c r="AA101" s="65">
        <v>134.69999999999999</v>
      </c>
      <c r="AB101" s="65">
        <v>135.5</v>
      </c>
      <c r="AC101" s="65">
        <v>136.69999999999999</v>
      </c>
      <c r="AD101" s="65">
        <v>131.69999999999999</v>
      </c>
      <c r="AE101" s="65">
        <v>135.80000000000001</v>
      </c>
      <c r="AF101" s="65">
        <v>132.19999999999999</v>
      </c>
      <c r="AG101" s="92"/>
      <c r="AH101" s="48">
        <f t="shared" si="11"/>
        <v>136.69999999999999</v>
      </c>
      <c r="AI101" s="49">
        <f t="shared" si="12"/>
        <v>126.6</v>
      </c>
    </row>
    <row r="102" spans="1:35" ht="15.75" thickBot="1" x14ac:dyDescent="0.3">
      <c r="A102" s="91" t="s">
        <v>107</v>
      </c>
      <c r="B102" s="96">
        <v>67</v>
      </c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>
        <v>63.6</v>
      </c>
      <c r="O102" s="96">
        <v>63.5</v>
      </c>
      <c r="P102" s="96">
        <v>64.7</v>
      </c>
      <c r="Q102" s="96">
        <v>63.1</v>
      </c>
      <c r="R102" s="96">
        <v>63.1</v>
      </c>
      <c r="S102" s="96">
        <v>63.1</v>
      </c>
      <c r="T102" s="96">
        <v>63.6</v>
      </c>
      <c r="U102" s="96"/>
      <c r="V102" s="96">
        <v>63.8</v>
      </c>
      <c r="W102" s="96">
        <v>63.5</v>
      </c>
      <c r="X102" s="96">
        <v>63.9</v>
      </c>
      <c r="Y102" s="96">
        <v>64</v>
      </c>
      <c r="Z102" s="96">
        <v>63.7</v>
      </c>
      <c r="AA102" s="96">
        <v>64.7</v>
      </c>
      <c r="AB102" s="96">
        <v>64.599999999999994</v>
      </c>
      <c r="AC102" s="96">
        <v>64.7</v>
      </c>
      <c r="AD102" s="96">
        <v>64.900000000000006</v>
      </c>
      <c r="AE102" s="96">
        <v>66.099999999999994</v>
      </c>
      <c r="AF102" s="96">
        <v>67</v>
      </c>
      <c r="AG102" s="97"/>
      <c r="AH102" s="48">
        <f t="shared" si="11"/>
        <v>67</v>
      </c>
      <c r="AI102" s="49">
        <f t="shared" si="12"/>
        <v>63.1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1"/>
        <v>0</v>
      </c>
      <c r="AI103" s="49">
        <f t="shared" si="12"/>
        <v>0</v>
      </c>
    </row>
    <row r="104" spans="1:35" ht="15.75" thickBot="1" x14ac:dyDescent="0.3">
      <c r="A104" s="99" t="s">
        <v>108</v>
      </c>
      <c r="B104" s="100">
        <f t="shared" ref="B104:AD104" si="18">SUM(B16,B22,B25:B26,B52,B54:B55,B57,B59,B105:B109,B131,B137,B143,B152,B154,B166,B173,B176:B177,B184,B186,B188,B192:B194,B196:B198,B203,B209:B210,B212:B214,B222,B227)</f>
        <v>80.899999999999977</v>
      </c>
      <c r="C104" s="100">
        <f t="shared" si="18"/>
        <v>55.039999999999971</v>
      </c>
      <c r="D104" s="100">
        <f t="shared" si="18"/>
        <v>186.83999999999997</v>
      </c>
      <c r="E104" s="100">
        <f t="shared" si="18"/>
        <v>40.740000000000016</v>
      </c>
      <c r="F104" s="100">
        <f t="shared" si="18"/>
        <v>76.340000000000032</v>
      </c>
      <c r="G104" s="100">
        <f t="shared" si="18"/>
        <v>57.240000000000009</v>
      </c>
      <c r="H104" s="100">
        <f t="shared" si="18"/>
        <v>57.240000000000009</v>
      </c>
      <c r="I104" s="100">
        <f t="shared" si="18"/>
        <v>57.240000000000009</v>
      </c>
      <c r="J104" s="100">
        <f t="shared" si="18"/>
        <v>215.74</v>
      </c>
      <c r="K104" s="100">
        <f t="shared" si="18"/>
        <v>313.84000000000003</v>
      </c>
      <c r="L104" s="100">
        <f t="shared" si="18"/>
        <v>312.64000000000004</v>
      </c>
      <c r="M104" s="100">
        <f t="shared" si="18"/>
        <v>311.94</v>
      </c>
      <c r="N104" s="100">
        <f t="shared" si="18"/>
        <v>307.84000000000003</v>
      </c>
      <c r="O104" s="100">
        <f t="shared" si="18"/>
        <v>285.84000000000003</v>
      </c>
      <c r="P104" s="100">
        <v>42</v>
      </c>
      <c r="Q104" s="100">
        <f t="shared" si="18"/>
        <v>256</v>
      </c>
      <c r="R104" s="100">
        <f t="shared" si="18"/>
        <v>231.6</v>
      </c>
      <c r="S104" s="100">
        <f t="shared" si="18"/>
        <v>253.1</v>
      </c>
      <c r="T104" s="100">
        <f t="shared" si="18"/>
        <v>234.3</v>
      </c>
      <c r="U104" s="100">
        <f t="shared" si="18"/>
        <v>260.10000000000002</v>
      </c>
      <c r="V104" s="100">
        <f t="shared" si="18"/>
        <v>358</v>
      </c>
      <c r="W104" s="100">
        <f t="shared" si="18"/>
        <v>396.5</v>
      </c>
      <c r="X104" s="100">
        <v>390.59708333333339</v>
      </c>
      <c r="Y104" s="100">
        <f t="shared" si="18"/>
        <v>428.40000000000003</v>
      </c>
      <c r="Z104" s="100">
        <f t="shared" si="18"/>
        <v>434.8</v>
      </c>
      <c r="AA104" s="100">
        <f t="shared" si="18"/>
        <v>424.4</v>
      </c>
      <c r="AB104" s="100">
        <f t="shared" si="18"/>
        <v>407.40000000000003</v>
      </c>
      <c r="AC104" s="100">
        <f t="shared" si="18"/>
        <v>400.4</v>
      </c>
      <c r="AD104" s="100">
        <f t="shared" si="18"/>
        <v>351.5</v>
      </c>
      <c r="AE104" s="100">
        <f>SUM(AE16,AE22,AE25:AE26,AE52,AE54:AE55,AE57,AE59,AE105:AE109,AE131,AE137,AE143,AE152,AE154,AE166,AE173,AE176:AE177,AE184,AE186,AE188,AE192:AE194,AE196:AE198,AE203,AE209:AE210,AE212:AE214,AE222,AE227)</f>
        <v>263.3</v>
      </c>
      <c r="AF104" s="100">
        <f>SUM(AF16,AF22,AF25:AF26,AF52,AF54:AF55,AF57,AF59,AF105:AF109,AF131,AF137,AF143,AF152,AF154,AF166,AF173,AF176:AF177,AF184,AF186,AF188,AF192:AF194,AF196:AF198,AF203,AF209:AF210,AF212:AF214,AF222,AF227)</f>
        <v>179.39999999999998</v>
      </c>
      <c r="AG104" s="101"/>
      <c r="AH104" s="48">
        <f t="shared" si="11"/>
        <v>434.8</v>
      </c>
      <c r="AI104" s="49">
        <f t="shared" si="12"/>
        <v>40.740000000000016</v>
      </c>
    </row>
    <row r="105" spans="1:35" x14ac:dyDescent="0.25">
      <c r="A105" s="88" t="s">
        <v>109</v>
      </c>
      <c r="B105" s="102">
        <v>-59.5</v>
      </c>
      <c r="C105" s="102">
        <v>-68.2</v>
      </c>
      <c r="D105" s="102">
        <v>68.5</v>
      </c>
      <c r="E105" s="102">
        <v>-79.7</v>
      </c>
      <c r="F105" s="102">
        <v>-51.8</v>
      </c>
      <c r="G105" s="102">
        <v>-75.7</v>
      </c>
      <c r="H105" s="102">
        <v>-75.7</v>
      </c>
      <c r="I105" s="102">
        <v>-75.7</v>
      </c>
      <c r="J105" s="102"/>
      <c r="K105" s="102">
        <v>33.1</v>
      </c>
      <c r="L105" s="102">
        <v>33.799999999999997</v>
      </c>
      <c r="M105" s="102">
        <v>-29</v>
      </c>
      <c r="N105" s="102">
        <v>-27</v>
      </c>
      <c r="O105" s="102">
        <v>-36</v>
      </c>
      <c r="P105" s="102">
        <v>42.4</v>
      </c>
      <c r="Q105" s="102">
        <v>-12.3</v>
      </c>
      <c r="R105" s="102">
        <v>-32.9</v>
      </c>
      <c r="S105" s="102">
        <v>-16.5</v>
      </c>
      <c r="T105" s="102">
        <v>-27.7</v>
      </c>
      <c r="U105" s="102">
        <v>-36</v>
      </c>
      <c r="V105" s="102">
        <v>37.200000000000003</v>
      </c>
      <c r="W105" s="102">
        <v>34.799999999999997</v>
      </c>
      <c r="X105" s="102">
        <v>38.6</v>
      </c>
      <c r="Y105" s="102">
        <v>42.7</v>
      </c>
      <c r="Z105" s="102">
        <v>44.9</v>
      </c>
      <c r="AA105" s="102">
        <v>46.5</v>
      </c>
      <c r="AB105" s="102">
        <v>45.3</v>
      </c>
      <c r="AC105" s="102">
        <v>33.799999999999997</v>
      </c>
      <c r="AD105" s="102">
        <v>26</v>
      </c>
      <c r="AE105" s="102">
        <v>21.8</v>
      </c>
      <c r="AF105" s="102">
        <v>7.1</v>
      </c>
      <c r="AG105" s="103">
        <v>75</v>
      </c>
      <c r="AH105" s="48">
        <f t="shared" si="11"/>
        <v>68.5</v>
      </c>
      <c r="AI105" s="49">
        <f t="shared" si="12"/>
        <v>-79.7</v>
      </c>
    </row>
    <row r="106" spans="1:35" x14ac:dyDescent="0.25">
      <c r="A106" s="91" t="s">
        <v>110</v>
      </c>
      <c r="B106" s="104">
        <v>10.7</v>
      </c>
      <c r="C106" s="104">
        <v>6.5</v>
      </c>
      <c r="D106" s="104">
        <v>0.9</v>
      </c>
      <c r="E106" s="104">
        <v>-1</v>
      </c>
      <c r="F106" s="104">
        <v>11.4</v>
      </c>
      <c r="G106" s="104">
        <v>15.1</v>
      </c>
      <c r="H106" s="104">
        <v>15.1</v>
      </c>
      <c r="I106" s="104">
        <v>15.1</v>
      </c>
      <c r="J106" s="104"/>
      <c r="K106" s="104">
        <v>48.9</v>
      </c>
      <c r="L106" s="104">
        <v>46.8</v>
      </c>
      <c r="M106" s="104">
        <v>46.7</v>
      </c>
      <c r="N106" s="104">
        <v>48.5</v>
      </c>
      <c r="O106" s="104">
        <v>46.5</v>
      </c>
      <c r="P106" s="104">
        <v>42</v>
      </c>
      <c r="Q106" s="104">
        <v>57.3</v>
      </c>
      <c r="R106" s="104">
        <v>48.7</v>
      </c>
      <c r="S106" s="104">
        <v>56.1</v>
      </c>
      <c r="T106" s="104">
        <v>49.1</v>
      </c>
      <c r="U106" s="104">
        <v>44</v>
      </c>
      <c r="V106" s="104">
        <v>49.7</v>
      </c>
      <c r="W106" s="104">
        <v>45.4</v>
      </c>
      <c r="X106" s="104">
        <v>50.1</v>
      </c>
      <c r="Y106" s="104">
        <v>57.4</v>
      </c>
      <c r="Z106" s="104">
        <v>60.1</v>
      </c>
      <c r="AA106" s="104">
        <v>62.5</v>
      </c>
      <c r="AB106" s="104">
        <v>35.5</v>
      </c>
      <c r="AC106" s="104">
        <v>44.1</v>
      </c>
      <c r="AD106" s="104">
        <v>31.4</v>
      </c>
      <c r="AE106" s="104">
        <v>28</v>
      </c>
      <c r="AF106" s="104">
        <v>13</v>
      </c>
      <c r="AG106" s="103">
        <v>240</v>
      </c>
      <c r="AH106" s="48">
        <f t="shared" si="11"/>
        <v>62.5</v>
      </c>
      <c r="AI106" s="49">
        <f t="shared" si="12"/>
        <v>-1</v>
      </c>
    </row>
    <row r="107" spans="1:35" x14ac:dyDescent="0.25">
      <c r="A107" s="91" t="s">
        <v>111</v>
      </c>
      <c r="B107" s="104">
        <v>-55</v>
      </c>
      <c r="C107" s="104">
        <v>-65</v>
      </c>
      <c r="D107" s="104">
        <v>-70</v>
      </c>
      <c r="E107" s="104">
        <v>-63.4</v>
      </c>
      <c r="F107" s="104">
        <v>-68.599999999999994</v>
      </c>
      <c r="G107" s="104">
        <v>-68</v>
      </c>
      <c r="H107" s="104">
        <v>-68</v>
      </c>
      <c r="I107" s="104">
        <v>-68</v>
      </c>
      <c r="J107" s="104"/>
      <c r="K107" s="104">
        <v>-19</v>
      </c>
      <c r="L107" s="104">
        <v>-21</v>
      </c>
      <c r="M107" s="104">
        <v>11.3</v>
      </c>
      <c r="N107" s="104">
        <v>10.5</v>
      </c>
      <c r="O107" s="104">
        <v>17.3</v>
      </c>
      <c r="P107" s="104">
        <v>4</v>
      </c>
      <c r="Q107" s="104">
        <v>-16.2</v>
      </c>
      <c r="R107" s="104">
        <v>-1.4</v>
      </c>
      <c r="S107" s="104">
        <v>-20</v>
      </c>
      <c r="T107" s="104">
        <v>-29</v>
      </c>
      <c r="U107" s="104" t="s">
        <v>260</v>
      </c>
      <c r="V107" s="104">
        <v>2.8</v>
      </c>
      <c r="W107" s="104">
        <v>22.2</v>
      </c>
      <c r="X107" s="104">
        <v>19</v>
      </c>
      <c r="Y107" s="104">
        <v>20</v>
      </c>
      <c r="Z107" s="104">
        <v>24.5</v>
      </c>
      <c r="AA107" s="104">
        <v>17.899999999999999</v>
      </c>
      <c r="AB107" s="104">
        <f>20+17.5</f>
        <v>37.5</v>
      </c>
      <c r="AC107" s="104">
        <v>36</v>
      </c>
      <c r="AD107" s="104">
        <v>26</v>
      </c>
      <c r="AE107" s="104">
        <v>-10</v>
      </c>
      <c r="AF107" s="104">
        <v>-42</v>
      </c>
      <c r="AG107" s="103">
        <v>240</v>
      </c>
      <c r="AH107" s="48">
        <f t="shared" si="11"/>
        <v>37.5</v>
      </c>
      <c r="AI107" s="49">
        <f t="shared" si="12"/>
        <v>-70</v>
      </c>
    </row>
    <row r="108" spans="1:35" x14ac:dyDescent="0.25">
      <c r="A108" s="91" t="s">
        <v>112</v>
      </c>
      <c r="B108" s="104">
        <v>1.4</v>
      </c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>
        <v>25.5</v>
      </c>
      <c r="N108" s="104">
        <v>20.6</v>
      </c>
      <c r="O108" s="104">
        <v>25.1</v>
      </c>
      <c r="P108" s="104">
        <v>18.7</v>
      </c>
      <c r="Q108" s="104">
        <v>6.7</v>
      </c>
      <c r="R108" s="104">
        <v>7.2</v>
      </c>
      <c r="S108" s="104">
        <v>4</v>
      </c>
      <c r="T108" s="104">
        <v>8.5</v>
      </c>
      <c r="U108" s="104">
        <v>20</v>
      </c>
      <c r="V108" s="104">
        <v>33.5</v>
      </c>
      <c r="W108" s="104">
        <v>54.9</v>
      </c>
      <c r="X108" s="104">
        <v>59</v>
      </c>
      <c r="Y108" s="104">
        <v>54.1</v>
      </c>
      <c r="Z108" s="104">
        <v>51.6</v>
      </c>
      <c r="AA108" s="104">
        <v>51.2</v>
      </c>
      <c r="AB108" s="104">
        <v>43</v>
      </c>
      <c r="AC108" s="104">
        <v>42</v>
      </c>
      <c r="AD108" s="104">
        <v>31.6</v>
      </c>
      <c r="AE108" s="104">
        <v>11</v>
      </c>
      <c r="AF108" s="104">
        <v>4.5999999999999996</v>
      </c>
      <c r="AG108" s="103">
        <v>60</v>
      </c>
      <c r="AH108" s="48">
        <f t="shared" si="11"/>
        <v>59</v>
      </c>
      <c r="AI108" s="49">
        <f t="shared" si="12"/>
        <v>1.4</v>
      </c>
    </row>
    <row r="109" spans="1:35" x14ac:dyDescent="0.25">
      <c r="A109" s="105" t="s">
        <v>113</v>
      </c>
      <c r="B109" s="106">
        <v>50.9</v>
      </c>
      <c r="C109" s="106">
        <v>48.4</v>
      </c>
      <c r="D109" s="106">
        <v>54.1</v>
      </c>
      <c r="E109" s="106">
        <v>49.8</v>
      </c>
      <c r="F109" s="106">
        <v>50.3</v>
      </c>
      <c r="G109" s="106">
        <v>50.8</v>
      </c>
      <c r="H109" s="106">
        <v>50.8</v>
      </c>
      <c r="I109" s="106">
        <v>50.8</v>
      </c>
      <c r="J109" s="106">
        <v>80.7</v>
      </c>
      <c r="K109" s="106">
        <v>115.8</v>
      </c>
      <c r="L109" s="106">
        <v>118</v>
      </c>
      <c r="M109" s="106">
        <v>122.4</v>
      </c>
      <c r="N109" s="106">
        <v>120.2</v>
      </c>
      <c r="O109" s="106">
        <v>97.9</v>
      </c>
      <c r="P109" s="106">
        <v>114.3</v>
      </c>
      <c r="Q109" s="106">
        <v>89.2</v>
      </c>
      <c r="R109" s="106">
        <v>79.5</v>
      </c>
      <c r="S109" s="106">
        <v>97</v>
      </c>
      <c r="T109" s="106">
        <v>100.9</v>
      </c>
      <c r="U109" s="106">
        <v>98</v>
      </c>
      <c r="V109" s="106">
        <v>101.5</v>
      </c>
      <c r="W109" s="106">
        <v>105.9</v>
      </c>
      <c r="X109" s="106">
        <v>122</v>
      </c>
      <c r="Y109" s="106">
        <v>123.8</v>
      </c>
      <c r="Z109" s="106">
        <v>123.7</v>
      </c>
      <c r="AA109" s="106">
        <v>114.7</v>
      </c>
      <c r="AB109" s="106">
        <v>114.5</v>
      </c>
      <c r="AC109" s="106">
        <v>110</v>
      </c>
      <c r="AD109" s="106">
        <v>102</v>
      </c>
      <c r="AE109" s="106">
        <v>78</v>
      </c>
      <c r="AF109" s="106">
        <v>62.2</v>
      </c>
      <c r="AG109" s="107">
        <v>120</v>
      </c>
      <c r="AH109" s="48">
        <f t="shared" si="11"/>
        <v>123.8</v>
      </c>
      <c r="AI109" s="49">
        <f t="shared" si="12"/>
        <v>48.4</v>
      </c>
    </row>
    <row r="110" spans="1:35" x14ac:dyDescent="0.25">
      <c r="A110" s="105" t="s">
        <v>115</v>
      </c>
      <c r="B110" s="106">
        <v>57.6</v>
      </c>
      <c r="C110" s="106">
        <v>58.5</v>
      </c>
      <c r="D110" s="106">
        <v>33.799999999999997</v>
      </c>
      <c r="E110" s="106">
        <v>55.5</v>
      </c>
      <c r="F110" s="106">
        <v>58.9</v>
      </c>
      <c r="G110" s="106">
        <v>57</v>
      </c>
      <c r="H110" s="106">
        <v>57</v>
      </c>
      <c r="I110" s="106">
        <v>57</v>
      </c>
      <c r="J110" s="106">
        <v>57</v>
      </c>
      <c r="K110" s="106">
        <v>57</v>
      </c>
      <c r="L110" s="106">
        <v>101</v>
      </c>
      <c r="M110" s="106">
        <v>103</v>
      </c>
      <c r="N110" s="106">
        <v>98</v>
      </c>
      <c r="O110" s="106">
        <v>89.1</v>
      </c>
      <c r="P110" s="106">
        <v>83.9</v>
      </c>
      <c r="Q110" s="106">
        <v>99.8</v>
      </c>
      <c r="R110" s="106">
        <v>94.9</v>
      </c>
      <c r="S110" s="106">
        <v>94.9</v>
      </c>
      <c r="T110" s="106">
        <v>96</v>
      </c>
      <c r="U110" s="106">
        <v>80</v>
      </c>
      <c r="V110" s="106">
        <v>77.099999999999994</v>
      </c>
      <c r="W110" s="106">
        <v>85.6</v>
      </c>
      <c r="X110" s="106">
        <v>89</v>
      </c>
      <c r="Y110" s="106">
        <v>81</v>
      </c>
      <c r="Z110" s="106">
        <v>79.2</v>
      </c>
      <c r="AA110" s="106">
        <v>71.599999999999994</v>
      </c>
      <c r="AB110" s="106">
        <v>84.7</v>
      </c>
      <c r="AC110" s="106">
        <v>80</v>
      </c>
      <c r="AD110" s="106">
        <v>79</v>
      </c>
      <c r="AE110" s="106">
        <v>66.3</v>
      </c>
      <c r="AF110" s="106">
        <v>61.6</v>
      </c>
      <c r="AG110" s="107"/>
      <c r="AH110" s="48">
        <f t="shared" si="11"/>
        <v>103</v>
      </c>
      <c r="AI110" s="49">
        <f t="shared" si="12"/>
        <v>33.799999999999997</v>
      </c>
    </row>
    <row r="111" spans="1:35" x14ac:dyDescent="0.25">
      <c r="A111" s="105" t="s">
        <v>116</v>
      </c>
      <c r="B111" s="106">
        <v>24</v>
      </c>
      <c r="C111" s="106">
        <v>27</v>
      </c>
      <c r="D111" s="106">
        <v>45.5</v>
      </c>
      <c r="E111" s="106">
        <v>45.6</v>
      </c>
      <c r="F111" s="106">
        <v>42.6</v>
      </c>
      <c r="G111" s="106">
        <v>36.6</v>
      </c>
      <c r="H111" s="106">
        <v>36.6</v>
      </c>
      <c r="I111" s="106">
        <v>36.6</v>
      </c>
      <c r="J111" s="106">
        <v>36.6</v>
      </c>
      <c r="K111" s="106">
        <v>36.6</v>
      </c>
      <c r="L111" s="106">
        <v>36</v>
      </c>
      <c r="M111" s="106"/>
      <c r="N111" s="106"/>
      <c r="O111" s="106"/>
      <c r="P111" s="106">
        <v>17.399999999999999</v>
      </c>
      <c r="Q111" s="106">
        <v>12</v>
      </c>
      <c r="R111" s="106">
        <v>17.2</v>
      </c>
      <c r="S111" s="106">
        <v>17.399999999999999</v>
      </c>
      <c r="T111" s="106">
        <v>17.8</v>
      </c>
      <c r="U111" s="106">
        <v>22</v>
      </c>
      <c r="V111" s="106">
        <v>13.8</v>
      </c>
      <c r="W111" s="106">
        <v>13.4</v>
      </c>
      <c r="X111" s="106">
        <v>21</v>
      </c>
      <c r="Y111" s="106">
        <v>13.9</v>
      </c>
      <c r="Z111" s="106">
        <v>13.8</v>
      </c>
      <c r="AA111" s="106">
        <v>10.7</v>
      </c>
      <c r="AB111" s="106">
        <v>23.8</v>
      </c>
      <c r="AC111" s="106">
        <v>23</v>
      </c>
      <c r="AD111" s="106">
        <v>26</v>
      </c>
      <c r="AE111" s="106">
        <v>26.4</v>
      </c>
      <c r="AF111" s="106">
        <v>26</v>
      </c>
      <c r="AG111" s="108"/>
      <c r="AH111" s="48">
        <f t="shared" si="11"/>
        <v>45.6</v>
      </c>
      <c r="AI111" s="49">
        <f t="shared" si="12"/>
        <v>10.7</v>
      </c>
    </row>
    <row r="112" spans="1:35" x14ac:dyDescent="0.25">
      <c r="A112" s="109" t="s">
        <v>117</v>
      </c>
      <c r="B112" s="184">
        <v>64.400000000000006</v>
      </c>
      <c r="C112" s="184">
        <v>69</v>
      </c>
      <c r="D112" s="184">
        <v>65</v>
      </c>
      <c r="E112" s="184">
        <v>66.900000000000006</v>
      </c>
      <c r="F112" s="184">
        <v>67.7</v>
      </c>
      <c r="G112" s="94">
        <v>64.599999999999994</v>
      </c>
      <c r="H112" s="94">
        <v>64.599999999999994</v>
      </c>
      <c r="I112" s="94">
        <v>64.599999999999994</v>
      </c>
      <c r="J112" s="94">
        <v>64.599999999999994</v>
      </c>
      <c r="K112" s="94">
        <v>64.599999999999994</v>
      </c>
      <c r="L112" s="94">
        <v>60</v>
      </c>
      <c r="M112" s="94"/>
      <c r="N112" s="94"/>
      <c r="O112" s="94"/>
      <c r="P112" s="94">
        <v>35.200000000000003</v>
      </c>
      <c r="Q112" s="94">
        <v>44</v>
      </c>
      <c r="R112" s="94">
        <v>41.6</v>
      </c>
      <c r="S112" s="94">
        <v>41.9</v>
      </c>
      <c r="T112" s="94">
        <v>40.700000000000003</v>
      </c>
      <c r="U112" s="94">
        <v>34</v>
      </c>
      <c r="V112" s="94">
        <v>2.8</v>
      </c>
      <c r="W112" s="94">
        <v>7</v>
      </c>
      <c r="X112" s="94">
        <v>-15.8</v>
      </c>
      <c r="Y112" s="94">
        <v>-3.3</v>
      </c>
      <c r="Z112" s="94">
        <v>4.3</v>
      </c>
      <c r="AA112" s="94">
        <v>14</v>
      </c>
      <c r="AB112" s="94">
        <v>28.3</v>
      </c>
      <c r="AC112" s="94">
        <v>33</v>
      </c>
      <c r="AD112" s="94">
        <v>42</v>
      </c>
      <c r="AE112" s="94">
        <v>55.3</v>
      </c>
      <c r="AF112" s="94">
        <v>61</v>
      </c>
      <c r="AG112" s="108"/>
      <c r="AH112" s="48">
        <f t="shared" si="11"/>
        <v>69</v>
      </c>
      <c r="AI112" s="49">
        <f t="shared" si="12"/>
        <v>-15.8</v>
      </c>
    </row>
    <row r="113" spans="1:37" ht="15.75" thickBot="1" x14ac:dyDescent="0.3">
      <c r="A113" s="109" t="s">
        <v>118</v>
      </c>
      <c r="B113" s="94">
        <v>30.8</v>
      </c>
      <c r="C113" s="94">
        <v>36</v>
      </c>
      <c r="D113" s="94">
        <v>32.200000000000003</v>
      </c>
      <c r="E113" s="94">
        <v>28.5</v>
      </c>
      <c r="F113" s="94">
        <v>34</v>
      </c>
      <c r="G113" s="94">
        <v>38.700000000000003</v>
      </c>
      <c r="H113" s="94">
        <v>38.700000000000003</v>
      </c>
      <c r="I113" s="94">
        <v>38.700000000000003</v>
      </c>
      <c r="J113" s="94">
        <v>38.700000000000003</v>
      </c>
      <c r="K113" s="94">
        <v>38.700000000000003</v>
      </c>
      <c r="L113" s="94">
        <v>10.7</v>
      </c>
      <c r="M113" s="94">
        <v>18.899999999999999</v>
      </c>
      <c r="N113" s="94">
        <v>18.399999999999999</v>
      </c>
      <c r="O113" s="94">
        <v>12.7</v>
      </c>
      <c r="P113" s="94">
        <v>11.2</v>
      </c>
      <c r="Q113" s="94">
        <v>3.5</v>
      </c>
      <c r="R113" s="94">
        <v>3</v>
      </c>
      <c r="S113" s="94">
        <v>-1.8</v>
      </c>
      <c r="T113" s="94">
        <v>5.3</v>
      </c>
      <c r="U113" s="94">
        <v>1</v>
      </c>
      <c r="V113" s="94">
        <v>-2.7</v>
      </c>
      <c r="W113" s="94">
        <v>-15.1</v>
      </c>
      <c r="X113" s="94">
        <v>-21</v>
      </c>
      <c r="Y113" s="94">
        <v>-9.9</v>
      </c>
      <c r="Z113" s="94">
        <v>-9.6999999999999993</v>
      </c>
      <c r="AA113" s="94">
        <v>-4.0999999999999996</v>
      </c>
      <c r="AB113" s="94">
        <v>-13.2</v>
      </c>
      <c r="AC113" s="94">
        <v>-10</v>
      </c>
      <c r="AD113" s="94">
        <v>-8</v>
      </c>
      <c r="AE113" s="94">
        <v>8.9</v>
      </c>
      <c r="AF113" s="94">
        <v>22.5</v>
      </c>
      <c r="AG113" s="108"/>
      <c r="AH113" s="48">
        <f t="shared" si="11"/>
        <v>38.700000000000003</v>
      </c>
      <c r="AI113" s="49">
        <f t="shared" si="12"/>
        <v>-21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19">SUM(B115:B219)</f>
        <v>0</v>
      </c>
      <c r="C220" s="125">
        <f t="shared" si="19"/>
        <v>0</v>
      </c>
      <c r="D220" s="125">
        <f t="shared" si="19"/>
        <v>0</v>
      </c>
      <c r="E220" s="125">
        <f t="shared" si="19"/>
        <v>0</v>
      </c>
      <c r="F220" s="125">
        <f t="shared" si="19"/>
        <v>0</v>
      </c>
      <c r="G220" s="125">
        <f t="shared" si="19"/>
        <v>0</v>
      </c>
      <c r="H220" s="125">
        <f t="shared" si="19"/>
        <v>0</v>
      </c>
      <c r="I220" s="125">
        <f t="shared" si="19"/>
        <v>0</v>
      </c>
      <c r="J220" s="125">
        <f t="shared" si="19"/>
        <v>0</v>
      </c>
      <c r="K220" s="125">
        <f t="shared" si="19"/>
        <v>0</v>
      </c>
      <c r="L220" s="125">
        <f t="shared" si="19"/>
        <v>0</v>
      </c>
      <c r="M220" s="125">
        <f t="shared" si="19"/>
        <v>0</v>
      </c>
      <c r="N220" s="125">
        <f t="shared" si="19"/>
        <v>0</v>
      </c>
      <c r="O220" s="125">
        <f t="shared" si="19"/>
        <v>0</v>
      </c>
      <c r="P220" s="125">
        <f t="shared" si="19"/>
        <v>0</v>
      </c>
      <c r="Q220" s="125">
        <f t="shared" si="19"/>
        <v>0</v>
      </c>
      <c r="R220" s="125">
        <f t="shared" si="19"/>
        <v>0</v>
      </c>
      <c r="S220" s="125">
        <f t="shared" si="19"/>
        <v>0</v>
      </c>
      <c r="T220" s="125">
        <f t="shared" si="19"/>
        <v>0</v>
      </c>
      <c r="U220" s="125">
        <f t="shared" si="19"/>
        <v>0</v>
      </c>
      <c r="V220" s="125">
        <f t="shared" si="19"/>
        <v>0</v>
      </c>
      <c r="W220" s="125">
        <f t="shared" si="19"/>
        <v>0</v>
      </c>
      <c r="X220" s="125">
        <f t="shared" si="19"/>
        <v>0</v>
      </c>
      <c r="Y220" s="125">
        <f t="shared" si="19"/>
        <v>0</v>
      </c>
      <c r="Z220" s="125">
        <f t="shared" si="19"/>
        <v>0</v>
      </c>
      <c r="AA220" s="125">
        <f t="shared" si="19"/>
        <v>0</v>
      </c>
      <c r="AB220" s="125">
        <f t="shared" si="19"/>
        <v>0</v>
      </c>
      <c r="AC220" s="125">
        <f t="shared" si="19"/>
        <v>0</v>
      </c>
      <c r="AD220" s="125">
        <f t="shared" si="19"/>
        <v>0</v>
      </c>
      <c r="AE220" s="125">
        <f t="shared" si="19"/>
        <v>0</v>
      </c>
      <c r="AF220" s="126">
        <f t="shared" si="19"/>
        <v>0</v>
      </c>
      <c r="AG220" s="127">
        <f t="shared" si="19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20">AF222</f>
        <v>0</v>
      </c>
      <c r="C222" s="129">
        <v>0.3</v>
      </c>
      <c r="D222" s="129">
        <f t="shared" ref="D222:P227" si="21">C222</f>
        <v>0.3</v>
      </c>
      <c r="E222" s="129">
        <f t="shared" si="21"/>
        <v>0.3</v>
      </c>
      <c r="F222" s="129">
        <f t="shared" si="21"/>
        <v>0.3</v>
      </c>
      <c r="G222" s="129">
        <f t="shared" si="21"/>
        <v>0.3</v>
      </c>
      <c r="H222" s="129">
        <f t="shared" si="21"/>
        <v>0.3</v>
      </c>
      <c r="I222" s="129">
        <f t="shared" si="21"/>
        <v>0.3</v>
      </c>
      <c r="J222" s="129">
        <f t="shared" si="21"/>
        <v>0.3</v>
      </c>
      <c r="K222" s="129">
        <f t="shared" si="21"/>
        <v>0.3</v>
      </c>
      <c r="L222" s="129">
        <f t="shared" si="21"/>
        <v>0.3</v>
      </c>
      <c r="M222" s="129">
        <f t="shared" si="21"/>
        <v>0.3</v>
      </c>
      <c r="N222" s="129">
        <f t="shared" si="21"/>
        <v>0.3</v>
      </c>
      <c r="O222" s="129">
        <f t="shared" si="21"/>
        <v>0.3</v>
      </c>
      <c r="P222" s="129">
        <f t="shared" si="21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20"/>
        <v>0</v>
      </c>
      <c r="C223" s="117">
        <v>0.4</v>
      </c>
      <c r="D223" s="117">
        <f t="shared" si="21"/>
        <v>0.4</v>
      </c>
      <c r="E223" s="117">
        <f t="shared" si="21"/>
        <v>0.4</v>
      </c>
      <c r="F223" s="117">
        <f t="shared" si="21"/>
        <v>0.4</v>
      </c>
      <c r="G223" s="117">
        <f t="shared" si="21"/>
        <v>0.4</v>
      </c>
      <c r="H223" s="117">
        <f t="shared" si="21"/>
        <v>0.4</v>
      </c>
      <c r="I223" s="117">
        <f t="shared" si="21"/>
        <v>0.4</v>
      </c>
      <c r="J223" s="117">
        <f t="shared" si="21"/>
        <v>0.4</v>
      </c>
      <c r="K223" s="117">
        <f t="shared" si="21"/>
        <v>0.4</v>
      </c>
      <c r="L223" s="117">
        <f t="shared" si="21"/>
        <v>0.4</v>
      </c>
      <c r="M223" s="117">
        <f t="shared" si="21"/>
        <v>0.4</v>
      </c>
      <c r="N223" s="117">
        <f t="shared" si="21"/>
        <v>0.4</v>
      </c>
      <c r="O223" s="117">
        <f t="shared" si="21"/>
        <v>0.4</v>
      </c>
      <c r="P223" s="117">
        <f t="shared" si="21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20"/>
        <v>0</v>
      </c>
      <c r="C224" s="117">
        <v>1.5</v>
      </c>
      <c r="D224" s="117">
        <f t="shared" si="21"/>
        <v>1.5</v>
      </c>
      <c r="E224" s="117">
        <f t="shared" si="21"/>
        <v>1.5</v>
      </c>
      <c r="F224" s="117">
        <f t="shared" si="21"/>
        <v>1.5</v>
      </c>
      <c r="G224" s="117">
        <f t="shared" si="21"/>
        <v>1.5</v>
      </c>
      <c r="H224" s="117">
        <f t="shared" si="21"/>
        <v>1.5</v>
      </c>
      <c r="I224" s="100">
        <f t="shared" ref="I224" ca="1" si="22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21"/>
        <v>1.5</v>
      </c>
      <c r="K224" s="117">
        <f t="shared" ca="1" si="21"/>
        <v>1.5</v>
      </c>
      <c r="L224" s="117">
        <f t="shared" ca="1" si="21"/>
        <v>1.5</v>
      </c>
      <c r="M224" s="117">
        <f t="shared" ca="1" si="21"/>
        <v>1.5</v>
      </c>
      <c r="N224" s="117">
        <f t="shared" ca="1" si="21"/>
        <v>1.5</v>
      </c>
      <c r="O224" s="117">
        <f t="shared" ca="1" si="21"/>
        <v>1.5</v>
      </c>
      <c r="P224" s="117">
        <f t="shared" ca="1" si="21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20"/>
        <v>0</v>
      </c>
      <c r="C225" s="117">
        <v>0.3</v>
      </c>
      <c r="D225" s="117">
        <f t="shared" si="21"/>
        <v>0.3</v>
      </c>
      <c r="E225" s="117">
        <f t="shared" si="21"/>
        <v>0.3</v>
      </c>
      <c r="F225" s="117">
        <f t="shared" si="21"/>
        <v>0.3</v>
      </c>
      <c r="G225" s="117">
        <f t="shared" si="21"/>
        <v>0.3</v>
      </c>
      <c r="H225" s="117">
        <f t="shared" si="21"/>
        <v>0.3</v>
      </c>
      <c r="I225" s="117">
        <f t="shared" si="21"/>
        <v>0.3</v>
      </c>
      <c r="J225" s="117">
        <f t="shared" si="21"/>
        <v>0.3</v>
      </c>
      <c r="K225" s="117">
        <f t="shared" si="21"/>
        <v>0.3</v>
      </c>
      <c r="L225" s="117">
        <f t="shared" si="21"/>
        <v>0.3</v>
      </c>
      <c r="M225" s="117">
        <f t="shared" si="21"/>
        <v>0.3</v>
      </c>
      <c r="N225" s="117">
        <f t="shared" si="21"/>
        <v>0.3</v>
      </c>
      <c r="O225" s="117">
        <f t="shared" si="21"/>
        <v>0.3</v>
      </c>
      <c r="P225" s="117">
        <f t="shared" si="21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20"/>
        <v>0</v>
      </c>
      <c r="C226" s="117">
        <v>0.4</v>
      </c>
      <c r="D226" s="117">
        <f t="shared" si="21"/>
        <v>0.4</v>
      </c>
      <c r="E226" s="117">
        <f t="shared" si="21"/>
        <v>0.4</v>
      </c>
      <c r="F226" s="117">
        <f t="shared" si="21"/>
        <v>0.4</v>
      </c>
      <c r="G226" s="117">
        <f t="shared" si="21"/>
        <v>0.4</v>
      </c>
      <c r="H226" s="117">
        <f t="shared" si="21"/>
        <v>0.4</v>
      </c>
      <c r="I226" s="117">
        <f t="shared" si="21"/>
        <v>0.4</v>
      </c>
      <c r="J226" s="117">
        <f t="shared" si="21"/>
        <v>0.4</v>
      </c>
      <c r="K226" s="117">
        <f t="shared" si="21"/>
        <v>0.4</v>
      </c>
      <c r="L226" s="117">
        <f t="shared" si="21"/>
        <v>0.4</v>
      </c>
      <c r="M226" s="117">
        <f t="shared" si="21"/>
        <v>0.4</v>
      </c>
      <c r="N226" s="117">
        <f t="shared" si="21"/>
        <v>0.4</v>
      </c>
      <c r="O226" s="117">
        <f t="shared" si="21"/>
        <v>0.4</v>
      </c>
      <c r="P226" s="117">
        <f t="shared" si="21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20"/>
        <v>0</v>
      </c>
      <c r="C227" s="121">
        <v>0.64</v>
      </c>
      <c r="D227" s="121">
        <f t="shared" si="21"/>
        <v>0.64</v>
      </c>
      <c r="E227" s="121">
        <f t="shared" si="21"/>
        <v>0.64</v>
      </c>
      <c r="F227" s="121">
        <f t="shared" si="21"/>
        <v>0.64</v>
      </c>
      <c r="G227" s="121">
        <f t="shared" si="21"/>
        <v>0.64</v>
      </c>
      <c r="H227" s="121">
        <f t="shared" si="21"/>
        <v>0.64</v>
      </c>
      <c r="I227" s="121">
        <f t="shared" si="21"/>
        <v>0.64</v>
      </c>
      <c r="J227" s="121">
        <f t="shared" si="21"/>
        <v>0.64</v>
      </c>
      <c r="K227" s="121">
        <f t="shared" si="21"/>
        <v>0.64</v>
      </c>
      <c r="L227" s="121">
        <f t="shared" si="21"/>
        <v>0.64</v>
      </c>
      <c r="M227" s="121">
        <f t="shared" si="21"/>
        <v>0.64</v>
      </c>
      <c r="N227" s="121">
        <f t="shared" si="21"/>
        <v>0.64</v>
      </c>
      <c r="O227" s="121">
        <f t="shared" si="21"/>
        <v>0.64</v>
      </c>
      <c r="P227" s="121">
        <f t="shared" si="21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3">SUM(B222:B227)</f>
        <v>0</v>
      </c>
      <c r="C228" s="125">
        <f t="shared" si="23"/>
        <v>3.54</v>
      </c>
      <c r="D228" s="125">
        <f t="shared" si="23"/>
        <v>3.54</v>
      </c>
      <c r="E228" s="125">
        <f t="shared" si="23"/>
        <v>3.54</v>
      </c>
      <c r="F228" s="125">
        <f t="shared" si="23"/>
        <v>3.54</v>
      </c>
      <c r="G228" s="125">
        <f t="shared" si="23"/>
        <v>3.54</v>
      </c>
      <c r="H228" s="125">
        <f t="shared" si="23"/>
        <v>3.54</v>
      </c>
      <c r="I228" s="125">
        <f t="shared" ca="1" si="23"/>
        <v>3.54</v>
      </c>
      <c r="J228" s="125">
        <f t="shared" ca="1" si="23"/>
        <v>3.54</v>
      </c>
      <c r="K228" s="125">
        <f t="shared" ca="1" si="23"/>
        <v>3.54</v>
      </c>
      <c r="L228" s="125">
        <f t="shared" ca="1" si="23"/>
        <v>3.54</v>
      </c>
      <c r="M228" s="125">
        <f t="shared" ca="1" si="23"/>
        <v>3.54</v>
      </c>
      <c r="N228" s="125">
        <f t="shared" ca="1" si="23"/>
        <v>3.54</v>
      </c>
      <c r="O228" s="125">
        <f t="shared" ca="1" si="23"/>
        <v>3.54</v>
      </c>
      <c r="P228" s="125">
        <f t="shared" ca="1" si="23"/>
        <v>3.54</v>
      </c>
      <c r="Q228" s="125">
        <f t="shared" si="23"/>
        <v>0</v>
      </c>
      <c r="R228" s="125">
        <f t="shared" si="23"/>
        <v>0</v>
      </c>
      <c r="S228" s="125">
        <f t="shared" si="23"/>
        <v>0</v>
      </c>
      <c r="T228" s="125">
        <f t="shared" si="23"/>
        <v>0</v>
      </c>
      <c r="U228" s="125">
        <f t="shared" si="23"/>
        <v>0</v>
      </c>
      <c r="V228" s="125">
        <f t="shared" si="23"/>
        <v>0</v>
      </c>
      <c r="W228" s="125">
        <f t="shared" si="23"/>
        <v>0</v>
      </c>
      <c r="X228" s="125">
        <f t="shared" si="23"/>
        <v>0</v>
      </c>
      <c r="Y228" s="125">
        <f t="shared" si="23"/>
        <v>0</v>
      </c>
      <c r="Z228" s="125">
        <f t="shared" si="23"/>
        <v>0</v>
      </c>
      <c r="AA228" s="125">
        <f t="shared" si="23"/>
        <v>0</v>
      </c>
      <c r="AB228" s="125">
        <f t="shared" si="23"/>
        <v>0</v>
      </c>
      <c r="AC228" s="125">
        <f t="shared" si="23"/>
        <v>0</v>
      </c>
      <c r="AD228" s="125">
        <f t="shared" si="23"/>
        <v>0</v>
      </c>
      <c r="AE228" s="125">
        <f t="shared" si="23"/>
        <v>0</v>
      </c>
      <c r="AF228" s="125">
        <f t="shared" si="23"/>
        <v>0</v>
      </c>
      <c r="AG228" s="134">
        <f t="shared" si="23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1674.34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17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2079/09/17)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2079/09/17)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4">B85</f>
        <v>1012.54</v>
      </c>
      <c r="U242" s="159">
        <f t="shared" si="24"/>
        <v>1003.04</v>
      </c>
      <c r="V242" s="159">
        <f t="shared" si="24"/>
        <v>985.54</v>
      </c>
      <c r="W242" s="159">
        <f t="shared" si="24"/>
        <v>969.54</v>
      </c>
      <c r="X242" s="159">
        <f t="shared" si="24"/>
        <v>983.7399999999999</v>
      </c>
      <c r="Y242" s="159">
        <f t="shared" si="24"/>
        <v>1018.04</v>
      </c>
      <c r="Z242" s="159">
        <f t="shared" si="24"/>
        <v>1062.94</v>
      </c>
      <c r="AA242" s="159">
        <f t="shared" si="24"/>
        <v>1093.94</v>
      </c>
      <c r="AB242" s="159">
        <f t="shared" si="24"/>
        <v>1070.94</v>
      </c>
      <c r="AC242" s="159">
        <f t="shared" si="24"/>
        <v>1266.54</v>
      </c>
      <c r="AD242" s="159">
        <f t="shared" si="24"/>
        <v>1549.94</v>
      </c>
      <c r="AE242" s="159">
        <f t="shared" si="24"/>
        <v>1674.34</v>
      </c>
      <c r="AF242" s="159">
        <f t="shared" si="24"/>
        <v>1603.54</v>
      </c>
      <c r="AG242" s="159">
        <f t="shared" si="24"/>
        <v>1530.2399999999998</v>
      </c>
      <c r="AH242" s="159">
        <f t="shared" si="24"/>
        <v>1482.08</v>
      </c>
      <c r="AI242" s="159">
        <f t="shared" si="24"/>
        <v>1401.8400000000001</v>
      </c>
      <c r="AJ242" s="159">
        <f t="shared" si="24"/>
        <v>1348.8400000000001</v>
      </c>
      <c r="AK242" s="159">
        <f t="shared" si="24"/>
        <v>1302.6400000000001</v>
      </c>
      <c r="AL242" s="159">
        <f t="shared" si="24"/>
        <v>1304.94</v>
      </c>
      <c r="AM242" s="159">
        <f t="shared" si="24"/>
        <v>1365.84</v>
      </c>
      <c r="AN242" s="159">
        <f t="shared" si="24"/>
        <v>1451.04</v>
      </c>
      <c r="AO242" s="159">
        <f t="shared" si="24"/>
        <v>1551.44</v>
      </c>
      <c r="AP242" s="159">
        <f t="shared" si="24"/>
        <v>1623.74</v>
      </c>
      <c r="AQ242" s="159">
        <f t="shared" si="24"/>
        <v>1603.94</v>
      </c>
      <c r="AR242" s="159">
        <f t="shared" si="24"/>
        <v>1551.74</v>
      </c>
      <c r="AS242" s="159">
        <f t="shared" si="24"/>
        <v>1530.14</v>
      </c>
      <c r="AT242" s="159">
        <f t="shared" si="24"/>
        <v>1488.74</v>
      </c>
      <c r="AU242" s="159">
        <f t="shared" si="24"/>
        <v>1413.24</v>
      </c>
      <c r="AV242" s="159">
        <f t="shared" si="24"/>
        <v>1342.04</v>
      </c>
      <c r="AW242" s="159">
        <f t="shared" si="24"/>
        <v>1180.44</v>
      </c>
      <c r="AX242" s="159">
        <f t="shared" si="24"/>
        <v>1062.6400000000001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5">C227</f>
        <v>0.64</v>
      </c>
      <c r="C263" s="162">
        <f t="shared" si="25"/>
        <v>0.64</v>
      </c>
      <c r="D263" s="162">
        <f t="shared" si="25"/>
        <v>0.64</v>
      </c>
      <c r="E263" s="162">
        <f t="shared" si="25"/>
        <v>0.64</v>
      </c>
      <c r="F263" s="162">
        <f t="shared" si="25"/>
        <v>0.64</v>
      </c>
      <c r="G263" s="162">
        <f t="shared" si="25"/>
        <v>0.64</v>
      </c>
      <c r="H263" s="162">
        <f t="shared" si="25"/>
        <v>0.64</v>
      </c>
      <c r="I263" s="162">
        <f t="shared" si="25"/>
        <v>0.64</v>
      </c>
      <c r="J263" s="162">
        <f t="shared" si="25"/>
        <v>0.64</v>
      </c>
      <c r="K263" s="162">
        <f t="shared" si="25"/>
        <v>0.64</v>
      </c>
      <c r="L263" s="162">
        <f t="shared" si="25"/>
        <v>0.64</v>
      </c>
      <c r="M263" s="162">
        <f t="shared" si="25"/>
        <v>0.64</v>
      </c>
      <c r="N263" s="162">
        <f t="shared" si="25"/>
        <v>0.64</v>
      </c>
      <c r="O263" s="162">
        <f t="shared" si="25"/>
        <v>0.64</v>
      </c>
      <c r="P263" s="162">
        <f t="shared" si="25"/>
        <v>0</v>
      </c>
      <c r="Q263" s="162">
        <f t="shared" si="25"/>
        <v>0</v>
      </c>
      <c r="R263" s="162">
        <f t="shared" si="25"/>
        <v>0</v>
      </c>
      <c r="S263" s="162">
        <f t="shared" si="25"/>
        <v>0</v>
      </c>
      <c r="T263" s="162">
        <f t="shared" si="25"/>
        <v>0</v>
      </c>
      <c r="U263" s="162">
        <f t="shared" si="25"/>
        <v>0</v>
      </c>
      <c r="V263" s="162">
        <f t="shared" si="25"/>
        <v>0</v>
      </c>
      <c r="W263" s="162">
        <f t="shared" si="25"/>
        <v>0</v>
      </c>
      <c r="X263" s="162">
        <f t="shared" si="25"/>
        <v>0</v>
      </c>
      <c r="Y263" s="162">
        <f t="shared" si="25"/>
        <v>0</v>
      </c>
      <c r="Z263" s="162">
        <f t="shared" si="25"/>
        <v>0</v>
      </c>
      <c r="AA263" s="162">
        <f t="shared" si="25"/>
        <v>0</v>
      </c>
      <c r="AB263" s="162">
        <f t="shared" si="25"/>
        <v>0</v>
      </c>
      <c r="AC263" s="162">
        <f t="shared" si="25"/>
        <v>0</v>
      </c>
      <c r="AD263" s="162">
        <f t="shared" si="25"/>
        <v>0</v>
      </c>
      <c r="AE263" s="162">
        <f t="shared" si="25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6">IF(B231&lt;100,"",B231-520)</f>
        <v/>
      </c>
      <c r="C264" s="163" t="str">
        <f t="shared" si="26"/>
        <v/>
      </c>
      <c r="D264" s="163" t="str">
        <f t="shared" si="26"/>
        <v/>
      </c>
      <c r="E264" s="163" t="str">
        <f t="shared" si="26"/>
        <v/>
      </c>
      <c r="F264" s="163" t="str">
        <f t="shared" si="26"/>
        <v/>
      </c>
      <c r="G264" s="163" t="str">
        <f t="shared" si="26"/>
        <v/>
      </c>
      <c r="H264" s="163" t="str">
        <f t="shared" si="26"/>
        <v/>
      </c>
      <c r="I264" s="163" t="str">
        <f t="shared" si="26"/>
        <v/>
      </c>
      <c r="J264" s="163" t="str">
        <f t="shared" si="26"/>
        <v/>
      </c>
      <c r="K264" s="163" t="str">
        <f t="shared" si="26"/>
        <v/>
      </c>
      <c r="L264" s="163" t="str">
        <f t="shared" si="26"/>
        <v/>
      </c>
      <c r="M264" s="163" t="str">
        <f t="shared" si="26"/>
        <v/>
      </c>
      <c r="N264" s="163" t="str">
        <f t="shared" si="26"/>
        <v/>
      </c>
      <c r="O264" s="163" t="str">
        <f t="shared" si="26"/>
        <v/>
      </c>
      <c r="P264" s="163" t="str">
        <f t="shared" si="26"/>
        <v/>
      </c>
      <c r="Q264" s="163" t="str">
        <f t="shared" si="26"/>
        <v/>
      </c>
      <c r="R264" s="163" t="str">
        <f t="shared" si="26"/>
        <v/>
      </c>
      <c r="S264" s="163" t="str">
        <f t="shared" si="26"/>
        <v/>
      </c>
      <c r="T264" s="163" t="str">
        <f t="shared" si="26"/>
        <v/>
      </c>
      <c r="U264" s="163" t="str">
        <f t="shared" si="26"/>
        <v/>
      </c>
      <c r="V264" s="163" t="str">
        <f t="shared" si="26"/>
        <v/>
      </c>
      <c r="W264" s="163" t="str">
        <f t="shared" si="26"/>
        <v/>
      </c>
      <c r="X264" s="163" t="str">
        <f t="shared" si="26"/>
        <v/>
      </c>
      <c r="Y264" s="163" t="str">
        <f t="shared" si="26"/>
        <v/>
      </c>
      <c r="Z264" s="163" t="str">
        <f t="shared" si="26"/>
        <v/>
      </c>
      <c r="AA264" s="163" t="str">
        <f t="shared" si="26"/>
        <v/>
      </c>
      <c r="AB264" s="163" t="str">
        <f t="shared" si="26"/>
        <v/>
      </c>
      <c r="AC264" s="163" t="str">
        <f t="shared" si="26"/>
        <v/>
      </c>
      <c r="AD264" s="163" t="str">
        <f t="shared" si="26"/>
        <v/>
      </c>
      <c r="AE264" s="163" t="str">
        <f t="shared" si="26"/>
        <v/>
      </c>
      <c r="AF264" s="163" t="str">
        <f t="shared" si="26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7">IF(B232&lt;100,"",B232-620)</f>
        <v/>
      </c>
      <c r="C265" s="163" t="str">
        <f t="shared" si="27"/>
        <v/>
      </c>
      <c r="D265" s="163" t="str">
        <f t="shared" si="27"/>
        <v/>
      </c>
      <c r="E265" s="163" t="str">
        <f t="shared" si="27"/>
        <v/>
      </c>
      <c r="F265" s="163" t="str">
        <f t="shared" si="27"/>
        <v/>
      </c>
      <c r="G265" s="163" t="str">
        <f t="shared" si="27"/>
        <v/>
      </c>
      <c r="H265" s="163" t="str">
        <f t="shared" si="27"/>
        <v/>
      </c>
      <c r="I265" s="163" t="str">
        <f t="shared" si="27"/>
        <v/>
      </c>
      <c r="J265" s="163" t="str">
        <f t="shared" si="27"/>
        <v/>
      </c>
      <c r="K265" s="163" t="str">
        <f t="shared" si="27"/>
        <v/>
      </c>
      <c r="L265" s="163" t="str">
        <f t="shared" si="27"/>
        <v/>
      </c>
      <c r="M265" s="163" t="str">
        <f t="shared" si="27"/>
        <v/>
      </c>
      <c r="N265" s="163" t="str">
        <f t="shared" si="27"/>
        <v/>
      </c>
      <c r="O265" s="163" t="str">
        <f t="shared" si="27"/>
        <v/>
      </c>
      <c r="P265" s="163" t="str">
        <f t="shared" si="27"/>
        <v/>
      </c>
      <c r="Q265" s="163" t="str">
        <f t="shared" si="27"/>
        <v/>
      </c>
      <c r="R265" s="163" t="str">
        <f t="shared" si="27"/>
        <v/>
      </c>
      <c r="S265" s="163" t="str">
        <f t="shared" si="27"/>
        <v/>
      </c>
      <c r="T265" s="163" t="str">
        <f t="shared" si="27"/>
        <v/>
      </c>
      <c r="U265" s="163" t="str">
        <f t="shared" si="27"/>
        <v/>
      </c>
      <c r="V265" s="163" t="str">
        <f t="shared" si="27"/>
        <v/>
      </c>
      <c r="W265" s="163" t="str">
        <f t="shared" si="27"/>
        <v/>
      </c>
      <c r="X265" s="163" t="str">
        <f t="shared" si="27"/>
        <v/>
      </c>
      <c r="Y265" s="163" t="str">
        <f t="shared" si="27"/>
        <v/>
      </c>
      <c r="Z265" s="163" t="str">
        <f t="shared" si="27"/>
        <v/>
      </c>
      <c r="AA265" s="163" t="str">
        <f t="shared" si="27"/>
        <v/>
      </c>
      <c r="AB265" s="163" t="str">
        <f t="shared" si="27"/>
        <v/>
      </c>
      <c r="AC265" s="163" t="str">
        <f t="shared" si="27"/>
        <v/>
      </c>
      <c r="AD265" s="163" t="str">
        <f t="shared" si="27"/>
        <v/>
      </c>
      <c r="AE265" s="163" t="str">
        <f t="shared" si="27"/>
        <v/>
      </c>
      <c r="AF265" s="163" t="str">
        <f t="shared" si="27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28">IF(B233&lt;100,"",B233-330)</f>
        <v/>
      </c>
      <c r="C266" s="163" t="str">
        <f t="shared" si="28"/>
        <v/>
      </c>
      <c r="D266" s="163" t="str">
        <f t="shared" si="28"/>
        <v/>
      </c>
      <c r="E266" s="163" t="str">
        <f t="shared" si="28"/>
        <v/>
      </c>
      <c r="F266" s="163" t="str">
        <f t="shared" si="28"/>
        <v/>
      </c>
      <c r="G266" s="163" t="str">
        <f t="shared" si="28"/>
        <v/>
      </c>
      <c r="H266" s="163" t="str">
        <f t="shared" si="28"/>
        <v/>
      </c>
      <c r="I266" s="163" t="str">
        <f t="shared" si="28"/>
        <v/>
      </c>
      <c r="J266" s="163" t="str">
        <f t="shared" si="28"/>
        <v/>
      </c>
      <c r="K266" s="163" t="str">
        <f t="shared" si="28"/>
        <v/>
      </c>
      <c r="L266" s="163" t="str">
        <f t="shared" si="28"/>
        <v/>
      </c>
      <c r="M266" s="163" t="str">
        <f t="shared" si="28"/>
        <v/>
      </c>
      <c r="N266" s="163" t="str">
        <f t="shared" si="28"/>
        <v/>
      </c>
      <c r="O266" s="163" t="str">
        <f t="shared" si="28"/>
        <v/>
      </c>
      <c r="P266" s="163" t="str">
        <f t="shared" si="28"/>
        <v/>
      </c>
      <c r="Q266" s="163" t="str">
        <f t="shared" si="28"/>
        <v/>
      </c>
      <c r="R266" s="163" t="str">
        <f t="shared" si="28"/>
        <v/>
      </c>
      <c r="S266" s="163" t="str">
        <f t="shared" si="28"/>
        <v/>
      </c>
      <c r="T266" s="163" t="str">
        <f t="shared" si="28"/>
        <v/>
      </c>
      <c r="U266" s="163" t="str">
        <f t="shared" si="28"/>
        <v/>
      </c>
      <c r="V266" s="163" t="str">
        <f t="shared" si="28"/>
        <v/>
      </c>
      <c r="W266" s="163" t="str">
        <f t="shared" si="28"/>
        <v/>
      </c>
      <c r="X266" s="163" t="str">
        <f t="shared" si="28"/>
        <v/>
      </c>
      <c r="Y266" s="163" t="str">
        <f t="shared" si="28"/>
        <v/>
      </c>
      <c r="Z266" s="163" t="str">
        <f t="shared" si="28"/>
        <v/>
      </c>
      <c r="AA266" s="163" t="str">
        <f t="shared" si="28"/>
        <v/>
      </c>
      <c r="AB266" s="163" t="str">
        <f t="shared" si="28"/>
        <v/>
      </c>
      <c r="AC266" s="163" t="str">
        <f t="shared" si="28"/>
        <v/>
      </c>
      <c r="AD266" s="163" t="str">
        <f t="shared" si="28"/>
        <v/>
      </c>
      <c r="AE266" s="163" t="str">
        <f t="shared" si="28"/>
        <v/>
      </c>
      <c r="AF266" s="163" t="str">
        <f t="shared" si="28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29">IF(B234&lt;100,"",B234-1500)</f>
        <v/>
      </c>
      <c r="C267" s="163" t="str">
        <f t="shared" si="29"/>
        <v/>
      </c>
      <c r="D267" s="163" t="str">
        <f t="shared" si="29"/>
        <v/>
      </c>
      <c r="E267" s="163" t="str">
        <f t="shared" si="29"/>
        <v/>
      </c>
      <c r="F267" s="163" t="str">
        <f t="shared" si="29"/>
        <v/>
      </c>
      <c r="G267" s="163" t="str">
        <f t="shared" si="29"/>
        <v/>
      </c>
      <c r="H267" s="163" t="str">
        <f t="shared" si="29"/>
        <v/>
      </c>
      <c r="I267" s="163" t="str">
        <f t="shared" si="29"/>
        <v/>
      </c>
      <c r="J267" s="163" t="str">
        <f t="shared" si="29"/>
        <v/>
      </c>
      <c r="K267" s="163" t="str">
        <f t="shared" si="29"/>
        <v/>
      </c>
      <c r="L267" s="163" t="str">
        <f t="shared" si="29"/>
        <v/>
      </c>
      <c r="M267" s="163" t="str">
        <f t="shared" si="29"/>
        <v/>
      </c>
      <c r="N267" s="163" t="str">
        <f t="shared" si="29"/>
        <v/>
      </c>
      <c r="O267" s="163" t="str">
        <f t="shared" si="29"/>
        <v/>
      </c>
      <c r="P267" s="163" t="str">
        <f t="shared" si="29"/>
        <v/>
      </c>
      <c r="Q267" s="163" t="str">
        <f t="shared" si="29"/>
        <v/>
      </c>
      <c r="R267" s="163" t="str">
        <f t="shared" si="29"/>
        <v/>
      </c>
      <c r="S267" s="163" t="str">
        <f t="shared" si="29"/>
        <v/>
      </c>
      <c r="T267" s="163" t="str">
        <f t="shared" si="29"/>
        <v/>
      </c>
      <c r="U267" s="163" t="str">
        <f t="shared" si="29"/>
        <v/>
      </c>
      <c r="V267" s="163" t="str">
        <f t="shared" si="29"/>
        <v/>
      </c>
      <c r="W267" s="163" t="str">
        <f t="shared" si="29"/>
        <v/>
      </c>
      <c r="X267" s="163" t="str">
        <f t="shared" si="29"/>
        <v/>
      </c>
      <c r="Y267" s="163" t="str">
        <f t="shared" si="29"/>
        <v/>
      </c>
      <c r="Z267" s="163" t="str">
        <f t="shared" si="29"/>
        <v/>
      </c>
      <c r="AA267" s="163" t="str">
        <f t="shared" si="29"/>
        <v/>
      </c>
      <c r="AB267" s="163" t="str">
        <f t="shared" si="29"/>
        <v/>
      </c>
      <c r="AC267" s="163" t="str">
        <f t="shared" si="29"/>
        <v/>
      </c>
      <c r="AD267" s="163" t="str">
        <f t="shared" si="29"/>
        <v/>
      </c>
      <c r="AE267" s="163" t="str">
        <f t="shared" si="29"/>
        <v/>
      </c>
      <c r="AF267" s="163" t="str">
        <f t="shared" si="29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X11:AF41">
    <cfRule type="expression" dxfId="6324" priority="234">
      <formula>B$9&gt;=20/24</formula>
    </cfRule>
    <cfRule type="expression" dxfId="6323" priority="235">
      <formula>AND(B$9&gt;=14/24,B$9&lt;20/24)</formula>
    </cfRule>
    <cfRule type="expression" dxfId="6322" priority="236">
      <formula>AND(B$9&gt;=8/24,B$9&lt;14/24)</formula>
    </cfRule>
    <cfRule type="expression" dxfId="6321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X11:AF41">
    <cfRule type="expression" dxfId="6320" priority="232">
      <formula>X11&gt;$AG11</formula>
    </cfRule>
  </conditionalFormatting>
  <conditionalFormatting sqref="A95:A105 A55:A82 A91:A93 A198:A228 A42:A53 A114:A185 A38:A39 A87:A89 A84:A85 A107:A109 A35:A36 A17:A18 A11:A15 A20:A33">
    <cfRule type="expression" dxfId="6319" priority="231">
      <formula>$AH11=0</formula>
    </cfRule>
  </conditionalFormatting>
  <conditionalFormatting sqref="A110">
    <cfRule type="expression" dxfId="6318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6317" priority="228">
      <formula>$AH41=0</formula>
    </cfRule>
  </conditionalFormatting>
  <conditionalFormatting sqref="A94">
    <cfRule type="expression" dxfId="6316" priority="227">
      <formula>$AH94=0</formula>
    </cfRule>
  </conditionalFormatting>
  <conditionalFormatting sqref="A16">
    <cfRule type="expression" dxfId="6315" priority="226">
      <formula>$AH16=0</formula>
    </cfRule>
  </conditionalFormatting>
  <conditionalFormatting sqref="A192:A197">
    <cfRule type="expression" dxfId="6314" priority="225">
      <formula>$AH192=0</formula>
    </cfRule>
  </conditionalFormatting>
  <conditionalFormatting sqref="A186:A191">
    <cfRule type="expression" dxfId="6313" priority="224">
      <formula>$AH186=0</formula>
    </cfRule>
  </conditionalFormatting>
  <conditionalFormatting sqref="A54">
    <cfRule type="expression" dxfId="6312" priority="223">
      <formula>$AH54=0</formula>
    </cfRule>
  </conditionalFormatting>
  <conditionalFormatting sqref="A90">
    <cfRule type="expression" dxfId="6311" priority="222">
      <formula>$AH90=0</formula>
    </cfRule>
  </conditionalFormatting>
  <conditionalFormatting sqref="AD95:AF95 E95:X95">
    <cfRule type="expression" dxfId="6310" priority="218">
      <formula>E$9&gt;=20/24</formula>
    </cfRule>
    <cfRule type="expression" dxfId="6309" priority="219">
      <formula>AND(E$9&gt;=14/24,E$9&lt;20/24)</formula>
    </cfRule>
    <cfRule type="expression" dxfId="6308" priority="220">
      <formula>AND(E$9&gt;=8/24,E$9&lt;14/24)</formula>
    </cfRule>
    <cfRule type="expression" dxfId="6307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306" priority="240">
      <formula>C$9&gt;=20/24</formula>
    </cfRule>
    <cfRule type="expression" dxfId="6305" priority="241">
      <formula>AND(C$9&gt;=14/24,C$9&lt;20/24)</formula>
    </cfRule>
    <cfRule type="expression" dxfId="6304" priority="242">
      <formula>AND(C$9&gt;=8/24,C$9&lt;14/24)</formula>
    </cfRule>
    <cfRule type="expression" dxfId="6303" priority="243">
      <formula>C$9&lt;8/24</formula>
    </cfRule>
  </conditionalFormatting>
  <conditionalFormatting sqref="A229">
    <cfRule type="expression" dxfId="6302" priority="244">
      <formula>$AH229=0</formula>
    </cfRule>
  </conditionalFormatting>
  <conditionalFormatting sqref="AG241">
    <cfRule type="expression" dxfId="6301" priority="245">
      <formula>B$9&gt;=20/24</formula>
    </cfRule>
    <cfRule type="expression" dxfId="6300" priority="246">
      <formula>AND(B$9&gt;=14/24,B$9&lt;20/24)</formula>
    </cfRule>
    <cfRule type="expression" dxfId="6299" priority="247">
      <formula>AND(B$9&gt;=8/24,B$9&lt;14/24)</formula>
    </cfRule>
    <cfRule type="expression" dxfId="6298" priority="248">
      <formula>B$9&lt;8/24</formula>
    </cfRule>
  </conditionalFormatting>
  <conditionalFormatting sqref="S8">
    <cfRule type="expression" dxfId="6297" priority="213">
      <formula>U$9&gt;=20/24</formula>
    </cfRule>
    <cfRule type="expression" dxfId="6296" priority="214">
      <formula>AND(U$9&gt;=14/24,U$9&lt;20/24)</formula>
    </cfRule>
    <cfRule type="expression" dxfId="6295" priority="215">
      <formula>AND(U$9&gt;=8/24,U$9&lt;14/24)</formula>
    </cfRule>
    <cfRule type="expression" dxfId="6294" priority="216">
      <formula>U$9&lt;8/24</formula>
    </cfRule>
  </conditionalFormatting>
  <conditionalFormatting sqref="AB8">
    <cfRule type="expression" dxfId="6293" priority="209">
      <formula>AD$9&gt;=20/24</formula>
    </cfRule>
    <cfRule type="expression" dxfId="6292" priority="210">
      <formula>AND(AD$9&gt;=14/24,AD$9&lt;20/24)</formula>
    </cfRule>
    <cfRule type="expression" dxfId="6291" priority="211">
      <formula>AND(AD$9&gt;=8/24,AD$9&lt;14/24)</formula>
    </cfRule>
    <cfRule type="expression" dxfId="6290" priority="212">
      <formula>AD$9&lt;8/24</formula>
    </cfRule>
  </conditionalFormatting>
  <conditionalFormatting sqref="AH241:AX241">
    <cfRule type="expression" dxfId="6289" priority="249">
      <formula>AG$9&gt;=20/24</formula>
    </cfRule>
    <cfRule type="expression" dxfId="6288" priority="250">
      <formula>AND(AG$9&gt;=14/24,AG$9&lt;20/24)</formula>
    </cfRule>
    <cfRule type="expression" dxfId="6287" priority="251">
      <formula>AND(AG$9&gt;=8/24,AG$9&lt;14/24)</formula>
    </cfRule>
    <cfRule type="expression" dxfId="6286" priority="252">
      <formula>AG$9&lt;8/24</formula>
    </cfRule>
  </conditionalFormatting>
  <conditionalFormatting sqref="T241">
    <cfRule type="expression" dxfId="6285" priority="253">
      <formula>AX$9&gt;=20/24</formula>
    </cfRule>
    <cfRule type="expression" dxfId="6284" priority="254">
      <formula>AND(AX$9&gt;=14/24,AX$9&lt;20/24)</formula>
    </cfRule>
    <cfRule type="expression" dxfId="6283" priority="255">
      <formula>AND(AX$9&gt;=8/24,AX$9&lt;14/24)</formula>
    </cfRule>
    <cfRule type="expression" dxfId="6282" priority="256">
      <formula>AX$9&lt;8/24</formula>
    </cfRule>
  </conditionalFormatting>
  <conditionalFormatting sqref="A111:A112">
    <cfRule type="expression" dxfId="6281" priority="208">
      <formula>$AH111=0</formula>
    </cfRule>
  </conditionalFormatting>
  <conditionalFormatting sqref="M50:Q51 N52:Q53 AB50:AF51 R53:AE53 E67:AF67 V52:AE52 AF52:AF53">
    <cfRule type="expression" dxfId="6280" priority="204">
      <formula>E$9&gt;=20/24</formula>
    </cfRule>
    <cfRule type="expression" dxfId="6279" priority="205">
      <formula>AND(E$9&gt;=14/24,E$9&lt;20/24)</formula>
    </cfRule>
    <cfRule type="expression" dxfId="6278" priority="206">
      <formula>AND(E$9&gt;=8/24,E$9&lt;14/24)</formula>
    </cfRule>
    <cfRule type="expression" dxfId="6277" priority="207">
      <formula>E$9&lt;8/24</formula>
    </cfRule>
  </conditionalFormatting>
  <conditionalFormatting sqref="M49:Q49 AB49:AF49">
    <cfRule type="expression" dxfId="6276" priority="200">
      <formula>M$9&gt;=20/24</formula>
    </cfRule>
    <cfRule type="expression" dxfId="6275" priority="201">
      <formula>AND(M$9&gt;=14/24,M$9&lt;20/24)</formula>
    </cfRule>
    <cfRule type="expression" dxfId="6274" priority="202">
      <formula>AND(M$9&gt;=8/24,M$9&lt;14/24)</formula>
    </cfRule>
    <cfRule type="expression" dxfId="6273" priority="203">
      <formula>M$9&lt;8/24</formula>
    </cfRule>
  </conditionalFormatting>
  <conditionalFormatting sqref="M49:Q51 N52:Q53 AB49:AF51 R53:AE53 V52:AE52 AF52:AF53">
    <cfRule type="expression" dxfId="6272" priority="199">
      <formula>M49&gt;$AG49</formula>
    </cfRule>
  </conditionalFormatting>
  <conditionalFormatting sqref="D82:AF82 N96:X102 X70:AC70 X43:AF43 X92:AF92 AD96:AF102 E68:AC69 X63:AF65 AD68:AF70">
    <cfRule type="expression" dxfId="6271" priority="195">
      <formula>D$9&gt;=20/24</formula>
    </cfRule>
    <cfRule type="expression" dxfId="6270" priority="196">
      <formula>AND(D$9&gt;=14/24,D$9&lt;20/24)</formula>
    </cfRule>
    <cfRule type="expression" dxfId="6269" priority="197">
      <formula>AND(D$9&gt;=8/24,D$9&lt;14/24)</formula>
    </cfRule>
    <cfRule type="expression" dxfId="6268" priority="198">
      <formula>D$9&lt;8/24</formula>
    </cfRule>
  </conditionalFormatting>
  <conditionalFormatting sqref="X43:AF43 X63:AF65">
    <cfRule type="expression" dxfId="6267" priority="194">
      <formula>X43&gt;$AG43</formula>
    </cfRule>
  </conditionalFormatting>
  <conditionalFormatting sqref="U52 R49:T52 U49:AA51">
    <cfRule type="expression" dxfId="6266" priority="190">
      <formula>R$9&gt;=20/24</formula>
    </cfRule>
    <cfRule type="expression" dxfId="6265" priority="191">
      <formula>AND(R$9&gt;=14/24,R$9&lt;20/24)</formula>
    </cfRule>
    <cfRule type="expression" dxfId="6264" priority="192">
      <formula>AND(R$9&gt;=8/24,R$9&lt;14/24)</formula>
    </cfRule>
    <cfRule type="expression" dxfId="6263" priority="193">
      <formula>R$9&lt;8/24</formula>
    </cfRule>
  </conditionalFormatting>
  <conditionalFormatting sqref="U52 R49:T52 U49:AA51">
    <cfRule type="expression" dxfId="6262" priority="189">
      <formula>R49&gt;$AG49</formula>
    </cfRule>
  </conditionalFormatting>
  <conditionalFormatting sqref="C84:AF84 C93:AF93">
    <cfRule type="expression" dxfId="6261" priority="185">
      <formula>C$9&gt;=20/24</formula>
    </cfRule>
    <cfRule type="expression" dxfId="6260" priority="186">
      <formula>AND(C$9&gt;=14/24,C$9&lt;20/24)</formula>
    </cfRule>
    <cfRule type="expression" dxfId="6259" priority="187">
      <formula>AND(C$9&gt;=8/24,C$9&lt;14/24)</formula>
    </cfRule>
    <cfRule type="expression" dxfId="6258" priority="188">
      <formula>C$9&lt;8/24</formula>
    </cfRule>
  </conditionalFormatting>
  <conditionalFormatting sqref="T43:W43">
    <cfRule type="expression" dxfId="6257" priority="181">
      <formula>T$9&gt;=20/24</formula>
    </cfRule>
    <cfRule type="expression" dxfId="6256" priority="182">
      <formula>AND(T$9&gt;=14/24,T$9&lt;20/24)</formula>
    </cfRule>
    <cfRule type="expression" dxfId="6255" priority="183">
      <formula>AND(T$9&gt;=8/24,T$9&lt;14/24)</formula>
    </cfRule>
    <cfRule type="expression" dxfId="6254" priority="184">
      <formula>T$9&lt;8/24</formula>
    </cfRule>
  </conditionalFormatting>
  <conditionalFormatting sqref="T43:W43">
    <cfRule type="expression" dxfId="6253" priority="180">
      <formula>T43&gt;$AG43</formula>
    </cfRule>
  </conditionalFormatting>
  <conditionalFormatting sqref="E50:L51 X42:AF42">
    <cfRule type="expression" dxfId="6252" priority="176">
      <formula>E$9&gt;=20/24</formula>
    </cfRule>
    <cfRule type="expression" dxfId="6251" priority="177">
      <formula>AND(E$9&gt;=14/24,E$9&lt;20/24)</formula>
    </cfRule>
    <cfRule type="expression" dxfId="6250" priority="178">
      <formula>AND(E$9&gt;=8/24,E$9&lt;14/24)</formula>
    </cfRule>
    <cfRule type="expression" dxfId="6249" priority="179">
      <formula>E$9&lt;8/24</formula>
    </cfRule>
  </conditionalFormatting>
  <conditionalFormatting sqref="E49:L49">
    <cfRule type="expression" dxfId="6248" priority="172">
      <formula>E$9&gt;=20/24</formula>
    </cfRule>
    <cfRule type="expression" dxfId="6247" priority="173">
      <formula>AND(E$9&gt;=14/24,E$9&lt;20/24)</formula>
    </cfRule>
    <cfRule type="expression" dxfId="6246" priority="174">
      <formula>AND(E$9&gt;=8/24,E$9&lt;14/24)</formula>
    </cfRule>
    <cfRule type="expression" dxfId="6245" priority="175">
      <formula>E$9&lt;8/24</formula>
    </cfRule>
  </conditionalFormatting>
  <conditionalFormatting sqref="E49:L51 X42:AF42">
    <cfRule type="expression" dxfId="6244" priority="171">
      <formula>E42&gt;$AG42</formula>
    </cfRule>
  </conditionalFormatting>
  <conditionalFormatting sqref="AG66 AG83 Q63:W65 E96:M102">
    <cfRule type="expression" dxfId="6243" priority="167">
      <formula>E$9&gt;=20/24</formula>
    </cfRule>
    <cfRule type="expression" dxfId="6242" priority="168">
      <formula>AND(E$9&gt;=14/24,E$9&lt;20/24)</formula>
    </cfRule>
    <cfRule type="expression" dxfId="6241" priority="169">
      <formula>AND(E$9&gt;=8/24,E$9&lt;14/24)</formula>
    </cfRule>
    <cfRule type="expression" dxfId="6240" priority="170">
      <formula>E$9&lt;8/24</formula>
    </cfRule>
  </conditionalFormatting>
  <conditionalFormatting sqref="AG44 AG62 AG66 Q63:W65">
    <cfRule type="expression" dxfId="6239" priority="166">
      <formula>Q44&gt;$AG44</formula>
    </cfRule>
  </conditionalFormatting>
  <conditionalFormatting sqref="X54:AF54">
    <cfRule type="expression" dxfId="6238" priority="162">
      <formula>X$9&gt;=20/24</formula>
    </cfRule>
    <cfRule type="expression" dxfId="6237" priority="163">
      <formula>AND(X$9&gt;=14/24,X$9&lt;20/24)</formula>
    </cfRule>
    <cfRule type="expression" dxfId="6236" priority="164">
      <formula>AND(X$9&gt;=8/24,X$9&lt;14/24)</formula>
    </cfRule>
    <cfRule type="expression" dxfId="6235" priority="165">
      <formula>X$9&lt;8/24</formula>
    </cfRule>
  </conditionalFormatting>
  <conditionalFormatting sqref="X54:AF54">
    <cfRule type="expression" dxfId="6234" priority="161">
      <formula>X54&gt;$AG54</formula>
    </cfRule>
  </conditionalFormatting>
  <conditionalFormatting sqref="A40">
    <cfRule type="expression" dxfId="6233" priority="160">
      <formula>$AH40=0</formula>
    </cfRule>
  </conditionalFormatting>
  <conditionalFormatting sqref="X87:AF91">
    <cfRule type="expression" dxfId="6232" priority="156">
      <formula>X$9&gt;=20/24</formula>
    </cfRule>
    <cfRule type="expression" dxfId="6231" priority="157">
      <formula>AND(X$9&gt;=14/24,X$9&lt;20/24)</formula>
    </cfRule>
    <cfRule type="expression" dxfId="6230" priority="158">
      <formula>AND(X$9&gt;=8/24,X$9&lt;14/24)</formula>
    </cfRule>
    <cfRule type="expression" dxfId="6229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6228" priority="152">
      <formula>E$9&gt;=20/24</formula>
    </cfRule>
    <cfRule type="expression" dxfId="6227" priority="153">
      <formula>AND(E$9&gt;=14/24,E$9&lt;20/24)</formula>
    </cfRule>
    <cfRule type="expression" dxfId="6226" priority="154">
      <formula>AND(E$9&gt;=8/24,E$9&lt;14/24)</formula>
    </cfRule>
    <cfRule type="expression" dxfId="6225" priority="155">
      <formula>E$9&lt;8/24</formula>
    </cfRule>
  </conditionalFormatting>
  <conditionalFormatting sqref="E45:AF47">
    <cfRule type="expression" dxfId="6224" priority="151">
      <formula>E45&gt;$AG45</formula>
    </cfRule>
  </conditionalFormatting>
  <conditionalFormatting sqref="AG48">
    <cfRule type="expression" dxfId="6223" priority="147">
      <formula>AG$9&gt;=20/24</formula>
    </cfRule>
    <cfRule type="expression" dxfId="6222" priority="148">
      <formula>AND(AG$9&gt;=14/24,AG$9&lt;20/24)</formula>
    </cfRule>
    <cfRule type="expression" dxfId="6221" priority="149">
      <formula>AND(AG$9&gt;=8/24,AG$9&lt;14/24)</formula>
    </cfRule>
    <cfRule type="expression" dxfId="6220" priority="150">
      <formula>AG$9&lt;8/24</formula>
    </cfRule>
  </conditionalFormatting>
  <conditionalFormatting sqref="AG48">
    <cfRule type="expression" dxfId="6219" priority="146">
      <formula>AG48&gt;$AG48</formula>
    </cfRule>
  </conditionalFormatting>
  <conditionalFormatting sqref="C103:AF103">
    <cfRule type="expression" dxfId="6218" priority="142">
      <formula>C$9&gt;=20/24</formula>
    </cfRule>
    <cfRule type="expression" dxfId="6217" priority="143">
      <formula>AND(C$9&gt;=14/24,C$9&lt;20/24)</formula>
    </cfRule>
    <cfRule type="expression" dxfId="6216" priority="144">
      <formula>AND(C$9&gt;=8/24,C$9&lt;14/24)</formula>
    </cfRule>
    <cfRule type="expression" dxfId="6215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214" priority="140">
      <formula>$AH37=0</formula>
    </cfRule>
  </conditionalFormatting>
  <conditionalFormatting sqref="A86">
    <cfRule type="expression" dxfId="6213" priority="138">
      <formula>$AH86=0</formula>
    </cfRule>
  </conditionalFormatting>
  <conditionalFormatting sqref="A83">
    <cfRule type="expression" dxfId="6212" priority="139">
      <formula>$AH83=0</formula>
    </cfRule>
  </conditionalFormatting>
  <conditionalFormatting sqref="A113">
    <cfRule type="expression" dxfId="6211" priority="129">
      <formula>$AH113=0</formula>
    </cfRule>
  </conditionalFormatting>
  <conditionalFormatting sqref="D106:AF106">
    <cfRule type="expression" dxfId="6210" priority="125">
      <formula>D$9&gt;=20/24</formula>
    </cfRule>
    <cfRule type="expression" dxfId="6209" priority="126">
      <formula>AND(D$9&gt;=14/24,D$9&lt;20/24)</formula>
    </cfRule>
    <cfRule type="expression" dxfId="6208" priority="127">
      <formula>AND(D$9&gt;=8/24,D$9&lt;14/24)</formula>
    </cfRule>
    <cfRule type="expression" dxfId="6207" priority="128">
      <formula>D$9&lt;8/24</formula>
    </cfRule>
  </conditionalFormatting>
  <conditionalFormatting sqref="A106">
    <cfRule type="expression" dxfId="6206" priority="124">
      <formula>$AH106=0</formula>
    </cfRule>
  </conditionalFormatting>
  <conditionalFormatting sqref="A19">
    <cfRule type="expression" dxfId="6205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6204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6203" priority="116">
      <formula>Y$9&gt;=20/24</formula>
    </cfRule>
    <cfRule type="expression" dxfId="6202" priority="117">
      <formula>AND(Y$9&gt;=14/24,Y$9&lt;20/24)</formula>
    </cfRule>
    <cfRule type="expression" dxfId="6201" priority="118">
      <formula>AND(Y$9&gt;=8/24,Y$9&lt;14/24)</formula>
    </cfRule>
    <cfRule type="expression" dxfId="6200" priority="119">
      <formula>Y$9&lt;8/24</formula>
    </cfRule>
  </conditionalFormatting>
  <conditionalFormatting sqref="Y96:AC102">
    <cfRule type="expression" dxfId="6199" priority="112">
      <formula>Y$9&gt;=20/24</formula>
    </cfRule>
    <cfRule type="expression" dxfId="6198" priority="113">
      <formula>AND(Y$9&gt;=14/24,Y$9&lt;20/24)</formula>
    </cfRule>
    <cfRule type="expression" dxfId="6197" priority="114">
      <formula>AND(Y$9&gt;=8/24,Y$9&lt;14/24)</formula>
    </cfRule>
    <cfRule type="expression" dxfId="6196" priority="115">
      <formula>Y$9&lt;8/24</formula>
    </cfRule>
  </conditionalFormatting>
  <conditionalFormatting sqref="B105:C105 B107:C112 B15:W40">
    <cfRule type="expression" dxfId="6195" priority="108">
      <formula>B$9&gt;=20/24</formula>
    </cfRule>
    <cfRule type="expression" dxfId="6194" priority="109">
      <formula>AND(B$9&gt;=14/24,B$9&lt;20/24)</formula>
    </cfRule>
    <cfRule type="expression" dxfId="6193" priority="110">
      <formula>AND(B$9&gt;=8/24,B$9&lt;14/24)</formula>
    </cfRule>
    <cfRule type="expression" dxfId="6192" priority="111">
      <formula>B$9&lt;8/24</formula>
    </cfRule>
  </conditionalFormatting>
  <conditionalFormatting sqref="B43:S43">
    <cfRule type="expression" dxfId="6191" priority="104">
      <formula>B$9&gt;=20/24</formula>
    </cfRule>
    <cfRule type="expression" dxfId="6190" priority="105">
      <formula>AND(B$9&gt;=14/24,B$9&lt;20/24)</formula>
    </cfRule>
    <cfRule type="expression" dxfId="6189" priority="106">
      <formula>AND(B$9&gt;=8/24,B$9&lt;14/24)</formula>
    </cfRule>
    <cfRule type="expression" dxfId="6188" priority="107">
      <formula>B$9&lt;8/24</formula>
    </cfRule>
  </conditionalFormatting>
  <conditionalFormatting sqref="B43:S43 B15:W40">
    <cfRule type="expression" dxfId="6187" priority="103">
      <formula>B15&gt;$AG15</formula>
    </cfRule>
  </conditionalFormatting>
  <conditionalFormatting sqref="B95:D95">
    <cfRule type="expression" dxfId="6186" priority="99">
      <formula>B$9&gt;=20/24</formula>
    </cfRule>
    <cfRule type="expression" dxfId="6185" priority="100">
      <formula>AND(B$9&gt;=14/24,B$9&lt;20/24)</formula>
    </cfRule>
    <cfRule type="expression" dxfId="6184" priority="101">
      <formula>AND(B$9&gt;=8/24,B$9&lt;14/24)</formula>
    </cfRule>
    <cfRule type="expression" dxfId="6183" priority="102">
      <formula>B$9&lt;8/24</formula>
    </cfRule>
  </conditionalFormatting>
  <conditionalFormatting sqref="B50:D51 B67:D67">
    <cfRule type="expression" dxfId="6182" priority="95">
      <formula>B$9&gt;=20/24</formula>
    </cfRule>
    <cfRule type="expression" dxfId="6181" priority="96">
      <formula>AND(B$9&gt;=14/24,B$9&lt;20/24)</formula>
    </cfRule>
    <cfRule type="expression" dxfId="6180" priority="97">
      <formula>AND(B$9&gt;=8/24,B$9&lt;14/24)</formula>
    </cfRule>
    <cfRule type="expression" dxfId="6179" priority="98">
      <formula>B$9&lt;8/24</formula>
    </cfRule>
  </conditionalFormatting>
  <conditionalFormatting sqref="B49:D49">
    <cfRule type="expression" dxfId="6178" priority="91">
      <formula>B$9&gt;=20/24</formula>
    </cfRule>
    <cfRule type="expression" dxfId="6177" priority="92">
      <formula>AND(B$9&gt;=14/24,B$9&lt;20/24)</formula>
    </cfRule>
    <cfRule type="expression" dxfId="6176" priority="93">
      <formula>AND(B$9&gt;=8/24,B$9&lt;14/24)</formula>
    </cfRule>
    <cfRule type="expression" dxfId="6175" priority="94">
      <formula>B$9&lt;8/24</formula>
    </cfRule>
  </conditionalFormatting>
  <conditionalFormatting sqref="B49:D51">
    <cfRule type="expression" dxfId="6174" priority="90">
      <formula>B49&gt;$AG49</formula>
    </cfRule>
  </conditionalFormatting>
  <conditionalFormatting sqref="B82:C82 B96:D102 B92:W92 B79:AF81 B68:D72 B63:P65 E70:W72 X71:AF72">
    <cfRule type="expression" dxfId="6173" priority="86">
      <formula>B$9&gt;=20/24</formula>
    </cfRule>
    <cfRule type="expression" dxfId="6172" priority="87">
      <formula>AND(B$9&gt;=14/24,B$9&lt;20/24)</formula>
    </cfRule>
    <cfRule type="expression" dxfId="6171" priority="88">
      <formula>AND(B$9&gt;=8/24,B$9&lt;14/24)</formula>
    </cfRule>
    <cfRule type="expression" dxfId="6170" priority="89">
      <formula>B$9&lt;8/24</formula>
    </cfRule>
  </conditionalFormatting>
  <conditionalFormatting sqref="B63:P65 B52:M53">
    <cfRule type="expression" dxfId="6169" priority="85">
      <formula>B52&gt;$AG52</formula>
    </cfRule>
  </conditionalFormatting>
  <conditionalFormatting sqref="B54:W54">
    <cfRule type="expression" dxfId="6168" priority="81">
      <formula>B$9&gt;=20/24</formula>
    </cfRule>
    <cfRule type="expression" dxfId="6167" priority="82">
      <formula>AND(B$9&gt;=14/24,B$9&lt;20/24)</formula>
    </cfRule>
    <cfRule type="expression" dxfId="6166" priority="83">
      <formula>AND(B$9&gt;=8/24,B$9&lt;14/24)</formula>
    </cfRule>
    <cfRule type="expression" dxfId="6165" priority="84">
      <formula>B$9&lt;8/24</formula>
    </cfRule>
  </conditionalFormatting>
  <conditionalFormatting sqref="B54:W54">
    <cfRule type="expression" dxfId="6164" priority="80">
      <formula>B54&gt;$AG54</formula>
    </cfRule>
  </conditionalFormatting>
  <conditionalFormatting sqref="B84 B93">
    <cfRule type="expression" dxfId="6163" priority="76">
      <formula>B$9&gt;=20/24</formula>
    </cfRule>
    <cfRule type="expression" dxfId="6162" priority="77">
      <formula>AND(B$9&gt;=14/24,B$9&lt;20/24)</formula>
    </cfRule>
    <cfRule type="expression" dxfId="6161" priority="78">
      <formula>AND(B$9&gt;=8/24,B$9&lt;14/24)</formula>
    </cfRule>
    <cfRule type="expression" dxfId="6160" priority="79">
      <formula>B$9&lt;8/24</formula>
    </cfRule>
  </conditionalFormatting>
  <conditionalFormatting sqref="B42:W42">
    <cfRule type="expression" dxfId="6159" priority="72">
      <formula>B$9&gt;=20/24</formula>
    </cfRule>
    <cfRule type="expression" dxfId="6158" priority="73">
      <formula>AND(B$9&gt;=14/24,B$9&lt;20/24)</formula>
    </cfRule>
    <cfRule type="expression" dxfId="6157" priority="74">
      <formula>AND(B$9&gt;=8/24,B$9&lt;14/24)</formula>
    </cfRule>
    <cfRule type="expression" dxfId="6156" priority="75">
      <formula>B$9&lt;8/24</formula>
    </cfRule>
  </conditionalFormatting>
  <conditionalFormatting sqref="B42:W42">
    <cfRule type="expression" dxfId="6155" priority="71">
      <formula>B42&gt;$AG42</formula>
    </cfRule>
  </conditionalFormatting>
  <conditionalFormatting sqref="B94:AF94 B66:AF66 B83:AF83 B85:AF85">
    <cfRule type="expression" dxfId="6154" priority="67">
      <formula>B$9&gt;=20/24</formula>
    </cfRule>
    <cfRule type="expression" dxfId="6153" priority="68">
      <formula>AND(B$9&gt;=14/24,B$9&lt;20/24)</formula>
    </cfRule>
    <cfRule type="expression" dxfId="6152" priority="69">
      <formula>AND(B$9&gt;=8/24,B$9&lt;14/24)</formula>
    </cfRule>
    <cfRule type="expression" dxfId="6151" priority="70">
      <formula>B$9&lt;8/24</formula>
    </cfRule>
  </conditionalFormatting>
  <conditionalFormatting sqref="B44:AF44 B61:AF62 B66:AF66">
    <cfRule type="expression" dxfId="6150" priority="66">
      <formula>B44&gt;$AG44</formula>
    </cfRule>
  </conditionalFormatting>
  <conditionalFormatting sqref="B78:AF78">
    <cfRule type="expression" dxfId="6149" priority="62">
      <formula>B$9&gt;=20/24</formula>
    </cfRule>
    <cfRule type="expression" dxfId="6148" priority="63">
      <formula>AND(B$9&gt;=14/24,B$9&lt;20/24)</formula>
    </cfRule>
    <cfRule type="expression" dxfId="6147" priority="64">
      <formula>AND(B$9&gt;=8/24,B$9&lt;14/24)</formula>
    </cfRule>
    <cfRule type="expression" dxfId="6146" priority="65">
      <formula>B$9&lt;8/24</formula>
    </cfRule>
  </conditionalFormatting>
  <conditionalFormatting sqref="B87:W91">
    <cfRule type="expression" dxfId="6145" priority="58">
      <formula>B$9&gt;=20/24</formula>
    </cfRule>
    <cfRule type="expression" dxfId="6144" priority="59">
      <formula>AND(B$9&gt;=14/24,B$9&lt;20/24)</formula>
    </cfRule>
    <cfRule type="expression" dxfId="6143" priority="60">
      <formula>AND(B$9&gt;=8/24,B$9&lt;14/24)</formula>
    </cfRule>
    <cfRule type="expression" dxfId="6142" priority="61">
      <formula>B$9&lt;8/24</formula>
    </cfRule>
  </conditionalFormatting>
  <conditionalFormatting sqref="B45:D47">
    <cfRule type="expression" dxfId="6141" priority="54">
      <formula>B$9&gt;=20/24</formula>
    </cfRule>
    <cfRule type="expression" dxfId="6140" priority="55">
      <formula>AND(B$9&gt;=14/24,B$9&lt;20/24)</formula>
    </cfRule>
    <cfRule type="expression" dxfId="6139" priority="56">
      <formula>AND(B$9&gt;=8/24,B$9&lt;14/24)</formula>
    </cfRule>
    <cfRule type="expression" dxfId="6138" priority="57">
      <formula>B$9&lt;8/24</formula>
    </cfRule>
  </conditionalFormatting>
  <conditionalFormatting sqref="B45:D47">
    <cfRule type="expression" dxfId="6137" priority="53">
      <formula>B45&gt;$AG45</formula>
    </cfRule>
  </conditionalFormatting>
  <conditionalFormatting sqref="B48:AF48">
    <cfRule type="expression" dxfId="6136" priority="49">
      <formula>B$9&gt;=20/24</formula>
    </cfRule>
    <cfRule type="expression" dxfId="6135" priority="50">
      <formula>AND(B$9&gt;=14/24,B$9&lt;20/24)</formula>
    </cfRule>
    <cfRule type="expression" dxfId="6134" priority="51">
      <formula>AND(B$9&gt;=8/24,B$9&lt;14/24)</formula>
    </cfRule>
    <cfRule type="expression" dxfId="6133" priority="52">
      <formula>B$9&lt;8/24</formula>
    </cfRule>
  </conditionalFormatting>
  <conditionalFormatting sqref="B48:AF48">
    <cfRule type="expression" dxfId="6132" priority="48">
      <formula>B48&gt;$AG48</formula>
    </cfRule>
  </conditionalFormatting>
  <conditionalFormatting sqref="B103">
    <cfRule type="expression" dxfId="6131" priority="44">
      <formula>B$9&gt;=20/24</formula>
    </cfRule>
    <cfRule type="expression" dxfId="6130" priority="45">
      <formula>AND(B$9&gt;=14/24,B$9&lt;20/24)</formula>
    </cfRule>
    <cfRule type="expression" dxfId="6129" priority="46">
      <formula>AND(B$9&gt;=8/24,B$9&lt;14/24)</formula>
    </cfRule>
    <cfRule type="expression" dxfId="6128" priority="47">
      <formula>B$9&lt;8/24</formula>
    </cfRule>
  </conditionalFormatting>
  <conditionalFormatting sqref="B106:C106">
    <cfRule type="expression" dxfId="6127" priority="32">
      <formula>B$9&gt;=20/24</formula>
    </cfRule>
    <cfRule type="expression" dxfId="6126" priority="33">
      <formula>AND(B$9&gt;=14/24,B$9&lt;20/24)</formula>
    </cfRule>
    <cfRule type="expression" dxfId="6125" priority="34">
      <formula>AND(B$9&gt;=8/24,B$9&lt;14/24)</formula>
    </cfRule>
    <cfRule type="expression" dxfId="6124" priority="35">
      <formula>B$9&lt;8/24</formula>
    </cfRule>
  </conditionalFormatting>
  <conditionalFormatting sqref="B55:AF60">
    <cfRule type="expression" dxfId="6123" priority="28">
      <formula>B$9&gt;=20/24</formula>
    </cfRule>
    <cfRule type="expression" dxfId="6122" priority="29">
      <formula>AND(B$9&gt;=14/24,B$9&lt;20/24)</formula>
    </cfRule>
    <cfRule type="expression" dxfId="6121" priority="30">
      <formula>AND(B$9&gt;=8/24,B$9&lt;14/24)</formula>
    </cfRule>
    <cfRule type="expression" dxfId="6120" priority="31">
      <formula>B$9&lt;8/24</formula>
    </cfRule>
  </conditionalFormatting>
  <conditionalFormatting sqref="B55:AF60">
    <cfRule type="expression" dxfId="6119" priority="27">
      <formula>B55&gt;$AG55</formula>
    </cfRule>
  </conditionalFormatting>
  <conditionalFormatting sqref="B12:W14 B41:W41">
    <cfRule type="expression" dxfId="6118" priority="26">
      <formula>B12&gt;$AG12</formula>
    </cfRule>
  </conditionalFormatting>
  <conditionalFormatting sqref="B11:W11">
    <cfRule type="expression" dxfId="6117" priority="22">
      <formula>B$9&gt;=20/24</formula>
    </cfRule>
    <cfRule type="expression" dxfId="6116" priority="23">
      <formula>AND(B$9&gt;=14/24,B$9&lt;20/24)</formula>
    </cfRule>
    <cfRule type="expression" dxfId="6115" priority="24">
      <formula>AND(B$9&gt;=8/24,B$9&lt;14/24)</formula>
    </cfRule>
    <cfRule type="expression" dxfId="6114" priority="25">
      <formula>B$9&lt;8/24</formula>
    </cfRule>
  </conditionalFormatting>
  <conditionalFormatting sqref="B11:W11">
    <cfRule type="expression" dxfId="6113" priority="21">
      <formula>B11&gt;$AG11</formula>
    </cfRule>
  </conditionalFormatting>
  <conditionalFormatting sqref="B12:W14">
    <cfRule type="expression" dxfId="6112" priority="17">
      <formula>B$9&gt;=20/24</formula>
    </cfRule>
    <cfRule type="expression" dxfId="6111" priority="18">
      <formula>AND(B$9&gt;=14/24,B$9&lt;20/24)</formula>
    </cfRule>
    <cfRule type="expression" dxfId="6110" priority="19">
      <formula>AND(B$9&gt;=8/24,B$9&lt;14/24)</formula>
    </cfRule>
    <cfRule type="expression" dxfId="6109" priority="20">
      <formula>B$9&lt;8/24</formula>
    </cfRule>
  </conditionalFormatting>
  <conditionalFormatting sqref="B41:W41">
    <cfRule type="expression" dxfId="6108" priority="13">
      <formula>B$9&gt;=20/24</formula>
    </cfRule>
    <cfRule type="expression" dxfId="6107" priority="14">
      <formula>AND(B$9&gt;=14/24,B$9&lt;20/24)</formula>
    </cfRule>
    <cfRule type="expression" dxfId="6106" priority="15">
      <formula>AND(B$9&gt;=8/24,B$9&lt;14/24)</formula>
    </cfRule>
    <cfRule type="expression" dxfId="6105" priority="16">
      <formula>B$9&lt;8/24</formula>
    </cfRule>
  </conditionalFormatting>
  <conditionalFormatting sqref="B73:AF77">
    <cfRule type="expression" dxfId="6104" priority="9">
      <formula>B$9&gt;=20/24</formula>
    </cfRule>
    <cfRule type="expression" dxfId="6103" priority="10">
      <formula>AND(B$9&gt;=14/24,B$9&lt;20/24)</formula>
    </cfRule>
    <cfRule type="expression" dxfId="6102" priority="11">
      <formula>AND(B$9&gt;=8/24,B$9&lt;14/24)</formula>
    </cfRule>
    <cfRule type="expression" dxfId="6101" priority="12">
      <formula>B$9&lt;8/24</formula>
    </cfRule>
  </conditionalFormatting>
  <conditionalFormatting sqref="AL74:AN74 AL80:AN80 AN75:AN76">
    <cfRule type="expression" dxfId="6100" priority="5">
      <formula>AL$9&gt;=20/24</formula>
    </cfRule>
    <cfRule type="expression" dxfId="6099" priority="6">
      <formula>AND(AL$9&gt;=14/24,AL$9&lt;20/24)</formula>
    </cfRule>
    <cfRule type="expression" dxfId="6098" priority="7">
      <formula>AND(AL$9&gt;=8/24,AL$9&lt;14/24)</formula>
    </cfRule>
    <cfRule type="expression" dxfId="6097" priority="8">
      <formula>AL$9&lt;8/24</formula>
    </cfRule>
  </conditionalFormatting>
  <conditionalFormatting sqref="AN77:AN78">
    <cfRule type="expression" dxfId="6096" priority="1">
      <formula>AN$9&gt;=20/24</formula>
    </cfRule>
    <cfRule type="expression" dxfId="6095" priority="2">
      <formula>AND(AN$9&gt;=14/24,AN$9&lt;20/24)</formula>
    </cfRule>
    <cfRule type="expression" dxfId="6094" priority="3">
      <formula>AND(AN$9&gt;=8/24,AN$9&lt;14/24)</formula>
    </cfRule>
    <cfRule type="expression" dxfId="6093" priority="4">
      <formula>AN$9&lt;8/24</formula>
    </cfRule>
  </conditionalFormatting>
  <conditionalFormatting sqref="AL75:AM79">
    <cfRule type="expression" dxfId="6092" priority="258">
      <formula>AJ$9&gt;=20/24</formula>
    </cfRule>
    <cfRule type="expression" dxfId="6091" priority="259">
      <formula>AND(AJ$9&gt;=14/24,AJ$9&lt;20/24)</formula>
    </cfRule>
    <cfRule type="expression" dxfId="6090" priority="260">
      <formula>AND(AJ$9&gt;=8/24,AJ$9&lt;14/24)</formula>
    </cfRule>
    <cfRule type="expression" dxfId="6089" priority="261">
      <formula>AJ$9&lt;8/24</formula>
    </cfRule>
  </conditionalFormatting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AC14BEDF-BD97-47FC-A927-B986D5A3510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3207757A-5D27-4C68-80E5-F3444622853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C8A4C94F-2008-401E-8C96-B048B4302CB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1C0BF133-1262-40BB-BB54-F41304B9939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CEF19BD4-F76B-4638-8163-BCB65F5746B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B4C5C1C5-B8D9-47E1-8C3E-52881AE3B5B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6FD9F065-45D5-412D-A533-2FF98C443D8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F5A4510D-A700-4DD7-9BC0-35A188E1163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5A5DEC34-63DA-41D8-B254-4E1C42C7659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F1414321-5E0E-4832-94EB-8853E8D5C62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B8B63B2B-18B2-4285-BFBD-6186963C547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057500E9-3E02-4699-8C31-D9456A4EEEE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AB7C0F1C-B1CF-400E-AD78-CF9BA54BB0C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F3D7FE0B-14E5-4473-96A4-B6E13922B2D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7EA6E701-AF30-4E6C-B518-2F50D4B62FF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45E614CC-8EBB-4369-B444-15B21991EC6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J274"/>
  <sheetViews>
    <sheetView topLeftCell="A40" workbookViewId="0">
      <selection activeCell="B70" sqref="B70:AF7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2079/09/18</v>
      </c>
      <c r="C4" s="197"/>
      <c r="D4" s="197"/>
      <c r="E4" s="198" t="str">
        <f ca="1">"2079/"&amp;"09/"&amp;INT(MID(CELL("filename",G6),FIND("]",CELL("filename",G6))+1,200))</f>
        <v>2079/09/18</v>
      </c>
      <c r="F4" s="198"/>
      <c r="G4" s="198"/>
      <c r="H4" s="198" t="str">
        <f ca="1">TEXT(E4,"dddd")</f>
        <v>Monday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288.70000000000005</v>
      </c>
      <c r="C5" s="30">
        <f t="shared" si="0"/>
        <v>281.5</v>
      </c>
      <c r="D5" s="30">
        <f t="shared" si="0"/>
        <v>243.8</v>
      </c>
      <c r="E5" s="30">
        <f t="shared" si="0"/>
        <v>309.59999999999997</v>
      </c>
      <c r="F5" s="30">
        <f t="shared" si="0"/>
        <v>312.60000000000002</v>
      </c>
      <c r="G5" s="30">
        <f t="shared" si="0"/>
        <v>389</v>
      </c>
      <c r="H5" s="30">
        <f t="shared" si="0"/>
        <v>400.4</v>
      </c>
      <c r="I5" s="30">
        <f t="shared" si="0"/>
        <v>398.20000000000005</v>
      </c>
      <c r="J5" s="30">
        <f t="shared" si="0"/>
        <v>415.29999999999995</v>
      </c>
      <c r="K5" s="30">
        <f t="shared" si="0"/>
        <v>302.7</v>
      </c>
      <c r="L5" s="30">
        <f t="shared" si="0"/>
        <v>203.70000000000002</v>
      </c>
      <c r="M5" s="30">
        <f t="shared" si="0"/>
        <v>162.30000000000001</v>
      </c>
      <c r="N5" s="30">
        <f t="shared" si="0"/>
        <v>156.1</v>
      </c>
      <c r="O5" s="30">
        <f t="shared" si="0"/>
        <v>304.5</v>
      </c>
      <c r="P5" s="30">
        <f t="shared" si="0"/>
        <v>436.3</v>
      </c>
      <c r="Q5" s="30">
        <f t="shared" si="0"/>
        <v>440.9</v>
      </c>
      <c r="R5" s="30">
        <f t="shared" si="0"/>
        <v>469.4</v>
      </c>
      <c r="S5" s="30">
        <f t="shared" si="0"/>
        <v>481</v>
      </c>
      <c r="T5" s="30">
        <f t="shared" si="0"/>
        <v>416.6</v>
      </c>
      <c r="U5" s="30">
        <f t="shared" si="0"/>
        <v>389.3</v>
      </c>
      <c r="V5" s="30">
        <f t="shared" si="0"/>
        <v>376.79999999999995</v>
      </c>
      <c r="W5" s="30">
        <f t="shared" si="0"/>
        <v>205.4</v>
      </c>
      <c r="X5" s="30">
        <f t="shared" si="0"/>
        <v>197.79999999999998</v>
      </c>
      <c r="Y5" s="30">
        <f t="shared" si="0"/>
        <v>245.29999999999998</v>
      </c>
      <c r="Z5" s="30">
        <f t="shared" si="0"/>
        <v>347.40000000000003</v>
      </c>
      <c r="AA5" s="30">
        <f t="shared" si="0"/>
        <v>403.2</v>
      </c>
      <c r="AB5" s="30">
        <f t="shared" si="0"/>
        <v>375.00000000000006</v>
      </c>
      <c r="AC5" s="30">
        <f t="shared" si="0"/>
        <v>370.6</v>
      </c>
      <c r="AD5" s="30">
        <f t="shared" si="0"/>
        <v>340</v>
      </c>
      <c r="AE5" s="30">
        <f t="shared" si="0"/>
        <v>352.5</v>
      </c>
      <c r="AF5" s="30">
        <f>B78</f>
        <v>309.8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1695MW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Load=968</v>
      </c>
      <c r="B7" s="35">
        <f t="shared" ref="B7:AF7" si="1">B85</f>
        <v>1048.94</v>
      </c>
      <c r="C7" s="35">
        <f t="shared" si="1"/>
        <v>997.24</v>
      </c>
      <c r="D7" s="35">
        <f t="shared" si="1"/>
        <v>988.34</v>
      </c>
      <c r="E7" s="35">
        <f t="shared" si="1"/>
        <v>968.04</v>
      </c>
      <c r="F7" s="35">
        <f t="shared" si="1"/>
        <v>1017.9399999999998</v>
      </c>
      <c r="G7" s="35">
        <f t="shared" si="1"/>
        <v>1043.44</v>
      </c>
      <c r="H7" s="35">
        <f t="shared" si="1"/>
        <v>1164.3399999999999</v>
      </c>
      <c r="I7" s="35">
        <f t="shared" si="1"/>
        <v>1258.3399999999999</v>
      </c>
      <c r="J7" s="35">
        <f t="shared" si="1"/>
        <v>1358.74</v>
      </c>
      <c r="K7" s="35">
        <f t="shared" si="1"/>
        <v>1486.74</v>
      </c>
      <c r="L7" s="35">
        <f t="shared" si="1"/>
        <v>1652.74</v>
      </c>
      <c r="M7" s="35">
        <f t="shared" si="1"/>
        <v>1695.24</v>
      </c>
      <c r="N7" s="35">
        <f>N85</f>
        <v>1682.84</v>
      </c>
      <c r="O7" s="35">
        <f t="shared" si="1"/>
        <v>1587.84</v>
      </c>
      <c r="P7" s="35">
        <f t="shared" si="1"/>
        <v>1551.44</v>
      </c>
      <c r="Q7" s="35">
        <f t="shared" si="1"/>
        <v>1456.3400000000001</v>
      </c>
      <c r="R7" s="35">
        <f t="shared" si="1"/>
        <v>1391.7399999999998</v>
      </c>
      <c r="S7" s="35">
        <f t="shared" si="1"/>
        <v>1407.1399999999999</v>
      </c>
      <c r="T7" s="35">
        <f t="shared" si="1"/>
        <v>1418.04</v>
      </c>
      <c r="U7" s="35">
        <f t="shared" si="1"/>
        <v>1452.7399999999998</v>
      </c>
      <c r="V7" s="35">
        <f t="shared" si="1"/>
        <v>1481.1399999999999</v>
      </c>
      <c r="W7" s="35">
        <f t="shared" si="1"/>
        <v>1593.9399999999998</v>
      </c>
      <c r="X7" s="35">
        <f t="shared" si="1"/>
        <v>1739.4400000000003</v>
      </c>
      <c r="Y7" s="35">
        <f t="shared" si="1"/>
        <v>1704.04</v>
      </c>
      <c r="Z7" s="35">
        <f t="shared" si="1"/>
        <v>1610.5400000000002</v>
      </c>
      <c r="AA7" s="35">
        <f t="shared" si="1"/>
        <v>1611.8400000000001</v>
      </c>
      <c r="AB7" s="35">
        <f t="shared" si="1"/>
        <v>1530.3400000000001</v>
      </c>
      <c r="AC7" s="35">
        <f t="shared" si="1"/>
        <v>1491.54</v>
      </c>
      <c r="AD7" s="35">
        <f t="shared" si="1"/>
        <v>1396.94</v>
      </c>
      <c r="AE7" s="35">
        <f t="shared" si="1"/>
        <v>1204.94</v>
      </c>
      <c r="AF7" s="35">
        <f t="shared" si="1"/>
        <v>1104.44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22.8</v>
      </c>
      <c r="C11" s="45">
        <v>22.8</v>
      </c>
      <c r="D11" s="45">
        <v>22.8</v>
      </c>
      <c r="E11" s="45">
        <v>22.8</v>
      </c>
      <c r="F11" s="45">
        <v>23.3</v>
      </c>
      <c r="G11" s="45">
        <v>23.3</v>
      </c>
      <c r="H11" s="45">
        <v>23.3</v>
      </c>
      <c r="I11" s="45">
        <v>23.3</v>
      </c>
      <c r="J11" s="45">
        <v>23.3</v>
      </c>
      <c r="K11" s="45">
        <v>23.3</v>
      </c>
      <c r="L11" s="45">
        <v>23.3</v>
      </c>
      <c r="M11" s="45">
        <v>23.3</v>
      </c>
      <c r="N11" s="45">
        <v>23.3</v>
      </c>
      <c r="O11" s="45">
        <v>23.3</v>
      </c>
      <c r="P11" s="45">
        <v>23.3</v>
      </c>
      <c r="Q11" s="45">
        <v>22</v>
      </c>
      <c r="R11" s="45">
        <v>22</v>
      </c>
      <c r="S11" s="45">
        <v>22</v>
      </c>
      <c r="T11" s="45">
        <v>22</v>
      </c>
      <c r="U11" s="45">
        <v>22</v>
      </c>
      <c r="V11" s="45">
        <v>22</v>
      </c>
      <c r="W11" s="45">
        <v>20.9</v>
      </c>
      <c r="X11" s="45">
        <v>21</v>
      </c>
      <c r="Y11" s="45">
        <v>21</v>
      </c>
      <c r="Z11" s="45">
        <v>21</v>
      </c>
      <c r="AA11" s="45">
        <v>21</v>
      </c>
      <c r="AB11" s="45">
        <v>21</v>
      </c>
      <c r="AC11" s="45">
        <v>21</v>
      </c>
      <c r="AD11" s="45">
        <v>21</v>
      </c>
      <c r="AE11" s="45">
        <v>21</v>
      </c>
      <c r="AF11" s="45">
        <v>21</v>
      </c>
      <c r="AG11" s="47">
        <v>52.4</v>
      </c>
      <c r="AH11" s="48">
        <f t="shared" ref="AH11:AH74" si="2">MAX(B11:AF11)</f>
        <v>23.3</v>
      </c>
      <c r="AI11" s="49">
        <f t="shared" ref="AI11:AI74" si="3">MIN(B11:AF11)</f>
        <v>20.9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42.1</v>
      </c>
      <c r="C12" s="45">
        <v>42.1</v>
      </c>
      <c r="D12" s="45">
        <v>42.1</v>
      </c>
      <c r="E12" s="45">
        <v>42.1</v>
      </c>
      <c r="F12" s="45">
        <v>44.6</v>
      </c>
      <c r="G12" s="45">
        <v>44.6</v>
      </c>
      <c r="H12" s="45">
        <v>44.6</v>
      </c>
      <c r="I12" s="45">
        <v>44.6</v>
      </c>
      <c r="J12" s="45">
        <v>44.6</v>
      </c>
      <c r="K12" s="45">
        <v>44.6</v>
      </c>
      <c r="L12" s="45">
        <v>44.6</v>
      </c>
      <c r="M12" s="45">
        <v>44.6</v>
      </c>
      <c r="N12" s="45">
        <v>44.6</v>
      </c>
      <c r="O12" s="45">
        <v>44.6</v>
      </c>
      <c r="P12" s="45">
        <v>44.6</v>
      </c>
      <c r="Q12" s="45">
        <v>44.6</v>
      </c>
      <c r="R12" s="45">
        <v>43</v>
      </c>
      <c r="S12" s="45">
        <v>43</v>
      </c>
      <c r="T12" s="45">
        <v>43</v>
      </c>
      <c r="U12" s="45">
        <v>43</v>
      </c>
      <c r="V12" s="45">
        <v>43</v>
      </c>
      <c r="W12" s="45">
        <v>43</v>
      </c>
      <c r="X12" s="45">
        <v>42.4</v>
      </c>
      <c r="Y12" s="45">
        <v>42.1</v>
      </c>
      <c r="Z12" s="45">
        <v>42.1</v>
      </c>
      <c r="AA12" s="45">
        <v>42.1</v>
      </c>
      <c r="AB12" s="45">
        <v>42.1</v>
      </c>
      <c r="AC12" s="45">
        <v>42.1</v>
      </c>
      <c r="AD12" s="45">
        <v>42.1</v>
      </c>
      <c r="AE12" s="45">
        <v>42.1</v>
      </c>
      <c r="AF12" s="45">
        <v>42.1</v>
      </c>
      <c r="AG12" s="51">
        <v>50</v>
      </c>
      <c r="AH12" s="48">
        <f t="shared" si="2"/>
        <v>44.6</v>
      </c>
      <c r="AI12" s="49">
        <f t="shared" si="3"/>
        <v>42.1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23.5</v>
      </c>
      <c r="C13" s="45">
        <v>23.5</v>
      </c>
      <c r="D13" s="45">
        <v>23.5</v>
      </c>
      <c r="E13" s="45">
        <v>23.5</v>
      </c>
      <c r="F13" s="45">
        <v>22.1</v>
      </c>
      <c r="G13" s="45">
        <v>22.1</v>
      </c>
      <c r="H13" s="45">
        <v>22.1</v>
      </c>
      <c r="I13" s="45">
        <v>22.1</v>
      </c>
      <c r="J13" s="45">
        <v>22.1</v>
      </c>
      <c r="K13" s="45">
        <v>22.1</v>
      </c>
      <c r="L13" s="45">
        <v>22.1</v>
      </c>
      <c r="M13" s="45">
        <v>22.1</v>
      </c>
      <c r="N13" s="45">
        <v>22.1</v>
      </c>
      <c r="O13" s="45">
        <v>22.1</v>
      </c>
      <c r="P13" s="45">
        <v>22.1</v>
      </c>
      <c r="Q13" s="45">
        <v>22.1</v>
      </c>
      <c r="R13" s="45">
        <v>20.2</v>
      </c>
      <c r="S13" s="45">
        <v>20.2</v>
      </c>
      <c r="T13" s="45">
        <v>20.2</v>
      </c>
      <c r="U13" s="45">
        <v>20.2</v>
      </c>
      <c r="V13" s="45">
        <v>20.2</v>
      </c>
      <c r="W13" s="45">
        <v>20.2</v>
      </c>
      <c r="X13" s="45">
        <v>24.2</v>
      </c>
      <c r="Y13" s="45">
        <v>24.2</v>
      </c>
      <c r="Z13" s="45">
        <v>24.2</v>
      </c>
      <c r="AA13" s="45">
        <v>24.2</v>
      </c>
      <c r="AB13" s="45">
        <v>24.2</v>
      </c>
      <c r="AC13" s="45">
        <v>24.2</v>
      </c>
      <c r="AD13" s="45">
        <v>24.2</v>
      </c>
      <c r="AE13" s="45">
        <v>24.2</v>
      </c>
      <c r="AF13" s="45">
        <v>24.2</v>
      </c>
      <c r="AG13" s="51">
        <v>45</v>
      </c>
      <c r="AH13" s="48">
        <f t="shared" si="2"/>
        <v>24.2</v>
      </c>
      <c r="AI13" s="49">
        <f t="shared" si="3"/>
        <v>20.2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11</v>
      </c>
      <c r="C14" s="45">
        <v>11</v>
      </c>
      <c r="D14" s="45">
        <v>11</v>
      </c>
      <c r="E14" s="45">
        <v>11</v>
      </c>
      <c r="F14" s="45">
        <v>11</v>
      </c>
      <c r="G14" s="45">
        <v>11</v>
      </c>
      <c r="H14" s="45">
        <v>11</v>
      </c>
      <c r="I14" s="45">
        <v>11</v>
      </c>
      <c r="J14" s="45">
        <v>11</v>
      </c>
      <c r="K14" s="45">
        <v>11</v>
      </c>
      <c r="L14" s="45">
        <v>11</v>
      </c>
      <c r="M14" s="45">
        <v>11</v>
      </c>
      <c r="N14" s="45">
        <v>11</v>
      </c>
      <c r="O14" s="45">
        <v>11</v>
      </c>
      <c r="P14" s="45">
        <v>11</v>
      </c>
      <c r="Q14" s="45">
        <v>11</v>
      </c>
      <c r="R14" s="45">
        <v>10.5</v>
      </c>
      <c r="S14" s="45">
        <v>10.5</v>
      </c>
      <c r="T14" s="45">
        <v>10.5</v>
      </c>
      <c r="U14" s="45">
        <v>10.5</v>
      </c>
      <c r="V14" s="45">
        <v>10.5</v>
      </c>
      <c r="W14" s="45">
        <v>10.5</v>
      </c>
      <c r="X14" s="45">
        <v>10.5</v>
      </c>
      <c r="Y14" s="45">
        <v>10.5</v>
      </c>
      <c r="Z14" s="45">
        <v>10.5</v>
      </c>
      <c r="AA14" s="45">
        <v>10.5</v>
      </c>
      <c r="AB14" s="45">
        <v>10.5</v>
      </c>
      <c r="AC14" s="45">
        <v>10.5</v>
      </c>
      <c r="AD14" s="45">
        <v>10.5</v>
      </c>
      <c r="AE14" s="45">
        <v>10.5</v>
      </c>
      <c r="AF14" s="45">
        <v>10.5</v>
      </c>
      <c r="AG14" s="51">
        <v>42</v>
      </c>
      <c r="AH14" s="48">
        <f t="shared" si="2"/>
        <v>11</v>
      </c>
      <c r="AI14" s="49">
        <f t="shared" si="3"/>
        <v>10.5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17.3</v>
      </c>
      <c r="C15" s="45">
        <v>17.3</v>
      </c>
      <c r="D15" s="45">
        <v>17.3</v>
      </c>
      <c r="E15" s="45">
        <v>17.3</v>
      </c>
      <c r="F15" s="45">
        <v>17.3</v>
      </c>
      <c r="G15" s="45">
        <v>17.3</v>
      </c>
      <c r="H15" s="45">
        <v>17.3</v>
      </c>
      <c r="I15" s="45">
        <v>17.3</v>
      </c>
      <c r="J15" s="45">
        <v>17.3</v>
      </c>
      <c r="K15" s="45">
        <v>17.3</v>
      </c>
      <c r="L15" s="45">
        <v>17.3</v>
      </c>
      <c r="M15" s="45">
        <v>17.3</v>
      </c>
      <c r="N15" s="45">
        <v>17.3</v>
      </c>
      <c r="O15" s="45">
        <v>17.3</v>
      </c>
      <c r="P15" s="45">
        <v>17.3</v>
      </c>
      <c r="Q15" s="45">
        <v>17.3</v>
      </c>
      <c r="R15" s="45">
        <v>17.3</v>
      </c>
      <c r="S15" s="45">
        <v>17.3</v>
      </c>
      <c r="T15" s="45">
        <v>17.3</v>
      </c>
      <c r="U15" s="45">
        <v>17.3</v>
      </c>
      <c r="V15" s="45">
        <v>17.3</v>
      </c>
      <c r="W15" s="45">
        <v>17.3</v>
      </c>
      <c r="X15" s="45">
        <v>17.3</v>
      </c>
      <c r="Y15" s="45">
        <v>17.3</v>
      </c>
      <c r="Z15" s="45">
        <v>17.3</v>
      </c>
      <c r="AA15" s="45">
        <v>17.3</v>
      </c>
      <c r="AB15" s="45">
        <v>17.3</v>
      </c>
      <c r="AC15" s="45">
        <v>17.3</v>
      </c>
      <c r="AD15" s="45">
        <v>17.3</v>
      </c>
      <c r="AE15" s="45">
        <v>17.3</v>
      </c>
      <c r="AF15" s="45">
        <v>17.3</v>
      </c>
      <c r="AG15" s="51">
        <v>36</v>
      </c>
      <c r="AH15" s="48">
        <f t="shared" si="2"/>
        <v>17.3</v>
      </c>
      <c r="AI15" s="49">
        <f t="shared" si="3"/>
        <v>17.3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11.2</v>
      </c>
      <c r="C16" s="45">
        <v>11.2</v>
      </c>
      <c r="D16" s="45">
        <v>11.2</v>
      </c>
      <c r="E16" s="45">
        <v>11.2</v>
      </c>
      <c r="F16" s="45">
        <v>11.2</v>
      </c>
      <c r="G16" s="45">
        <v>11.2</v>
      </c>
      <c r="H16" s="45">
        <v>11.2</v>
      </c>
      <c r="I16" s="45">
        <v>11.2</v>
      </c>
      <c r="J16" s="45">
        <v>11.2</v>
      </c>
      <c r="K16" s="45">
        <v>11.2</v>
      </c>
      <c r="L16" s="45">
        <v>11.2</v>
      </c>
      <c r="M16" s="45">
        <v>11.2</v>
      </c>
      <c r="N16" s="45">
        <v>11.2</v>
      </c>
      <c r="O16" s="45">
        <v>11.2</v>
      </c>
      <c r="P16" s="45">
        <v>11.2</v>
      </c>
      <c r="Q16" s="45">
        <v>11.2</v>
      </c>
      <c r="R16" s="45">
        <v>11.2</v>
      </c>
      <c r="S16" s="45">
        <v>11.2</v>
      </c>
      <c r="T16" s="45">
        <v>11.2</v>
      </c>
      <c r="U16" s="45">
        <v>11.2</v>
      </c>
      <c r="V16" s="45">
        <v>11.2</v>
      </c>
      <c r="W16" s="45">
        <v>11.2</v>
      </c>
      <c r="X16" s="45">
        <v>11.2</v>
      </c>
      <c r="Y16" s="45">
        <v>11.2</v>
      </c>
      <c r="Z16" s="45">
        <v>11.2</v>
      </c>
      <c r="AA16" s="45">
        <v>11.2</v>
      </c>
      <c r="AB16" s="45">
        <v>11.2</v>
      </c>
      <c r="AC16" s="45">
        <v>11.2</v>
      </c>
      <c r="AD16" s="45">
        <v>11.2</v>
      </c>
      <c r="AE16" s="45">
        <v>11.2</v>
      </c>
      <c r="AF16" s="45">
        <v>11.2</v>
      </c>
      <c r="AG16" s="52">
        <v>30</v>
      </c>
      <c r="AH16" s="48">
        <f t="shared" si="2"/>
        <v>11.2</v>
      </c>
      <c r="AI16" s="49">
        <f t="shared" si="3"/>
        <v>11.2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10.3</v>
      </c>
      <c r="C17" s="45">
        <v>10.3</v>
      </c>
      <c r="D17" s="45">
        <v>10.3</v>
      </c>
      <c r="E17" s="45">
        <v>10.3</v>
      </c>
      <c r="F17" s="45">
        <v>10.3</v>
      </c>
      <c r="G17" s="45">
        <v>10.3</v>
      </c>
      <c r="H17" s="45">
        <v>10.3</v>
      </c>
      <c r="I17" s="45">
        <v>10.3</v>
      </c>
      <c r="J17" s="45">
        <v>10.3</v>
      </c>
      <c r="K17" s="45">
        <v>10.3</v>
      </c>
      <c r="L17" s="45">
        <v>10.3</v>
      </c>
      <c r="M17" s="45">
        <v>10.3</v>
      </c>
      <c r="N17" s="45">
        <v>10.3</v>
      </c>
      <c r="O17" s="45">
        <v>10.3</v>
      </c>
      <c r="P17" s="45">
        <v>10.3</v>
      </c>
      <c r="Q17" s="45">
        <v>10.3</v>
      </c>
      <c r="R17" s="45">
        <v>9.6999999999999993</v>
      </c>
      <c r="S17" s="45">
        <v>9.6999999999999993</v>
      </c>
      <c r="T17" s="45">
        <v>9.6999999999999993</v>
      </c>
      <c r="U17" s="45">
        <v>9.6999999999999993</v>
      </c>
      <c r="V17" s="45">
        <v>9.6999999999999993</v>
      </c>
      <c r="W17" s="45">
        <v>9.6999999999999993</v>
      </c>
      <c r="X17" s="45">
        <v>9.6999999999999993</v>
      </c>
      <c r="Y17" s="45">
        <v>9.6999999999999993</v>
      </c>
      <c r="Z17" s="45">
        <v>9.6999999999999993</v>
      </c>
      <c r="AA17" s="45">
        <v>9.6999999999999993</v>
      </c>
      <c r="AB17" s="45">
        <v>9.6999999999999993</v>
      </c>
      <c r="AC17" s="45">
        <v>9.6999999999999993</v>
      </c>
      <c r="AD17" s="45">
        <v>9.6999999999999993</v>
      </c>
      <c r="AE17" s="45">
        <v>9.6999999999999993</v>
      </c>
      <c r="AF17" s="45">
        <v>9.6999999999999993</v>
      </c>
      <c r="AG17" s="51">
        <v>24.2</v>
      </c>
      <c r="AH17" s="48">
        <f t="shared" si="2"/>
        <v>10.3</v>
      </c>
      <c r="AI17" s="49">
        <f t="shared" si="3"/>
        <v>9.6999999999999993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12</v>
      </c>
      <c r="C20" s="45">
        <v>12</v>
      </c>
      <c r="D20" s="45">
        <v>12</v>
      </c>
      <c r="E20" s="45">
        <v>12</v>
      </c>
      <c r="F20" s="45">
        <v>12</v>
      </c>
      <c r="G20" s="45">
        <v>12</v>
      </c>
      <c r="H20" s="45">
        <v>12</v>
      </c>
      <c r="I20" s="45">
        <v>12</v>
      </c>
      <c r="J20" s="45">
        <v>12</v>
      </c>
      <c r="K20" s="45">
        <v>12</v>
      </c>
      <c r="L20" s="45">
        <v>12</v>
      </c>
      <c r="M20" s="45">
        <v>12</v>
      </c>
      <c r="N20" s="45">
        <v>12</v>
      </c>
      <c r="O20" s="45">
        <v>12</v>
      </c>
      <c r="P20" s="45">
        <v>12</v>
      </c>
      <c r="Q20" s="45">
        <v>12</v>
      </c>
      <c r="R20" s="45">
        <v>12</v>
      </c>
      <c r="S20" s="45">
        <v>12</v>
      </c>
      <c r="T20" s="45">
        <v>12</v>
      </c>
      <c r="U20" s="45">
        <v>12</v>
      </c>
      <c r="V20" s="45">
        <v>12</v>
      </c>
      <c r="W20" s="45">
        <v>12</v>
      </c>
      <c r="X20" s="45">
        <v>12</v>
      </c>
      <c r="Y20" s="45">
        <v>12</v>
      </c>
      <c r="Z20" s="45">
        <v>12</v>
      </c>
      <c r="AA20" s="45">
        <v>12</v>
      </c>
      <c r="AB20" s="45">
        <v>12</v>
      </c>
      <c r="AC20" s="45">
        <v>12</v>
      </c>
      <c r="AD20" s="45">
        <v>12</v>
      </c>
      <c r="AE20" s="45">
        <v>12</v>
      </c>
      <c r="AF20" s="45">
        <v>12</v>
      </c>
      <c r="AG20" s="51">
        <v>25</v>
      </c>
      <c r="AH20" s="48">
        <f t="shared" si="2"/>
        <v>12</v>
      </c>
      <c r="AI20" s="49">
        <f t="shared" si="3"/>
        <v>12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10</v>
      </c>
      <c r="C24" s="45">
        <v>10</v>
      </c>
      <c r="D24" s="45">
        <v>10</v>
      </c>
      <c r="E24" s="45">
        <v>10</v>
      </c>
      <c r="F24" s="45">
        <v>10</v>
      </c>
      <c r="G24" s="45">
        <v>10</v>
      </c>
      <c r="H24" s="45">
        <v>10</v>
      </c>
      <c r="I24" s="45">
        <v>10</v>
      </c>
      <c r="J24" s="45">
        <v>10</v>
      </c>
      <c r="K24" s="45">
        <v>10</v>
      </c>
      <c r="L24" s="45">
        <v>10</v>
      </c>
      <c r="M24" s="45">
        <v>10</v>
      </c>
      <c r="N24" s="45">
        <v>10</v>
      </c>
      <c r="O24" s="45">
        <v>10</v>
      </c>
      <c r="P24" s="45">
        <v>10</v>
      </c>
      <c r="Q24" s="45">
        <v>10</v>
      </c>
      <c r="R24" s="45">
        <v>10</v>
      </c>
      <c r="S24" s="45">
        <v>10</v>
      </c>
      <c r="T24" s="45">
        <v>10</v>
      </c>
      <c r="U24" s="45">
        <v>10</v>
      </c>
      <c r="V24" s="45">
        <v>10</v>
      </c>
      <c r="W24" s="45">
        <v>10</v>
      </c>
      <c r="X24" s="45">
        <v>10</v>
      </c>
      <c r="Y24" s="45">
        <v>10</v>
      </c>
      <c r="Z24" s="45">
        <v>10</v>
      </c>
      <c r="AA24" s="45">
        <v>10</v>
      </c>
      <c r="AB24" s="45">
        <v>10</v>
      </c>
      <c r="AC24" s="45">
        <v>10</v>
      </c>
      <c r="AD24" s="45">
        <v>10</v>
      </c>
      <c r="AE24" s="45">
        <v>10</v>
      </c>
      <c r="AF24" s="45">
        <v>10</v>
      </c>
      <c r="AG24" s="51">
        <v>23.5</v>
      </c>
      <c r="AH24" s="48">
        <f t="shared" si="2"/>
        <v>10</v>
      </c>
      <c r="AI24" s="49">
        <f t="shared" si="3"/>
        <v>10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>
        <v>1.2</v>
      </c>
      <c r="S32" s="45">
        <v>1.2</v>
      </c>
      <c r="T32" s="45">
        <v>1.2</v>
      </c>
      <c r="U32" s="45">
        <v>1.2</v>
      </c>
      <c r="V32" s="45">
        <v>1.2</v>
      </c>
      <c r="W32" s="45">
        <v>1.2</v>
      </c>
      <c r="X32" s="45">
        <v>1.2</v>
      </c>
      <c r="Y32" s="45">
        <v>1.2</v>
      </c>
      <c r="Z32" s="45">
        <v>1.2</v>
      </c>
      <c r="AA32" s="45">
        <v>1.2</v>
      </c>
      <c r="AB32" s="45">
        <v>1.2</v>
      </c>
      <c r="AC32" s="45">
        <v>1.2</v>
      </c>
      <c r="AD32" s="45">
        <v>1.2</v>
      </c>
      <c r="AE32" s="45">
        <v>1.2</v>
      </c>
      <c r="AF32" s="45">
        <v>1.2</v>
      </c>
      <c r="AG32" s="51">
        <v>13.6</v>
      </c>
      <c r="AH32" s="48">
        <f t="shared" si="2"/>
        <v>1.2</v>
      </c>
      <c r="AI32" s="49">
        <f t="shared" si="3"/>
        <v>1.2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180</v>
      </c>
      <c r="C42" s="57">
        <v>180</v>
      </c>
      <c r="D42" s="57">
        <v>180</v>
      </c>
      <c r="E42" s="57">
        <v>180</v>
      </c>
      <c r="F42" s="57">
        <v>180</v>
      </c>
      <c r="G42" s="57">
        <v>180</v>
      </c>
      <c r="H42" s="57">
        <v>180</v>
      </c>
      <c r="I42" s="57">
        <v>180</v>
      </c>
      <c r="J42" s="57">
        <v>180</v>
      </c>
      <c r="K42" s="57">
        <v>180</v>
      </c>
      <c r="L42" s="57">
        <v>180</v>
      </c>
      <c r="M42" s="57">
        <v>180</v>
      </c>
      <c r="N42" s="57">
        <v>180</v>
      </c>
      <c r="O42" s="57">
        <v>180</v>
      </c>
      <c r="P42" s="57">
        <v>180</v>
      </c>
      <c r="Q42" s="57">
        <v>180</v>
      </c>
      <c r="R42" s="57">
        <v>180</v>
      </c>
      <c r="S42" s="57">
        <v>180</v>
      </c>
      <c r="T42" s="57">
        <v>180</v>
      </c>
      <c r="U42" s="57">
        <v>180</v>
      </c>
      <c r="V42" s="57">
        <v>180</v>
      </c>
      <c r="W42" s="57">
        <v>180</v>
      </c>
      <c r="X42" s="57">
        <v>180</v>
      </c>
      <c r="Y42" s="57">
        <v>180</v>
      </c>
      <c r="Z42" s="57">
        <v>180</v>
      </c>
      <c r="AA42" s="57">
        <v>180</v>
      </c>
      <c r="AB42" s="57">
        <v>180</v>
      </c>
      <c r="AC42" s="57">
        <v>180</v>
      </c>
      <c r="AD42" s="57">
        <v>180</v>
      </c>
      <c r="AE42" s="57">
        <v>180</v>
      </c>
      <c r="AF42" s="57">
        <v>180</v>
      </c>
      <c r="AG42" s="55">
        <v>85</v>
      </c>
      <c r="AH42" s="48">
        <f t="shared" si="2"/>
        <v>180</v>
      </c>
      <c r="AI42" s="49">
        <f t="shared" si="3"/>
        <v>180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514</v>
      </c>
      <c r="C44" s="61">
        <f t="shared" si="4"/>
        <v>514</v>
      </c>
      <c r="D44" s="61">
        <f t="shared" si="4"/>
        <v>514</v>
      </c>
      <c r="E44" s="61">
        <f t="shared" si="4"/>
        <v>514</v>
      </c>
      <c r="F44" s="61">
        <f t="shared" si="4"/>
        <v>515.59999999999991</v>
      </c>
      <c r="G44" s="61">
        <f t="shared" si="4"/>
        <v>515.59999999999991</v>
      </c>
      <c r="H44" s="61">
        <f t="shared" si="4"/>
        <v>515.59999999999991</v>
      </c>
      <c r="I44" s="61">
        <f t="shared" si="4"/>
        <v>515.59999999999991</v>
      </c>
      <c r="J44" s="61">
        <f t="shared" si="4"/>
        <v>515.59999999999991</v>
      </c>
      <c r="K44" s="61">
        <f t="shared" si="4"/>
        <v>515.59999999999991</v>
      </c>
      <c r="L44" s="61">
        <f t="shared" si="4"/>
        <v>515.59999999999991</v>
      </c>
      <c r="M44" s="61">
        <f t="shared" si="4"/>
        <v>515.59999999999991</v>
      </c>
      <c r="N44" s="61">
        <f t="shared" si="4"/>
        <v>515.59999999999991</v>
      </c>
      <c r="O44" s="61">
        <f t="shared" si="4"/>
        <v>515.59999999999991</v>
      </c>
      <c r="P44" s="61">
        <f t="shared" si="4"/>
        <v>515.59999999999991</v>
      </c>
      <c r="Q44" s="61">
        <f t="shared" si="4"/>
        <v>514.29999999999995</v>
      </c>
      <c r="R44" s="61">
        <f t="shared" si="4"/>
        <v>509.69999999999993</v>
      </c>
      <c r="S44" s="61">
        <f t="shared" si="4"/>
        <v>509.69999999999993</v>
      </c>
      <c r="T44" s="61">
        <f>SUM(T11:T42)</f>
        <v>509.69999999999993</v>
      </c>
      <c r="U44" s="61">
        <f>SUM(U11:U42)</f>
        <v>509.69999999999993</v>
      </c>
      <c r="V44" s="61">
        <f t="shared" si="4"/>
        <v>509.69999999999993</v>
      </c>
      <c r="W44" s="61">
        <f t="shared" si="4"/>
        <v>508.59999999999991</v>
      </c>
      <c r="X44" s="61">
        <v>512.09999999999991</v>
      </c>
      <c r="Y44" s="61">
        <f t="shared" si="4"/>
        <v>511.79999999999995</v>
      </c>
      <c r="Z44" s="61">
        <f t="shared" si="4"/>
        <v>511.79999999999995</v>
      </c>
      <c r="AA44" s="61">
        <f t="shared" si="4"/>
        <v>511.79999999999995</v>
      </c>
      <c r="AB44" s="61">
        <f t="shared" si="4"/>
        <v>511.79999999999995</v>
      </c>
      <c r="AC44" s="61">
        <f t="shared" si="4"/>
        <v>511.79999999999995</v>
      </c>
      <c r="AD44" s="61">
        <f t="shared" si="4"/>
        <v>511.79999999999995</v>
      </c>
      <c r="AE44" s="61">
        <f t="shared" si="4"/>
        <v>511.79999999999995</v>
      </c>
      <c r="AF44" s="61">
        <f t="shared" si="4"/>
        <v>511.79999999999995</v>
      </c>
      <c r="AG44" s="62">
        <f t="shared" si="4"/>
        <v>814.78000000000009</v>
      </c>
      <c r="AH44" s="48">
        <f t="shared" si="2"/>
        <v>515.59999999999991</v>
      </c>
      <c r="AI44" s="49">
        <f t="shared" si="3"/>
        <v>508.59999999999991</v>
      </c>
      <c r="AK44" s="50"/>
    </row>
    <row r="45" spans="1:88" x14ac:dyDescent="0.25">
      <c r="A45" s="63" t="s">
        <v>53</v>
      </c>
      <c r="B45" s="45">
        <v>15</v>
      </c>
      <c r="C45" s="45">
        <v>0</v>
      </c>
      <c r="D45" s="45">
        <v>0</v>
      </c>
      <c r="E45" s="45">
        <v>0</v>
      </c>
      <c r="F45" s="45">
        <v>0</v>
      </c>
      <c r="G45" s="45">
        <v>20</v>
      </c>
      <c r="H45" s="45">
        <v>15</v>
      </c>
      <c r="I45" s="45">
        <v>30</v>
      </c>
      <c r="J45" s="45">
        <v>70</v>
      </c>
      <c r="K45" s="45">
        <v>90</v>
      </c>
      <c r="L45" s="45">
        <v>280</v>
      </c>
      <c r="M45" s="164">
        <v>410</v>
      </c>
      <c r="N45" s="164">
        <v>440</v>
      </c>
      <c r="O45" s="45">
        <v>370</v>
      </c>
      <c r="P45" s="45">
        <v>280</v>
      </c>
      <c r="Q45" s="45">
        <v>80</v>
      </c>
      <c r="R45" s="45">
        <v>40</v>
      </c>
      <c r="S45" s="45">
        <v>30</v>
      </c>
      <c r="T45" s="45">
        <v>0</v>
      </c>
      <c r="U45" s="45">
        <v>76</v>
      </c>
      <c r="V45" s="45">
        <v>80</v>
      </c>
      <c r="W45" s="45">
        <v>170</v>
      </c>
      <c r="X45" s="45">
        <v>410</v>
      </c>
      <c r="Y45" s="45">
        <v>400</v>
      </c>
      <c r="Z45" s="45">
        <v>290</v>
      </c>
      <c r="AA45" s="45">
        <v>150</v>
      </c>
      <c r="AB45" s="45">
        <v>100</v>
      </c>
      <c r="AC45" s="45">
        <v>100</v>
      </c>
      <c r="AD45" s="45">
        <v>90</v>
      </c>
      <c r="AE45" s="45">
        <v>20</v>
      </c>
      <c r="AF45" s="45">
        <v>0</v>
      </c>
      <c r="AG45" s="52">
        <v>456</v>
      </c>
      <c r="AH45" s="48">
        <f t="shared" si="2"/>
        <v>440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41</v>
      </c>
      <c r="AK46" s="50"/>
    </row>
    <row r="47" spans="1:88" ht="15.75" thickBot="1" x14ac:dyDescent="0.3">
      <c r="A47" s="66" t="s">
        <v>55</v>
      </c>
      <c r="B47" s="67">
        <v>13.7</v>
      </c>
      <c r="C47" s="67">
        <v>13.7</v>
      </c>
      <c r="D47" s="67">
        <v>13.7</v>
      </c>
      <c r="E47" s="67">
        <v>13.7</v>
      </c>
      <c r="F47" s="67">
        <v>13.7</v>
      </c>
      <c r="G47" s="67">
        <v>13.6</v>
      </c>
      <c r="H47" s="67">
        <v>13.6</v>
      </c>
      <c r="I47" s="67">
        <v>13.6</v>
      </c>
      <c r="J47" s="67">
        <v>13.6</v>
      </c>
      <c r="K47" s="67">
        <v>13.6</v>
      </c>
      <c r="L47" s="67">
        <v>13.7</v>
      </c>
      <c r="M47" s="67">
        <v>14.7</v>
      </c>
      <c r="N47" s="67">
        <v>13.7</v>
      </c>
      <c r="O47" s="67">
        <v>12.6</v>
      </c>
      <c r="P47" s="67">
        <v>13.7</v>
      </c>
      <c r="Q47" s="67">
        <v>13.6</v>
      </c>
      <c r="R47" s="67">
        <v>12.3</v>
      </c>
      <c r="S47" s="67">
        <v>5.3</v>
      </c>
      <c r="T47" s="67">
        <v>5.3</v>
      </c>
      <c r="U47" s="67">
        <v>5.3</v>
      </c>
      <c r="V47" s="67">
        <v>5.3</v>
      </c>
      <c r="W47" s="67">
        <v>14.2</v>
      </c>
      <c r="X47" s="67">
        <v>22</v>
      </c>
      <c r="Y47" s="67">
        <v>22</v>
      </c>
      <c r="Z47" s="67">
        <v>22</v>
      </c>
      <c r="AA47" s="67">
        <v>22</v>
      </c>
      <c r="AB47" s="67">
        <v>22</v>
      </c>
      <c r="AC47" s="67">
        <v>15</v>
      </c>
      <c r="AD47" s="67">
        <v>14</v>
      </c>
      <c r="AE47" s="67">
        <v>13.6</v>
      </c>
      <c r="AF47" s="67">
        <v>13.7</v>
      </c>
      <c r="AG47" s="68">
        <v>22.1</v>
      </c>
      <c r="AH47" s="48">
        <f t="shared" si="2"/>
        <v>22</v>
      </c>
      <c r="AI47" s="49">
        <f t="shared" si="3"/>
        <v>5.3</v>
      </c>
      <c r="AK47" s="50"/>
    </row>
    <row r="48" spans="1:88" ht="15.75" thickBot="1" x14ac:dyDescent="0.3">
      <c r="A48" s="69" t="s">
        <v>56</v>
      </c>
      <c r="B48" s="61">
        <f t="shared" ref="B48:AG48" si="5">SUM(B45:B47)</f>
        <v>69.7</v>
      </c>
      <c r="C48" s="61">
        <f t="shared" si="5"/>
        <v>54.7</v>
      </c>
      <c r="D48" s="61">
        <f t="shared" si="5"/>
        <v>54.7</v>
      </c>
      <c r="E48" s="61">
        <f t="shared" si="5"/>
        <v>54.7</v>
      </c>
      <c r="F48" s="61">
        <f t="shared" si="5"/>
        <v>54.7</v>
      </c>
      <c r="G48" s="61">
        <f t="shared" si="5"/>
        <v>74.599999999999994</v>
      </c>
      <c r="H48" s="61">
        <f t="shared" si="5"/>
        <v>69.599999999999994</v>
      </c>
      <c r="I48" s="61">
        <f t="shared" si="5"/>
        <v>84.6</v>
      </c>
      <c r="J48" s="61">
        <f t="shared" si="5"/>
        <v>124.6</v>
      </c>
      <c r="K48" s="61">
        <f t="shared" si="5"/>
        <v>144.6</v>
      </c>
      <c r="L48" s="61">
        <f t="shared" si="5"/>
        <v>334.7</v>
      </c>
      <c r="M48" s="61">
        <f t="shared" si="5"/>
        <v>465.7</v>
      </c>
      <c r="N48" s="61">
        <f t="shared" si="5"/>
        <v>494.7</v>
      </c>
      <c r="O48" s="61">
        <f t="shared" si="5"/>
        <v>423.6</v>
      </c>
      <c r="P48" s="61">
        <f t="shared" si="5"/>
        <v>334.7</v>
      </c>
      <c r="Q48" s="61">
        <f t="shared" si="5"/>
        <v>134.6</v>
      </c>
      <c r="R48" s="61">
        <f t="shared" si="5"/>
        <v>93.3</v>
      </c>
      <c r="S48" s="61">
        <f t="shared" si="5"/>
        <v>76.3</v>
      </c>
      <c r="T48" s="61">
        <f t="shared" si="5"/>
        <v>46.3</v>
      </c>
      <c r="U48" s="61">
        <f t="shared" si="5"/>
        <v>122.3</v>
      </c>
      <c r="V48" s="61">
        <f t="shared" si="5"/>
        <v>126.3</v>
      </c>
      <c r="W48" s="61">
        <f t="shared" si="5"/>
        <v>225.2</v>
      </c>
      <c r="X48" s="61">
        <v>465.2</v>
      </c>
      <c r="Y48" s="61">
        <f t="shared" si="5"/>
        <v>463</v>
      </c>
      <c r="Z48" s="61">
        <f t="shared" si="5"/>
        <v>353</v>
      </c>
      <c r="AA48" s="61">
        <f t="shared" si="5"/>
        <v>213</v>
      </c>
      <c r="AB48" s="61">
        <f t="shared" si="5"/>
        <v>163</v>
      </c>
      <c r="AC48" s="61">
        <f t="shared" si="5"/>
        <v>156</v>
      </c>
      <c r="AD48" s="61">
        <f t="shared" si="5"/>
        <v>145</v>
      </c>
      <c r="AE48" s="61">
        <f t="shared" si="5"/>
        <v>74.599999999999994</v>
      </c>
      <c r="AF48" s="61">
        <f t="shared" si="5"/>
        <v>54.7</v>
      </c>
      <c r="AG48" s="62">
        <f t="shared" si="5"/>
        <v>538.1</v>
      </c>
      <c r="AH48" s="48">
        <f t="shared" si="2"/>
        <v>494.7</v>
      </c>
      <c r="AI48" s="49">
        <f t="shared" si="3"/>
        <v>46.3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30.3</v>
      </c>
      <c r="I49" s="45">
        <v>61.3</v>
      </c>
      <c r="J49" s="45">
        <v>112.1</v>
      </c>
      <c r="K49" s="45">
        <v>142.5</v>
      </c>
      <c r="L49" s="45">
        <v>142.5</v>
      </c>
      <c r="M49" s="45">
        <v>142.5</v>
      </c>
      <c r="N49" s="45">
        <v>142.5</v>
      </c>
      <c r="O49" s="45">
        <v>141.80000000000001</v>
      </c>
      <c r="P49" s="45">
        <v>120.8</v>
      </c>
      <c r="Q49" s="45">
        <v>97</v>
      </c>
      <c r="R49" s="45">
        <v>80</v>
      </c>
      <c r="S49" s="45">
        <v>91</v>
      </c>
      <c r="T49" s="45">
        <v>91.5</v>
      </c>
      <c r="U49" s="45">
        <v>91.4</v>
      </c>
      <c r="V49" s="45">
        <v>140</v>
      </c>
      <c r="W49" s="45">
        <v>140.9</v>
      </c>
      <c r="X49" s="45">
        <v>140.9</v>
      </c>
      <c r="Y49" s="45">
        <v>139.6</v>
      </c>
      <c r="Z49" s="45">
        <v>139.6</v>
      </c>
      <c r="AA49" s="45">
        <v>138.80000000000001</v>
      </c>
      <c r="AB49" s="45">
        <v>139.1</v>
      </c>
      <c r="AC49" s="45">
        <v>138.69999999999999</v>
      </c>
      <c r="AD49" s="45">
        <v>61.7</v>
      </c>
      <c r="AE49" s="45">
        <v>25.1</v>
      </c>
      <c r="AF49" s="45">
        <v>0</v>
      </c>
      <c r="AG49" s="52">
        <v>144</v>
      </c>
      <c r="AH49" s="48">
        <f t="shared" si="2"/>
        <v>142.5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22</v>
      </c>
      <c r="I50" s="65">
        <v>43.8</v>
      </c>
      <c r="J50" s="65">
        <v>50.6</v>
      </c>
      <c r="K50" s="65">
        <v>70.400000000000006</v>
      </c>
      <c r="L50" s="65">
        <v>70.400000000000006</v>
      </c>
      <c r="M50" s="65">
        <v>69.2</v>
      </c>
      <c r="N50" s="65">
        <v>69.2</v>
      </c>
      <c r="O50" s="65">
        <v>69.599999999999994</v>
      </c>
      <c r="P50" s="65">
        <v>50.7</v>
      </c>
      <c r="Q50" s="65">
        <v>45</v>
      </c>
      <c r="R50" s="45">
        <v>44.6</v>
      </c>
      <c r="S50" s="45">
        <v>49.6</v>
      </c>
      <c r="T50" s="45">
        <v>49.6</v>
      </c>
      <c r="U50" s="45">
        <v>47</v>
      </c>
      <c r="V50" s="45">
        <v>51.6</v>
      </c>
      <c r="W50" s="45">
        <v>49</v>
      </c>
      <c r="X50" s="45">
        <v>69.400000000000006</v>
      </c>
      <c r="Y50" s="45">
        <v>70.5</v>
      </c>
      <c r="Z50" s="45">
        <v>59.7</v>
      </c>
      <c r="AA50" s="45">
        <v>59.7</v>
      </c>
      <c r="AB50" s="45">
        <v>33.6</v>
      </c>
      <c r="AC50" s="65">
        <v>23.1</v>
      </c>
      <c r="AD50" s="65">
        <v>21.8</v>
      </c>
      <c r="AE50" s="65">
        <v>0</v>
      </c>
      <c r="AF50" s="65">
        <v>0</v>
      </c>
      <c r="AG50" s="55">
        <v>70</v>
      </c>
      <c r="AH50" s="48">
        <f t="shared" si="2"/>
        <v>70.5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33</v>
      </c>
      <c r="C51" s="65">
        <v>17.399999999999999</v>
      </c>
      <c r="D51" s="65">
        <v>15.7</v>
      </c>
      <c r="E51" s="65">
        <v>34.299999999999997</v>
      </c>
      <c r="F51" s="65">
        <v>16.8</v>
      </c>
      <c r="G51" s="65">
        <v>21.7</v>
      </c>
      <c r="H51" s="65">
        <v>18.899999999999999</v>
      </c>
      <c r="I51" s="65">
        <v>33.700000000000003</v>
      </c>
      <c r="J51" s="65">
        <v>35.200000000000003</v>
      </c>
      <c r="K51" s="65">
        <v>52.9</v>
      </c>
      <c r="L51" s="65">
        <v>67.3</v>
      </c>
      <c r="M51" s="65">
        <v>66.7</v>
      </c>
      <c r="N51" s="65">
        <v>66.7</v>
      </c>
      <c r="O51" s="65">
        <v>62.7</v>
      </c>
      <c r="P51" s="65">
        <v>47.3</v>
      </c>
      <c r="Q51" s="65">
        <v>33.1</v>
      </c>
      <c r="R51" s="45">
        <v>33.5</v>
      </c>
      <c r="S51" s="45">
        <v>39.200000000000003</v>
      </c>
      <c r="T51" s="45">
        <v>45.4</v>
      </c>
      <c r="U51" s="45">
        <v>45.4</v>
      </c>
      <c r="V51" s="45">
        <v>66.599999999999994</v>
      </c>
      <c r="W51" s="45">
        <v>67</v>
      </c>
      <c r="X51" s="45">
        <v>67</v>
      </c>
      <c r="Y51" s="45">
        <v>67</v>
      </c>
      <c r="Z51" s="45">
        <v>66.900000000000006</v>
      </c>
      <c r="AA51" s="45">
        <v>66.900000000000006</v>
      </c>
      <c r="AB51" s="45">
        <v>65.400000000000006</v>
      </c>
      <c r="AC51" s="65">
        <v>66.599999999999994</v>
      </c>
      <c r="AD51" s="65">
        <v>66.599999999999994</v>
      </c>
      <c r="AE51" s="65">
        <v>34</v>
      </c>
      <c r="AF51" s="65">
        <v>33.1</v>
      </c>
      <c r="AG51" s="55">
        <v>69</v>
      </c>
      <c r="AH51" s="48">
        <f t="shared" si="2"/>
        <v>67.3</v>
      </c>
      <c r="AI51" s="49">
        <f t="shared" si="3"/>
        <v>15.7</v>
      </c>
      <c r="AK51" s="50"/>
    </row>
    <row r="52" spans="1:41" x14ac:dyDescent="0.25">
      <c r="A52" s="54" t="s">
        <v>60</v>
      </c>
      <c r="B52" s="57">
        <v>60.4</v>
      </c>
      <c r="C52" s="57">
        <v>60.4</v>
      </c>
      <c r="D52" s="57">
        <v>60.4</v>
      </c>
      <c r="E52" s="57">
        <v>59.2</v>
      </c>
      <c r="F52" s="57">
        <v>59.2</v>
      </c>
      <c r="G52" s="57">
        <v>56.9</v>
      </c>
      <c r="H52" s="57">
        <v>56.9</v>
      </c>
      <c r="I52" s="57">
        <v>56.9</v>
      </c>
      <c r="J52" s="57">
        <v>60.4</v>
      </c>
      <c r="K52" s="57">
        <v>60.4</v>
      </c>
      <c r="L52" s="57">
        <v>60.4</v>
      </c>
      <c r="M52" s="57">
        <v>60.4</v>
      </c>
      <c r="N52" s="57">
        <v>60.4</v>
      </c>
      <c r="O52" s="57">
        <v>57.4</v>
      </c>
      <c r="P52" s="65">
        <v>58.2</v>
      </c>
      <c r="Q52" s="65">
        <v>58.2</v>
      </c>
      <c r="R52" s="65">
        <v>58.2</v>
      </c>
      <c r="S52" s="65">
        <v>56.4</v>
      </c>
      <c r="T52" s="65">
        <v>56.4</v>
      </c>
      <c r="U52" s="65">
        <v>56.4</v>
      </c>
      <c r="V52" s="65">
        <v>54.4</v>
      </c>
      <c r="W52" s="65">
        <v>66.7</v>
      </c>
      <c r="X52" s="65">
        <v>54.4</v>
      </c>
      <c r="Y52" s="65">
        <v>54.4</v>
      </c>
      <c r="Z52" s="65">
        <v>54.3</v>
      </c>
      <c r="AA52" s="65">
        <v>54.3</v>
      </c>
      <c r="AB52" s="65">
        <v>54.3</v>
      </c>
      <c r="AC52" s="65">
        <v>60.4</v>
      </c>
      <c r="AD52" s="65">
        <v>60.4</v>
      </c>
      <c r="AE52" s="65">
        <v>60.4</v>
      </c>
      <c r="AF52" s="65">
        <v>60.4</v>
      </c>
      <c r="AG52" s="55">
        <v>60</v>
      </c>
      <c r="AH52" s="48">
        <f t="shared" si="2"/>
        <v>66.7</v>
      </c>
      <c r="AI52" s="49">
        <f t="shared" si="3"/>
        <v>54.3</v>
      </c>
      <c r="AK52" s="50"/>
    </row>
    <row r="53" spans="1:41" x14ac:dyDescent="0.25">
      <c r="A53" s="54" t="s">
        <v>61</v>
      </c>
      <c r="B53" s="57">
        <v>8</v>
      </c>
      <c r="C53" s="57">
        <v>8</v>
      </c>
      <c r="D53" s="57">
        <v>8</v>
      </c>
      <c r="E53" s="57">
        <v>8</v>
      </c>
      <c r="F53" s="57">
        <v>8</v>
      </c>
      <c r="G53" s="57">
        <v>8</v>
      </c>
      <c r="H53" s="57">
        <v>8</v>
      </c>
      <c r="I53" s="57">
        <v>8</v>
      </c>
      <c r="J53" s="57">
        <v>8</v>
      </c>
      <c r="K53" s="57">
        <v>9.1</v>
      </c>
      <c r="L53" s="57">
        <v>9.1</v>
      </c>
      <c r="M53" s="57">
        <v>9.1</v>
      </c>
      <c r="N53" s="57">
        <v>9.1</v>
      </c>
      <c r="O53" s="57">
        <v>9.1</v>
      </c>
      <c r="P53" s="57">
        <v>0</v>
      </c>
      <c r="Q53" s="57">
        <v>9</v>
      </c>
      <c r="R53" s="57">
        <v>8.1</v>
      </c>
      <c r="S53" s="57">
        <v>8.1</v>
      </c>
      <c r="T53" s="57">
        <v>8.1</v>
      </c>
      <c r="U53" s="57">
        <v>8.1</v>
      </c>
      <c r="V53" s="57">
        <v>8.1</v>
      </c>
      <c r="W53" s="57">
        <v>8.1</v>
      </c>
      <c r="X53" s="65">
        <v>8.1</v>
      </c>
      <c r="Y53" s="65">
        <v>8.1</v>
      </c>
      <c r="Z53" s="65">
        <v>8.1</v>
      </c>
      <c r="AA53" s="65">
        <v>8.1</v>
      </c>
      <c r="AB53" s="65">
        <v>8.1</v>
      </c>
      <c r="AC53" s="65">
        <v>8.1</v>
      </c>
      <c r="AD53" s="65">
        <v>8.1</v>
      </c>
      <c r="AE53" s="65">
        <v>8.1</v>
      </c>
      <c r="AF53" s="65">
        <v>8.1</v>
      </c>
      <c r="AG53" s="55">
        <v>30</v>
      </c>
      <c r="AH53" s="48">
        <f t="shared" si="2"/>
        <v>9.1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4</v>
      </c>
      <c r="Q54" s="45">
        <v>4</v>
      </c>
      <c r="R54" s="45">
        <v>4</v>
      </c>
      <c r="S54" s="45">
        <v>4</v>
      </c>
      <c r="T54" s="45">
        <v>4</v>
      </c>
      <c r="U54" s="45">
        <v>4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4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>
        <v>17</v>
      </c>
      <c r="S55" s="65">
        <v>17</v>
      </c>
      <c r="T55" s="65">
        <v>17</v>
      </c>
      <c r="U55" s="65">
        <v>17</v>
      </c>
      <c r="V55" s="65">
        <v>17</v>
      </c>
      <c r="W55" s="65">
        <v>17</v>
      </c>
      <c r="X55" s="6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5">
        <v>24</v>
      </c>
      <c r="AH55" s="48">
        <f t="shared" si="2"/>
        <v>17</v>
      </c>
      <c r="AI55" s="49">
        <f t="shared" si="3"/>
        <v>17</v>
      </c>
      <c r="AK55" s="50"/>
    </row>
    <row r="56" spans="1:41" x14ac:dyDescent="0.25">
      <c r="A56" s="54" t="s">
        <v>64</v>
      </c>
      <c r="B56" s="65">
        <v>2.6</v>
      </c>
      <c r="C56" s="65">
        <v>2.6</v>
      </c>
      <c r="D56" s="65">
        <v>2.6</v>
      </c>
      <c r="E56" s="65">
        <v>2.6</v>
      </c>
      <c r="F56" s="65">
        <v>2.6</v>
      </c>
      <c r="G56" s="65">
        <v>2.6</v>
      </c>
      <c r="H56" s="65">
        <v>2.6</v>
      </c>
      <c r="I56" s="65">
        <v>2.6</v>
      </c>
      <c r="J56" s="65">
        <v>2.6</v>
      </c>
      <c r="K56" s="65">
        <v>2.6</v>
      </c>
      <c r="L56" s="65">
        <v>2.6</v>
      </c>
      <c r="M56" s="65">
        <v>2.6</v>
      </c>
      <c r="N56" s="65">
        <v>2.6</v>
      </c>
      <c r="O56" s="65">
        <v>2.6</v>
      </c>
      <c r="P56" s="65">
        <v>2.6</v>
      </c>
      <c r="Q56" s="65">
        <v>2.6</v>
      </c>
      <c r="R56" s="65">
        <v>2.6</v>
      </c>
      <c r="S56" s="65">
        <v>2.6</v>
      </c>
      <c r="T56" s="65">
        <v>2.6</v>
      </c>
      <c r="U56" s="65">
        <v>2.6</v>
      </c>
      <c r="V56" s="65">
        <v>2.6</v>
      </c>
      <c r="W56" s="65">
        <v>2.6</v>
      </c>
      <c r="X56" s="65">
        <v>2.6</v>
      </c>
      <c r="Y56" s="65">
        <v>2.6</v>
      </c>
      <c r="Z56" s="65">
        <v>2.6</v>
      </c>
      <c r="AA56" s="65">
        <v>2.6</v>
      </c>
      <c r="AB56" s="65">
        <v>2.6</v>
      </c>
      <c r="AC56" s="65">
        <v>2.6</v>
      </c>
      <c r="AD56" s="65">
        <v>2.6</v>
      </c>
      <c r="AE56" s="65">
        <v>2.6</v>
      </c>
      <c r="AF56" s="65">
        <v>2.6</v>
      </c>
      <c r="AG56" s="55">
        <v>15</v>
      </c>
      <c r="AH56" s="48">
        <f t="shared" si="2"/>
        <v>2.6</v>
      </c>
      <c r="AI56" s="49">
        <f t="shared" si="3"/>
        <v>2.6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14.4</v>
      </c>
      <c r="C57" s="65">
        <v>14.4</v>
      </c>
      <c r="D57" s="65">
        <v>14.4</v>
      </c>
      <c r="E57" s="65">
        <v>14.4</v>
      </c>
      <c r="F57" s="65">
        <v>14.4</v>
      </c>
      <c r="G57" s="65">
        <v>14.4</v>
      </c>
      <c r="H57" s="65">
        <v>14.4</v>
      </c>
      <c r="I57" s="65">
        <v>14.4</v>
      </c>
      <c r="J57" s="65">
        <v>14.4</v>
      </c>
      <c r="K57" s="65">
        <v>14.4</v>
      </c>
      <c r="L57" s="65">
        <v>14.4</v>
      </c>
      <c r="M57" s="65">
        <v>14.4</v>
      </c>
      <c r="N57" s="65">
        <v>14.4</v>
      </c>
      <c r="O57" s="65">
        <v>14.1</v>
      </c>
      <c r="P57" s="65">
        <v>14.1</v>
      </c>
      <c r="Q57" s="65">
        <v>14.1</v>
      </c>
      <c r="R57" s="65">
        <v>14.1</v>
      </c>
      <c r="S57" s="65">
        <v>14.1</v>
      </c>
      <c r="T57" s="65">
        <v>14.1</v>
      </c>
      <c r="U57" s="65">
        <v>14.1</v>
      </c>
      <c r="V57" s="65">
        <v>14.1</v>
      </c>
      <c r="W57" s="65">
        <v>14.1</v>
      </c>
      <c r="X57" s="65">
        <v>14.1</v>
      </c>
      <c r="Y57" s="65">
        <v>14.1</v>
      </c>
      <c r="Z57" s="65">
        <v>14.1</v>
      </c>
      <c r="AA57" s="65">
        <v>14.1</v>
      </c>
      <c r="AB57" s="65">
        <v>14.1</v>
      </c>
      <c r="AC57" s="65">
        <v>14.1</v>
      </c>
      <c r="AD57" s="65">
        <v>13.3</v>
      </c>
      <c r="AE57" s="65">
        <v>13.3</v>
      </c>
      <c r="AF57" s="65">
        <v>13.3</v>
      </c>
      <c r="AG57" s="55">
        <v>14.1</v>
      </c>
      <c r="AH57" s="48">
        <f t="shared" si="2"/>
        <v>14.4</v>
      </c>
      <c r="AI57" s="49">
        <f t="shared" si="3"/>
        <v>13.3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6.8</v>
      </c>
      <c r="C58" s="65">
        <v>6.8</v>
      </c>
      <c r="D58" s="65">
        <v>6.8</v>
      </c>
      <c r="E58" s="65">
        <v>6.8</v>
      </c>
      <c r="F58" s="65">
        <v>6.8</v>
      </c>
      <c r="G58" s="65">
        <v>6.8</v>
      </c>
      <c r="H58" s="65">
        <v>6.8</v>
      </c>
      <c r="I58" s="65">
        <v>6.8</v>
      </c>
      <c r="J58" s="65">
        <v>6.8</v>
      </c>
      <c r="K58" s="65">
        <v>6.8</v>
      </c>
      <c r="L58" s="65">
        <v>6.8</v>
      </c>
      <c r="M58" s="65">
        <v>6.8</v>
      </c>
      <c r="N58" s="65">
        <v>6.8</v>
      </c>
      <c r="O58" s="65">
        <v>6.8</v>
      </c>
      <c r="P58" s="65">
        <v>6.8</v>
      </c>
      <c r="Q58" s="65">
        <v>6.8</v>
      </c>
      <c r="R58" s="65">
        <v>6.8</v>
      </c>
      <c r="S58" s="65">
        <v>6.8</v>
      </c>
      <c r="T58" s="65">
        <v>6.8</v>
      </c>
      <c r="U58" s="65">
        <v>6.8</v>
      </c>
      <c r="V58" s="65">
        <v>6.8</v>
      </c>
      <c r="W58" s="65">
        <v>6.8</v>
      </c>
      <c r="X58" s="65">
        <v>6.8</v>
      </c>
      <c r="Y58" s="65">
        <v>6.8</v>
      </c>
      <c r="Z58" s="65">
        <v>6.8</v>
      </c>
      <c r="AA58" s="65">
        <v>6.8</v>
      </c>
      <c r="AB58" s="65">
        <v>6.8</v>
      </c>
      <c r="AC58" s="65">
        <v>6.8</v>
      </c>
      <c r="AD58" s="65">
        <v>6.8</v>
      </c>
      <c r="AE58" s="65">
        <v>6.8</v>
      </c>
      <c r="AF58" s="65">
        <v>6.8</v>
      </c>
      <c r="AG58" s="55">
        <v>14</v>
      </c>
      <c r="AH58" s="48">
        <f t="shared" si="2"/>
        <v>6.8</v>
      </c>
      <c r="AI58" s="49">
        <f t="shared" si="3"/>
        <v>6.8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5">
        <v>6.2</v>
      </c>
      <c r="AH60" s="48">
        <f t="shared" si="2"/>
        <v>3.2</v>
      </c>
      <c r="AI60" s="49">
        <f t="shared" si="3"/>
        <v>3.2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6">SUM(B49:B61)</f>
        <v>155.44</v>
      </c>
      <c r="C62" s="61">
        <f t="shared" si="6"/>
        <v>139.83999999999997</v>
      </c>
      <c r="D62" s="61">
        <f t="shared" si="6"/>
        <v>138.13999999999996</v>
      </c>
      <c r="E62" s="61">
        <f t="shared" si="6"/>
        <v>155.54</v>
      </c>
      <c r="F62" s="61">
        <f t="shared" si="6"/>
        <v>138.04</v>
      </c>
      <c r="G62" s="61">
        <f t="shared" si="6"/>
        <v>140.63999999999996</v>
      </c>
      <c r="H62" s="61">
        <f t="shared" si="6"/>
        <v>190.14</v>
      </c>
      <c r="I62" s="61">
        <f t="shared" si="6"/>
        <v>257.74</v>
      </c>
      <c r="J62" s="61">
        <f t="shared" si="6"/>
        <v>320.33999999999997</v>
      </c>
      <c r="K62" s="61">
        <f t="shared" si="6"/>
        <v>389.34000000000003</v>
      </c>
      <c r="L62" s="61">
        <f t="shared" si="6"/>
        <v>403.74</v>
      </c>
      <c r="M62" s="61">
        <f t="shared" si="6"/>
        <v>401.94</v>
      </c>
      <c r="N62" s="61">
        <f t="shared" si="6"/>
        <v>401.94</v>
      </c>
      <c r="O62" s="61">
        <f t="shared" si="6"/>
        <v>394.34000000000009</v>
      </c>
      <c r="P62" s="61">
        <f t="shared" si="6"/>
        <v>334.74000000000007</v>
      </c>
      <c r="Q62" s="61">
        <f t="shared" si="6"/>
        <v>300.04000000000008</v>
      </c>
      <c r="R62" s="61">
        <f t="shared" si="6"/>
        <v>282.14000000000004</v>
      </c>
      <c r="S62" s="61">
        <f t="shared" si="6"/>
        <v>302.04000000000008</v>
      </c>
      <c r="T62" s="61">
        <f t="shared" si="6"/>
        <v>308.74000000000007</v>
      </c>
      <c r="U62" s="61">
        <f t="shared" si="6"/>
        <v>306.04000000000008</v>
      </c>
      <c r="V62" s="61">
        <f t="shared" si="6"/>
        <v>374.44000000000005</v>
      </c>
      <c r="W62" s="61">
        <f t="shared" si="6"/>
        <v>385.44000000000005</v>
      </c>
      <c r="X62" s="61">
        <v>397.54000000000008</v>
      </c>
      <c r="Y62" s="61">
        <f t="shared" si="6"/>
        <v>393.34000000000009</v>
      </c>
      <c r="Z62" s="61">
        <f t="shared" si="6"/>
        <v>382.34000000000015</v>
      </c>
      <c r="AA62" s="61">
        <f t="shared" si="6"/>
        <v>381.54000000000008</v>
      </c>
      <c r="AB62" s="61">
        <f t="shared" si="6"/>
        <v>354.24000000000007</v>
      </c>
      <c r="AC62" s="61">
        <f t="shared" si="6"/>
        <v>350.64000000000004</v>
      </c>
      <c r="AD62" s="61">
        <f t="shared" si="6"/>
        <v>271.54000000000002</v>
      </c>
      <c r="AE62" s="61">
        <f t="shared" si="6"/>
        <v>180.54</v>
      </c>
      <c r="AF62" s="61">
        <f t="shared" si="6"/>
        <v>154.54</v>
      </c>
      <c r="AG62" s="62">
        <f t="shared" si="6"/>
        <v>489.91</v>
      </c>
      <c r="AH62" s="48">
        <f t="shared" si="2"/>
        <v>403.74</v>
      </c>
      <c r="AI62" s="49">
        <f t="shared" si="3"/>
        <v>138.04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14</v>
      </c>
      <c r="L63" s="45">
        <v>60</v>
      </c>
      <c r="M63" s="45">
        <v>60</v>
      </c>
      <c r="N63" s="45">
        <v>60</v>
      </c>
      <c r="O63" s="45">
        <v>60</v>
      </c>
      <c r="P63" s="45">
        <v>40</v>
      </c>
      <c r="Q63" s="45">
        <v>44</v>
      </c>
      <c r="R63" s="45">
        <v>40</v>
      </c>
      <c r="S63" s="45">
        <v>30</v>
      </c>
      <c r="T63" s="45">
        <v>45</v>
      </c>
      <c r="U63" s="45">
        <v>60</v>
      </c>
      <c r="V63" s="45">
        <v>50</v>
      </c>
      <c r="W63" s="45">
        <v>60</v>
      </c>
      <c r="X63" s="45">
        <v>60</v>
      </c>
      <c r="Y63" s="45">
        <v>60</v>
      </c>
      <c r="Z63" s="45">
        <v>60</v>
      </c>
      <c r="AA63" s="45">
        <v>60</v>
      </c>
      <c r="AB63" s="45">
        <v>60</v>
      </c>
      <c r="AC63" s="45">
        <v>60</v>
      </c>
      <c r="AD63" s="45">
        <v>60</v>
      </c>
      <c r="AE63" s="45">
        <v>60</v>
      </c>
      <c r="AF63" s="45">
        <v>14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5.8</v>
      </c>
      <c r="L64" s="65">
        <v>26.4</v>
      </c>
      <c r="M64" s="65">
        <v>28.1</v>
      </c>
      <c r="N64" s="65">
        <v>28.1</v>
      </c>
      <c r="O64" s="65">
        <v>28</v>
      </c>
      <c r="P64" s="65">
        <v>15.8</v>
      </c>
      <c r="Q64" s="45">
        <v>19.899999999999999</v>
      </c>
      <c r="R64" s="45">
        <v>18.8</v>
      </c>
      <c r="S64" s="65">
        <v>14.4</v>
      </c>
      <c r="T64" s="65">
        <v>20</v>
      </c>
      <c r="U64" s="65">
        <v>27.9</v>
      </c>
      <c r="V64" s="65">
        <v>23</v>
      </c>
      <c r="W64" s="65">
        <v>27.8</v>
      </c>
      <c r="X64" s="65">
        <v>28.7</v>
      </c>
      <c r="Y64" s="65">
        <v>27.9</v>
      </c>
      <c r="Z64" s="65">
        <v>27.9</v>
      </c>
      <c r="AA64" s="65">
        <v>27.9</v>
      </c>
      <c r="AB64" s="65">
        <v>27.9</v>
      </c>
      <c r="AC64" s="65">
        <v>27.9</v>
      </c>
      <c r="AD64" s="65">
        <v>27.8</v>
      </c>
      <c r="AE64" s="65">
        <v>27.8</v>
      </c>
      <c r="AF64" s="45">
        <v>12.4</v>
      </c>
      <c r="AG64" s="55">
        <v>32</v>
      </c>
      <c r="AH64" s="48">
        <f t="shared" si="2"/>
        <v>28.7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2.1</v>
      </c>
      <c r="L65" s="67">
        <v>9.6</v>
      </c>
      <c r="M65" s="67">
        <v>10.199999999999999</v>
      </c>
      <c r="N65" s="67">
        <v>10.199999999999999</v>
      </c>
      <c r="O65" s="67">
        <v>10.199999999999999</v>
      </c>
      <c r="P65" s="67">
        <v>6.1</v>
      </c>
      <c r="Q65" s="45">
        <v>7.2</v>
      </c>
      <c r="R65" s="45">
        <v>6.9</v>
      </c>
      <c r="S65" s="67">
        <v>5.3</v>
      </c>
      <c r="T65" s="67">
        <v>7.3</v>
      </c>
      <c r="U65" s="67">
        <v>10.199999999999999</v>
      </c>
      <c r="V65" s="67">
        <v>8.4</v>
      </c>
      <c r="W65" s="67">
        <v>10.1</v>
      </c>
      <c r="X65" s="67">
        <v>10.5</v>
      </c>
      <c r="Y65" s="67">
        <v>10.199999999999999</v>
      </c>
      <c r="Z65" s="67">
        <v>10.199999999999999</v>
      </c>
      <c r="AA65" s="67">
        <v>10.199999999999999</v>
      </c>
      <c r="AB65" s="67">
        <v>10.199999999999999</v>
      </c>
      <c r="AC65" s="67">
        <v>10.199999999999999</v>
      </c>
      <c r="AD65" s="67">
        <v>10.199999999999999</v>
      </c>
      <c r="AE65" s="67">
        <v>10.199999999999999</v>
      </c>
      <c r="AF65" s="45">
        <v>4.5</v>
      </c>
      <c r="AG65" s="68">
        <v>14</v>
      </c>
      <c r="AH65" s="48">
        <f t="shared" si="2"/>
        <v>10.5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f>K63+K64+K65</f>
        <v>21.900000000000002</v>
      </c>
      <c r="L66" s="61">
        <f>L63+L64+L65</f>
        <v>96</v>
      </c>
      <c r="M66" s="61">
        <f t="shared" ref="M66:AF66" si="7">M63+M64+M65</f>
        <v>98.3</v>
      </c>
      <c r="N66" s="61">
        <f t="shared" si="7"/>
        <v>98.3</v>
      </c>
      <c r="O66" s="61">
        <f t="shared" si="7"/>
        <v>98.2</v>
      </c>
      <c r="P66" s="61">
        <f t="shared" si="7"/>
        <v>61.9</v>
      </c>
      <c r="Q66" s="61">
        <f t="shared" si="7"/>
        <v>71.099999999999994</v>
      </c>
      <c r="R66" s="61">
        <f t="shared" si="7"/>
        <v>65.7</v>
      </c>
      <c r="S66" s="61">
        <f t="shared" si="7"/>
        <v>49.699999999999996</v>
      </c>
      <c r="T66" s="61">
        <f t="shared" si="7"/>
        <v>72.3</v>
      </c>
      <c r="U66" s="61">
        <f t="shared" si="7"/>
        <v>98.100000000000009</v>
      </c>
      <c r="V66" s="61">
        <f t="shared" si="7"/>
        <v>81.400000000000006</v>
      </c>
      <c r="W66" s="61">
        <f t="shared" si="7"/>
        <v>97.899999999999991</v>
      </c>
      <c r="X66" s="61">
        <v>99.2</v>
      </c>
      <c r="Y66" s="61">
        <f t="shared" si="7"/>
        <v>98.100000000000009</v>
      </c>
      <c r="Z66" s="61">
        <f t="shared" si="7"/>
        <v>98.100000000000009</v>
      </c>
      <c r="AA66" s="61">
        <f t="shared" si="7"/>
        <v>98.100000000000009</v>
      </c>
      <c r="AB66" s="61">
        <f t="shared" si="7"/>
        <v>98.100000000000009</v>
      </c>
      <c r="AC66" s="61">
        <f t="shared" si="7"/>
        <v>98.100000000000009</v>
      </c>
      <c r="AD66" s="61">
        <f t="shared" si="7"/>
        <v>98</v>
      </c>
      <c r="AE66" s="61">
        <f t="shared" si="7"/>
        <v>98</v>
      </c>
      <c r="AF66" s="61">
        <f t="shared" si="7"/>
        <v>30.9</v>
      </c>
      <c r="AG66" s="62">
        <f t="shared" ref="AG66" si="8">SUM(AG63:AG65)</f>
        <v>106</v>
      </c>
      <c r="AH66" s="48">
        <f t="shared" si="2"/>
        <v>99.2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61</v>
      </c>
      <c r="C67" s="45">
        <v>49.8</v>
      </c>
      <c r="D67" s="45">
        <v>62.9</v>
      </c>
      <c r="E67" s="45">
        <v>57</v>
      </c>
      <c r="F67" s="45">
        <v>62.9</v>
      </c>
      <c r="G67" s="45">
        <v>68</v>
      </c>
      <c r="H67" s="45">
        <v>53</v>
      </c>
      <c r="I67" s="45">
        <v>64.8</v>
      </c>
      <c r="J67" s="45">
        <v>48</v>
      </c>
      <c r="K67" s="45">
        <v>63.8</v>
      </c>
      <c r="L67" s="45">
        <v>61.1</v>
      </c>
      <c r="M67" s="45">
        <v>57.9</v>
      </c>
      <c r="N67" s="45">
        <v>58</v>
      </c>
      <c r="O67" s="45">
        <v>62.2</v>
      </c>
      <c r="P67" s="45">
        <v>67</v>
      </c>
      <c r="Q67" s="45">
        <v>58</v>
      </c>
      <c r="R67" s="45">
        <v>58.4</v>
      </c>
      <c r="S67" s="45">
        <v>62.9</v>
      </c>
      <c r="T67" s="45">
        <v>54.5</v>
      </c>
      <c r="U67" s="45">
        <v>60.1</v>
      </c>
      <c r="V67" s="45">
        <v>63</v>
      </c>
      <c r="W67" s="45">
        <v>54.9</v>
      </c>
      <c r="X67" s="45">
        <v>64.599999999999994</v>
      </c>
      <c r="Y67" s="45">
        <v>62.5</v>
      </c>
      <c r="Z67" s="45">
        <v>62</v>
      </c>
      <c r="AA67" s="45">
        <v>64.099999999999994</v>
      </c>
      <c r="AB67" s="45">
        <v>66.2</v>
      </c>
      <c r="AC67" s="45">
        <v>66.900000000000006</v>
      </c>
      <c r="AD67" s="45">
        <v>65</v>
      </c>
      <c r="AE67" s="45">
        <v>58</v>
      </c>
      <c r="AF67" s="45">
        <v>65.3</v>
      </c>
      <c r="AG67" s="52"/>
      <c r="AH67" s="48">
        <f t="shared" si="2"/>
        <v>68</v>
      </c>
      <c r="AI67" s="49">
        <f t="shared" si="3"/>
        <v>48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176</v>
      </c>
      <c r="C69" s="65">
        <v>167</v>
      </c>
      <c r="D69" s="65">
        <v>143.1</v>
      </c>
      <c r="E69" s="65">
        <v>159</v>
      </c>
      <c r="F69" s="65">
        <v>174</v>
      </c>
      <c r="G69" s="65">
        <v>169</v>
      </c>
      <c r="H69" s="65">
        <v>259</v>
      </c>
      <c r="I69" s="65">
        <v>257.5</v>
      </c>
      <c r="J69" s="65">
        <v>268</v>
      </c>
      <c r="K69" s="65">
        <v>262</v>
      </c>
      <c r="L69" s="65">
        <v>140</v>
      </c>
      <c r="M69" s="65">
        <v>41</v>
      </c>
      <c r="N69" s="65">
        <v>1</v>
      </c>
      <c r="O69" s="65">
        <v>0</v>
      </c>
      <c r="P69" s="65">
        <v>143</v>
      </c>
      <c r="Q69" s="65">
        <v>279</v>
      </c>
      <c r="R69" s="65">
        <v>296</v>
      </c>
      <c r="S69" s="65">
        <v>320</v>
      </c>
      <c r="T69" s="65">
        <v>340</v>
      </c>
      <c r="U69" s="65">
        <v>270</v>
      </c>
      <c r="V69" s="65">
        <v>244</v>
      </c>
      <c r="W69" s="65">
        <v>236</v>
      </c>
      <c r="X69" s="65">
        <v>59</v>
      </c>
      <c r="Y69" s="65">
        <v>52</v>
      </c>
      <c r="Z69" s="65">
        <v>100</v>
      </c>
      <c r="AA69" s="65">
        <v>200</v>
      </c>
      <c r="AB69" s="65">
        <v>260.2</v>
      </c>
      <c r="AC69" s="65">
        <v>230.9</v>
      </c>
      <c r="AD69" s="65">
        <v>229</v>
      </c>
      <c r="AE69" s="65">
        <v>206.7</v>
      </c>
      <c r="AF69" s="65">
        <v>205</v>
      </c>
      <c r="AG69" s="75"/>
      <c r="AH69" s="48">
        <f t="shared" si="2"/>
        <v>340</v>
      </c>
      <c r="AI69" s="49">
        <f t="shared" si="3"/>
        <v>0</v>
      </c>
      <c r="AK69" s="50"/>
    </row>
    <row r="70" spans="1:40" x14ac:dyDescent="0.25">
      <c r="A70" s="54" t="s">
        <v>78</v>
      </c>
      <c r="B70" s="76">
        <v>53</v>
      </c>
      <c r="C70" s="76">
        <v>53.1</v>
      </c>
      <c r="D70" s="76">
        <v>55.9</v>
      </c>
      <c r="E70" s="76">
        <v>10</v>
      </c>
      <c r="F70" s="76">
        <v>55</v>
      </c>
      <c r="G70" s="76">
        <v>56</v>
      </c>
      <c r="H70" s="76">
        <v>57.1</v>
      </c>
      <c r="I70" s="76">
        <v>58.2</v>
      </c>
      <c r="J70" s="76">
        <v>61.1</v>
      </c>
      <c r="K70" s="76">
        <v>67.099999999999994</v>
      </c>
      <c r="L70" s="76">
        <v>69.599999999999994</v>
      </c>
      <c r="M70" s="76">
        <v>71</v>
      </c>
      <c r="N70" s="76">
        <v>63</v>
      </c>
      <c r="O70" s="76">
        <v>59</v>
      </c>
      <c r="P70" s="76">
        <v>55.4</v>
      </c>
      <c r="Q70" s="76">
        <v>57.3</v>
      </c>
      <c r="R70" s="76">
        <v>54.1</v>
      </c>
      <c r="S70" s="76">
        <v>54.1</v>
      </c>
      <c r="T70" s="76">
        <v>54.1</v>
      </c>
      <c r="U70" s="76">
        <v>54.1</v>
      </c>
      <c r="V70" s="76">
        <v>54.6</v>
      </c>
      <c r="W70" s="76">
        <v>60</v>
      </c>
      <c r="X70" s="65">
        <v>56</v>
      </c>
      <c r="Y70" s="65">
        <v>58.6</v>
      </c>
      <c r="Z70" s="65">
        <v>58.6</v>
      </c>
      <c r="AA70" s="65">
        <v>58.6</v>
      </c>
      <c r="AB70" s="65">
        <v>50.5</v>
      </c>
      <c r="AC70" s="65">
        <v>49.1</v>
      </c>
      <c r="AD70" s="65">
        <v>50.1</v>
      </c>
      <c r="AE70" s="65">
        <v>48</v>
      </c>
      <c r="AF70" s="65">
        <v>54.3</v>
      </c>
      <c r="AG70" s="75"/>
      <c r="AH70" s="48">
        <f t="shared" si="2"/>
        <v>71</v>
      </c>
      <c r="AI70" s="49">
        <f t="shared" si="3"/>
        <v>10</v>
      </c>
      <c r="AK70" s="50"/>
    </row>
    <row r="71" spans="1:40" x14ac:dyDescent="0.25">
      <c r="A71" s="54" t="s">
        <v>79</v>
      </c>
      <c r="B71" s="45">
        <v>19.8</v>
      </c>
      <c r="C71" s="45">
        <v>18.8</v>
      </c>
      <c r="D71" s="45">
        <v>19.600000000000001</v>
      </c>
      <c r="E71" s="45">
        <v>17.8</v>
      </c>
      <c r="F71" s="45">
        <v>17.7</v>
      </c>
      <c r="G71" s="45">
        <v>19.600000000000001</v>
      </c>
      <c r="H71" s="45">
        <v>19.899999999999999</v>
      </c>
      <c r="I71" s="45">
        <v>19.899999999999999</v>
      </c>
      <c r="J71" s="45">
        <v>21.1</v>
      </c>
      <c r="K71" s="45">
        <v>22.4</v>
      </c>
      <c r="L71" s="45">
        <v>25</v>
      </c>
      <c r="M71" s="45">
        <v>26.8</v>
      </c>
      <c r="N71" s="45">
        <v>33.299999999999997</v>
      </c>
      <c r="O71" s="45">
        <v>27.9</v>
      </c>
      <c r="P71" s="45">
        <v>32.1</v>
      </c>
      <c r="Q71" s="45">
        <v>35</v>
      </c>
      <c r="R71" s="45">
        <v>32.4</v>
      </c>
      <c r="S71" s="45">
        <v>32.4</v>
      </c>
      <c r="T71" s="45">
        <v>32.4</v>
      </c>
      <c r="U71" s="45">
        <v>32.4</v>
      </c>
      <c r="V71" s="45">
        <v>27.7</v>
      </c>
      <c r="W71" s="45">
        <v>25.9</v>
      </c>
      <c r="X71" s="45">
        <v>25.8</v>
      </c>
      <c r="Y71" s="45">
        <v>24.7</v>
      </c>
      <c r="Z71" s="45">
        <v>24.7</v>
      </c>
      <c r="AA71" s="45">
        <v>24.7</v>
      </c>
      <c r="AB71" s="45">
        <v>21.3</v>
      </c>
      <c r="AC71" s="45">
        <v>23.1</v>
      </c>
      <c r="AD71" s="45">
        <v>21.5</v>
      </c>
      <c r="AE71" s="45">
        <v>22.3</v>
      </c>
      <c r="AF71" s="45">
        <v>22.9</v>
      </c>
      <c r="AG71" s="75"/>
      <c r="AH71" s="48">
        <f t="shared" si="2"/>
        <v>35</v>
      </c>
      <c r="AI71" s="49">
        <f t="shared" si="3"/>
        <v>17.7</v>
      </c>
      <c r="AK71" s="50"/>
    </row>
    <row r="72" spans="1:40" x14ac:dyDescent="0.25">
      <c r="A72" s="54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7</v>
      </c>
      <c r="M72" s="77">
        <v>7</v>
      </c>
      <c r="N72" s="77">
        <v>7</v>
      </c>
      <c r="O72" s="77">
        <v>7</v>
      </c>
      <c r="P72" s="77">
        <v>7</v>
      </c>
      <c r="Q72" s="77">
        <v>7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7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9">MAX(B75:AF75)</f>
        <v>0</v>
      </c>
      <c r="AI75" s="49">
        <f t="shared" ref="AI75:AI113" si="10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9"/>
        <v>0</v>
      </c>
      <c r="AI76" s="49">
        <f t="shared" si="10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9"/>
        <v>0</v>
      </c>
      <c r="AI77" s="49">
        <f t="shared" si="10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1">SUMIF(B67:B77,"&gt;0")</f>
        <v>309.8</v>
      </c>
      <c r="C78" s="61">
        <f t="shared" si="11"/>
        <v>288.70000000000005</v>
      </c>
      <c r="D78" s="61">
        <f t="shared" si="11"/>
        <v>281.5</v>
      </c>
      <c r="E78" s="61">
        <f t="shared" si="11"/>
        <v>243.8</v>
      </c>
      <c r="F78" s="61">
        <f t="shared" si="11"/>
        <v>309.59999999999997</v>
      </c>
      <c r="G78" s="61">
        <f t="shared" si="11"/>
        <v>312.60000000000002</v>
      </c>
      <c r="H78" s="61">
        <f t="shared" si="11"/>
        <v>389</v>
      </c>
      <c r="I78" s="61">
        <f t="shared" si="11"/>
        <v>400.4</v>
      </c>
      <c r="J78" s="61">
        <f t="shared" si="11"/>
        <v>398.20000000000005</v>
      </c>
      <c r="K78" s="61">
        <f t="shared" si="11"/>
        <v>415.29999999999995</v>
      </c>
      <c r="L78" s="61">
        <f t="shared" si="11"/>
        <v>302.7</v>
      </c>
      <c r="M78" s="61">
        <f t="shared" si="11"/>
        <v>203.70000000000002</v>
      </c>
      <c r="N78" s="61">
        <f t="shared" si="11"/>
        <v>162.30000000000001</v>
      </c>
      <c r="O78" s="61">
        <f t="shared" si="11"/>
        <v>156.1</v>
      </c>
      <c r="P78" s="61">
        <f t="shared" si="11"/>
        <v>304.5</v>
      </c>
      <c r="Q78" s="61">
        <f t="shared" si="11"/>
        <v>436.3</v>
      </c>
      <c r="R78" s="61">
        <f t="shared" si="11"/>
        <v>440.9</v>
      </c>
      <c r="S78" s="61">
        <f t="shared" si="11"/>
        <v>469.4</v>
      </c>
      <c r="T78" s="61">
        <f t="shared" si="11"/>
        <v>481</v>
      </c>
      <c r="U78" s="61">
        <f t="shared" si="11"/>
        <v>416.6</v>
      </c>
      <c r="V78" s="61">
        <f t="shared" si="11"/>
        <v>389.3</v>
      </c>
      <c r="W78" s="61">
        <f t="shared" si="11"/>
        <v>376.79999999999995</v>
      </c>
      <c r="X78" s="61">
        <v>205.4</v>
      </c>
      <c r="Y78" s="61">
        <f t="shared" si="11"/>
        <v>197.79999999999998</v>
      </c>
      <c r="Z78" s="61">
        <f t="shared" si="11"/>
        <v>245.29999999999998</v>
      </c>
      <c r="AA78" s="61">
        <f t="shared" si="11"/>
        <v>347.40000000000003</v>
      </c>
      <c r="AB78" s="61">
        <f t="shared" si="11"/>
        <v>403.2</v>
      </c>
      <c r="AC78" s="61">
        <f t="shared" si="11"/>
        <v>375.00000000000006</v>
      </c>
      <c r="AD78" s="61">
        <f t="shared" si="11"/>
        <v>370.6</v>
      </c>
      <c r="AE78" s="61">
        <f t="shared" si="11"/>
        <v>340</v>
      </c>
      <c r="AF78" s="61">
        <f t="shared" si="11"/>
        <v>352.5</v>
      </c>
      <c r="AG78" s="81">
        <f>SUM(AG67:AG77)</f>
        <v>0</v>
      </c>
      <c r="AH78" s="48">
        <f t="shared" si="9"/>
        <v>481</v>
      </c>
      <c r="AI78" s="49">
        <f t="shared" si="10"/>
        <v>156.1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9"/>
        <v>0</v>
      </c>
      <c r="AI79" s="49">
        <f t="shared" si="10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9"/>
        <v>0</v>
      </c>
      <c r="AI80" s="49">
        <f t="shared" si="10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9"/>
        <v>0</v>
      </c>
      <c r="AI81" s="49">
        <f t="shared" si="10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9"/>
        <v>0</v>
      </c>
      <c r="AI82" s="49">
        <f t="shared" si="10"/>
        <v>0</v>
      </c>
    </row>
    <row r="83" spans="1:37" ht="15.75" thickBot="1" x14ac:dyDescent="0.3">
      <c r="A83" s="74" t="s">
        <v>91</v>
      </c>
      <c r="B83" s="83">
        <f>B44+B48+B66+B62+B78+B82</f>
        <v>1048.94</v>
      </c>
      <c r="C83" s="83">
        <f t="shared" ref="C83:AG83" si="12">C44+C48+C66+C62+C78+C82</f>
        <v>997.24</v>
      </c>
      <c r="D83" s="83">
        <f t="shared" si="12"/>
        <v>988.34</v>
      </c>
      <c r="E83" s="83">
        <f t="shared" si="12"/>
        <v>968.04</v>
      </c>
      <c r="F83" s="83">
        <f t="shared" si="12"/>
        <v>1017.9399999999998</v>
      </c>
      <c r="G83" s="83">
        <f t="shared" si="12"/>
        <v>1043.44</v>
      </c>
      <c r="H83" s="83">
        <f t="shared" si="12"/>
        <v>1164.3399999999999</v>
      </c>
      <c r="I83" s="83">
        <f t="shared" si="12"/>
        <v>1258.3399999999999</v>
      </c>
      <c r="J83" s="83">
        <f t="shared" si="12"/>
        <v>1358.74</v>
      </c>
      <c r="K83" s="83">
        <f t="shared" si="12"/>
        <v>1486.74</v>
      </c>
      <c r="L83" s="83">
        <f t="shared" si="12"/>
        <v>1652.74</v>
      </c>
      <c r="M83" s="83">
        <f t="shared" si="12"/>
        <v>1685.24</v>
      </c>
      <c r="N83" s="83">
        <f t="shared" si="12"/>
        <v>1672.84</v>
      </c>
      <c r="O83" s="83">
        <f t="shared" si="12"/>
        <v>1587.84</v>
      </c>
      <c r="P83" s="83">
        <f t="shared" si="12"/>
        <v>1551.44</v>
      </c>
      <c r="Q83" s="83">
        <f t="shared" si="12"/>
        <v>1456.3400000000001</v>
      </c>
      <c r="R83" s="83">
        <f t="shared" si="12"/>
        <v>1391.7399999999998</v>
      </c>
      <c r="S83" s="83">
        <f t="shared" si="12"/>
        <v>1407.1399999999999</v>
      </c>
      <c r="T83" s="83">
        <f t="shared" si="12"/>
        <v>1418.04</v>
      </c>
      <c r="U83" s="83">
        <f t="shared" si="12"/>
        <v>1452.7399999999998</v>
      </c>
      <c r="V83" s="83">
        <f t="shared" si="12"/>
        <v>1481.1399999999999</v>
      </c>
      <c r="W83" s="83">
        <f t="shared" si="12"/>
        <v>1593.9399999999998</v>
      </c>
      <c r="X83" s="83">
        <v>1679.4400000000003</v>
      </c>
      <c r="Y83" s="83">
        <f t="shared" si="12"/>
        <v>1664.04</v>
      </c>
      <c r="Z83" s="83">
        <f t="shared" si="12"/>
        <v>1590.5400000000002</v>
      </c>
      <c r="AA83" s="83">
        <f t="shared" si="12"/>
        <v>1551.8400000000001</v>
      </c>
      <c r="AB83" s="83">
        <f t="shared" si="12"/>
        <v>1530.3400000000001</v>
      </c>
      <c r="AC83" s="83">
        <f t="shared" si="12"/>
        <v>1491.54</v>
      </c>
      <c r="AD83" s="83">
        <f t="shared" si="12"/>
        <v>1396.94</v>
      </c>
      <c r="AE83" s="83">
        <f t="shared" si="12"/>
        <v>1204.94</v>
      </c>
      <c r="AF83" s="83">
        <f t="shared" si="12"/>
        <v>1104.44</v>
      </c>
      <c r="AG83" s="62">
        <f t="shared" si="12"/>
        <v>2004.1900000000003</v>
      </c>
      <c r="AH83" s="48">
        <f>MAX(B83:AF83)</f>
        <v>1685.24</v>
      </c>
      <c r="AI83" s="49">
        <f>MIN(B83:AF83)</f>
        <v>968.04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>
        <v>10</v>
      </c>
      <c r="N84" s="85">
        <v>10</v>
      </c>
      <c r="O84" s="85"/>
      <c r="P84" s="85"/>
      <c r="Q84" s="85"/>
      <c r="R84" s="85"/>
      <c r="S84" s="85"/>
      <c r="T84" s="85"/>
      <c r="U84" s="85"/>
      <c r="V84" s="85"/>
      <c r="W84" s="85"/>
      <c r="X84" s="85">
        <v>40</v>
      </c>
      <c r="Y84" s="85">
        <v>40</v>
      </c>
      <c r="Z84" s="85">
        <v>20</v>
      </c>
      <c r="AA84" s="85">
        <v>60</v>
      </c>
      <c r="AB84" s="85"/>
      <c r="AC84" s="85"/>
      <c r="AD84" s="85"/>
      <c r="AE84" s="85"/>
      <c r="AF84" s="85"/>
      <c r="AG84" s="81"/>
      <c r="AH84" s="48">
        <f t="shared" si="9"/>
        <v>60</v>
      </c>
      <c r="AI84" s="49">
        <f t="shared" si="10"/>
        <v>10</v>
      </c>
    </row>
    <row r="85" spans="1:37" ht="15.75" thickBot="1" x14ac:dyDescent="0.3">
      <c r="A85" s="74" t="s">
        <v>93</v>
      </c>
      <c r="B85" s="83">
        <f>B83+B84</f>
        <v>1048.94</v>
      </c>
      <c r="C85" s="83">
        <f t="shared" ref="C85:AF85" si="13">C83+C84</f>
        <v>997.24</v>
      </c>
      <c r="D85" s="83">
        <f t="shared" si="13"/>
        <v>988.34</v>
      </c>
      <c r="E85" s="83">
        <f t="shared" si="13"/>
        <v>968.04</v>
      </c>
      <c r="F85" s="83">
        <f t="shared" si="13"/>
        <v>1017.9399999999998</v>
      </c>
      <c r="G85" s="83">
        <f t="shared" si="13"/>
        <v>1043.44</v>
      </c>
      <c r="H85" s="83">
        <f t="shared" si="13"/>
        <v>1164.3399999999999</v>
      </c>
      <c r="I85" s="83">
        <f t="shared" si="13"/>
        <v>1258.3399999999999</v>
      </c>
      <c r="J85" s="83">
        <f t="shared" si="13"/>
        <v>1358.74</v>
      </c>
      <c r="K85" s="83">
        <f t="shared" si="13"/>
        <v>1486.74</v>
      </c>
      <c r="L85" s="83">
        <f t="shared" si="13"/>
        <v>1652.74</v>
      </c>
      <c r="M85" s="83">
        <f t="shared" si="13"/>
        <v>1695.24</v>
      </c>
      <c r="N85" s="83">
        <f t="shared" si="13"/>
        <v>1682.84</v>
      </c>
      <c r="O85" s="83">
        <f t="shared" si="13"/>
        <v>1587.84</v>
      </c>
      <c r="P85" s="83">
        <f t="shared" si="13"/>
        <v>1551.44</v>
      </c>
      <c r="Q85" s="83">
        <f t="shared" si="13"/>
        <v>1456.3400000000001</v>
      </c>
      <c r="R85" s="83">
        <f t="shared" si="13"/>
        <v>1391.7399999999998</v>
      </c>
      <c r="S85" s="83">
        <f t="shared" si="13"/>
        <v>1407.1399999999999</v>
      </c>
      <c r="T85" s="83">
        <f t="shared" si="13"/>
        <v>1418.04</v>
      </c>
      <c r="U85" s="83">
        <f t="shared" si="13"/>
        <v>1452.7399999999998</v>
      </c>
      <c r="V85" s="83">
        <f t="shared" si="13"/>
        <v>1481.1399999999999</v>
      </c>
      <c r="W85" s="83">
        <f t="shared" si="13"/>
        <v>1593.9399999999998</v>
      </c>
      <c r="X85" s="83">
        <v>1739.4400000000003</v>
      </c>
      <c r="Y85" s="83">
        <f t="shared" si="13"/>
        <v>1704.04</v>
      </c>
      <c r="Z85" s="83">
        <f t="shared" si="13"/>
        <v>1610.5400000000002</v>
      </c>
      <c r="AA85" s="83">
        <f t="shared" si="13"/>
        <v>1611.8400000000001</v>
      </c>
      <c r="AB85" s="83">
        <f t="shared" si="13"/>
        <v>1530.3400000000001</v>
      </c>
      <c r="AC85" s="83">
        <f t="shared" si="13"/>
        <v>1491.54</v>
      </c>
      <c r="AD85" s="83">
        <f t="shared" si="13"/>
        <v>1396.94</v>
      </c>
      <c r="AE85" s="83">
        <f t="shared" si="13"/>
        <v>1204.94</v>
      </c>
      <c r="AF85" s="83">
        <f t="shared" si="13"/>
        <v>1104.44</v>
      </c>
      <c r="AG85" s="81">
        <f>AG82+AG78+AG66+AG62+AG44+AG84</f>
        <v>1466.0900000000001</v>
      </c>
      <c r="AH85" s="48">
        <f t="shared" si="9"/>
        <v>1739.4400000000003</v>
      </c>
      <c r="AI85" s="49">
        <f t="shared" si="10"/>
        <v>968.04</v>
      </c>
    </row>
    <row r="86" spans="1:37" ht="15.75" thickBot="1" x14ac:dyDescent="0.3">
      <c r="A86" s="74" t="s">
        <v>94</v>
      </c>
      <c r="B86" s="83">
        <f t="shared" ref="B86:AF86" si="14">B85-B93</f>
        <v>1048.94</v>
      </c>
      <c r="C86" s="83">
        <f t="shared" si="14"/>
        <v>997.24</v>
      </c>
      <c r="D86" s="83">
        <f t="shared" si="14"/>
        <v>988.34</v>
      </c>
      <c r="E86" s="83">
        <f t="shared" si="14"/>
        <v>968.04</v>
      </c>
      <c r="F86" s="83">
        <f t="shared" si="14"/>
        <v>1017.9399999999998</v>
      </c>
      <c r="G86" s="83">
        <f t="shared" si="14"/>
        <v>1043.44</v>
      </c>
      <c r="H86" s="83">
        <f t="shared" si="14"/>
        <v>1164.3399999999999</v>
      </c>
      <c r="I86" s="83">
        <f t="shared" si="14"/>
        <v>1258.3399999999999</v>
      </c>
      <c r="J86" s="83">
        <f t="shared" si="14"/>
        <v>1358.74</v>
      </c>
      <c r="K86" s="83">
        <f t="shared" si="14"/>
        <v>1486.74</v>
      </c>
      <c r="L86" s="83">
        <f t="shared" si="14"/>
        <v>1652.74</v>
      </c>
      <c r="M86" s="83">
        <f t="shared" si="14"/>
        <v>1695.24</v>
      </c>
      <c r="N86" s="83">
        <f t="shared" si="14"/>
        <v>1682.84</v>
      </c>
      <c r="O86" s="83">
        <f t="shared" si="14"/>
        <v>1587.84</v>
      </c>
      <c r="P86" s="83">
        <f t="shared" si="14"/>
        <v>1551.44</v>
      </c>
      <c r="Q86" s="83">
        <f t="shared" si="14"/>
        <v>1456.3400000000001</v>
      </c>
      <c r="R86" s="83">
        <f t="shared" si="14"/>
        <v>1391.7399999999998</v>
      </c>
      <c r="S86" s="83">
        <f t="shared" si="14"/>
        <v>1407.1399999999999</v>
      </c>
      <c r="T86" s="83">
        <f t="shared" si="14"/>
        <v>1418.04</v>
      </c>
      <c r="U86" s="83">
        <f t="shared" si="14"/>
        <v>1452.7399999999998</v>
      </c>
      <c r="V86" s="83">
        <f t="shared" si="14"/>
        <v>1481.1399999999999</v>
      </c>
      <c r="W86" s="83">
        <f t="shared" si="14"/>
        <v>1593.9399999999998</v>
      </c>
      <c r="X86" s="83">
        <v>1739.4400000000003</v>
      </c>
      <c r="Y86" s="83">
        <f t="shared" si="14"/>
        <v>1654.04</v>
      </c>
      <c r="Z86" s="83">
        <f t="shared" si="14"/>
        <v>1590.5400000000002</v>
      </c>
      <c r="AA86" s="83">
        <f t="shared" si="14"/>
        <v>1551.8400000000001</v>
      </c>
      <c r="AB86" s="83">
        <f t="shared" si="14"/>
        <v>1530.3400000000001</v>
      </c>
      <c r="AC86" s="83">
        <f t="shared" si="14"/>
        <v>1491.54</v>
      </c>
      <c r="AD86" s="83">
        <f t="shared" si="14"/>
        <v>1396.94</v>
      </c>
      <c r="AE86" s="83">
        <f t="shared" si="14"/>
        <v>1204.94</v>
      </c>
      <c r="AF86" s="83">
        <f t="shared" si="14"/>
        <v>1104.44</v>
      </c>
      <c r="AG86" s="81"/>
      <c r="AH86" s="48">
        <f t="shared" si="9"/>
        <v>1739.4400000000003</v>
      </c>
      <c r="AI86" s="49">
        <f t="shared" si="10"/>
        <v>968.04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9"/>
        <v>0</v>
      </c>
      <c r="AI87" s="49">
        <f t="shared" si="10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9"/>
        <v>0</v>
      </c>
      <c r="AI88" s="49">
        <f t="shared" si="10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9"/>
        <v>0</v>
      </c>
      <c r="AI89" s="49">
        <f t="shared" si="10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9"/>
        <v>0</v>
      </c>
      <c r="AI90" s="49">
        <f t="shared" si="10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9"/>
        <v>0</v>
      </c>
      <c r="AI91" s="49">
        <f t="shared" si="10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9"/>
        <v>0</v>
      </c>
      <c r="AI92" s="49">
        <f t="shared" si="10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>
        <v>50</v>
      </c>
      <c r="Z93" s="61">
        <v>20</v>
      </c>
      <c r="AA93" s="61">
        <v>60</v>
      </c>
      <c r="AB93" s="61"/>
      <c r="AC93" s="61"/>
      <c r="AD93" s="61"/>
      <c r="AE93" s="61"/>
      <c r="AF93" s="61"/>
      <c r="AG93" s="81"/>
      <c r="AH93" s="48">
        <f t="shared" si="9"/>
        <v>60</v>
      </c>
      <c r="AI93" s="49">
        <f t="shared" si="10"/>
        <v>0</v>
      </c>
      <c r="AK93" s="50"/>
    </row>
    <row r="94" spans="1:37" ht="15.75" thickBot="1" x14ac:dyDescent="0.3">
      <c r="A94" s="74" t="s">
        <v>99</v>
      </c>
      <c r="B94" s="61">
        <f t="shared" ref="B94:AF94" si="15">B78-B93</f>
        <v>309.8</v>
      </c>
      <c r="C94" s="61">
        <f t="shared" si="15"/>
        <v>288.70000000000005</v>
      </c>
      <c r="D94" s="61">
        <f t="shared" si="15"/>
        <v>281.5</v>
      </c>
      <c r="E94" s="61">
        <f t="shared" si="15"/>
        <v>243.8</v>
      </c>
      <c r="F94" s="61">
        <f t="shared" si="15"/>
        <v>309.59999999999997</v>
      </c>
      <c r="G94" s="61">
        <f t="shared" si="15"/>
        <v>312.60000000000002</v>
      </c>
      <c r="H94" s="61">
        <f t="shared" si="15"/>
        <v>389</v>
      </c>
      <c r="I94" s="61">
        <f t="shared" si="15"/>
        <v>400.4</v>
      </c>
      <c r="J94" s="61">
        <f t="shared" si="15"/>
        <v>398.20000000000005</v>
      </c>
      <c r="K94" s="61">
        <f t="shared" si="15"/>
        <v>415.29999999999995</v>
      </c>
      <c r="L94" s="61">
        <f t="shared" si="15"/>
        <v>302.7</v>
      </c>
      <c r="M94" s="61">
        <f t="shared" si="15"/>
        <v>203.70000000000002</v>
      </c>
      <c r="N94" s="61">
        <f t="shared" si="15"/>
        <v>162.30000000000001</v>
      </c>
      <c r="O94" s="61">
        <f t="shared" si="15"/>
        <v>156.1</v>
      </c>
      <c r="P94" s="61">
        <f t="shared" si="15"/>
        <v>304.5</v>
      </c>
      <c r="Q94" s="61">
        <f t="shared" si="15"/>
        <v>436.3</v>
      </c>
      <c r="R94" s="61">
        <f t="shared" si="15"/>
        <v>440.9</v>
      </c>
      <c r="S94" s="61">
        <f t="shared" si="15"/>
        <v>469.4</v>
      </c>
      <c r="T94" s="61">
        <f t="shared" si="15"/>
        <v>481</v>
      </c>
      <c r="U94" s="61">
        <f t="shared" si="15"/>
        <v>416.6</v>
      </c>
      <c r="V94" s="61">
        <f t="shared" si="15"/>
        <v>389.3</v>
      </c>
      <c r="W94" s="61">
        <f t="shared" si="15"/>
        <v>376.79999999999995</v>
      </c>
      <c r="X94" s="61">
        <v>205.4</v>
      </c>
      <c r="Y94" s="61">
        <f t="shared" si="15"/>
        <v>147.79999999999998</v>
      </c>
      <c r="Z94" s="61">
        <f t="shared" si="15"/>
        <v>225.29999999999998</v>
      </c>
      <c r="AA94" s="61">
        <f t="shared" si="15"/>
        <v>287.40000000000003</v>
      </c>
      <c r="AB94" s="61">
        <f t="shared" si="15"/>
        <v>403.2</v>
      </c>
      <c r="AC94" s="61">
        <f t="shared" si="15"/>
        <v>375.00000000000006</v>
      </c>
      <c r="AD94" s="61">
        <f t="shared" si="15"/>
        <v>370.6</v>
      </c>
      <c r="AE94" s="61">
        <f t="shared" si="15"/>
        <v>340</v>
      </c>
      <c r="AF94" s="61">
        <f t="shared" si="15"/>
        <v>352.5</v>
      </c>
      <c r="AG94" s="81"/>
      <c r="AH94" s="48">
        <f t="shared" si="9"/>
        <v>481</v>
      </c>
      <c r="AI94" s="49">
        <f t="shared" si="10"/>
        <v>147.79999999999998</v>
      </c>
    </row>
    <row r="95" spans="1:37" x14ac:dyDescent="0.25">
      <c r="A95" s="88" t="s">
        <v>100</v>
      </c>
      <c r="B95" s="89">
        <v>50.070999999999998</v>
      </c>
      <c r="C95" s="89">
        <v>50.012999999999998</v>
      </c>
      <c r="D95" s="89">
        <v>49.98</v>
      </c>
      <c r="E95" s="89">
        <v>49.951000000000001</v>
      </c>
      <c r="F95" s="89">
        <v>50.037999999999997</v>
      </c>
      <c r="G95" s="89">
        <v>50.029000000000003</v>
      </c>
      <c r="H95" s="89">
        <v>50.052999999999997</v>
      </c>
      <c r="I95" s="89">
        <v>50.046999999999997</v>
      </c>
      <c r="J95" s="89">
        <v>49.938000000000002</v>
      </c>
      <c r="K95" s="89">
        <v>49.984999999999999</v>
      </c>
      <c r="L95" s="89">
        <v>49.911999999999999</v>
      </c>
      <c r="M95" s="89">
        <v>49.984000000000002</v>
      </c>
      <c r="N95" s="89">
        <v>49.984999999999999</v>
      </c>
      <c r="O95" s="89">
        <v>50.015999999999998</v>
      </c>
      <c r="P95" s="89">
        <v>50.176000000000002</v>
      </c>
      <c r="Q95" s="89">
        <v>49.957000000000001</v>
      </c>
      <c r="R95" s="89">
        <v>49.954999999999998</v>
      </c>
      <c r="S95" s="89">
        <v>50.06</v>
      </c>
      <c r="T95" s="89">
        <v>49.79</v>
      </c>
      <c r="U95" s="89">
        <v>49.88</v>
      </c>
      <c r="V95" s="89">
        <v>49.83</v>
      </c>
      <c r="W95" s="89">
        <v>49.99</v>
      </c>
      <c r="X95" s="89">
        <v>49.86</v>
      </c>
      <c r="Y95" s="89">
        <v>50.02</v>
      </c>
      <c r="Z95" s="89">
        <v>49.9</v>
      </c>
      <c r="AA95" s="89">
        <v>50.03</v>
      </c>
      <c r="AB95" s="89">
        <v>50.024999999999999</v>
      </c>
      <c r="AC95" s="89">
        <v>49.902000000000001</v>
      </c>
      <c r="AD95" s="89">
        <v>50.009</v>
      </c>
      <c r="AE95" s="89">
        <v>50.106000000000002</v>
      </c>
      <c r="AF95" s="89">
        <v>50.018000000000001</v>
      </c>
      <c r="AG95" s="90"/>
      <c r="AH95" s="48">
        <f t="shared" si="9"/>
        <v>50.176000000000002</v>
      </c>
      <c r="AI95" s="49">
        <f t="shared" si="10"/>
        <v>49.79</v>
      </c>
    </row>
    <row r="96" spans="1:37" x14ac:dyDescent="0.25">
      <c r="A96" s="91" t="s">
        <v>101</v>
      </c>
      <c r="B96" s="65">
        <v>130</v>
      </c>
      <c r="C96" s="65">
        <v>130</v>
      </c>
      <c r="D96" s="65">
        <v>130.80000000000001</v>
      </c>
      <c r="E96" s="65">
        <v>128.6</v>
      </c>
      <c r="F96" s="65">
        <v>128.80000000000001</v>
      </c>
      <c r="G96" s="65">
        <v>129.4</v>
      </c>
      <c r="H96" s="65">
        <v>126.5</v>
      </c>
      <c r="I96" s="65">
        <v>127.2</v>
      </c>
      <c r="J96" s="65">
        <v>124.2</v>
      </c>
      <c r="K96" s="65">
        <v>124.4</v>
      </c>
      <c r="L96" s="65">
        <v>124.1</v>
      </c>
      <c r="M96" s="65">
        <v>122.5</v>
      </c>
      <c r="N96" s="65">
        <v>122.6</v>
      </c>
      <c r="O96" s="65">
        <v>123.9</v>
      </c>
      <c r="P96" s="65">
        <v>127</v>
      </c>
      <c r="Q96" s="65">
        <v>125.6</v>
      </c>
      <c r="R96" s="65">
        <v>125.1</v>
      </c>
      <c r="S96" s="65">
        <v>123.9</v>
      </c>
      <c r="T96" s="65">
        <v>124.8</v>
      </c>
      <c r="U96" s="65">
        <v>126</v>
      </c>
      <c r="V96" s="65">
        <v>126.4</v>
      </c>
      <c r="W96" s="65">
        <v>126.7</v>
      </c>
      <c r="X96" s="65">
        <v>125.1</v>
      </c>
      <c r="Y96" s="65">
        <v>126.6</v>
      </c>
      <c r="Z96" s="65">
        <v>127.5</v>
      </c>
      <c r="AA96" s="65">
        <v>127.2</v>
      </c>
      <c r="AB96" s="65">
        <v>127.3</v>
      </c>
      <c r="AC96" s="65">
        <v>127.5</v>
      </c>
      <c r="AD96" s="65">
        <v>128.30000000000001</v>
      </c>
      <c r="AE96" s="65">
        <v>129.19999999999999</v>
      </c>
      <c r="AF96" s="65">
        <v>130.6</v>
      </c>
      <c r="AG96" s="92"/>
      <c r="AH96" s="48">
        <f t="shared" si="9"/>
        <v>130.80000000000001</v>
      </c>
      <c r="AI96" s="49">
        <f t="shared" si="10"/>
        <v>122.5</v>
      </c>
    </row>
    <row r="97" spans="1:35" x14ac:dyDescent="0.25">
      <c r="A97" s="91" t="s">
        <v>102</v>
      </c>
      <c r="B97" s="65">
        <v>133.5</v>
      </c>
      <c r="C97" s="65">
        <v>133.4</v>
      </c>
      <c r="D97" s="65">
        <v>133.9</v>
      </c>
      <c r="E97" s="65">
        <v>132.5</v>
      </c>
      <c r="F97" s="65">
        <v>132.69999999999999</v>
      </c>
      <c r="G97" s="65">
        <v>132.80000000000001</v>
      </c>
      <c r="H97" s="65">
        <v>130</v>
      </c>
      <c r="I97" s="65">
        <v>130.5</v>
      </c>
      <c r="J97" s="65">
        <v>128</v>
      </c>
      <c r="K97" s="65">
        <v>127.7</v>
      </c>
      <c r="L97" s="65">
        <v>127.1</v>
      </c>
      <c r="M97" s="65">
        <v>125.2</v>
      </c>
      <c r="N97" s="65">
        <v>125.5</v>
      </c>
      <c r="O97" s="65">
        <v>126.3</v>
      </c>
      <c r="P97" s="65">
        <v>129</v>
      </c>
      <c r="Q97" s="65">
        <v>128.1</v>
      </c>
      <c r="R97" s="65">
        <v>127.5</v>
      </c>
      <c r="S97" s="65">
        <v>127.3</v>
      </c>
      <c r="T97" s="65">
        <v>127.77</v>
      </c>
      <c r="U97" s="65">
        <v>128.19999999999999</v>
      </c>
      <c r="V97" s="65">
        <v>128.19999999999999</v>
      </c>
      <c r="W97" s="65">
        <v>128</v>
      </c>
      <c r="X97" s="65">
        <v>126.8</v>
      </c>
      <c r="Y97" s="65">
        <v>127.9</v>
      </c>
      <c r="Z97" s="65">
        <v>128.69999999999999</v>
      </c>
      <c r="AA97" s="65">
        <v>128.5</v>
      </c>
      <c r="AB97" s="65">
        <v>128.80000000000001</v>
      </c>
      <c r="AC97" s="65">
        <v>129.69999999999999</v>
      </c>
      <c r="AD97" s="65">
        <v>129.9</v>
      </c>
      <c r="AE97" s="65">
        <v>131.5</v>
      </c>
      <c r="AF97" s="65">
        <v>133.4</v>
      </c>
      <c r="AG97" s="92"/>
      <c r="AH97" s="48">
        <f t="shared" si="9"/>
        <v>133.9</v>
      </c>
      <c r="AI97" s="49">
        <f t="shared" si="10"/>
        <v>125.2</v>
      </c>
    </row>
    <row r="98" spans="1:35" x14ac:dyDescent="0.25">
      <c r="A98" s="91" t="s">
        <v>103</v>
      </c>
      <c r="B98" s="65">
        <v>133.5</v>
      </c>
      <c r="C98" s="65">
        <v>133.30000000000001</v>
      </c>
      <c r="D98" s="65">
        <v>130.6</v>
      </c>
      <c r="E98" s="65">
        <v>130.69999999999999</v>
      </c>
      <c r="F98" s="65">
        <v>131.19999999999999</v>
      </c>
      <c r="G98" s="65">
        <v>129.69999999999999</v>
      </c>
      <c r="H98" s="65">
        <v>128.69999999999999</v>
      </c>
      <c r="I98" s="65">
        <v>131.4</v>
      </c>
      <c r="J98" s="65">
        <v>127.8</v>
      </c>
      <c r="K98" s="65">
        <v>128.1</v>
      </c>
      <c r="L98" s="65">
        <v>126.9</v>
      </c>
      <c r="M98" s="65">
        <v>126.3</v>
      </c>
      <c r="N98" s="65">
        <v>129.19999999999999</v>
      </c>
      <c r="O98" s="65">
        <v>129.4</v>
      </c>
      <c r="P98" s="65">
        <v>131.1</v>
      </c>
      <c r="Q98" s="65">
        <v>131.19999999999999</v>
      </c>
      <c r="R98" s="65">
        <v>131.19999999999999</v>
      </c>
      <c r="S98" s="65">
        <v>129.69999999999999</v>
      </c>
      <c r="T98" s="65">
        <v>128.1</v>
      </c>
      <c r="U98" s="65">
        <v>129.4</v>
      </c>
      <c r="V98" s="65">
        <v>130.30000000000001</v>
      </c>
      <c r="W98" s="65">
        <v>126</v>
      </c>
      <c r="X98" s="65">
        <v>129.4</v>
      </c>
      <c r="Y98" s="65">
        <v>130.9</v>
      </c>
      <c r="Z98" s="65">
        <v>130.9</v>
      </c>
      <c r="AA98" s="65">
        <v>132.5</v>
      </c>
      <c r="AB98" s="65">
        <v>129.9</v>
      </c>
      <c r="AC98" s="65">
        <v>129.9</v>
      </c>
      <c r="AD98" s="65">
        <v>130.30000000000001</v>
      </c>
      <c r="AE98" s="65">
        <v>129.5</v>
      </c>
      <c r="AF98" s="65">
        <v>129.5</v>
      </c>
      <c r="AG98" s="92"/>
      <c r="AH98" s="48">
        <f t="shared" si="9"/>
        <v>133.5</v>
      </c>
      <c r="AI98" s="49">
        <f t="shared" si="10"/>
        <v>126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>
        <v>132</v>
      </c>
      <c r="AA99" s="65"/>
      <c r="AB99" s="65"/>
      <c r="AC99" s="65"/>
      <c r="AD99" s="65"/>
      <c r="AE99" s="65"/>
      <c r="AF99" s="65"/>
      <c r="AG99" s="92"/>
      <c r="AH99" s="48">
        <f t="shared" si="9"/>
        <v>132</v>
      </c>
      <c r="AI99" s="49">
        <f t="shared" si="10"/>
        <v>132</v>
      </c>
    </row>
    <row r="100" spans="1:35" x14ac:dyDescent="0.25">
      <c r="A100" s="93" t="s">
        <v>105</v>
      </c>
      <c r="B100" s="94">
        <v>133.19999999999999</v>
      </c>
      <c r="C100" s="94">
        <v>133.80000000000001</v>
      </c>
      <c r="D100" s="94">
        <v>135.30000000000001</v>
      </c>
      <c r="E100" s="94">
        <v>130.69999999999999</v>
      </c>
      <c r="F100" s="94">
        <v>133.9</v>
      </c>
      <c r="G100" s="94">
        <v>133.19999999999999</v>
      </c>
      <c r="H100" s="94">
        <v>130.80000000000001</v>
      </c>
      <c r="I100" s="94">
        <v>135.5</v>
      </c>
      <c r="J100" s="94">
        <v>134.6</v>
      </c>
      <c r="K100" s="94">
        <v>132.30000000000001</v>
      </c>
      <c r="L100" s="94">
        <v>131.5</v>
      </c>
      <c r="M100" s="94">
        <v>132</v>
      </c>
      <c r="N100" s="94">
        <v>132.19999999999999</v>
      </c>
      <c r="O100" s="94">
        <v>131.69999999999999</v>
      </c>
      <c r="P100" s="94">
        <v>134</v>
      </c>
      <c r="Q100" s="94">
        <v>133.30000000000001</v>
      </c>
      <c r="R100" s="94">
        <v>132.1</v>
      </c>
      <c r="S100" s="94">
        <v>133.69999999999999</v>
      </c>
      <c r="T100" s="94">
        <v>132.5</v>
      </c>
      <c r="U100" s="94">
        <v>132.1</v>
      </c>
      <c r="V100" s="94">
        <v>134.1</v>
      </c>
      <c r="W100" s="94">
        <v>135.30000000000001</v>
      </c>
      <c r="X100" s="94">
        <v>134.6</v>
      </c>
      <c r="Y100" s="94">
        <v>135.19999999999999</v>
      </c>
      <c r="Z100" s="94">
        <v>135.19999999999999</v>
      </c>
      <c r="AA100" s="94">
        <v>134.5</v>
      </c>
      <c r="AB100" s="94">
        <v>133.5</v>
      </c>
      <c r="AC100" s="94">
        <v>133.30000000000001</v>
      </c>
      <c r="AD100" s="94">
        <v>133.69999999999999</v>
      </c>
      <c r="AE100" s="94">
        <v>133.80000000000001</v>
      </c>
      <c r="AF100" s="94">
        <v>135.80000000000001</v>
      </c>
      <c r="AG100" s="95"/>
      <c r="AH100" s="48">
        <f t="shared" si="9"/>
        <v>135.80000000000001</v>
      </c>
      <c r="AI100" s="49">
        <f t="shared" si="10"/>
        <v>130.69999999999999</v>
      </c>
    </row>
    <row r="101" spans="1:35" x14ac:dyDescent="0.25">
      <c r="A101" s="91" t="s">
        <v>106</v>
      </c>
      <c r="B101" s="65">
        <v>132.5</v>
      </c>
      <c r="C101" s="65">
        <v>133.6</v>
      </c>
      <c r="D101" s="65">
        <v>129.69999999999999</v>
      </c>
      <c r="E101" s="65">
        <v>132.1</v>
      </c>
      <c r="F101" s="65">
        <v>131.1</v>
      </c>
      <c r="G101" s="65">
        <v>127.1</v>
      </c>
      <c r="H101" s="65">
        <v>129.30000000000001</v>
      </c>
      <c r="I101" s="65">
        <v>132.1</v>
      </c>
      <c r="J101" s="65">
        <v>129.4</v>
      </c>
      <c r="K101" s="65">
        <v>124.1</v>
      </c>
      <c r="L101" s="65">
        <v>124.3</v>
      </c>
      <c r="M101" s="65">
        <v>127.9</v>
      </c>
      <c r="N101" s="65">
        <v>125.9</v>
      </c>
      <c r="O101" s="65">
        <v>126.9</v>
      </c>
      <c r="P101" s="65">
        <v>129</v>
      </c>
      <c r="Q101" s="65">
        <v>125.8</v>
      </c>
      <c r="R101" s="65">
        <v>125.3</v>
      </c>
      <c r="S101" s="65">
        <v>123.2</v>
      </c>
      <c r="T101" s="65">
        <v>130.6</v>
      </c>
      <c r="U101" s="65">
        <v>127.6</v>
      </c>
      <c r="V101" s="65">
        <v>128.6</v>
      </c>
      <c r="W101" s="65">
        <v>134.4</v>
      </c>
      <c r="X101" s="65">
        <v>132.30000000000001</v>
      </c>
      <c r="Y101" s="65">
        <v>130.4</v>
      </c>
      <c r="Z101" s="65">
        <v>130.4</v>
      </c>
      <c r="AA101" s="65">
        <v>132.5</v>
      </c>
      <c r="AB101" s="65">
        <v>134.5</v>
      </c>
      <c r="AC101" s="65">
        <v>129.4</v>
      </c>
      <c r="AD101" s="65">
        <v>131.19999999999999</v>
      </c>
      <c r="AE101" s="65">
        <v>132.9</v>
      </c>
      <c r="AF101" s="65">
        <v>124.2</v>
      </c>
      <c r="AG101" s="92"/>
      <c r="AH101" s="48">
        <f t="shared" si="9"/>
        <v>134.5</v>
      </c>
      <c r="AI101" s="49">
        <f t="shared" si="10"/>
        <v>123.2</v>
      </c>
    </row>
    <row r="102" spans="1:35" ht="15.75" thickBot="1" x14ac:dyDescent="0.3">
      <c r="A102" s="91" t="s">
        <v>107</v>
      </c>
      <c r="B102" s="96">
        <v>67.3</v>
      </c>
      <c r="C102" s="96">
        <v>67.2</v>
      </c>
      <c r="D102" s="96">
        <v>67.599999999999994</v>
      </c>
      <c r="E102" s="96">
        <v>66.7</v>
      </c>
      <c r="F102" s="96">
        <v>66.7</v>
      </c>
      <c r="G102" s="96">
        <v>66.900000000000006</v>
      </c>
      <c r="H102" s="96">
        <v>65.7</v>
      </c>
      <c r="I102" s="96">
        <v>65.7</v>
      </c>
      <c r="J102" s="96">
        <v>64.2</v>
      </c>
      <c r="K102" s="96">
        <v>64.2</v>
      </c>
      <c r="L102" s="96">
        <v>63.1</v>
      </c>
      <c r="M102" s="96">
        <v>62.1</v>
      </c>
      <c r="N102" s="96">
        <v>62.7</v>
      </c>
      <c r="O102" s="96">
        <v>62.7</v>
      </c>
      <c r="P102" s="96">
        <v>64.2</v>
      </c>
      <c r="Q102" s="96">
        <v>63.3</v>
      </c>
      <c r="R102" s="96">
        <v>63.1</v>
      </c>
      <c r="S102" s="96">
        <v>63.3</v>
      </c>
      <c r="T102" s="96">
        <v>63.5</v>
      </c>
      <c r="U102" s="96">
        <v>63.7</v>
      </c>
      <c r="V102" s="96">
        <v>63.9</v>
      </c>
      <c r="W102" s="96">
        <v>63.7</v>
      </c>
      <c r="X102" s="96">
        <v>63</v>
      </c>
      <c r="Y102" s="96">
        <v>63.7</v>
      </c>
      <c r="Z102" s="96">
        <v>64.2</v>
      </c>
      <c r="AA102" s="96">
        <v>64.2</v>
      </c>
      <c r="AB102" s="96">
        <v>64.400000000000006</v>
      </c>
      <c r="AC102" s="96">
        <v>64.7</v>
      </c>
      <c r="AD102" s="96">
        <v>65</v>
      </c>
      <c r="AE102" s="96">
        <v>66</v>
      </c>
      <c r="AF102" s="96">
        <v>67.3</v>
      </c>
      <c r="AG102" s="97"/>
      <c r="AH102" s="48">
        <f t="shared" si="9"/>
        <v>67.599999999999994</v>
      </c>
      <c r="AI102" s="49">
        <f t="shared" si="10"/>
        <v>62.1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9"/>
        <v>0</v>
      </c>
      <c r="AI103" s="49">
        <f t="shared" si="10"/>
        <v>0</v>
      </c>
    </row>
    <row r="104" spans="1:35" ht="15.75" thickBot="1" x14ac:dyDescent="0.3">
      <c r="A104" s="99" t="s">
        <v>108</v>
      </c>
      <c r="B104" s="100">
        <f t="shared" ref="B104:AF104" si="16">SUM(B16,B22,B25:B26,B52,B54:B55,B57,B59,B105:B109,B131,B137,B143,B152,B154,B166,B173,B176:B177,B184,B186,B188,B192:B194,B196:B198,B203,B209:B210,B212:B214,B222,B227)</f>
        <v>133.10000000000002</v>
      </c>
      <c r="C104" s="100">
        <f t="shared" si="16"/>
        <v>130.13999999999999</v>
      </c>
      <c r="D104" s="100">
        <f t="shared" si="16"/>
        <v>117.34</v>
      </c>
      <c r="E104" s="100">
        <f t="shared" si="16"/>
        <v>113.64</v>
      </c>
      <c r="F104" s="100">
        <f t="shared" si="16"/>
        <v>119.24000000000001</v>
      </c>
      <c r="G104" s="100">
        <f t="shared" si="16"/>
        <v>162.24</v>
      </c>
      <c r="H104" s="100">
        <f t="shared" si="16"/>
        <v>180.04000000000002</v>
      </c>
      <c r="I104" s="100">
        <f t="shared" si="16"/>
        <v>215.74</v>
      </c>
      <c r="J104" s="100">
        <f t="shared" si="16"/>
        <v>258.04000000000002</v>
      </c>
      <c r="K104" s="100">
        <f t="shared" si="16"/>
        <v>323.53999999999996</v>
      </c>
      <c r="L104" s="100">
        <f t="shared" si="16"/>
        <v>383.03999999999996</v>
      </c>
      <c r="M104" s="100">
        <f t="shared" si="16"/>
        <v>404.04</v>
      </c>
      <c r="N104" s="100">
        <f t="shared" si="16"/>
        <v>388.54</v>
      </c>
      <c r="O104" s="100">
        <f t="shared" si="16"/>
        <v>373.84999999999997</v>
      </c>
      <c r="P104" s="100">
        <v>42</v>
      </c>
      <c r="Q104" s="100">
        <f t="shared" si="16"/>
        <v>334</v>
      </c>
      <c r="R104" s="100">
        <f t="shared" si="16"/>
        <v>322.2</v>
      </c>
      <c r="S104" s="100">
        <f t="shared" si="16"/>
        <v>333.59999999999997</v>
      </c>
      <c r="T104" s="100">
        <f>SUM(T16,T22,T25:T26,T52,T54:T55,T57,T59,T105:T109,T131,T137,T143,T152,T154,T166,T173,T176:T177,T184,T186,T188,T192:T194,T196:T198,T203,T209:T210,T212:T214,T222,T227)</f>
        <v>307.39999999999998</v>
      </c>
      <c r="U104" s="100">
        <f>SUM(U16,U22,U25:U26,U52,U54:U55,U57,U59,U105:U109,U131,U137,U143,U152,U154,U166,U173,U176:U177,U184,U186,U188,U192:U194,U196:U198,U203,U209:U210,U212:U214,U222,U227)</f>
        <v>311.59999999999997</v>
      </c>
      <c r="V104" s="100">
        <f t="shared" si="16"/>
        <v>353.4</v>
      </c>
      <c r="W104" s="100">
        <f t="shared" si="16"/>
        <v>401.9</v>
      </c>
      <c r="X104" s="100">
        <v>513.79708333333326</v>
      </c>
      <c r="Y104" s="100">
        <f t="shared" si="16"/>
        <v>425.6</v>
      </c>
      <c r="Z104" s="100">
        <f t="shared" si="16"/>
        <v>365.1</v>
      </c>
      <c r="AA104" s="100">
        <f t="shared" si="16"/>
        <v>432.09999999999997</v>
      </c>
      <c r="AB104" s="100">
        <f t="shared" si="16"/>
        <v>382</v>
      </c>
      <c r="AC104" s="100">
        <f t="shared" si="16"/>
        <v>370.09999999999997</v>
      </c>
      <c r="AD104" s="100">
        <f t="shared" si="16"/>
        <v>333.79999999999995</v>
      </c>
      <c r="AE104" s="100">
        <f t="shared" si="16"/>
        <v>221.39999999999998</v>
      </c>
      <c r="AF104" s="100">
        <f t="shared" si="16"/>
        <v>173.49999999999997</v>
      </c>
      <c r="AG104" s="101"/>
      <c r="AH104" s="48">
        <f t="shared" si="9"/>
        <v>513.79708333333326</v>
      </c>
      <c r="AI104" s="49">
        <f t="shared" si="10"/>
        <v>42</v>
      </c>
    </row>
    <row r="105" spans="1:35" x14ac:dyDescent="0.25">
      <c r="A105" s="88" t="s">
        <v>109</v>
      </c>
      <c r="B105" s="102">
        <v>0</v>
      </c>
      <c r="C105" s="102">
        <v>0</v>
      </c>
      <c r="D105" s="102">
        <v>0</v>
      </c>
      <c r="E105" s="102">
        <v>-1.6</v>
      </c>
      <c r="F105" s="102">
        <v>-1.6</v>
      </c>
      <c r="G105" s="102">
        <v>14.5</v>
      </c>
      <c r="H105" s="102">
        <v>9.9</v>
      </c>
      <c r="I105" s="102">
        <v>22.4</v>
      </c>
      <c r="J105" s="102">
        <v>24.2</v>
      </c>
      <c r="K105" s="102">
        <v>36.200000000000003</v>
      </c>
      <c r="L105" s="102">
        <v>34.200000000000003</v>
      </c>
      <c r="M105" s="102">
        <v>38.200000000000003</v>
      </c>
      <c r="N105" s="102">
        <v>45.1</v>
      </c>
      <c r="O105" s="102">
        <v>44.5</v>
      </c>
      <c r="P105" s="102">
        <v>31.1</v>
      </c>
      <c r="Q105" s="102">
        <v>27.4</v>
      </c>
      <c r="R105" s="102">
        <v>24.1</v>
      </c>
      <c r="S105" s="102">
        <v>29.1</v>
      </c>
      <c r="T105" s="102">
        <v>31.2</v>
      </c>
      <c r="U105" s="102">
        <v>27.1</v>
      </c>
      <c r="V105" s="102">
        <v>41.6</v>
      </c>
      <c r="W105" s="102">
        <v>40</v>
      </c>
      <c r="X105" s="102">
        <v>39</v>
      </c>
      <c r="Y105" s="102">
        <v>41.8</v>
      </c>
      <c r="Z105" s="102">
        <v>44.4</v>
      </c>
      <c r="AA105" s="102">
        <v>49.8</v>
      </c>
      <c r="AB105" s="102">
        <v>36.9</v>
      </c>
      <c r="AC105" s="102">
        <v>39.6</v>
      </c>
      <c r="AD105" s="102">
        <v>25.8</v>
      </c>
      <c r="AE105" s="102">
        <v>7.5</v>
      </c>
      <c r="AF105" s="102">
        <v>4.4000000000000004</v>
      </c>
      <c r="AG105" s="103">
        <v>75</v>
      </c>
      <c r="AH105" s="48">
        <f t="shared" si="9"/>
        <v>49.8</v>
      </c>
      <c r="AI105" s="49">
        <f t="shared" si="10"/>
        <v>-1.6</v>
      </c>
    </row>
    <row r="106" spans="1:35" x14ac:dyDescent="0.25">
      <c r="A106" s="91" t="s">
        <v>110</v>
      </c>
      <c r="B106" s="104">
        <v>6</v>
      </c>
      <c r="C106" s="104">
        <v>4.7</v>
      </c>
      <c r="D106" s="104">
        <v>7.1</v>
      </c>
      <c r="E106" s="104">
        <v>3.7</v>
      </c>
      <c r="F106" s="104">
        <v>4.2</v>
      </c>
      <c r="G106" s="104">
        <v>5</v>
      </c>
      <c r="H106" s="104">
        <v>1.5</v>
      </c>
      <c r="I106" s="104">
        <v>14.8</v>
      </c>
      <c r="J106" s="104">
        <v>35.299999999999997</v>
      </c>
      <c r="K106" s="104">
        <v>51.7</v>
      </c>
      <c r="L106" s="104">
        <v>45</v>
      </c>
      <c r="M106" s="104">
        <v>48.9</v>
      </c>
      <c r="N106" s="104">
        <v>60.8</v>
      </c>
      <c r="O106" s="104">
        <v>62</v>
      </c>
      <c r="P106" s="104">
        <v>43.5</v>
      </c>
      <c r="Q106" s="104">
        <v>38.299999999999997</v>
      </c>
      <c r="R106" s="104">
        <v>32.9</v>
      </c>
      <c r="S106" s="104">
        <v>41.1</v>
      </c>
      <c r="T106" s="104">
        <v>43.4</v>
      </c>
      <c r="U106" s="104">
        <v>37.1</v>
      </c>
      <c r="V106" s="104">
        <v>52.6</v>
      </c>
      <c r="W106" s="104">
        <v>50</v>
      </c>
      <c r="X106" s="104">
        <v>48.7</v>
      </c>
      <c r="Y106" s="104">
        <v>47.6</v>
      </c>
      <c r="Z106" s="104">
        <v>54.8</v>
      </c>
      <c r="AA106" s="104">
        <v>63.7</v>
      </c>
      <c r="AB106" s="104">
        <v>44.7</v>
      </c>
      <c r="AC106" s="104">
        <v>49.7</v>
      </c>
      <c r="AD106" s="104">
        <v>30.6</v>
      </c>
      <c r="AE106" s="104">
        <v>9.1</v>
      </c>
      <c r="AF106" s="104">
        <v>7.5</v>
      </c>
      <c r="AG106" s="103">
        <v>240</v>
      </c>
      <c r="AH106" s="48">
        <f t="shared" si="9"/>
        <v>63.7</v>
      </c>
      <c r="AI106" s="49">
        <f t="shared" si="10"/>
        <v>1.5</v>
      </c>
    </row>
    <row r="107" spans="1:35" x14ac:dyDescent="0.25">
      <c r="A107" s="91" t="s">
        <v>111</v>
      </c>
      <c r="B107" s="104">
        <v>-59</v>
      </c>
      <c r="C107" s="104">
        <v>-59</v>
      </c>
      <c r="D107" s="104">
        <v>-63</v>
      </c>
      <c r="E107" s="104">
        <f>-31.7-34</f>
        <v>-65.7</v>
      </c>
      <c r="F107" s="104">
        <f>-31-33.5</f>
        <v>-64.5</v>
      </c>
      <c r="G107" s="104">
        <f>-27.6-29.7</f>
        <v>-57.3</v>
      </c>
      <c r="H107" s="104">
        <f>-20.2-23</f>
        <v>-43.2</v>
      </c>
      <c r="I107" s="104">
        <f>-17.4-19.1</f>
        <v>-36.5</v>
      </c>
      <c r="J107" s="104">
        <f>-15.7-17.6</f>
        <v>-33.299999999999997</v>
      </c>
      <c r="K107" s="104">
        <f>-6.9-9.9</f>
        <v>-16.8</v>
      </c>
      <c r="L107" s="104">
        <v>-1</v>
      </c>
      <c r="M107" s="104">
        <v>25</v>
      </c>
      <c r="N107" s="104">
        <v>8.3000000000000007</v>
      </c>
      <c r="O107" s="104">
        <v>7.9</v>
      </c>
      <c r="P107" s="104">
        <v>5</v>
      </c>
      <c r="Q107" s="104">
        <v>11.4</v>
      </c>
      <c r="R107" s="104">
        <v>2</v>
      </c>
      <c r="S107" s="104">
        <v>2</v>
      </c>
      <c r="T107" s="104">
        <f>-27.4-5.5</f>
        <v>-32.9</v>
      </c>
      <c r="U107" s="104">
        <f>-31.3-0</f>
        <v>-31.3</v>
      </c>
      <c r="V107" s="104">
        <f>-11.4+14.5</f>
        <v>3.0999999999999996</v>
      </c>
      <c r="W107" s="104">
        <f>-6.4+25.2</f>
        <v>18.799999999999997</v>
      </c>
      <c r="X107" s="104">
        <v>38.599999999999994</v>
      </c>
      <c r="Y107" s="104">
        <f>-1.3+30.1</f>
        <v>28.8</v>
      </c>
      <c r="Z107" s="104">
        <f>-3.3-28.2</f>
        <v>-31.5</v>
      </c>
      <c r="AA107" s="104">
        <v>23.3</v>
      </c>
      <c r="AB107" s="104">
        <v>16</v>
      </c>
      <c r="AC107" s="104">
        <v>5</v>
      </c>
      <c r="AD107" s="104">
        <v>-11</v>
      </c>
      <c r="AE107" s="104">
        <v>-41.1</v>
      </c>
      <c r="AF107" s="104">
        <v>-45</v>
      </c>
      <c r="AG107" s="103">
        <v>240</v>
      </c>
      <c r="AH107" s="48">
        <f t="shared" si="9"/>
        <v>38.599999999999994</v>
      </c>
      <c r="AI107" s="49">
        <f t="shared" si="10"/>
        <v>-65.7</v>
      </c>
    </row>
    <row r="108" spans="1:35" x14ac:dyDescent="0.25">
      <c r="A108" s="91" t="s">
        <v>112</v>
      </c>
      <c r="B108" s="104">
        <v>-1.1000000000000001</v>
      </c>
      <c r="C108" s="104">
        <v>-3.8</v>
      </c>
      <c r="D108" s="104">
        <v>-4.3</v>
      </c>
      <c r="E108" s="104">
        <v>-9.1</v>
      </c>
      <c r="F108" s="104">
        <v>-8.6</v>
      </c>
      <c r="G108" s="104">
        <v>-3.7</v>
      </c>
      <c r="H108" s="104">
        <v>0</v>
      </c>
      <c r="I108" s="104">
        <v>0</v>
      </c>
      <c r="J108" s="104">
        <v>2.9</v>
      </c>
      <c r="K108" s="104">
        <v>14.9</v>
      </c>
      <c r="L108" s="104">
        <v>50.9</v>
      </c>
      <c r="M108" s="104">
        <v>52.1</v>
      </c>
      <c r="N108" s="104">
        <v>46.1</v>
      </c>
      <c r="O108" s="104">
        <v>49.1</v>
      </c>
      <c r="P108" s="104">
        <v>45</v>
      </c>
      <c r="Q108" s="104">
        <v>28.4</v>
      </c>
      <c r="R108" s="104">
        <v>21.1</v>
      </c>
      <c r="S108" s="104">
        <v>21.1</v>
      </c>
      <c r="T108" s="104">
        <v>37.9</v>
      </c>
      <c r="U108" s="104">
        <v>49.8</v>
      </c>
      <c r="V108" s="104">
        <v>55.9</v>
      </c>
      <c r="W108" s="104">
        <v>62</v>
      </c>
      <c r="X108" s="104">
        <v>68.400000000000006</v>
      </c>
      <c r="Y108" s="104">
        <v>67.599999999999994</v>
      </c>
      <c r="Z108" s="104">
        <v>66.3</v>
      </c>
      <c r="AA108" s="104">
        <v>64.2</v>
      </c>
      <c r="AB108" s="104">
        <v>63</v>
      </c>
      <c r="AC108" s="104">
        <v>60.4</v>
      </c>
      <c r="AD108" s="104">
        <v>56</v>
      </c>
      <c r="AE108" s="104">
        <v>46.1</v>
      </c>
      <c r="AF108" s="104">
        <v>12.6</v>
      </c>
      <c r="AG108" s="103">
        <v>60</v>
      </c>
      <c r="AH108" s="48">
        <f t="shared" si="9"/>
        <v>68.400000000000006</v>
      </c>
      <c r="AI108" s="49">
        <f t="shared" si="10"/>
        <v>-9.1</v>
      </c>
    </row>
    <row r="109" spans="1:35" x14ac:dyDescent="0.25">
      <c r="A109" s="105" t="s">
        <v>113</v>
      </c>
      <c r="B109" s="106">
        <v>52.7</v>
      </c>
      <c r="C109" s="106">
        <v>52.8</v>
      </c>
      <c r="D109" s="106">
        <v>42.1</v>
      </c>
      <c r="E109" s="106">
        <v>52.1</v>
      </c>
      <c r="F109" s="106">
        <v>55.5</v>
      </c>
      <c r="G109" s="106">
        <v>71.8</v>
      </c>
      <c r="H109" s="106">
        <v>79.900000000000006</v>
      </c>
      <c r="I109" s="106">
        <v>83.1</v>
      </c>
      <c r="J109" s="106">
        <v>93.5</v>
      </c>
      <c r="K109" s="106">
        <v>102.1</v>
      </c>
      <c r="L109" s="106">
        <v>118.5</v>
      </c>
      <c r="M109" s="106">
        <v>104.4</v>
      </c>
      <c r="N109" s="106">
        <v>92.8</v>
      </c>
      <c r="O109" s="106">
        <v>78.209999999999994</v>
      </c>
      <c r="P109" s="106">
        <v>115</v>
      </c>
      <c r="Q109" s="106">
        <v>92.5</v>
      </c>
      <c r="R109" s="106">
        <v>106.1</v>
      </c>
      <c r="S109" s="106">
        <v>106.1</v>
      </c>
      <c r="T109" s="106">
        <v>93.6</v>
      </c>
      <c r="U109" s="106">
        <v>94.7</v>
      </c>
      <c r="V109" s="106">
        <v>72</v>
      </c>
      <c r="W109" s="106">
        <v>90.6</v>
      </c>
      <c r="X109" s="106">
        <v>112</v>
      </c>
      <c r="Y109" s="106">
        <v>111.6</v>
      </c>
      <c r="Z109" s="106">
        <v>103</v>
      </c>
      <c r="AA109" s="106">
        <v>103</v>
      </c>
      <c r="AB109" s="106">
        <v>93.3</v>
      </c>
      <c r="AC109" s="106">
        <v>81.2</v>
      </c>
      <c r="AD109" s="106">
        <v>99</v>
      </c>
      <c r="AE109" s="106">
        <v>66.400000000000006</v>
      </c>
      <c r="AF109" s="106">
        <v>60.6</v>
      </c>
      <c r="AG109" s="107">
        <v>120</v>
      </c>
      <c r="AH109" s="48">
        <f t="shared" si="9"/>
        <v>118.5</v>
      </c>
      <c r="AI109" s="49">
        <f t="shared" si="10"/>
        <v>42.1</v>
      </c>
    </row>
    <row r="110" spans="1:35" x14ac:dyDescent="0.25">
      <c r="A110" s="105" t="s">
        <v>115</v>
      </c>
      <c r="B110" s="106">
        <v>63</v>
      </c>
      <c r="C110" s="106">
        <v>59.4</v>
      </c>
      <c r="D110" s="106">
        <v>46.8</v>
      </c>
      <c r="E110" s="106">
        <v>59.2</v>
      </c>
      <c r="F110" s="106">
        <v>63</v>
      </c>
      <c r="G110" s="106">
        <v>68.099999999999994</v>
      </c>
      <c r="H110" s="106">
        <v>81.099999999999994</v>
      </c>
      <c r="I110" s="106">
        <v>83.2</v>
      </c>
      <c r="J110" s="106">
        <v>83.4</v>
      </c>
      <c r="K110" s="106">
        <v>87.7</v>
      </c>
      <c r="L110" s="106">
        <v>91.4</v>
      </c>
      <c r="M110" s="106">
        <v>108</v>
      </c>
      <c r="N110" s="106">
        <v>99.4</v>
      </c>
      <c r="O110" s="106">
        <v>92.6</v>
      </c>
      <c r="P110" s="106">
        <v>92</v>
      </c>
      <c r="Q110" s="106">
        <v>96</v>
      </c>
      <c r="R110" s="106">
        <v>98.2</v>
      </c>
      <c r="S110" s="106">
        <v>98.2</v>
      </c>
      <c r="T110" s="106">
        <v>87.9</v>
      </c>
      <c r="U110" s="106">
        <v>82</v>
      </c>
      <c r="V110" s="106">
        <v>80.400000000000006</v>
      </c>
      <c r="W110" s="106">
        <v>90</v>
      </c>
      <c r="X110" s="106">
        <v>103</v>
      </c>
      <c r="Y110" s="106">
        <v>87</v>
      </c>
      <c r="Z110" s="106">
        <v>87</v>
      </c>
      <c r="AA110" s="106">
        <v>74.5</v>
      </c>
      <c r="AB110" s="106">
        <v>95.2</v>
      </c>
      <c r="AC110" s="106">
        <v>84.8</v>
      </c>
      <c r="AD110" s="106">
        <v>75.400000000000006</v>
      </c>
      <c r="AE110" s="106">
        <v>55.8</v>
      </c>
      <c r="AF110" s="106">
        <v>58.9</v>
      </c>
      <c r="AG110" s="107"/>
      <c r="AH110" s="48">
        <f t="shared" si="9"/>
        <v>108</v>
      </c>
      <c r="AI110" s="49">
        <f t="shared" si="10"/>
        <v>46.8</v>
      </c>
    </row>
    <row r="111" spans="1:35" x14ac:dyDescent="0.25">
      <c r="A111" s="105" t="s">
        <v>116</v>
      </c>
      <c r="B111" s="106">
        <v>27</v>
      </c>
      <c r="C111" s="106">
        <v>30.2</v>
      </c>
      <c r="D111" s="106">
        <v>27</v>
      </c>
      <c r="E111" s="106">
        <v>46.1</v>
      </c>
      <c r="F111" s="106">
        <v>29</v>
      </c>
      <c r="G111" s="106">
        <v>36.799999999999997</v>
      </c>
      <c r="H111" s="106">
        <v>30.9</v>
      </c>
      <c r="I111" s="106">
        <v>31.2</v>
      </c>
      <c r="J111" s="106">
        <v>17.2</v>
      </c>
      <c r="K111" s="106">
        <v>18.100000000000001</v>
      </c>
      <c r="L111" s="106">
        <v>19.399999999999999</v>
      </c>
      <c r="M111" s="106">
        <v>16.3</v>
      </c>
      <c r="N111" s="106">
        <v>10.5</v>
      </c>
      <c r="O111" s="106">
        <v>12.4</v>
      </c>
      <c r="P111" s="106">
        <v>17.399999999999999</v>
      </c>
      <c r="Q111" s="106">
        <v>18.3</v>
      </c>
      <c r="R111" s="106">
        <v>22.4</v>
      </c>
      <c r="S111" s="106">
        <v>22.4</v>
      </c>
      <c r="T111" s="106">
        <v>21.4</v>
      </c>
      <c r="U111" s="106">
        <v>24.3</v>
      </c>
      <c r="V111" s="106">
        <v>17.399999999999999</v>
      </c>
      <c r="W111" s="106">
        <v>17.8</v>
      </c>
      <c r="X111" s="106">
        <v>18.8</v>
      </c>
      <c r="Y111" s="106">
        <v>15.1</v>
      </c>
      <c r="Z111" s="106">
        <v>15.1</v>
      </c>
      <c r="AA111" s="106">
        <v>5.3</v>
      </c>
      <c r="AB111" s="106">
        <v>12.2</v>
      </c>
      <c r="AC111" s="106">
        <v>11.5</v>
      </c>
      <c r="AD111" s="106">
        <v>28.3</v>
      </c>
      <c r="AE111" s="106">
        <v>28.6</v>
      </c>
      <c r="AF111" s="106">
        <v>31.2</v>
      </c>
      <c r="AG111" s="108"/>
      <c r="AH111" s="48">
        <f t="shared" si="9"/>
        <v>46.1</v>
      </c>
      <c r="AI111" s="49">
        <f t="shared" si="10"/>
        <v>5.3</v>
      </c>
    </row>
    <row r="112" spans="1:35" x14ac:dyDescent="0.25">
      <c r="A112" s="109" t="s">
        <v>117</v>
      </c>
      <c r="B112" s="94">
        <v>65.2</v>
      </c>
      <c r="C112" s="94">
        <v>66.7</v>
      </c>
      <c r="D112" s="94">
        <v>69.2</v>
      </c>
      <c r="E112" s="94">
        <v>70.7</v>
      </c>
      <c r="F112" s="94">
        <v>71.400000000000006</v>
      </c>
      <c r="G112" s="94">
        <v>57.1</v>
      </c>
      <c r="H112" s="94">
        <v>50.6</v>
      </c>
      <c r="I112" s="94">
        <v>38.5</v>
      </c>
      <c r="J112" s="94">
        <v>29.8</v>
      </c>
      <c r="K112" s="94">
        <v>14.2</v>
      </c>
      <c r="L112" s="94">
        <v>5.8</v>
      </c>
      <c r="M112" s="94">
        <v>2.4</v>
      </c>
      <c r="N112" s="94">
        <v>15.3</v>
      </c>
      <c r="O112" s="94">
        <v>30</v>
      </c>
      <c r="P112" s="94">
        <v>30.7</v>
      </c>
      <c r="Q112" s="94">
        <v>37.5</v>
      </c>
      <c r="R112" s="94">
        <v>40.9</v>
      </c>
      <c r="S112" s="94">
        <v>28.9</v>
      </c>
      <c r="T112" s="94">
        <v>30.8</v>
      </c>
      <c r="U112" s="94">
        <v>24</v>
      </c>
      <c r="V112" s="94">
        <v>-2.8</v>
      </c>
      <c r="W112" s="94">
        <v>-17.399999999999999</v>
      </c>
      <c r="X112" s="94">
        <v>-14.8</v>
      </c>
      <c r="Y112" s="94">
        <v>-9.6999999999999993</v>
      </c>
      <c r="Z112" s="94">
        <v>-9.6999999999999993</v>
      </c>
      <c r="AA112" s="94">
        <v>-7.5</v>
      </c>
      <c r="AB112" s="94">
        <v>19.600000000000001</v>
      </c>
      <c r="AC112" s="94">
        <v>24.2</v>
      </c>
      <c r="AD112" s="94">
        <v>32.799999999999997</v>
      </c>
      <c r="AE112" s="94">
        <v>52.7</v>
      </c>
      <c r="AF112" s="94">
        <v>55.7</v>
      </c>
      <c r="AG112" s="108"/>
      <c r="AH112" s="48">
        <f t="shared" si="9"/>
        <v>71.400000000000006</v>
      </c>
      <c r="AI112" s="49">
        <f t="shared" si="10"/>
        <v>-17.399999999999999</v>
      </c>
    </row>
    <row r="113" spans="1:37" ht="15.75" thickBot="1" x14ac:dyDescent="0.3">
      <c r="A113" s="109" t="s">
        <v>118</v>
      </c>
      <c r="B113" s="94">
        <v>36.6</v>
      </c>
      <c r="C113" s="94">
        <v>30.1</v>
      </c>
      <c r="D113" s="94">
        <v>35.700000000000003</v>
      </c>
      <c r="E113" s="94">
        <v>33.299999999999997</v>
      </c>
      <c r="F113" s="94">
        <v>33.9</v>
      </c>
      <c r="G113" s="94">
        <v>26.2</v>
      </c>
      <c r="H113" s="94">
        <v>22.6</v>
      </c>
      <c r="I113" s="94">
        <v>19.8</v>
      </c>
      <c r="J113" s="94">
        <v>24.1</v>
      </c>
      <c r="K113" s="94">
        <v>17.3</v>
      </c>
      <c r="L113" s="94">
        <v>26.8</v>
      </c>
      <c r="M113" s="94">
        <v>15</v>
      </c>
      <c r="N113" s="94">
        <v>27.1</v>
      </c>
      <c r="O113" s="94">
        <v>24</v>
      </c>
      <c r="P113" s="94">
        <v>15.3</v>
      </c>
      <c r="Q113" s="94">
        <v>12.9</v>
      </c>
      <c r="R113" s="94">
        <v>9.1999999999999993</v>
      </c>
      <c r="S113" s="94">
        <v>20.5</v>
      </c>
      <c r="T113" s="94">
        <v>24.1</v>
      </c>
      <c r="U113" s="94">
        <v>22.4</v>
      </c>
      <c r="V113" s="94">
        <v>1.7</v>
      </c>
      <c r="W113" s="94">
        <f>-17.2</f>
        <v>-17.2</v>
      </c>
      <c r="X113" s="94">
        <v>-19.3</v>
      </c>
      <c r="Y113" s="94">
        <v>-13.8</v>
      </c>
      <c r="Z113" s="94">
        <v>-13.8</v>
      </c>
      <c r="AA113" s="94">
        <v>-9.6999999999999993</v>
      </c>
      <c r="AB113" s="94">
        <v>-5.0999999999999996</v>
      </c>
      <c r="AC113" s="94">
        <v>3.7</v>
      </c>
      <c r="AD113" s="94">
        <v>8.1999999999999993</v>
      </c>
      <c r="AE113" s="94">
        <v>22.8</v>
      </c>
      <c r="AF113" s="94">
        <v>22.7</v>
      </c>
      <c r="AG113" s="108"/>
      <c r="AH113" s="48">
        <f t="shared" si="9"/>
        <v>36.6</v>
      </c>
      <c r="AI113" s="49">
        <f t="shared" si="10"/>
        <v>-19.3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17">SUM(B115:B219)</f>
        <v>0</v>
      </c>
      <c r="C220" s="125">
        <f t="shared" si="17"/>
        <v>0</v>
      </c>
      <c r="D220" s="125">
        <f t="shared" si="17"/>
        <v>0</v>
      </c>
      <c r="E220" s="125">
        <f t="shared" si="17"/>
        <v>0</v>
      </c>
      <c r="F220" s="125">
        <f t="shared" si="17"/>
        <v>0</v>
      </c>
      <c r="G220" s="125">
        <f t="shared" si="17"/>
        <v>0</v>
      </c>
      <c r="H220" s="125">
        <f t="shared" si="17"/>
        <v>0</v>
      </c>
      <c r="I220" s="125">
        <f t="shared" si="17"/>
        <v>0</v>
      </c>
      <c r="J220" s="125">
        <f t="shared" si="17"/>
        <v>0</v>
      </c>
      <c r="K220" s="125">
        <f t="shared" si="17"/>
        <v>0</v>
      </c>
      <c r="L220" s="125">
        <f t="shared" si="17"/>
        <v>0</v>
      </c>
      <c r="M220" s="125">
        <f t="shared" si="17"/>
        <v>0</v>
      </c>
      <c r="N220" s="125">
        <f t="shared" si="17"/>
        <v>0</v>
      </c>
      <c r="O220" s="125">
        <f t="shared" si="17"/>
        <v>0</v>
      </c>
      <c r="P220" s="125">
        <f t="shared" si="17"/>
        <v>0</v>
      </c>
      <c r="Q220" s="125">
        <f t="shared" si="17"/>
        <v>0</v>
      </c>
      <c r="R220" s="125">
        <f t="shared" si="17"/>
        <v>0</v>
      </c>
      <c r="S220" s="125">
        <f t="shared" si="17"/>
        <v>0</v>
      </c>
      <c r="T220" s="125">
        <f t="shared" si="17"/>
        <v>0</v>
      </c>
      <c r="U220" s="125">
        <f t="shared" si="17"/>
        <v>0</v>
      </c>
      <c r="V220" s="125">
        <f t="shared" si="17"/>
        <v>0</v>
      </c>
      <c r="W220" s="125">
        <f t="shared" si="17"/>
        <v>0</v>
      </c>
      <c r="X220" s="125">
        <f t="shared" si="17"/>
        <v>0</v>
      </c>
      <c r="Y220" s="125">
        <f t="shared" si="17"/>
        <v>0</v>
      </c>
      <c r="Z220" s="125">
        <f t="shared" si="17"/>
        <v>0</v>
      </c>
      <c r="AA220" s="125">
        <f t="shared" si="17"/>
        <v>0</v>
      </c>
      <c r="AB220" s="125">
        <f t="shared" si="17"/>
        <v>0</v>
      </c>
      <c r="AC220" s="125">
        <f t="shared" si="17"/>
        <v>0</v>
      </c>
      <c r="AD220" s="125">
        <f t="shared" si="17"/>
        <v>0</v>
      </c>
      <c r="AE220" s="125">
        <f t="shared" si="17"/>
        <v>0</v>
      </c>
      <c r="AF220" s="126">
        <f t="shared" si="17"/>
        <v>0</v>
      </c>
      <c r="AG220" s="127">
        <f t="shared" si="17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18">AF222</f>
        <v>0</v>
      </c>
      <c r="C222" s="129">
        <v>0.3</v>
      </c>
      <c r="D222" s="129">
        <f t="shared" ref="D222:P227" si="19">C222</f>
        <v>0.3</v>
      </c>
      <c r="E222" s="129">
        <f t="shared" si="19"/>
        <v>0.3</v>
      </c>
      <c r="F222" s="129">
        <f t="shared" si="19"/>
        <v>0.3</v>
      </c>
      <c r="G222" s="129">
        <f t="shared" si="19"/>
        <v>0.3</v>
      </c>
      <c r="H222" s="129">
        <f t="shared" si="19"/>
        <v>0.3</v>
      </c>
      <c r="I222" s="129">
        <f t="shared" si="19"/>
        <v>0.3</v>
      </c>
      <c r="J222" s="129">
        <f t="shared" si="19"/>
        <v>0.3</v>
      </c>
      <c r="K222" s="129">
        <f t="shared" si="19"/>
        <v>0.3</v>
      </c>
      <c r="L222" s="129">
        <f t="shared" si="19"/>
        <v>0.3</v>
      </c>
      <c r="M222" s="129">
        <f t="shared" si="19"/>
        <v>0.3</v>
      </c>
      <c r="N222" s="129">
        <f t="shared" si="19"/>
        <v>0.3</v>
      </c>
      <c r="O222" s="129">
        <f t="shared" si="19"/>
        <v>0.3</v>
      </c>
      <c r="P222" s="129">
        <f t="shared" si="19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18"/>
        <v>0</v>
      </c>
      <c r="C223" s="117">
        <v>0.4</v>
      </c>
      <c r="D223" s="117">
        <f t="shared" si="19"/>
        <v>0.4</v>
      </c>
      <c r="E223" s="117">
        <f t="shared" si="19"/>
        <v>0.4</v>
      </c>
      <c r="F223" s="117">
        <f t="shared" si="19"/>
        <v>0.4</v>
      </c>
      <c r="G223" s="117">
        <f t="shared" si="19"/>
        <v>0.4</v>
      </c>
      <c r="H223" s="117">
        <f t="shared" si="19"/>
        <v>0.4</v>
      </c>
      <c r="I223" s="117">
        <f t="shared" si="19"/>
        <v>0.4</v>
      </c>
      <c r="J223" s="117">
        <f t="shared" si="19"/>
        <v>0.4</v>
      </c>
      <c r="K223" s="117">
        <f t="shared" si="19"/>
        <v>0.4</v>
      </c>
      <c r="L223" s="117">
        <f t="shared" si="19"/>
        <v>0.4</v>
      </c>
      <c r="M223" s="117">
        <f t="shared" si="19"/>
        <v>0.4</v>
      </c>
      <c r="N223" s="117">
        <f t="shared" si="19"/>
        <v>0.4</v>
      </c>
      <c r="O223" s="117">
        <f t="shared" si="19"/>
        <v>0.4</v>
      </c>
      <c r="P223" s="117">
        <f t="shared" si="19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18"/>
        <v>0</v>
      </c>
      <c r="C224" s="117">
        <v>1.5</v>
      </c>
      <c r="D224" s="117">
        <f t="shared" si="19"/>
        <v>1.5</v>
      </c>
      <c r="E224" s="117">
        <f t="shared" si="19"/>
        <v>1.5</v>
      </c>
      <c r="F224" s="117">
        <f t="shared" si="19"/>
        <v>1.5</v>
      </c>
      <c r="G224" s="117">
        <f t="shared" si="19"/>
        <v>1.5</v>
      </c>
      <c r="H224" s="117">
        <f t="shared" si="19"/>
        <v>1.5</v>
      </c>
      <c r="I224" s="100">
        <f t="shared" ref="I224" ca="1" si="20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19"/>
        <v>1.5</v>
      </c>
      <c r="K224" s="117">
        <f t="shared" ca="1" si="19"/>
        <v>1.5</v>
      </c>
      <c r="L224" s="117">
        <f t="shared" ca="1" si="19"/>
        <v>1.5</v>
      </c>
      <c r="M224" s="117">
        <f t="shared" ca="1" si="19"/>
        <v>1.5</v>
      </c>
      <c r="N224" s="117">
        <f t="shared" ca="1" si="19"/>
        <v>1.5</v>
      </c>
      <c r="O224" s="117">
        <f t="shared" ca="1" si="19"/>
        <v>1.5</v>
      </c>
      <c r="P224" s="117">
        <f t="shared" ca="1" si="19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18"/>
        <v>0</v>
      </c>
      <c r="C225" s="117">
        <v>0.3</v>
      </c>
      <c r="D225" s="117">
        <f t="shared" si="19"/>
        <v>0.3</v>
      </c>
      <c r="E225" s="117">
        <f t="shared" si="19"/>
        <v>0.3</v>
      </c>
      <c r="F225" s="117">
        <f t="shared" si="19"/>
        <v>0.3</v>
      </c>
      <c r="G225" s="117">
        <f t="shared" si="19"/>
        <v>0.3</v>
      </c>
      <c r="H225" s="117">
        <f t="shared" si="19"/>
        <v>0.3</v>
      </c>
      <c r="I225" s="117">
        <f t="shared" si="19"/>
        <v>0.3</v>
      </c>
      <c r="J225" s="117">
        <f t="shared" si="19"/>
        <v>0.3</v>
      </c>
      <c r="K225" s="117">
        <f t="shared" si="19"/>
        <v>0.3</v>
      </c>
      <c r="L225" s="117">
        <f t="shared" si="19"/>
        <v>0.3</v>
      </c>
      <c r="M225" s="117">
        <f t="shared" si="19"/>
        <v>0.3</v>
      </c>
      <c r="N225" s="117">
        <f t="shared" si="19"/>
        <v>0.3</v>
      </c>
      <c r="O225" s="117">
        <f t="shared" si="19"/>
        <v>0.3</v>
      </c>
      <c r="P225" s="117">
        <f t="shared" si="19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18"/>
        <v>0</v>
      </c>
      <c r="C226" s="117">
        <v>0.4</v>
      </c>
      <c r="D226" s="117">
        <f t="shared" si="19"/>
        <v>0.4</v>
      </c>
      <c r="E226" s="117">
        <f t="shared" si="19"/>
        <v>0.4</v>
      </c>
      <c r="F226" s="117">
        <f t="shared" si="19"/>
        <v>0.4</v>
      </c>
      <c r="G226" s="117">
        <f t="shared" si="19"/>
        <v>0.4</v>
      </c>
      <c r="H226" s="117">
        <f t="shared" si="19"/>
        <v>0.4</v>
      </c>
      <c r="I226" s="117">
        <f t="shared" si="19"/>
        <v>0.4</v>
      </c>
      <c r="J226" s="117">
        <f t="shared" si="19"/>
        <v>0.4</v>
      </c>
      <c r="K226" s="117">
        <f t="shared" si="19"/>
        <v>0.4</v>
      </c>
      <c r="L226" s="117">
        <f t="shared" si="19"/>
        <v>0.4</v>
      </c>
      <c r="M226" s="117">
        <f t="shared" si="19"/>
        <v>0.4</v>
      </c>
      <c r="N226" s="117">
        <f t="shared" si="19"/>
        <v>0.4</v>
      </c>
      <c r="O226" s="117">
        <f t="shared" si="19"/>
        <v>0.4</v>
      </c>
      <c r="P226" s="117">
        <f t="shared" si="19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18"/>
        <v>0</v>
      </c>
      <c r="C227" s="121">
        <v>0.64</v>
      </c>
      <c r="D227" s="121">
        <f t="shared" si="19"/>
        <v>0.64</v>
      </c>
      <c r="E227" s="121">
        <f t="shared" si="19"/>
        <v>0.64</v>
      </c>
      <c r="F227" s="121">
        <f t="shared" si="19"/>
        <v>0.64</v>
      </c>
      <c r="G227" s="121">
        <f t="shared" si="19"/>
        <v>0.64</v>
      </c>
      <c r="H227" s="121">
        <f t="shared" si="19"/>
        <v>0.64</v>
      </c>
      <c r="I227" s="121">
        <f t="shared" si="19"/>
        <v>0.64</v>
      </c>
      <c r="J227" s="121">
        <f t="shared" si="19"/>
        <v>0.64</v>
      </c>
      <c r="K227" s="121">
        <f t="shared" si="19"/>
        <v>0.64</v>
      </c>
      <c r="L227" s="121">
        <f t="shared" si="19"/>
        <v>0.64</v>
      </c>
      <c r="M227" s="121">
        <f t="shared" si="19"/>
        <v>0.64</v>
      </c>
      <c r="N227" s="121">
        <f t="shared" si="19"/>
        <v>0.64</v>
      </c>
      <c r="O227" s="121">
        <f t="shared" si="19"/>
        <v>0.64</v>
      </c>
      <c r="P227" s="121">
        <f t="shared" si="19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1">SUM(B222:B227)</f>
        <v>0</v>
      </c>
      <c r="C228" s="125">
        <f t="shared" si="21"/>
        <v>3.54</v>
      </c>
      <c r="D228" s="125">
        <f t="shared" si="21"/>
        <v>3.54</v>
      </c>
      <c r="E228" s="125">
        <f t="shared" si="21"/>
        <v>3.54</v>
      </c>
      <c r="F228" s="125">
        <f t="shared" si="21"/>
        <v>3.54</v>
      </c>
      <c r="G228" s="125">
        <f t="shared" si="21"/>
        <v>3.54</v>
      </c>
      <c r="H228" s="125">
        <f t="shared" si="21"/>
        <v>3.54</v>
      </c>
      <c r="I228" s="125">
        <f t="shared" ca="1" si="21"/>
        <v>3.54</v>
      </c>
      <c r="J228" s="125">
        <f t="shared" ca="1" si="21"/>
        <v>3.54</v>
      </c>
      <c r="K228" s="125">
        <f t="shared" ca="1" si="21"/>
        <v>3.54</v>
      </c>
      <c r="L228" s="125">
        <f t="shared" ca="1" si="21"/>
        <v>3.54</v>
      </c>
      <c r="M228" s="125">
        <f t="shared" ca="1" si="21"/>
        <v>3.54</v>
      </c>
      <c r="N228" s="125">
        <f t="shared" ca="1" si="21"/>
        <v>3.54</v>
      </c>
      <c r="O228" s="125">
        <f t="shared" ca="1" si="21"/>
        <v>3.54</v>
      </c>
      <c r="P228" s="125">
        <f t="shared" ca="1" si="21"/>
        <v>3.54</v>
      </c>
      <c r="Q228" s="125">
        <f t="shared" si="21"/>
        <v>0</v>
      </c>
      <c r="R228" s="125">
        <f t="shared" si="21"/>
        <v>0</v>
      </c>
      <c r="S228" s="125">
        <f t="shared" si="21"/>
        <v>0</v>
      </c>
      <c r="T228" s="125">
        <f t="shared" si="21"/>
        <v>0</v>
      </c>
      <c r="U228" s="125">
        <f t="shared" si="21"/>
        <v>0</v>
      </c>
      <c r="V228" s="125">
        <f t="shared" si="21"/>
        <v>0</v>
      </c>
      <c r="W228" s="125">
        <f t="shared" si="21"/>
        <v>0</v>
      </c>
      <c r="X228" s="125">
        <f t="shared" si="21"/>
        <v>0</v>
      </c>
      <c r="Y228" s="125">
        <f t="shared" si="21"/>
        <v>0</v>
      </c>
      <c r="Z228" s="125">
        <f t="shared" si="21"/>
        <v>0</v>
      </c>
      <c r="AA228" s="125">
        <f t="shared" si="21"/>
        <v>0</v>
      </c>
      <c r="AB228" s="125">
        <f t="shared" si="21"/>
        <v>0</v>
      </c>
      <c r="AC228" s="125">
        <f t="shared" si="21"/>
        <v>0</v>
      </c>
      <c r="AD228" s="125">
        <f t="shared" si="21"/>
        <v>0</v>
      </c>
      <c r="AE228" s="125">
        <f t="shared" si="21"/>
        <v>0</v>
      </c>
      <c r="AF228" s="125">
        <f t="shared" si="21"/>
        <v>0</v>
      </c>
      <c r="AG228" s="134">
        <f t="shared" si="21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1695.24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18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2079/09/18)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2079/09/18)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2">B85</f>
        <v>1048.94</v>
      </c>
      <c r="U242" s="159">
        <f t="shared" si="22"/>
        <v>997.24</v>
      </c>
      <c r="V242" s="159">
        <f t="shared" si="22"/>
        <v>988.34</v>
      </c>
      <c r="W242" s="159">
        <f t="shared" si="22"/>
        <v>968.04</v>
      </c>
      <c r="X242" s="159">
        <f t="shared" si="22"/>
        <v>1017.9399999999998</v>
      </c>
      <c r="Y242" s="159">
        <f t="shared" si="22"/>
        <v>1043.44</v>
      </c>
      <c r="Z242" s="159">
        <f t="shared" si="22"/>
        <v>1164.3399999999999</v>
      </c>
      <c r="AA242" s="159">
        <f t="shared" si="22"/>
        <v>1258.3399999999999</v>
      </c>
      <c r="AB242" s="159">
        <f t="shared" si="22"/>
        <v>1358.74</v>
      </c>
      <c r="AC242" s="159">
        <f t="shared" si="22"/>
        <v>1486.74</v>
      </c>
      <c r="AD242" s="159">
        <f t="shared" si="22"/>
        <v>1652.74</v>
      </c>
      <c r="AE242" s="159">
        <f t="shared" si="22"/>
        <v>1695.24</v>
      </c>
      <c r="AF242" s="159">
        <f t="shared" si="22"/>
        <v>1682.84</v>
      </c>
      <c r="AG242" s="159">
        <f t="shared" si="22"/>
        <v>1587.84</v>
      </c>
      <c r="AH242" s="159">
        <f t="shared" si="22"/>
        <v>1551.44</v>
      </c>
      <c r="AI242" s="159">
        <f t="shared" si="22"/>
        <v>1456.3400000000001</v>
      </c>
      <c r="AJ242" s="159">
        <f t="shared" si="22"/>
        <v>1391.7399999999998</v>
      </c>
      <c r="AK242" s="159">
        <f t="shared" si="22"/>
        <v>1407.1399999999999</v>
      </c>
      <c r="AL242" s="159">
        <f t="shared" si="22"/>
        <v>1418.04</v>
      </c>
      <c r="AM242" s="159">
        <f t="shared" si="22"/>
        <v>1452.7399999999998</v>
      </c>
      <c r="AN242" s="159">
        <f t="shared" si="22"/>
        <v>1481.1399999999999</v>
      </c>
      <c r="AO242" s="159">
        <f t="shared" si="22"/>
        <v>1593.9399999999998</v>
      </c>
      <c r="AP242" s="159">
        <f t="shared" si="22"/>
        <v>1739.4400000000003</v>
      </c>
      <c r="AQ242" s="159">
        <f t="shared" si="22"/>
        <v>1704.04</v>
      </c>
      <c r="AR242" s="159">
        <f t="shared" si="22"/>
        <v>1610.5400000000002</v>
      </c>
      <c r="AS242" s="159">
        <f t="shared" si="22"/>
        <v>1611.8400000000001</v>
      </c>
      <c r="AT242" s="159">
        <f t="shared" si="22"/>
        <v>1530.3400000000001</v>
      </c>
      <c r="AU242" s="159">
        <f t="shared" si="22"/>
        <v>1491.54</v>
      </c>
      <c r="AV242" s="159">
        <f t="shared" si="22"/>
        <v>1396.94</v>
      </c>
      <c r="AW242" s="159">
        <f t="shared" si="22"/>
        <v>1204.94</v>
      </c>
      <c r="AX242" s="159">
        <f t="shared" si="22"/>
        <v>1104.44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3">C227</f>
        <v>0.64</v>
      </c>
      <c r="C263" s="162">
        <f t="shared" si="23"/>
        <v>0.64</v>
      </c>
      <c r="D263" s="162">
        <f t="shared" si="23"/>
        <v>0.64</v>
      </c>
      <c r="E263" s="162">
        <f t="shared" si="23"/>
        <v>0.64</v>
      </c>
      <c r="F263" s="162">
        <f t="shared" si="23"/>
        <v>0.64</v>
      </c>
      <c r="G263" s="162">
        <f t="shared" si="23"/>
        <v>0.64</v>
      </c>
      <c r="H263" s="162">
        <f t="shared" si="23"/>
        <v>0.64</v>
      </c>
      <c r="I263" s="162">
        <f t="shared" si="23"/>
        <v>0.64</v>
      </c>
      <c r="J263" s="162">
        <f t="shared" si="23"/>
        <v>0.64</v>
      </c>
      <c r="K263" s="162">
        <f t="shared" si="23"/>
        <v>0.64</v>
      </c>
      <c r="L263" s="162">
        <f t="shared" si="23"/>
        <v>0.64</v>
      </c>
      <c r="M263" s="162">
        <f t="shared" si="23"/>
        <v>0.64</v>
      </c>
      <c r="N263" s="162">
        <f t="shared" si="23"/>
        <v>0.64</v>
      </c>
      <c r="O263" s="162">
        <f t="shared" si="23"/>
        <v>0.64</v>
      </c>
      <c r="P263" s="162">
        <f t="shared" si="23"/>
        <v>0</v>
      </c>
      <c r="Q263" s="162">
        <f t="shared" si="23"/>
        <v>0</v>
      </c>
      <c r="R263" s="162">
        <f t="shared" si="23"/>
        <v>0</v>
      </c>
      <c r="S263" s="162">
        <f t="shared" si="23"/>
        <v>0</v>
      </c>
      <c r="T263" s="162">
        <f t="shared" si="23"/>
        <v>0</v>
      </c>
      <c r="U263" s="162">
        <f t="shared" si="23"/>
        <v>0</v>
      </c>
      <c r="V263" s="162">
        <f t="shared" si="23"/>
        <v>0</v>
      </c>
      <c r="W263" s="162">
        <f t="shared" si="23"/>
        <v>0</v>
      </c>
      <c r="X263" s="162">
        <f t="shared" si="23"/>
        <v>0</v>
      </c>
      <c r="Y263" s="162">
        <f t="shared" si="23"/>
        <v>0</v>
      </c>
      <c r="Z263" s="162">
        <f t="shared" si="23"/>
        <v>0</v>
      </c>
      <c r="AA263" s="162">
        <f t="shared" si="23"/>
        <v>0</v>
      </c>
      <c r="AB263" s="162">
        <f t="shared" si="23"/>
        <v>0</v>
      </c>
      <c r="AC263" s="162">
        <f t="shared" si="23"/>
        <v>0</v>
      </c>
      <c r="AD263" s="162">
        <f t="shared" si="23"/>
        <v>0</v>
      </c>
      <c r="AE263" s="162">
        <f t="shared" si="23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4">IF(B231&lt;100,"",B231-520)</f>
        <v/>
      </c>
      <c r="C264" s="163" t="str">
        <f t="shared" si="24"/>
        <v/>
      </c>
      <c r="D264" s="163" t="str">
        <f t="shared" si="24"/>
        <v/>
      </c>
      <c r="E264" s="163" t="str">
        <f t="shared" si="24"/>
        <v/>
      </c>
      <c r="F264" s="163" t="str">
        <f t="shared" si="24"/>
        <v/>
      </c>
      <c r="G264" s="163" t="str">
        <f t="shared" si="24"/>
        <v/>
      </c>
      <c r="H264" s="163" t="str">
        <f t="shared" si="24"/>
        <v/>
      </c>
      <c r="I264" s="163" t="str">
        <f t="shared" si="24"/>
        <v/>
      </c>
      <c r="J264" s="163" t="str">
        <f t="shared" si="24"/>
        <v/>
      </c>
      <c r="K264" s="163" t="str">
        <f t="shared" si="24"/>
        <v/>
      </c>
      <c r="L264" s="163" t="str">
        <f t="shared" si="24"/>
        <v/>
      </c>
      <c r="M264" s="163" t="str">
        <f t="shared" si="24"/>
        <v/>
      </c>
      <c r="N264" s="163" t="str">
        <f t="shared" si="24"/>
        <v/>
      </c>
      <c r="O264" s="163" t="str">
        <f t="shared" si="24"/>
        <v/>
      </c>
      <c r="P264" s="163" t="str">
        <f t="shared" si="24"/>
        <v/>
      </c>
      <c r="Q264" s="163" t="str">
        <f t="shared" si="24"/>
        <v/>
      </c>
      <c r="R264" s="163" t="str">
        <f t="shared" si="24"/>
        <v/>
      </c>
      <c r="S264" s="163" t="str">
        <f t="shared" si="24"/>
        <v/>
      </c>
      <c r="T264" s="163" t="str">
        <f t="shared" si="24"/>
        <v/>
      </c>
      <c r="U264" s="163" t="str">
        <f t="shared" si="24"/>
        <v/>
      </c>
      <c r="V264" s="163" t="str">
        <f t="shared" si="24"/>
        <v/>
      </c>
      <c r="W264" s="163" t="str">
        <f t="shared" si="24"/>
        <v/>
      </c>
      <c r="X264" s="163" t="str">
        <f t="shared" si="24"/>
        <v/>
      </c>
      <c r="Y264" s="163" t="str">
        <f t="shared" si="24"/>
        <v/>
      </c>
      <c r="Z264" s="163" t="str">
        <f t="shared" si="24"/>
        <v/>
      </c>
      <c r="AA264" s="163" t="str">
        <f t="shared" si="24"/>
        <v/>
      </c>
      <c r="AB264" s="163" t="str">
        <f t="shared" si="24"/>
        <v/>
      </c>
      <c r="AC264" s="163" t="str">
        <f t="shared" si="24"/>
        <v/>
      </c>
      <c r="AD264" s="163" t="str">
        <f t="shared" si="24"/>
        <v/>
      </c>
      <c r="AE264" s="163" t="str">
        <f t="shared" si="24"/>
        <v/>
      </c>
      <c r="AF264" s="163" t="str">
        <f t="shared" si="24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5">IF(B232&lt;100,"",B232-620)</f>
        <v/>
      </c>
      <c r="C265" s="163" t="str">
        <f t="shared" si="25"/>
        <v/>
      </c>
      <c r="D265" s="163" t="str">
        <f t="shared" si="25"/>
        <v/>
      </c>
      <c r="E265" s="163" t="str">
        <f t="shared" si="25"/>
        <v/>
      </c>
      <c r="F265" s="163" t="str">
        <f t="shared" si="25"/>
        <v/>
      </c>
      <c r="G265" s="163" t="str">
        <f t="shared" si="25"/>
        <v/>
      </c>
      <c r="H265" s="163" t="str">
        <f t="shared" si="25"/>
        <v/>
      </c>
      <c r="I265" s="163" t="str">
        <f t="shared" si="25"/>
        <v/>
      </c>
      <c r="J265" s="163" t="str">
        <f t="shared" si="25"/>
        <v/>
      </c>
      <c r="K265" s="163" t="str">
        <f t="shared" si="25"/>
        <v/>
      </c>
      <c r="L265" s="163" t="str">
        <f t="shared" si="25"/>
        <v/>
      </c>
      <c r="M265" s="163" t="str">
        <f t="shared" si="25"/>
        <v/>
      </c>
      <c r="N265" s="163" t="str">
        <f t="shared" si="25"/>
        <v/>
      </c>
      <c r="O265" s="163" t="str">
        <f t="shared" si="25"/>
        <v/>
      </c>
      <c r="P265" s="163" t="str">
        <f t="shared" si="25"/>
        <v/>
      </c>
      <c r="Q265" s="163" t="str">
        <f t="shared" si="25"/>
        <v/>
      </c>
      <c r="R265" s="163" t="str">
        <f t="shared" si="25"/>
        <v/>
      </c>
      <c r="S265" s="163" t="str">
        <f t="shared" si="25"/>
        <v/>
      </c>
      <c r="T265" s="163" t="str">
        <f t="shared" si="25"/>
        <v/>
      </c>
      <c r="U265" s="163" t="str">
        <f t="shared" si="25"/>
        <v/>
      </c>
      <c r="V265" s="163" t="str">
        <f t="shared" si="25"/>
        <v/>
      </c>
      <c r="W265" s="163" t="str">
        <f t="shared" si="25"/>
        <v/>
      </c>
      <c r="X265" s="163" t="str">
        <f t="shared" si="25"/>
        <v/>
      </c>
      <c r="Y265" s="163" t="str">
        <f t="shared" si="25"/>
        <v/>
      </c>
      <c r="Z265" s="163" t="str">
        <f t="shared" si="25"/>
        <v/>
      </c>
      <c r="AA265" s="163" t="str">
        <f t="shared" si="25"/>
        <v/>
      </c>
      <c r="AB265" s="163" t="str">
        <f t="shared" si="25"/>
        <v/>
      </c>
      <c r="AC265" s="163" t="str">
        <f t="shared" si="25"/>
        <v/>
      </c>
      <c r="AD265" s="163" t="str">
        <f t="shared" si="25"/>
        <v/>
      </c>
      <c r="AE265" s="163" t="str">
        <f t="shared" si="25"/>
        <v/>
      </c>
      <c r="AF265" s="163" t="str">
        <f t="shared" si="25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26">IF(B233&lt;100,"",B233-330)</f>
        <v/>
      </c>
      <c r="C266" s="163" t="str">
        <f t="shared" si="26"/>
        <v/>
      </c>
      <c r="D266" s="163" t="str">
        <f t="shared" si="26"/>
        <v/>
      </c>
      <c r="E266" s="163" t="str">
        <f t="shared" si="26"/>
        <v/>
      </c>
      <c r="F266" s="163" t="str">
        <f t="shared" si="26"/>
        <v/>
      </c>
      <c r="G266" s="163" t="str">
        <f t="shared" si="26"/>
        <v/>
      </c>
      <c r="H266" s="163" t="str">
        <f t="shared" si="26"/>
        <v/>
      </c>
      <c r="I266" s="163" t="str">
        <f t="shared" si="26"/>
        <v/>
      </c>
      <c r="J266" s="163" t="str">
        <f t="shared" si="26"/>
        <v/>
      </c>
      <c r="K266" s="163" t="str">
        <f t="shared" si="26"/>
        <v/>
      </c>
      <c r="L266" s="163" t="str">
        <f t="shared" si="26"/>
        <v/>
      </c>
      <c r="M266" s="163" t="str">
        <f t="shared" si="26"/>
        <v/>
      </c>
      <c r="N266" s="163" t="str">
        <f t="shared" si="26"/>
        <v/>
      </c>
      <c r="O266" s="163" t="str">
        <f t="shared" si="26"/>
        <v/>
      </c>
      <c r="P266" s="163" t="str">
        <f t="shared" si="26"/>
        <v/>
      </c>
      <c r="Q266" s="163" t="str">
        <f t="shared" si="26"/>
        <v/>
      </c>
      <c r="R266" s="163" t="str">
        <f t="shared" si="26"/>
        <v/>
      </c>
      <c r="S266" s="163" t="str">
        <f t="shared" si="26"/>
        <v/>
      </c>
      <c r="T266" s="163" t="str">
        <f t="shared" si="26"/>
        <v/>
      </c>
      <c r="U266" s="163" t="str">
        <f t="shared" si="26"/>
        <v/>
      </c>
      <c r="V266" s="163" t="str">
        <f t="shared" si="26"/>
        <v/>
      </c>
      <c r="W266" s="163" t="str">
        <f t="shared" si="26"/>
        <v/>
      </c>
      <c r="X266" s="163" t="str">
        <f t="shared" si="26"/>
        <v/>
      </c>
      <c r="Y266" s="163" t="str">
        <f t="shared" si="26"/>
        <v/>
      </c>
      <c r="Z266" s="163" t="str">
        <f t="shared" si="26"/>
        <v/>
      </c>
      <c r="AA266" s="163" t="str">
        <f t="shared" si="26"/>
        <v/>
      </c>
      <c r="AB266" s="163" t="str">
        <f t="shared" si="26"/>
        <v/>
      </c>
      <c r="AC266" s="163" t="str">
        <f t="shared" si="26"/>
        <v/>
      </c>
      <c r="AD266" s="163" t="str">
        <f t="shared" si="26"/>
        <v/>
      </c>
      <c r="AE266" s="163" t="str">
        <f t="shared" si="26"/>
        <v/>
      </c>
      <c r="AF266" s="163" t="str">
        <f t="shared" si="26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27">IF(B234&lt;100,"",B234-1500)</f>
        <v/>
      </c>
      <c r="C267" s="163" t="str">
        <f t="shared" si="27"/>
        <v/>
      </c>
      <c r="D267" s="163" t="str">
        <f t="shared" si="27"/>
        <v/>
      </c>
      <c r="E267" s="163" t="str">
        <f t="shared" si="27"/>
        <v/>
      </c>
      <c r="F267" s="163" t="str">
        <f t="shared" si="27"/>
        <v/>
      </c>
      <c r="G267" s="163" t="str">
        <f t="shared" si="27"/>
        <v/>
      </c>
      <c r="H267" s="163" t="str">
        <f t="shared" si="27"/>
        <v/>
      </c>
      <c r="I267" s="163" t="str">
        <f t="shared" si="27"/>
        <v/>
      </c>
      <c r="J267" s="163" t="str">
        <f t="shared" si="27"/>
        <v/>
      </c>
      <c r="K267" s="163" t="str">
        <f t="shared" si="27"/>
        <v/>
      </c>
      <c r="L267" s="163" t="str">
        <f t="shared" si="27"/>
        <v/>
      </c>
      <c r="M267" s="163" t="str">
        <f t="shared" si="27"/>
        <v/>
      </c>
      <c r="N267" s="163" t="str">
        <f t="shared" si="27"/>
        <v/>
      </c>
      <c r="O267" s="163" t="str">
        <f t="shared" si="27"/>
        <v/>
      </c>
      <c r="P267" s="163" t="str">
        <f t="shared" si="27"/>
        <v/>
      </c>
      <c r="Q267" s="163" t="str">
        <f t="shared" si="27"/>
        <v/>
      </c>
      <c r="R267" s="163" t="str">
        <f t="shared" si="27"/>
        <v/>
      </c>
      <c r="S267" s="163" t="str">
        <f t="shared" si="27"/>
        <v/>
      </c>
      <c r="T267" s="163" t="str">
        <f t="shared" si="27"/>
        <v/>
      </c>
      <c r="U267" s="163" t="str">
        <f t="shared" si="27"/>
        <v/>
      </c>
      <c r="V267" s="163" t="str">
        <f t="shared" si="27"/>
        <v/>
      </c>
      <c r="W267" s="163" t="str">
        <f t="shared" si="27"/>
        <v/>
      </c>
      <c r="X267" s="163" t="str">
        <f t="shared" si="27"/>
        <v/>
      </c>
      <c r="Y267" s="163" t="str">
        <f t="shared" si="27"/>
        <v/>
      </c>
      <c r="Z267" s="163" t="str">
        <f t="shared" si="27"/>
        <v/>
      </c>
      <c r="AA267" s="163" t="str">
        <f t="shared" si="27"/>
        <v/>
      </c>
      <c r="AB267" s="163" t="str">
        <f t="shared" si="27"/>
        <v/>
      </c>
      <c r="AC267" s="163" t="str">
        <f t="shared" si="27"/>
        <v/>
      </c>
      <c r="AD267" s="163" t="str">
        <f t="shared" si="27"/>
        <v/>
      </c>
      <c r="AE267" s="163" t="str">
        <f t="shared" si="27"/>
        <v/>
      </c>
      <c r="AF267" s="163" t="str">
        <f t="shared" si="27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X11:AF41">
    <cfRule type="expression" dxfId="6072" priority="234">
      <formula>B$9&gt;=20/24</formula>
    </cfRule>
    <cfRule type="expression" dxfId="6071" priority="235">
      <formula>AND(B$9&gt;=14/24,B$9&lt;20/24)</formula>
    </cfRule>
    <cfRule type="expression" dxfId="6070" priority="236">
      <formula>AND(B$9&gt;=8/24,B$9&lt;14/24)</formula>
    </cfRule>
    <cfRule type="expression" dxfId="6069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X11:AF41">
    <cfRule type="expression" dxfId="6068" priority="232">
      <formula>X11&gt;$AG11</formula>
    </cfRule>
  </conditionalFormatting>
  <conditionalFormatting sqref="A95:A105 A55:A82 A91:A93 A198:A228 A42:A53 A114:A185 A38:A39 A87:A89 A84:A85 A107:A109 A35:A36 A17:A18 A11:A15 A20:A33">
    <cfRule type="expression" dxfId="6067" priority="231">
      <formula>$AH11=0</formula>
    </cfRule>
  </conditionalFormatting>
  <conditionalFormatting sqref="A110">
    <cfRule type="expression" dxfId="6066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6065" priority="228">
      <formula>$AH41=0</formula>
    </cfRule>
  </conditionalFormatting>
  <conditionalFormatting sqref="A94">
    <cfRule type="expression" dxfId="6064" priority="227">
      <formula>$AH94=0</formula>
    </cfRule>
  </conditionalFormatting>
  <conditionalFormatting sqref="A16">
    <cfRule type="expression" dxfId="6063" priority="226">
      <formula>$AH16=0</formula>
    </cfRule>
  </conditionalFormatting>
  <conditionalFormatting sqref="A192:A197">
    <cfRule type="expression" dxfId="6062" priority="225">
      <formula>$AH192=0</formula>
    </cfRule>
  </conditionalFormatting>
  <conditionalFormatting sqref="A186:A191">
    <cfRule type="expression" dxfId="6061" priority="224">
      <formula>$AH186=0</formula>
    </cfRule>
  </conditionalFormatting>
  <conditionalFormatting sqref="A54">
    <cfRule type="expression" dxfId="6060" priority="223">
      <formula>$AH54=0</formula>
    </cfRule>
  </conditionalFormatting>
  <conditionalFormatting sqref="A90">
    <cfRule type="expression" dxfId="6059" priority="222">
      <formula>$AH90=0</formula>
    </cfRule>
  </conditionalFormatting>
  <conditionalFormatting sqref="AD95:AF95 E95:X95">
    <cfRule type="expression" dxfId="6058" priority="218">
      <formula>E$9&gt;=20/24</formula>
    </cfRule>
    <cfRule type="expression" dxfId="6057" priority="219">
      <formula>AND(E$9&gt;=14/24,E$9&lt;20/24)</formula>
    </cfRule>
    <cfRule type="expression" dxfId="6056" priority="220">
      <formula>AND(E$9&gt;=8/24,E$9&lt;14/24)</formula>
    </cfRule>
    <cfRule type="expression" dxfId="6055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054" priority="240">
      <formula>C$9&gt;=20/24</formula>
    </cfRule>
    <cfRule type="expression" dxfId="6053" priority="241">
      <formula>AND(C$9&gt;=14/24,C$9&lt;20/24)</formula>
    </cfRule>
    <cfRule type="expression" dxfId="6052" priority="242">
      <formula>AND(C$9&gt;=8/24,C$9&lt;14/24)</formula>
    </cfRule>
    <cfRule type="expression" dxfId="6051" priority="243">
      <formula>C$9&lt;8/24</formula>
    </cfRule>
  </conditionalFormatting>
  <conditionalFormatting sqref="A229">
    <cfRule type="expression" dxfId="6050" priority="244">
      <formula>$AH229=0</formula>
    </cfRule>
  </conditionalFormatting>
  <conditionalFormatting sqref="AG241">
    <cfRule type="expression" dxfId="6049" priority="245">
      <formula>B$9&gt;=20/24</formula>
    </cfRule>
    <cfRule type="expression" dxfId="6048" priority="246">
      <formula>AND(B$9&gt;=14/24,B$9&lt;20/24)</formula>
    </cfRule>
    <cfRule type="expression" dxfId="6047" priority="247">
      <formula>AND(B$9&gt;=8/24,B$9&lt;14/24)</formula>
    </cfRule>
    <cfRule type="expression" dxfId="6046" priority="248">
      <formula>B$9&lt;8/24</formula>
    </cfRule>
  </conditionalFormatting>
  <conditionalFormatting sqref="S8">
    <cfRule type="expression" dxfId="6045" priority="213">
      <formula>U$9&gt;=20/24</formula>
    </cfRule>
    <cfRule type="expression" dxfId="6044" priority="214">
      <formula>AND(U$9&gt;=14/24,U$9&lt;20/24)</formula>
    </cfRule>
    <cfRule type="expression" dxfId="6043" priority="215">
      <formula>AND(U$9&gt;=8/24,U$9&lt;14/24)</formula>
    </cfRule>
    <cfRule type="expression" dxfId="6042" priority="216">
      <formula>U$9&lt;8/24</formula>
    </cfRule>
  </conditionalFormatting>
  <conditionalFormatting sqref="AB8">
    <cfRule type="expression" dxfId="6041" priority="209">
      <formula>AD$9&gt;=20/24</formula>
    </cfRule>
    <cfRule type="expression" dxfId="6040" priority="210">
      <formula>AND(AD$9&gt;=14/24,AD$9&lt;20/24)</formula>
    </cfRule>
    <cfRule type="expression" dxfId="6039" priority="211">
      <formula>AND(AD$9&gt;=8/24,AD$9&lt;14/24)</formula>
    </cfRule>
    <cfRule type="expression" dxfId="6038" priority="212">
      <formula>AD$9&lt;8/24</formula>
    </cfRule>
  </conditionalFormatting>
  <conditionalFormatting sqref="AH241:AX241">
    <cfRule type="expression" dxfId="6037" priority="249">
      <formula>AG$9&gt;=20/24</formula>
    </cfRule>
    <cfRule type="expression" dxfId="6036" priority="250">
      <formula>AND(AG$9&gt;=14/24,AG$9&lt;20/24)</formula>
    </cfRule>
    <cfRule type="expression" dxfId="6035" priority="251">
      <formula>AND(AG$9&gt;=8/24,AG$9&lt;14/24)</formula>
    </cfRule>
    <cfRule type="expression" dxfId="6034" priority="252">
      <formula>AG$9&lt;8/24</formula>
    </cfRule>
  </conditionalFormatting>
  <conditionalFormatting sqref="T241">
    <cfRule type="expression" dxfId="6033" priority="253">
      <formula>AX$9&gt;=20/24</formula>
    </cfRule>
    <cfRule type="expression" dxfId="6032" priority="254">
      <formula>AND(AX$9&gt;=14/24,AX$9&lt;20/24)</formula>
    </cfRule>
    <cfRule type="expression" dxfId="6031" priority="255">
      <formula>AND(AX$9&gt;=8/24,AX$9&lt;14/24)</formula>
    </cfRule>
    <cfRule type="expression" dxfId="6030" priority="256">
      <formula>AX$9&lt;8/24</formula>
    </cfRule>
  </conditionalFormatting>
  <conditionalFormatting sqref="A111:A112">
    <cfRule type="expression" dxfId="6029" priority="208">
      <formula>$AH111=0</formula>
    </cfRule>
  </conditionalFormatting>
  <conditionalFormatting sqref="O50:Q51 AC50:AF51 P52:AF52 X53:AF53 E67:AF67">
    <cfRule type="expression" dxfId="6028" priority="204">
      <formula>E$9&gt;=20/24</formula>
    </cfRule>
    <cfRule type="expression" dxfId="6027" priority="205">
      <formula>AND(E$9&gt;=14/24,E$9&lt;20/24)</formula>
    </cfRule>
    <cfRule type="expression" dxfId="6026" priority="206">
      <formula>AND(E$9&gt;=8/24,E$9&lt;14/24)</formula>
    </cfRule>
    <cfRule type="expression" dxfId="6025" priority="207">
      <formula>E$9&lt;8/24</formula>
    </cfRule>
  </conditionalFormatting>
  <conditionalFormatting sqref="O49:Q49 AC49:AF49">
    <cfRule type="expression" dxfId="6024" priority="200">
      <formula>O$9&gt;=20/24</formula>
    </cfRule>
    <cfRule type="expression" dxfId="6023" priority="201">
      <formula>AND(O$9&gt;=14/24,O$9&lt;20/24)</formula>
    </cfRule>
    <cfRule type="expression" dxfId="6022" priority="202">
      <formula>AND(O$9&gt;=8/24,O$9&lt;14/24)</formula>
    </cfRule>
    <cfRule type="expression" dxfId="6021" priority="203">
      <formula>O$9&lt;8/24</formula>
    </cfRule>
  </conditionalFormatting>
  <conditionalFormatting sqref="O49:Q51 AC49:AF51 P52:AF52 X53:AF53">
    <cfRule type="expression" dxfId="6020" priority="199">
      <formula>O49&gt;$AG49</formula>
    </cfRule>
  </conditionalFormatting>
  <conditionalFormatting sqref="D82:AF82 X43:AF43 X92:AF92 AD96:AF102 M96:X102 E68:W69 X63:AF65 X68:AF70">
    <cfRule type="expression" dxfId="6019" priority="195">
      <formula>D$9&gt;=20/24</formula>
    </cfRule>
    <cfRule type="expression" dxfId="6018" priority="196">
      <formula>AND(D$9&gt;=14/24,D$9&lt;20/24)</formula>
    </cfRule>
    <cfRule type="expression" dxfId="6017" priority="197">
      <formula>AND(D$9&gt;=8/24,D$9&lt;14/24)</formula>
    </cfRule>
    <cfRule type="expression" dxfId="6016" priority="198">
      <formula>D$9&lt;8/24</formula>
    </cfRule>
  </conditionalFormatting>
  <conditionalFormatting sqref="X43:AF43 X63:AF65">
    <cfRule type="expression" dxfId="6015" priority="194">
      <formula>X43&gt;$AG43</formula>
    </cfRule>
  </conditionalFormatting>
  <conditionalFormatting sqref="R49:AB51">
    <cfRule type="expression" dxfId="6014" priority="190">
      <formula>R$9&gt;=20/24</formula>
    </cfRule>
    <cfRule type="expression" dxfId="6013" priority="191">
      <formula>AND(R$9&gt;=14/24,R$9&lt;20/24)</formula>
    </cfRule>
    <cfRule type="expression" dxfId="6012" priority="192">
      <formula>AND(R$9&gt;=8/24,R$9&lt;14/24)</formula>
    </cfRule>
    <cfRule type="expression" dxfId="6011" priority="193">
      <formula>R$9&lt;8/24</formula>
    </cfRule>
  </conditionalFormatting>
  <conditionalFormatting sqref="R49:AB51">
    <cfRule type="expression" dxfId="6010" priority="189">
      <formula>R49&gt;$AG49</formula>
    </cfRule>
  </conditionalFormatting>
  <conditionalFormatting sqref="C84:AF84 C93:AF93">
    <cfRule type="expression" dxfId="6009" priority="185">
      <formula>C$9&gt;=20/24</formula>
    </cfRule>
    <cfRule type="expression" dxfId="6008" priority="186">
      <formula>AND(C$9&gt;=14/24,C$9&lt;20/24)</formula>
    </cfRule>
    <cfRule type="expression" dxfId="6007" priority="187">
      <formula>AND(C$9&gt;=8/24,C$9&lt;14/24)</formula>
    </cfRule>
    <cfRule type="expression" dxfId="6006" priority="188">
      <formula>C$9&lt;8/24</formula>
    </cfRule>
  </conditionalFormatting>
  <conditionalFormatting sqref="T43:W43">
    <cfRule type="expression" dxfId="6005" priority="181">
      <formula>T$9&gt;=20/24</formula>
    </cfRule>
    <cfRule type="expression" dxfId="6004" priority="182">
      <formula>AND(T$9&gt;=14/24,T$9&lt;20/24)</formula>
    </cfRule>
    <cfRule type="expression" dxfId="6003" priority="183">
      <formula>AND(T$9&gt;=8/24,T$9&lt;14/24)</formula>
    </cfRule>
    <cfRule type="expression" dxfId="6002" priority="184">
      <formula>T$9&lt;8/24</formula>
    </cfRule>
  </conditionalFormatting>
  <conditionalFormatting sqref="T43:W43">
    <cfRule type="expression" dxfId="6001" priority="180">
      <formula>T43&gt;$AG43</formula>
    </cfRule>
  </conditionalFormatting>
  <conditionalFormatting sqref="E50:N51 X42:AF42">
    <cfRule type="expression" dxfId="6000" priority="176">
      <formula>E$9&gt;=20/24</formula>
    </cfRule>
    <cfRule type="expression" dxfId="5999" priority="177">
      <formula>AND(E$9&gt;=14/24,E$9&lt;20/24)</formula>
    </cfRule>
    <cfRule type="expression" dxfId="5998" priority="178">
      <formula>AND(E$9&gt;=8/24,E$9&lt;14/24)</formula>
    </cfRule>
    <cfRule type="expression" dxfId="5997" priority="179">
      <formula>E$9&lt;8/24</formula>
    </cfRule>
  </conditionalFormatting>
  <conditionalFormatting sqref="E49:N49">
    <cfRule type="expression" dxfId="5996" priority="172">
      <formula>E$9&gt;=20/24</formula>
    </cfRule>
    <cfRule type="expression" dxfId="5995" priority="173">
      <formula>AND(E$9&gt;=14/24,E$9&lt;20/24)</formula>
    </cfRule>
    <cfRule type="expression" dxfId="5994" priority="174">
      <formula>AND(E$9&gt;=8/24,E$9&lt;14/24)</formula>
    </cfRule>
    <cfRule type="expression" dxfId="5993" priority="175">
      <formula>E$9&lt;8/24</formula>
    </cfRule>
  </conditionalFormatting>
  <conditionalFormatting sqref="E49:N51 X42:AF42">
    <cfRule type="expression" dxfId="5992" priority="171">
      <formula>E42&gt;$AG42</formula>
    </cfRule>
  </conditionalFormatting>
  <conditionalFormatting sqref="AG66 AG83 Q63:W65 E96:L102">
    <cfRule type="expression" dxfId="5991" priority="167">
      <formula>E$9&gt;=20/24</formula>
    </cfRule>
    <cfRule type="expression" dxfId="5990" priority="168">
      <formula>AND(E$9&gt;=14/24,E$9&lt;20/24)</formula>
    </cfRule>
    <cfRule type="expression" dxfId="5989" priority="169">
      <formula>AND(E$9&gt;=8/24,E$9&lt;14/24)</formula>
    </cfRule>
    <cfRule type="expression" dxfId="5988" priority="170">
      <formula>E$9&lt;8/24</formula>
    </cfRule>
  </conditionalFormatting>
  <conditionalFormatting sqref="AG44 AG62 AG66 Q63:W65 O52:O53 P53:W53">
    <cfRule type="expression" dxfId="5987" priority="166">
      <formula>O44&gt;$AG44</formula>
    </cfRule>
  </conditionalFormatting>
  <conditionalFormatting sqref="AC54:AF54">
    <cfRule type="expression" dxfId="5986" priority="162">
      <formula>AC$9&gt;=20/24</formula>
    </cfRule>
    <cfRule type="expression" dxfId="5985" priority="163">
      <formula>AND(AC$9&gt;=14/24,AC$9&lt;20/24)</formula>
    </cfRule>
    <cfRule type="expression" dxfId="5984" priority="164">
      <formula>AND(AC$9&gt;=8/24,AC$9&lt;14/24)</formula>
    </cfRule>
    <cfRule type="expression" dxfId="5983" priority="165">
      <formula>AC$9&lt;8/24</formula>
    </cfRule>
  </conditionalFormatting>
  <conditionalFormatting sqref="AC54:AF54">
    <cfRule type="expression" dxfId="5982" priority="161">
      <formula>AC54&gt;$AG54</formula>
    </cfRule>
  </conditionalFormatting>
  <conditionalFormatting sqref="A40">
    <cfRule type="expression" dxfId="5981" priority="160">
      <formula>$AH40=0</formula>
    </cfRule>
  </conditionalFormatting>
  <conditionalFormatting sqref="X87:AF91">
    <cfRule type="expression" dxfId="5980" priority="156">
      <formula>X$9&gt;=20/24</formula>
    </cfRule>
    <cfRule type="expression" dxfId="5979" priority="157">
      <formula>AND(X$9&gt;=14/24,X$9&lt;20/24)</formula>
    </cfRule>
    <cfRule type="expression" dxfId="5978" priority="158">
      <formula>AND(X$9&gt;=8/24,X$9&lt;14/24)</formula>
    </cfRule>
    <cfRule type="expression" dxfId="5977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F45:AF47">
    <cfRule type="expression" dxfId="5976" priority="152">
      <formula>F$9&gt;=20/24</formula>
    </cfRule>
    <cfRule type="expression" dxfId="5975" priority="153">
      <formula>AND(F$9&gt;=14/24,F$9&lt;20/24)</formula>
    </cfRule>
    <cfRule type="expression" dxfId="5974" priority="154">
      <formula>AND(F$9&gt;=8/24,F$9&lt;14/24)</formula>
    </cfRule>
    <cfRule type="expression" dxfId="5973" priority="155">
      <formula>F$9&lt;8/24</formula>
    </cfRule>
  </conditionalFormatting>
  <conditionalFormatting sqref="F45:AF47">
    <cfRule type="expression" dxfId="5972" priority="151">
      <formula>F45&gt;$AG45</formula>
    </cfRule>
  </conditionalFormatting>
  <conditionalFormatting sqref="AG48">
    <cfRule type="expression" dxfId="5971" priority="147">
      <formula>AG$9&gt;=20/24</formula>
    </cfRule>
    <cfRule type="expression" dxfId="5970" priority="148">
      <formula>AND(AG$9&gt;=14/24,AG$9&lt;20/24)</formula>
    </cfRule>
    <cfRule type="expression" dxfId="5969" priority="149">
      <formula>AND(AG$9&gt;=8/24,AG$9&lt;14/24)</formula>
    </cfRule>
    <cfRule type="expression" dxfId="5968" priority="150">
      <formula>AG$9&lt;8/24</formula>
    </cfRule>
  </conditionalFormatting>
  <conditionalFormatting sqref="AG48">
    <cfRule type="expression" dxfId="5967" priority="146">
      <formula>AG48&gt;$AG48</formula>
    </cfRule>
  </conditionalFormatting>
  <conditionalFormatting sqref="C103:AF103">
    <cfRule type="expression" dxfId="5966" priority="142">
      <formula>C$9&gt;=20/24</formula>
    </cfRule>
    <cfRule type="expression" dxfId="5965" priority="143">
      <formula>AND(C$9&gt;=14/24,C$9&lt;20/24)</formula>
    </cfRule>
    <cfRule type="expression" dxfId="5964" priority="144">
      <formula>AND(C$9&gt;=8/24,C$9&lt;14/24)</formula>
    </cfRule>
    <cfRule type="expression" dxfId="5963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962" priority="140">
      <formula>$AH37=0</formula>
    </cfRule>
  </conditionalFormatting>
  <conditionalFormatting sqref="A86">
    <cfRule type="expression" dxfId="5961" priority="138">
      <formula>$AH86=0</formula>
    </cfRule>
  </conditionalFormatting>
  <conditionalFormatting sqref="A83">
    <cfRule type="expression" dxfId="5960" priority="139">
      <formula>$AH83=0</formula>
    </cfRule>
  </conditionalFormatting>
  <conditionalFormatting sqref="A113">
    <cfRule type="expression" dxfId="5959" priority="129">
      <formula>$AH113=0</formula>
    </cfRule>
  </conditionalFormatting>
  <conditionalFormatting sqref="D106:AF106">
    <cfRule type="expression" dxfId="5958" priority="125">
      <formula>D$9&gt;=20/24</formula>
    </cfRule>
    <cfRule type="expression" dxfId="5957" priority="126">
      <formula>AND(D$9&gt;=14/24,D$9&lt;20/24)</formula>
    </cfRule>
    <cfRule type="expression" dxfId="5956" priority="127">
      <formula>AND(D$9&gt;=8/24,D$9&lt;14/24)</formula>
    </cfRule>
    <cfRule type="expression" dxfId="5955" priority="128">
      <formula>D$9&lt;8/24</formula>
    </cfRule>
  </conditionalFormatting>
  <conditionalFormatting sqref="A106">
    <cfRule type="expression" dxfId="5954" priority="124">
      <formula>$AH106=0</formula>
    </cfRule>
  </conditionalFormatting>
  <conditionalFormatting sqref="A19">
    <cfRule type="expression" dxfId="5953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952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5951" priority="116">
      <formula>Y$9&gt;=20/24</formula>
    </cfRule>
    <cfRule type="expression" dxfId="5950" priority="117">
      <formula>AND(Y$9&gt;=14/24,Y$9&lt;20/24)</formula>
    </cfRule>
    <cfRule type="expression" dxfId="5949" priority="118">
      <formula>AND(Y$9&gt;=8/24,Y$9&lt;14/24)</formula>
    </cfRule>
    <cfRule type="expression" dxfId="5948" priority="119">
      <formula>Y$9&lt;8/24</formula>
    </cfRule>
  </conditionalFormatting>
  <conditionalFormatting sqref="Y96:AC102">
    <cfRule type="expression" dxfId="5947" priority="112">
      <formula>Y$9&gt;=20/24</formula>
    </cfRule>
    <cfRule type="expression" dxfId="5946" priority="113">
      <formula>AND(Y$9&gt;=14/24,Y$9&lt;20/24)</formula>
    </cfRule>
    <cfRule type="expression" dxfId="5945" priority="114">
      <formula>AND(Y$9&gt;=8/24,Y$9&lt;14/24)</formula>
    </cfRule>
    <cfRule type="expression" dxfId="5944" priority="115">
      <formula>Y$9&lt;8/24</formula>
    </cfRule>
  </conditionalFormatting>
  <conditionalFormatting sqref="B105:C105 B107:C112 B15:W40">
    <cfRule type="expression" dxfId="5943" priority="108">
      <formula>B$9&gt;=20/24</formula>
    </cfRule>
    <cfRule type="expression" dxfId="5942" priority="109">
      <formula>AND(B$9&gt;=14/24,B$9&lt;20/24)</formula>
    </cfRule>
    <cfRule type="expression" dxfId="5941" priority="110">
      <formula>AND(B$9&gt;=8/24,B$9&lt;14/24)</formula>
    </cfRule>
    <cfRule type="expression" dxfId="5940" priority="111">
      <formula>B$9&lt;8/24</formula>
    </cfRule>
  </conditionalFormatting>
  <conditionalFormatting sqref="B43:S43">
    <cfRule type="expression" dxfId="5939" priority="104">
      <formula>B$9&gt;=20/24</formula>
    </cfRule>
    <cfRule type="expression" dxfId="5938" priority="105">
      <formula>AND(B$9&gt;=14/24,B$9&lt;20/24)</formula>
    </cfRule>
    <cfRule type="expression" dxfId="5937" priority="106">
      <formula>AND(B$9&gt;=8/24,B$9&lt;14/24)</formula>
    </cfRule>
    <cfRule type="expression" dxfId="5936" priority="107">
      <formula>B$9&lt;8/24</formula>
    </cfRule>
  </conditionalFormatting>
  <conditionalFormatting sqref="B43:S43 B15:W40">
    <cfRule type="expression" dxfId="5935" priority="103">
      <formula>B15&gt;$AG15</formula>
    </cfRule>
  </conditionalFormatting>
  <conditionalFormatting sqref="B95:D95">
    <cfRule type="expression" dxfId="5934" priority="99">
      <formula>B$9&gt;=20/24</formula>
    </cfRule>
    <cfRule type="expression" dxfId="5933" priority="100">
      <formula>AND(B$9&gt;=14/24,B$9&lt;20/24)</formula>
    </cfRule>
    <cfRule type="expression" dxfId="5932" priority="101">
      <formula>AND(B$9&gt;=8/24,B$9&lt;14/24)</formula>
    </cfRule>
    <cfRule type="expression" dxfId="5931" priority="102">
      <formula>B$9&lt;8/24</formula>
    </cfRule>
  </conditionalFormatting>
  <conditionalFormatting sqref="B67:D67 B50:D51">
    <cfRule type="expression" dxfId="5930" priority="95">
      <formula>B$9&gt;=20/24</formula>
    </cfRule>
    <cfRule type="expression" dxfId="5929" priority="96">
      <formula>AND(B$9&gt;=14/24,B$9&lt;20/24)</formula>
    </cfRule>
    <cfRule type="expression" dxfId="5928" priority="97">
      <formula>AND(B$9&gt;=8/24,B$9&lt;14/24)</formula>
    </cfRule>
    <cfRule type="expression" dxfId="5927" priority="98">
      <formula>B$9&lt;8/24</formula>
    </cfRule>
  </conditionalFormatting>
  <conditionalFormatting sqref="B49:D49">
    <cfRule type="expression" dxfId="5926" priority="91">
      <formula>B$9&gt;=20/24</formula>
    </cfRule>
    <cfRule type="expression" dxfId="5925" priority="92">
      <formula>AND(B$9&gt;=14/24,B$9&lt;20/24)</formula>
    </cfRule>
    <cfRule type="expression" dxfId="5924" priority="93">
      <formula>AND(B$9&gt;=8/24,B$9&lt;14/24)</formula>
    </cfRule>
    <cfRule type="expression" dxfId="5923" priority="94">
      <formula>B$9&lt;8/24</formula>
    </cfRule>
  </conditionalFormatting>
  <conditionalFormatting sqref="B49:D51">
    <cfRule type="expression" dxfId="5922" priority="90">
      <formula>B49&gt;$AG49</formula>
    </cfRule>
  </conditionalFormatting>
  <conditionalFormatting sqref="B82:C82 B68:D72 B96:D102 B92:W92 B79:AF81 B63:P65 E70:W72 X71:AF72">
    <cfRule type="expression" dxfId="5921" priority="86">
      <formula>B$9&gt;=20/24</formula>
    </cfRule>
    <cfRule type="expression" dxfId="5920" priority="87">
      <formula>AND(B$9&gt;=14/24,B$9&lt;20/24)</formula>
    </cfRule>
    <cfRule type="expression" dxfId="5919" priority="88">
      <formula>AND(B$9&gt;=8/24,B$9&lt;14/24)</formula>
    </cfRule>
    <cfRule type="expression" dxfId="5918" priority="89">
      <formula>B$9&lt;8/24</formula>
    </cfRule>
  </conditionalFormatting>
  <conditionalFormatting sqref="B63:P65 B52:N53">
    <cfRule type="expression" dxfId="5917" priority="85">
      <formula>B52&gt;$AG52</formula>
    </cfRule>
  </conditionalFormatting>
  <conditionalFormatting sqref="B54:AB54">
    <cfRule type="expression" dxfId="5916" priority="81">
      <formula>B$9&gt;=20/24</formula>
    </cfRule>
    <cfRule type="expression" dxfId="5915" priority="82">
      <formula>AND(B$9&gt;=14/24,B$9&lt;20/24)</formula>
    </cfRule>
    <cfRule type="expression" dxfId="5914" priority="83">
      <formula>AND(B$9&gt;=8/24,B$9&lt;14/24)</formula>
    </cfRule>
    <cfRule type="expression" dxfId="5913" priority="84">
      <formula>B$9&lt;8/24</formula>
    </cfRule>
  </conditionalFormatting>
  <conditionalFormatting sqref="B54:AB54">
    <cfRule type="expression" dxfId="5912" priority="80">
      <formula>B54&gt;$AG54</formula>
    </cfRule>
  </conditionalFormatting>
  <conditionalFormatting sqref="B84 B93">
    <cfRule type="expression" dxfId="5911" priority="76">
      <formula>B$9&gt;=20/24</formula>
    </cfRule>
    <cfRule type="expression" dxfId="5910" priority="77">
      <formula>AND(B$9&gt;=14/24,B$9&lt;20/24)</formula>
    </cfRule>
    <cfRule type="expression" dxfId="5909" priority="78">
      <formula>AND(B$9&gt;=8/24,B$9&lt;14/24)</formula>
    </cfRule>
    <cfRule type="expression" dxfId="5908" priority="79">
      <formula>B$9&lt;8/24</formula>
    </cfRule>
  </conditionalFormatting>
  <conditionalFormatting sqref="B42:W42">
    <cfRule type="expression" dxfId="5907" priority="72">
      <formula>B$9&gt;=20/24</formula>
    </cfRule>
    <cfRule type="expression" dxfId="5906" priority="73">
      <formula>AND(B$9&gt;=14/24,B$9&lt;20/24)</formula>
    </cfRule>
    <cfRule type="expression" dxfId="5905" priority="74">
      <formula>AND(B$9&gt;=8/24,B$9&lt;14/24)</formula>
    </cfRule>
    <cfRule type="expression" dxfId="5904" priority="75">
      <formula>B$9&lt;8/24</formula>
    </cfRule>
  </conditionalFormatting>
  <conditionalFormatting sqref="B42:W42">
    <cfRule type="expression" dxfId="5903" priority="71">
      <formula>B42&gt;$AG42</formula>
    </cfRule>
  </conditionalFormatting>
  <conditionalFormatting sqref="B85:AF85 B94:AF94 B83:AF83 B66:AF66">
    <cfRule type="expression" dxfId="5902" priority="67">
      <formula>B$9&gt;=20/24</formula>
    </cfRule>
    <cfRule type="expression" dxfId="5901" priority="68">
      <formula>AND(B$9&gt;=14/24,B$9&lt;20/24)</formula>
    </cfRule>
    <cfRule type="expression" dxfId="5900" priority="69">
      <formula>AND(B$9&gt;=8/24,B$9&lt;14/24)</formula>
    </cfRule>
    <cfRule type="expression" dxfId="5899" priority="70">
      <formula>B$9&lt;8/24</formula>
    </cfRule>
  </conditionalFormatting>
  <conditionalFormatting sqref="B61:AF62 B44:AF44 B66:AF66">
    <cfRule type="expression" dxfId="5898" priority="66">
      <formula>B44&gt;$AG44</formula>
    </cfRule>
  </conditionalFormatting>
  <conditionalFormatting sqref="B78:AF78">
    <cfRule type="expression" dxfId="5897" priority="62">
      <formula>B$9&gt;=20/24</formula>
    </cfRule>
    <cfRule type="expression" dxfId="5896" priority="63">
      <formula>AND(B$9&gt;=14/24,B$9&lt;20/24)</formula>
    </cfRule>
    <cfRule type="expression" dxfId="5895" priority="64">
      <formula>AND(B$9&gt;=8/24,B$9&lt;14/24)</formula>
    </cfRule>
    <cfRule type="expression" dxfId="5894" priority="65">
      <formula>B$9&lt;8/24</formula>
    </cfRule>
  </conditionalFormatting>
  <conditionalFormatting sqref="B87:W91">
    <cfRule type="expression" dxfId="5893" priority="58">
      <formula>B$9&gt;=20/24</formula>
    </cfRule>
    <cfRule type="expression" dxfId="5892" priority="59">
      <formula>AND(B$9&gt;=14/24,B$9&lt;20/24)</formula>
    </cfRule>
    <cfRule type="expression" dxfId="5891" priority="60">
      <formula>AND(B$9&gt;=8/24,B$9&lt;14/24)</formula>
    </cfRule>
    <cfRule type="expression" dxfId="5890" priority="61">
      <formula>B$9&lt;8/24</formula>
    </cfRule>
  </conditionalFormatting>
  <conditionalFormatting sqref="B45:E47">
    <cfRule type="expression" dxfId="5889" priority="54">
      <formula>B$9&gt;=20/24</formula>
    </cfRule>
    <cfRule type="expression" dxfId="5888" priority="55">
      <formula>AND(B$9&gt;=14/24,B$9&lt;20/24)</formula>
    </cfRule>
    <cfRule type="expression" dxfId="5887" priority="56">
      <formula>AND(B$9&gt;=8/24,B$9&lt;14/24)</formula>
    </cfRule>
    <cfRule type="expression" dxfId="5886" priority="57">
      <formula>B$9&lt;8/24</formula>
    </cfRule>
  </conditionalFormatting>
  <conditionalFormatting sqref="B45:E47">
    <cfRule type="expression" dxfId="5885" priority="53">
      <formula>B45&gt;$AG45</formula>
    </cfRule>
  </conditionalFormatting>
  <conditionalFormatting sqref="B48:AF48">
    <cfRule type="expression" dxfId="5884" priority="49">
      <formula>B$9&gt;=20/24</formula>
    </cfRule>
    <cfRule type="expression" dxfId="5883" priority="50">
      <formula>AND(B$9&gt;=14/24,B$9&lt;20/24)</formula>
    </cfRule>
    <cfRule type="expression" dxfId="5882" priority="51">
      <formula>AND(B$9&gt;=8/24,B$9&lt;14/24)</formula>
    </cfRule>
    <cfRule type="expression" dxfId="5881" priority="52">
      <formula>B$9&lt;8/24</formula>
    </cfRule>
  </conditionalFormatting>
  <conditionalFormatting sqref="B48:AF48">
    <cfRule type="expression" dxfId="5880" priority="48">
      <formula>B48&gt;$AG48</formula>
    </cfRule>
  </conditionalFormatting>
  <conditionalFormatting sqref="B103">
    <cfRule type="expression" dxfId="5879" priority="44">
      <formula>B$9&gt;=20/24</formula>
    </cfRule>
    <cfRule type="expression" dxfId="5878" priority="45">
      <formula>AND(B$9&gt;=14/24,B$9&lt;20/24)</formula>
    </cfRule>
    <cfRule type="expression" dxfId="5877" priority="46">
      <formula>AND(B$9&gt;=8/24,B$9&lt;14/24)</formula>
    </cfRule>
    <cfRule type="expression" dxfId="5876" priority="47">
      <formula>B$9&lt;8/24</formula>
    </cfRule>
  </conditionalFormatting>
  <conditionalFormatting sqref="B106:C106">
    <cfRule type="expression" dxfId="5875" priority="32">
      <formula>B$9&gt;=20/24</formula>
    </cfRule>
    <cfRule type="expression" dxfId="5874" priority="33">
      <formula>AND(B$9&gt;=14/24,B$9&lt;20/24)</formula>
    </cfRule>
    <cfRule type="expression" dxfId="5873" priority="34">
      <formula>AND(B$9&gt;=8/24,B$9&lt;14/24)</formula>
    </cfRule>
    <cfRule type="expression" dxfId="5872" priority="35">
      <formula>B$9&lt;8/24</formula>
    </cfRule>
  </conditionalFormatting>
  <conditionalFormatting sqref="B55:AF60">
    <cfRule type="expression" dxfId="5871" priority="28">
      <formula>B$9&gt;=20/24</formula>
    </cfRule>
    <cfRule type="expression" dxfId="5870" priority="29">
      <formula>AND(B$9&gt;=14/24,B$9&lt;20/24)</formula>
    </cfRule>
    <cfRule type="expression" dxfId="5869" priority="30">
      <formula>AND(B$9&gt;=8/24,B$9&lt;14/24)</formula>
    </cfRule>
    <cfRule type="expression" dxfId="5868" priority="31">
      <formula>B$9&lt;8/24</formula>
    </cfRule>
  </conditionalFormatting>
  <conditionalFormatting sqref="B55:AF60">
    <cfRule type="expression" dxfId="5867" priority="27">
      <formula>B55&gt;$AG55</formula>
    </cfRule>
  </conditionalFormatting>
  <conditionalFormatting sqref="B12:W14 B41:W41">
    <cfRule type="expression" dxfId="5866" priority="26">
      <formula>B12&gt;$AG12</formula>
    </cfRule>
  </conditionalFormatting>
  <conditionalFormatting sqref="B11:W11">
    <cfRule type="expression" dxfId="5865" priority="22">
      <formula>B$9&gt;=20/24</formula>
    </cfRule>
    <cfRule type="expression" dxfId="5864" priority="23">
      <formula>AND(B$9&gt;=14/24,B$9&lt;20/24)</formula>
    </cfRule>
    <cfRule type="expression" dxfId="5863" priority="24">
      <formula>AND(B$9&gt;=8/24,B$9&lt;14/24)</formula>
    </cfRule>
    <cfRule type="expression" dxfId="5862" priority="25">
      <formula>B$9&lt;8/24</formula>
    </cfRule>
  </conditionalFormatting>
  <conditionalFormatting sqref="B11:W11">
    <cfRule type="expression" dxfId="5861" priority="21">
      <formula>B11&gt;$AG11</formula>
    </cfRule>
  </conditionalFormatting>
  <conditionalFormatting sqref="B12:W14">
    <cfRule type="expression" dxfId="5860" priority="17">
      <formula>B$9&gt;=20/24</formula>
    </cfRule>
    <cfRule type="expression" dxfId="5859" priority="18">
      <formula>AND(B$9&gt;=14/24,B$9&lt;20/24)</formula>
    </cfRule>
    <cfRule type="expression" dxfId="5858" priority="19">
      <formula>AND(B$9&gt;=8/24,B$9&lt;14/24)</formula>
    </cfRule>
    <cfRule type="expression" dxfId="5857" priority="20">
      <formula>B$9&lt;8/24</formula>
    </cfRule>
  </conditionalFormatting>
  <conditionalFormatting sqref="B41:W41">
    <cfRule type="expression" dxfId="5856" priority="13">
      <formula>B$9&gt;=20/24</formula>
    </cfRule>
    <cfRule type="expression" dxfId="5855" priority="14">
      <formula>AND(B$9&gt;=14/24,B$9&lt;20/24)</formula>
    </cfRule>
    <cfRule type="expression" dxfId="5854" priority="15">
      <formula>AND(B$9&gt;=8/24,B$9&lt;14/24)</formula>
    </cfRule>
    <cfRule type="expression" dxfId="5853" priority="16">
      <formula>B$9&lt;8/24</formula>
    </cfRule>
  </conditionalFormatting>
  <conditionalFormatting sqref="B73:AF77">
    <cfRule type="expression" dxfId="5852" priority="9">
      <formula>B$9&gt;=20/24</formula>
    </cfRule>
    <cfRule type="expression" dxfId="5851" priority="10">
      <formula>AND(B$9&gt;=14/24,B$9&lt;20/24)</formula>
    </cfRule>
    <cfRule type="expression" dxfId="5850" priority="11">
      <formula>AND(B$9&gt;=8/24,B$9&lt;14/24)</formula>
    </cfRule>
    <cfRule type="expression" dxfId="5849" priority="12">
      <formula>B$9&lt;8/24</formula>
    </cfRule>
  </conditionalFormatting>
  <conditionalFormatting sqref="AL74:AN74 AL80:AN80 AN75:AN76">
    <cfRule type="expression" dxfId="5848" priority="5">
      <formula>AL$9&gt;=20/24</formula>
    </cfRule>
    <cfRule type="expression" dxfId="5847" priority="6">
      <formula>AND(AL$9&gt;=14/24,AL$9&lt;20/24)</formula>
    </cfRule>
    <cfRule type="expression" dxfId="5846" priority="7">
      <formula>AND(AL$9&gt;=8/24,AL$9&lt;14/24)</formula>
    </cfRule>
    <cfRule type="expression" dxfId="5845" priority="8">
      <formula>AL$9&lt;8/24</formula>
    </cfRule>
  </conditionalFormatting>
  <conditionalFormatting sqref="AN77:AN78">
    <cfRule type="expression" dxfId="5844" priority="1">
      <formula>AN$9&gt;=20/24</formula>
    </cfRule>
    <cfRule type="expression" dxfId="5843" priority="2">
      <formula>AND(AN$9&gt;=14/24,AN$9&lt;20/24)</formula>
    </cfRule>
    <cfRule type="expression" dxfId="5842" priority="3">
      <formula>AND(AN$9&gt;=8/24,AN$9&lt;14/24)</formula>
    </cfRule>
    <cfRule type="expression" dxfId="5841" priority="4">
      <formula>AN$9&lt;8/24</formula>
    </cfRule>
  </conditionalFormatting>
  <conditionalFormatting sqref="AL75:AM79">
    <cfRule type="expression" dxfId="5840" priority="258">
      <formula>AJ$9&gt;=20/24</formula>
    </cfRule>
    <cfRule type="expression" dxfId="5839" priority="259">
      <formula>AND(AJ$9&gt;=14/24,AJ$9&lt;20/24)</formula>
    </cfRule>
    <cfRule type="expression" dxfId="5838" priority="260">
      <formula>AND(AJ$9&gt;=8/24,AJ$9&lt;14/24)</formula>
    </cfRule>
    <cfRule type="expression" dxfId="5837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85333D05-006C-48F0-8377-7693E4A1936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93DA1C44-3AE0-4FB7-8D61-E9C9C20E5B4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001B0864-BB30-4169-B849-CFC3BB36D0D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EA7D1525-0FBE-433F-B884-69F88E2DAFB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92327011-8B05-4DAB-ADFE-6CDDC709D16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3F659424-7ECB-42A6-9BBC-ACD89416025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764C4722-4C84-429D-91A1-60D3983B428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75173995-A90D-492E-9DB6-3A742435A3E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4B14AE80-A5CE-4A83-9AE5-D4C0E621CDA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1CB442F2-B55B-432F-8075-838BFF37835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A0405D06-D9D1-4F7A-87D9-8F28E68C23E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A6F551B6-EE09-45E3-B1ED-EE067CCAB66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5365D82E-AFA5-4D46-8519-64BEE232999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72248DFF-2BB5-4274-BE89-411930D8B98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E7A41939-FE51-490A-9785-096F358E2AE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7BD64B02-EE71-449E-854A-B9B85A31136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J274"/>
  <sheetViews>
    <sheetView workbookViewId="0">
      <selection activeCell="AB84" sqref="AB8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2079/09/19</v>
      </c>
      <c r="C4" s="197"/>
      <c r="D4" s="197"/>
      <c r="E4" s="198" t="str">
        <f ca="1">"2079/"&amp;"09/"&amp;INT(MID(CELL("filename",G6),FIND("]",CELL("filename",G6))+1,200))</f>
        <v>2079/09/19</v>
      </c>
      <c r="F4" s="198"/>
      <c r="G4" s="198"/>
      <c r="H4" s="198" t="str">
        <f ca="1">TEXT(E4,"dddd")</f>
        <v>Tuesday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314</v>
      </c>
      <c r="C5" s="30">
        <f t="shared" si="0"/>
        <v>309.7</v>
      </c>
      <c r="D5" s="30">
        <f t="shared" si="0"/>
        <v>309.89999999999998</v>
      </c>
      <c r="E5" s="30">
        <f t="shared" si="0"/>
        <v>311.29999999999995</v>
      </c>
      <c r="F5" s="30">
        <f t="shared" si="0"/>
        <v>305.2</v>
      </c>
      <c r="G5" s="30">
        <f t="shared" si="0"/>
        <v>382.5</v>
      </c>
      <c r="H5" s="30">
        <f t="shared" si="0"/>
        <v>399.6</v>
      </c>
      <c r="I5" s="30">
        <f t="shared" si="0"/>
        <v>398.5</v>
      </c>
      <c r="J5" s="30">
        <f t="shared" si="0"/>
        <v>417.6</v>
      </c>
      <c r="K5" s="30">
        <f t="shared" si="0"/>
        <v>417.6</v>
      </c>
      <c r="L5" s="30">
        <f t="shared" si="0"/>
        <v>270.90000000000003</v>
      </c>
      <c r="M5" s="30">
        <f t="shared" si="0"/>
        <v>221.8</v>
      </c>
      <c r="N5" s="30">
        <f t="shared" si="0"/>
        <v>172.9</v>
      </c>
      <c r="O5" s="30">
        <f t="shared" si="0"/>
        <v>352.1</v>
      </c>
      <c r="P5" s="30">
        <f t="shared" si="0"/>
        <v>466.5</v>
      </c>
      <c r="Q5" s="30">
        <f t="shared" si="0"/>
        <v>468.5</v>
      </c>
      <c r="R5" s="30">
        <f t="shared" si="0"/>
        <v>502.4</v>
      </c>
      <c r="S5" s="30">
        <f t="shared" si="0"/>
        <v>496.5</v>
      </c>
      <c r="T5" s="30">
        <f t="shared" si="0"/>
        <v>468.4</v>
      </c>
      <c r="U5" s="30">
        <f t="shared" si="0"/>
        <v>420.4</v>
      </c>
      <c r="V5" s="30">
        <f t="shared" si="0"/>
        <v>422.4</v>
      </c>
      <c r="W5" s="30">
        <f t="shared" si="0"/>
        <v>331.19000000000005</v>
      </c>
      <c r="X5" s="30">
        <f t="shared" si="0"/>
        <v>331.19000000000005</v>
      </c>
      <c r="Y5" s="30">
        <f t="shared" si="0"/>
        <v>224.8</v>
      </c>
      <c r="Z5" s="30">
        <f t="shared" si="0"/>
        <v>220.2</v>
      </c>
      <c r="AA5" s="30">
        <f t="shared" si="0"/>
        <v>287.10000000000002</v>
      </c>
      <c r="AB5" s="30">
        <f t="shared" si="0"/>
        <v>391.09999999999997</v>
      </c>
      <c r="AC5" s="30">
        <f t="shared" si="0"/>
        <v>381.7</v>
      </c>
      <c r="AD5" s="30">
        <f t="shared" si="0"/>
        <v>345.79999999999995</v>
      </c>
      <c r="AE5" s="30">
        <f t="shared" si="0"/>
        <v>359.8</v>
      </c>
      <c r="AF5" s="30">
        <f>B78</f>
        <v>357.79999999999995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1734MW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Load=1022</v>
      </c>
      <c r="B7" s="35">
        <f t="shared" ref="B7:AF7" si="1">B85</f>
        <v>1070.7399999999998</v>
      </c>
      <c r="C7" s="35">
        <f t="shared" si="1"/>
        <v>1036.3400000000001</v>
      </c>
      <c r="D7" s="35">
        <f t="shared" si="1"/>
        <v>1032.04</v>
      </c>
      <c r="E7" s="35">
        <f t="shared" si="1"/>
        <v>1033.2399999999998</v>
      </c>
      <c r="F7" s="35">
        <f t="shared" si="1"/>
        <v>1022.3399999999999</v>
      </c>
      <c r="G7" s="35">
        <f t="shared" si="1"/>
        <v>1085.94</v>
      </c>
      <c r="H7" s="35">
        <f t="shared" si="1"/>
        <v>1179.1399999999999</v>
      </c>
      <c r="I7" s="35">
        <f t="shared" si="1"/>
        <v>1253.94</v>
      </c>
      <c r="J7" s="35">
        <f t="shared" si="1"/>
        <v>1365.3400000000001</v>
      </c>
      <c r="K7" s="35">
        <f t="shared" si="1"/>
        <v>1494.7400000000002</v>
      </c>
      <c r="L7" s="35">
        <f t="shared" si="1"/>
        <v>1494.7400000000002</v>
      </c>
      <c r="M7" s="35">
        <f t="shared" si="1"/>
        <v>1734.3400000000001</v>
      </c>
      <c r="N7" s="35">
        <f>N85</f>
        <v>1690.24</v>
      </c>
      <c r="O7" s="35">
        <f t="shared" si="1"/>
        <v>1636.3400000000001</v>
      </c>
      <c r="P7" s="35">
        <f t="shared" si="1"/>
        <v>1566.54</v>
      </c>
      <c r="Q7" s="35">
        <f t="shared" si="1"/>
        <v>1534.94</v>
      </c>
      <c r="R7" s="35">
        <f t="shared" si="1"/>
        <v>1404.84</v>
      </c>
      <c r="S7" s="35">
        <f t="shared" si="1"/>
        <v>1444.54</v>
      </c>
      <c r="T7" s="35">
        <f t="shared" si="1"/>
        <v>1430.04</v>
      </c>
      <c r="U7" s="35">
        <f t="shared" si="1"/>
        <v>1456.2399999999998</v>
      </c>
      <c r="V7" s="35">
        <f t="shared" si="1"/>
        <v>1469.8400000000001</v>
      </c>
      <c r="W7" s="35">
        <f t="shared" si="1"/>
        <v>1651.8400000000001</v>
      </c>
      <c r="X7" s="35">
        <f t="shared" si="1"/>
        <v>1636.9299999999998</v>
      </c>
      <c r="Y7" s="35">
        <f t="shared" si="1"/>
        <v>1636.9299999999998</v>
      </c>
      <c r="Z7" s="35">
        <f t="shared" si="1"/>
        <v>1696.44</v>
      </c>
      <c r="AA7" s="35">
        <f t="shared" si="1"/>
        <v>1631.8400000000001</v>
      </c>
      <c r="AB7" s="35">
        <f t="shared" si="1"/>
        <v>1432.2399999999998</v>
      </c>
      <c r="AC7" s="35">
        <f t="shared" si="1"/>
        <v>1460.04</v>
      </c>
      <c r="AD7" s="35">
        <f t="shared" si="1"/>
        <v>1365.54</v>
      </c>
      <c r="AE7" s="35">
        <f t="shared" si="1"/>
        <v>1233.2399999999998</v>
      </c>
      <c r="AF7" s="35">
        <f t="shared" si="1"/>
        <v>1124.24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21</v>
      </c>
      <c r="C11" s="45">
        <v>21</v>
      </c>
      <c r="D11" s="45">
        <v>21</v>
      </c>
      <c r="E11" s="45">
        <v>23</v>
      </c>
      <c r="F11" s="45">
        <v>23</v>
      </c>
      <c r="G11" s="45">
        <v>23</v>
      </c>
      <c r="H11" s="45">
        <v>23</v>
      </c>
      <c r="I11" s="45">
        <v>23</v>
      </c>
      <c r="J11" s="45">
        <v>23</v>
      </c>
      <c r="K11" s="45">
        <v>23</v>
      </c>
      <c r="L11" s="45">
        <v>23</v>
      </c>
      <c r="M11" s="45">
        <v>23</v>
      </c>
      <c r="N11" s="45">
        <v>23</v>
      </c>
      <c r="O11" s="45">
        <v>23</v>
      </c>
      <c r="P11" s="45">
        <v>23</v>
      </c>
      <c r="Q11" s="45">
        <v>23</v>
      </c>
      <c r="R11" s="45">
        <v>22.6</v>
      </c>
      <c r="S11" s="45">
        <v>22.6</v>
      </c>
      <c r="T11" s="45">
        <v>22.6</v>
      </c>
      <c r="U11" s="45">
        <v>21.5</v>
      </c>
      <c r="V11" s="45">
        <v>22.6</v>
      </c>
      <c r="W11" s="45">
        <v>22.6</v>
      </c>
      <c r="X11" s="45">
        <v>22.6</v>
      </c>
      <c r="Y11" s="45">
        <v>24.4</v>
      </c>
      <c r="Z11" s="45">
        <v>20</v>
      </c>
      <c r="AA11" s="45">
        <v>20</v>
      </c>
      <c r="AB11" s="45">
        <v>20</v>
      </c>
      <c r="AC11" s="45">
        <v>20</v>
      </c>
      <c r="AD11" s="45">
        <v>20</v>
      </c>
      <c r="AE11" s="45">
        <v>20</v>
      </c>
      <c r="AF11" s="45">
        <v>20</v>
      </c>
      <c r="AG11" s="47">
        <v>52.4</v>
      </c>
      <c r="AH11" s="48">
        <f t="shared" ref="AH11:AH74" si="2">MAX(B11:AF11)</f>
        <v>24.4</v>
      </c>
      <c r="AI11" s="49">
        <f t="shared" ref="AI11:AI74" si="3">MIN(B11:AF11)</f>
        <v>20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42.1</v>
      </c>
      <c r="C12" s="45">
        <v>42.1</v>
      </c>
      <c r="D12" s="45">
        <v>42.1</v>
      </c>
      <c r="E12" s="45">
        <v>43.8</v>
      </c>
      <c r="F12" s="45">
        <v>43.8</v>
      </c>
      <c r="G12" s="45">
        <v>43.8</v>
      </c>
      <c r="H12" s="45">
        <v>43.8</v>
      </c>
      <c r="I12" s="45">
        <v>43.8</v>
      </c>
      <c r="J12" s="45">
        <v>43.8</v>
      </c>
      <c r="K12" s="45">
        <v>43.8</v>
      </c>
      <c r="L12" s="45">
        <v>43.8</v>
      </c>
      <c r="M12" s="45">
        <v>43.8</v>
      </c>
      <c r="N12" s="45">
        <v>43.8</v>
      </c>
      <c r="O12" s="45">
        <v>43.8</v>
      </c>
      <c r="P12" s="45">
        <v>43.8</v>
      </c>
      <c r="Q12" s="45">
        <v>43.8</v>
      </c>
      <c r="R12" s="45">
        <v>43</v>
      </c>
      <c r="S12" s="45">
        <v>43</v>
      </c>
      <c r="T12" s="45">
        <v>43</v>
      </c>
      <c r="U12" s="45">
        <v>40.700000000000003</v>
      </c>
      <c r="V12" s="45">
        <v>40.9</v>
      </c>
      <c r="W12" s="45">
        <v>40.9</v>
      </c>
      <c r="X12" s="45">
        <v>40.9</v>
      </c>
      <c r="Y12" s="45">
        <v>41.1</v>
      </c>
      <c r="Z12" s="45">
        <v>41</v>
      </c>
      <c r="AA12" s="45">
        <v>41</v>
      </c>
      <c r="AB12" s="45">
        <v>40.9</v>
      </c>
      <c r="AC12" s="45">
        <v>40.9</v>
      </c>
      <c r="AD12" s="45">
        <v>40.9</v>
      </c>
      <c r="AE12" s="45">
        <v>40.9</v>
      </c>
      <c r="AF12" s="45">
        <v>43</v>
      </c>
      <c r="AG12" s="51">
        <v>50</v>
      </c>
      <c r="AH12" s="48">
        <f t="shared" si="2"/>
        <v>43.8</v>
      </c>
      <c r="AI12" s="49">
        <f t="shared" si="3"/>
        <v>40.700000000000003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24.2</v>
      </c>
      <c r="C13" s="45">
        <v>24.2</v>
      </c>
      <c r="D13" s="45">
        <v>24.2</v>
      </c>
      <c r="E13" s="45">
        <v>22.1</v>
      </c>
      <c r="F13" s="45">
        <v>22.1</v>
      </c>
      <c r="G13" s="45">
        <v>22.1</v>
      </c>
      <c r="H13" s="45">
        <v>22.1</v>
      </c>
      <c r="I13" s="45">
        <v>22.1</v>
      </c>
      <c r="J13" s="45">
        <v>22.1</v>
      </c>
      <c r="K13" s="45">
        <v>22.1</v>
      </c>
      <c r="L13" s="45">
        <v>22.1</v>
      </c>
      <c r="M13" s="45">
        <v>22.1</v>
      </c>
      <c r="N13" s="45">
        <v>22.1</v>
      </c>
      <c r="O13" s="45">
        <v>22.1</v>
      </c>
      <c r="P13" s="45">
        <v>22.1</v>
      </c>
      <c r="Q13" s="45">
        <v>22.1</v>
      </c>
      <c r="R13" s="45">
        <v>20.2</v>
      </c>
      <c r="S13" s="45">
        <v>20.2</v>
      </c>
      <c r="T13" s="45">
        <v>20.2</v>
      </c>
      <c r="U13" s="45">
        <v>22.9</v>
      </c>
      <c r="V13" s="45">
        <v>23.9</v>
      </c>
      <c r="W13" s="45">
        <v>23.9</v>
      </c>
      <c r="X13" s="45">
        <v>23.9</v>
      </c>
      <c r="Y13" s="45">
        <v>23</v>
      </c>
      <c r="Z13" s="45">
        <v>23.6</v>
      </c>
      <c r="AA13" s="45">
        <v>23.6</v>
      </c>
      <c r="AB13" s="45">
        <v>23.6</v>
      </c>
      <c r="AC13" s="45">
        <v>23.6</v>
      </c>
      <c r="AD13" s="45">
        <v>23.6</v>
      </c>
      <c r="AE13" s="45">
        <v>24.2</v>
      </c>
      <c r="AF13" s="45">
        <v>24.2</v>
      </c>
      <c r="AG13" s="51">
        <v>45</v>
      </c>
      <c r="AH13" s="48">
        <f t="shared" si="2"/>
        <v>24.2</v>
      </c>
      <c r="AI13" s="49">
        <f t="shared" si="3"/>
        <v>20.2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10.5</v>
      </c>
      <c r="C14" s="45">
        <v>10.5</v>
      </c>
      <c r="D14" s="45">
        <v>10.5</v>
      </c>
      <c r="E14" s="45">
        <v>11</v>
      </c>
      <c r="F14" s="45">
        <v>11</v>
      </c>
      <c r="G14" s="45">
        <v>11</v>
      </c>
      <c r="H14" s="45">
        <v>11</v>
      </c>
      <c r="I14" s="45">
        <v>11</v>
      </c>
      <c r="J14" s="45">
        <v>11</v>
      </c>
      <c r="K14" s="45">
        <v>11</v>
      </c>
      <c r="L14" s="45">
        <v>11</v>
      </c>
      <c r="M14" s="45">
        <v>11</v>
      </c>
      <c r="N14" s="45">
        <v>11</v>
      </c>
      <c r="O14" s="45">
        <v>11</v>
      </c>
      <c r="P14" s="45">
        <v>11</v>
      </c>
      <c r="Q14" s="45">
        <v>11</v>
      </c>
      <c r="R14" s="45">
        <v>11</v>
      </c>
      <c r="S14" s="45">
        <v>11</v>
      </c>
      <c r="T14" s="45">
        <v>11</v>
      </c>
      <c r="U14" s="45">
        <v>11</v>
      </c>
      <c r="V14" s="45">
        <v>11</v>
      </c>
      <c r="W14" s="45">
        <v>11</v>
      </c>
      <c r="X14" s="45">
        <v>11</v>
      </c>
      <c r="Y14" s="45">
        <v>11</v>
      </c>
      <c r="Z14" s="45">
        <v>11</v>
      </c>
      <c r="AA14" s="45">
        <v>11</v>
      </c>
      <c r="AB14" s="45">
        <v>11</v>
      </c>
      <c r="AC14" s="45">
        <v>11</v>
      </c>
      <c r="AD14" s="45">
        <v>11</v>
      </c>
      <c r="AE14" s="45">
        <v>11</v>
      </c>
      <c r="AF14" s="45">
        <v>11</v>
      </c>
      <c r="AG14" s="51">
        <v>42</v>
      </c>
      <c r="AH14" s="48">
        <f t="shared" si="2"/>
        <v>11</v>
      </c>
      <c r="AI14" s="49">
        <f t="shared" si="3"/>
        <v>10.5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17.3</v>
      </c>
      <c r="C15" s="45">
        <v>17.3</v>
      </c>
      <c r="D15" s="45">
        <v>17.3</v>
      </c>
      <c r="E15" s="45">
        <v>17.3</v>
      </c>
      <c r="F15" s="45">
        <v>17.3</v>
      </c>
      <c r="G15" s="45">
        <v>17.3</v>
      </c>
      <c r="H15" s="45">
        <v>17.3</v>
      </c>
      <c r="I15" s="45">
        <v>17.3</v>
      </c>
      <c r="J15" s="45">
        <v>17.3</v>
      </c>
      <c r="K15" s="45">
        <v>17.3</v>
      </c>
      <c r="L15" s="45">
        <v>17.3</v>
      </c>
      <c r="M15" s="45">
        <v>17.3</v>
      </c>
      <c r="N15" s="45">
        <v>17.3</v>
      </c>
      <c r="O15" s="45">
        <v>17.3</v>
      </c>
      <c r="P15" s="45">
        <v>17.3</v>
      </c>
      <c r="Q15" s="45">
        <v>17.3</v>
      </c>
      <c r="R15" s="45">
        <v>17.2</v>
      </c>
      <c r="S15" s="45">
        <v>17.2</v>
      </c>
      <c r="T15" s="45">
        <v>17.2</v>
      </c>
      <c r="U15" s="45">
        <v>17.2</v>
      </c>
      <c r="V15" s="45">
        <v>17.2</v>
      </c>
      <c r="W15" s="45">
        <v>17.2</v>
      </c>
      <c r="X15" s="45">
        <v>17.2</v>
      </c>
      <c r="Y15" s="45">
        <v>17.2</v>
      </c>
      <c r="Z15" s="45">
        <v>17.2</v>
      </c>
      <c r="AA15" s="45">
        <v>17.2</v>
      </c>
      <c r="AB15" s="45">
        <v>17.2</v>
      </c>
      <c r="AC15" s="45">
        <v>17.2</v>
      </c>
      <c r="AD15" s="45">
        <v>17.2</v>
      </c>
      <c r="AE15" s="45">
        <v>17.2</v>
      </c>
      <c r="AF15" s="45">
        <v>17.2</v>
      </c>
      <c r="AG15" s="51">
        <v>36</v>
      </c>
      <c r="AH15" s="48">
        <f t="shared" si="2"/>
        <v>17.3</v>
      </c>
      <c r="AI15" s="49">
        <f t="shared" si="3"/>
        <v>17.2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11.2</v>
      </c>
      <c r="C16" s="45">
        <v>11.2</v>
      </c>
      <c r="D16" s="45">
        <v>11.2</v>
      </c>
      <c r="E16" s="45">
        <v>10.6</v>
      </c>
      <c r="F16" s="45">
        <v>10.6</v>
      </c>
      <c r="G16" s="45">
        <v>10.6</v>
      </c>
      <c r="H16" s="45">
        <v>10.6</v>
      </c>
      <c r="I16" s="45">
        <v>10.6</v>
      </c>
      <c r="J16" s="45">
        <v>10.6</v>
      </c>
      <c r="K16" s="45">
        <v>10.6</v>
      </c>
      <c r="L16" s="45">
        <v>10.6</v>
      </c>
      <c r="M16" s="45">
        <v>10.6</v>
      </c>
      <c r="N16" s="45">
        <v>10.6</v>
      </c>
      <c r="O16" s="45">
        <v>10.6</v>
      </c>
      <c r="P16" s="45">
        <v>10.6</v>
      </c>
      <c r="Q16" s="45">
        <v>10.6</v>
      </c>
      <c r="R16" s="45">
        <v>10.1</v>
      </c>
      <c r="S16" s="45">
        <v>10.1</v>
      </c>
      <c r="T16" s="45">
        <v>10.1</v>
      </c>
      <c r="U16" s="45">
        <v>10.1</v>
      </c>
      <c r="V16" s="45">
        <v>10.1</v>
      </c>
      <c r="W16" s="45">
        <v>10.1</v>
      </c>
      <c r="X16" s="45">
        <v>10.1</v>
      </c>
      <c r="Y16" s="45">
        <v>10.1</v>
      </c>
      <c r="Z16" s="45">
        <v>10.1</v>
      </c>
      <c r="AA16" s="45">
        <v>10.1</v>
      </c>
      <c r="AB16" s="45">
        <v>10.1</v>
      </c>
      <c r="AC16" s="45">
        <v>10.1</v>
      </c>
      <c r="AD16" s="45">
        <v>10.1</v>
      </c>
      <c r="AE16" s="45">
        <v>10.1</v>
      </c>
      <c r="AF16" s="45">
        <v>10.1</v>
      </c>
      <c r="AG16" s="52">
        <v>30</v>
      </c>
      <c r="AH16" s="48">
        <f t="shared" si="2"/>
        <v>11.2</v>
      </c>
      <c r="AI16" s="49">
        <f t="shared" si="3"/>
        <v>10.1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9.6999999999999993</v>
      </c>
      <c r="C17" s="45">
        <v>9.6999999999999993</v>
      </c>
      <c r="D17" s="45">
        <v>9.6999999999999993</v>
      </c>
      <c r="E17" s="45">
        <v>9.6999999999999993</v>
      </c>
      <c r="F17" s="45">
        <v>9.6999999999999993</v>
      </c>
      <c r="G17" s="45">
        <v>9.6999999999999993</v>
      </c>
      <c r="H17" s="45">
        <v>9.6999999999999993</v>
      </c>
      <c r="I17" s="45">
        <v>9.6999999999999993</v>
      </c>
      <c r="J17" s="45">
        <v>9.6999999999999993</v>
      </c>
      <c r="K17" s="45">
        <v>9.6999999999999993</v>
      </c>
      <c r="L17" s="45">
        <v>9.6999999999999993</v>
      </c>
      <c r="M17" s="45">
        <v>9.6999999999999993</v>
      </c>
      <c r="N17" s="45">
        <v>9.6999999999999993</v>
      </c>
      <c r="O17" s="45">
        <v>9.6999999999999993</v>
      </c>
      <c r="P17" s="45">
        <v>9.6999999999999993</v>
      </c>
      <c r="Q17" s="45">
        <v>9.6999999999999993</v>
      </c>
      <c r="R17" s="45">
        <v>9.6999999999999993</v>
      </c>
      <c r="S17" s="45">
        <v>9.6999999999999993</v>
      </c>
      <c r="T17" s="45">
        <v>9.6999999999999993</v>
      </c>
      <c r="U17" s="45">
        <v>9.6999999999999993</v>
      </c>
      <c r="V17" s="45">
        <v>9.6999999999999993</v>
      </c>
      <c r="W17" s="45">
        <v>9.6999999999999993</v>
      </c>
      <c r="X17" s="45">
        <v>9.6999999999999993</v>
      </c>
      <c r="Y17" s="45">
        <v>9.6999999999999993</v>
      </c>
      <c r="Z17" s="45">
        <v>9.6999999999999993</v>
      </c>
      <c r="AA17" s="45">
        <v>9.6999999999999993</v>
      </c>
      <c r="AB17" s="45">
        <v>9.6999999999999993</v>
      </c>
      <c r="AC17" s="45">
        <v>9.6999999999999993</v>
      </c>
      <c r="AD17" s="45">
        <v>9.6999999999999993</v>
      </c>
      <c r="AE17" s="45">
        <v>9.6999999999999993</v>
      </c>
      <c r="AF17" s="45">
        <v>9.6999999999999993</v>
      </c>
      <c r="AG17" s="51">
        <v>24.2</v>
      </c>
      <c r="AH17" s="48">
        <f t="shared" si="2"/>
        <v>9.6999999999999993</v>
      </c>
      <c r="AI17" s="49">
        <f t="shared" si="3"/>
        <v>9.6999999999999993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12</v>
      </c>
      <c r="C20" s="45">
        <v>12</v>
      </c>
      <c r="D20" s="45">
        <v>12</v>
      </c>
      <c r="E20" s="45">
        <v>12</v>
      </c>
      <c r="F20" s="45">
        <v>12</v>
      </c>
      <c r="G20" s="45">
        <v>12</v>
      </c>
      <c r="H20" s="45">
        <v>12</v>
      </c>
      <c r="I20" s="45">
        <v>12</v>
      </c>
      <c r="J20" s="45">
        <v>12</v>
      </c>
      <c r="K20" s="45">
        <v>12</v>
      </c>
      <c r="L20" s="45">
        <v>12</v>
      </c>
      <c r="M20" s="45">
        <v>12</v>
      </c>
      <c r="N20" s="45">
        <v>12</v>
      </c>
      <c r="O20" s="45">
        <v>12</v>
      </c>
      <c r="P20" s="45">
        <v>12</v>
      </c>
      <c r="Q20" s="45">
        <v>12</v>
      </c>
      <c r="R20" s="45">
        <v>12</v>
      </c>
      <c r="S20" s="45">
        <v>12</v>
      </c>
      <c r="T20" s="45">
        <v>12</v>
      </c>
      <c r="U20" s="45">
        <v>12</v>
      </c>
      <c r="V20" s="45">
        <v>12</v>
      </c>
      <c r="W20" s="45">
        <v>12</v>
      </c>
      <c r="X20" s="45">
        <v>12</v>
      </c>
      <c r="Y20" s="45">
        <v>12</v>
      </c>
      <c r="Z20" s="45">
        <v>12</v>
      </c>
      <c r="AA20" s="45">
        <v>12</v>
      </c>
      <c r="AB20" s="45">
        <v>12</v>
      </c>
      <c r="AC20" s="45">
        <v>12</v>
      </c>
      <c r="AD20" s="45">
        <v>12</v>
      </c>
      <c r="AE20" s="45">
        <v>12</v>
      </c>
      <c r="AF20" s="45">
        <v>12</v>
      </c>
      <c r="AG20" s="51">
        <v>25</v>
      </c>
      <c r="AH20" s="48">
        <f t="shared" si="2"/>
        <v>12</v>
      </c>
      <c r="AI20" s="49">
        <f t="shared" si="3"/>
        <v>12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10</v>
      </c>
      <c r="C24" s="45">
        <v>10</v>
      </c>
      <c r="D24" s="45">
        <v>10</v>
      </c>
      <c r="E24" s="45">
        <v>10</v>
      </c>
      <c r="F24" s="45">
        <v>10</v>
      </c>
      <c r="G24" s="45">
        <v>10</v>
      </c>
      <c r="H24" s="45">
        <v>10</v>
      </c>
      <c r="I24" s="45">
        <v>10</v>
      </c>
      <c r="J24" s="45">
        <v>10</v>
      </c>
      <c r="K24" s="45">
        <v>10</v>
      </c>
      <c r="L24" s="45">
        <v>10</v>
      </c>
      <c r="M24" s="45">
        <v>10</v>
      </c>
      <c r="N24" s="45">
        <v>10</v>
      </c>
      <c r="O24" s="45">
        <v>10</v>
      </c>
      <c r="P24" s="45">
        <v>10</v>
      </c>
      <c r="Q24" s="45">
        <v>10</v>
      </c>
      <c r="R24" s="45">
        <v>10</v>
      </c>
      <c r="S24" s="45">
        <v>10</v>
      </c>
      <c r="T24" s="45">
        <v>10</v>
      </c>
      <c r="U24" s="45">
        <v>10</v>
      </c>
      <c r="V24" s="45">
        <v>10</v>
      </c>
      <c r="W24" s="45">
        <v>10</v>
      </c>
      <c r="X24" s="45">
        <v>10</v>
      </c>
      <c r="Y24" s="45">
        <v>10</v>
      </c>
      <c r="Z24" s="45">
        <v>10</v>
      </c>
      <c r="AA24" s="45">
        <v>10</v>
      </c>
      <c r="AB24" s="45">
        <v>10</v>
      </c>
      <c r="AC24" s="45">
        <v>10</v>
      </c>
      <c r="AD24" s="45">
        <v>10</v>
      </c>
      <c r="AE24" s="45">
        <v>10</v>
      </c>
      <c r="AF24" s="45">
        <v>10</v>
      </c>
      <c r="AG24" s="51">
        <v>23.5</v>
      </c>
      <c r="AH24" s="48">
        <f t="shared" si="2"/>
        <v>10</v>
      </c>
      <c r="AI24" s="49">
        <f t="shared" si="3"/>
        <v>10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>
        <v>1.2</v>
      </c>
      <c r="S32" s="45">
        <v>1.2</v>
      </c>
      <c r="T32" s="45">
        <v>1.2</v>
      </c>
      <c r="U32" s="45">
        <v>1.2</v>
      </c>
      <c r="V32" s="45">
        <v>1.2</v>
      </c>
      <c r="W32" s="45">
        <v>1.2</v>
      </c>
      <c r="X32" s="45">
        <v>1.2</v>
      </c>
      <c r="Y32" s="45">
        <v>1.2</v>
      </c>
      <c r="Z32" s="45">
        <v>1.2</v>
      </c>
      <c r="AA32" s="45">
        <v>1.2</v>
      </c>
      <c r="AB32" s="45">
        <v>1.2</v>
      </c>
      <c r="AC32" s="45">
        <v>1.2</v>
      </c>
      <c r="AD32" s="45">
        <v>1.2</v>
      </c>
      <c r="AE32" s="45">
        <v>1.2</v>
      </c>
      <c r="AF32" s="45">
        <v>1.2</v>
      </c>
      <c r="AG32" s="51">
        <v>13.6</v>
      </c>
      <c r="AH32" s="48">
        <f t="shared" si="2"/>
        <v>1.2</v>
      </c>
      <c r="AI32" s="49">
        <f t="shared" si="3"/>
        <v>1.2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180</v>
      </c>
      <c r="C42" s="57">
        <v>180</v>
      </c>
      <c r="D42" s="57">
        <v>180</v>
      </c>
      <c r="E42" s="57">
        <v>180</v>
      </c>
      <c r="F42" s="57">
        <v>180</v>
      </c>
      <c r="G42" s="57">
        <v>180</v>
      </c>
      <c r="H42" s="57">
        <v>180</v>
      </c>
      <c r="I42" s="57">
        <v>180</v>
      </c>
      <c r="J42" s="57">
        <v>180</v>
      </c>
      <c r="K42" s="57">
        <v>180</v>
      </c>
      <c r="L42" s="57">
        <v>180</v>
      </c>
      <c r="M42" s="57">
        <v>180</v>
      </c>
      <c r="N42" s="57">
        <v>180</v>
      </c>
      <c r="O42" s="57">
        <v>180</v>
      </c>
      <c r="P42" s="57">
        <v>180</v>
      </c>
      <c r="Q42" s="57">
        <v>180</v>
      </c>
      <c r="R42" s="57">
        <v>180</v>
      </c>
      <c r="S42" s="57">
        <v>180</v>
      </c>
      <c r="T42" s="57">
        <v>180</v>
      </c>
      <c r="U42" s="57">
        <v>180</v>
      </c>
      <c r="V42" s="57">
        <v>180</v>
      </c>
      <c r="W42" s="57">
        <v>180</v>
      </c>
      <c r="X42" s="57">
        <v>180</v>
      </c>
      <c r="Y42" s="57">
        <v>180</v>
      </c>
      <c r="Z42" s="57">
        <v>180</v>
      </c>
      <c r="AA42" s="57">
        <v>180</v>
      </c>
      <c r="AB42" s="57">
        <v>180</v>
      </c>
      <c r="AC42" s="57">
        <v>180</v>
      </c>
      <c r="AD42" s="57">
        <v>180</v>
      </c>
      <c r="AE42" s="57">
        <v>180</v>
      </c>
      <c r="AF42" s="57">
        <v>180</v>
      </c>
      <c r="AG42" s="55">
        <v>85</v>
      </c>
      <c r="AH42" s="48">
        <f t="shared" si="2"/>
        <v>180</v>
      </c>
      <c r="AI42" s="49">
        <f t="shared" si="3"/>
        <v>180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511.79999999999995</v>
      </c>
      <c r="C44" s="61">
        <f t="shared" si="4"/>
        <v>511.79999999999995</v>
      </c>
      <c r="D44" s="61">
        <f t="shared" si="4"/>
        <v>511.79999999999995</v>
      </c>
      <c r="E44" s="61">
        <f t="shared" si="4"/>
        <v>513.29999999999995</v>
      </c>
      <c r="F44" s="61">
        <f t="shared" si="4"/>
        <v>513.29999999999995</v>
      </c>
      <c r="G44" s="61">
        <f t="shared" si="4"/>
        <v>513.29999999999995</v>
      </c>
      <c r="H44" s="61">
        <f t="shared" si="4"/>
        <v>513.29999999999995</v>
      </c>
      <c r="I44" s="61">
        <f t="shared" si="4"/>
        <v>513.29999999999995</v>
      </c>
      <c r="J44" s="61">
        <f t="shared" si="4"/>
        <v>513.29999999999995</v>
      </c>
      <c r="K44" s="61">
        <f t="shared" si="4"/>
        <v>513.29999999999995</v>
      </c>
      <c r="L44" s="61">
        <f t="shared" si="4"/>
        <v>513.29999999999995</v>
      </c>
      <c r="M44" s="61">
        <f t="shared" si="4"/>
        <v>513.29999999999995</v>
      </c>
      <c r="N44" s="61">
        <f t="shared" si="4"/>
        <v>513.29999999999995</v>
      </c>
      <c r="O44" s="61">
        <f t="shared" si="4"/>
        <v>513.29999999999995</v>
      </c>
      <c r="P44" s="61">
        <f t="shared" si="4"/>
        <v>513.29999999999995</v>
      </c>
      <c r="Q44" s="61">
        <f t="shared" si="4"/>
        <v>513.29999999999995</v>
      </c>
      <c r="R44" s="61">
        <f t="shared" si="4"/>
        <v>509.59999999999991</v>
      </c>
      <c r="S44" s="61">
        <f t="shared" si="4"/>
        <v>509.59999999999991</v>
      </c>
      <c r="T44" s="61">
        <f t="shared" si="4"/>
        <v>509.59999999999991</v>
      </c>
      <c r="U44" s="61">
        <f t="shared" si="4"/>
        <v>508.9</v>
      </c>
      <c r="V44" s="61">
        <f t="shared" ref="V44" si="5">SUM(V11:V42)</f>
        <v>511.19999999999993</v>
      </c>
      <c r="W44" s="61">
        <f t="shared" si="4"/>
        <v>511.19999999999993</v>
      </c>
      <c r="X44" s="61">
        <v>511.19999999999993</v>
      </c>
      <c r="Y44" s="61">
        <v>511.19999999999993</v>
      </c>
      <c r="Z44" s="61">
        <f t="shared" si="4"/>
        <v>508.4</v>
      </c>
      <c r="AA44" s="61">
        <f t="shared" si="4"/>
        <v>508.4</v>
      </c>
      <c r="AB44" s="61">
        <f t="shared" si="4"/>
        <v>508.29999999999995</v>
      </c>
      <c r="AC44" s="61">
        <f t="shared" si="4"/>
        <v>508.29999999999995</v>
      </c>
      <c r="AD44" s="61">
        <f t="shared" si="4"/>
        <v>508.29999999999995</v>
      </c>
      <c r="AE44" s="61">
        <f t="shared" si="4"/>
        <v>508.9</v>
      </c>
      <c r="AF44" s="61">
        <f t="shared" si="4"/>
        <v>510.99999999999994</v>
      </c>
      <c r="AG44" s="62">
        <f t="shared" si="4"/>
        <v>814.78000000000009</v>
      </c>
      <c r="AH44" s="48">
        <f t="shared" si="2"/>
        <v>513.29999999999995</v>
      </c>
      <c r="AI44" s="49">
        <f t="shared" si="3"/>
        <v>508.29999999999995</v>
      </c>
      <c r="AK44" s="50"/>
    </row>
    <row r="45" spans="1:88" x14ac:dyDescent="0.25">
      <c r="A45" s="6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15</v>
      </c>
      <c r="G45" s="45">
        <v>60</v>
      </c>
      <c r="H45" s="45">
        <v>25</v>
      </c>
      <c r="I45" s="45">
        <v>30</v>
      </c>
      <c r="J45" s="45">
        <v>90</v>
      </c>
      <c r="K45" s="45">
        <v>100</v>
      </c>
      <c r="L45" s="45">
        <v>100</v>
      </c>
      <c r="M45" s="45">
        <v>350</v>
      </c>
      <c r="N45" s="45">
        <v>355</v>
      </c>
      <c r="O45" s="45">
        <v>350</v>
      </c>
      <c r="P45" s="45">
        <v>125</v>
      </c>
      <c r="Q45" s="45">
        <v>30</v>
      </c>
      <c r="R45" s="45">
        <v>15</v>
      </c>
      <c r="S45" s="45">
        <v>15</v>
      </c>
      <c r="T45" s="45">
        <v>15</v>
      </c>
      <c r="U45" s="45">
        <v>70</v>
      </c>
      <c r="V45" s="45">
        <v>60</v>
      </c>
      <c r="W45" s="45">
        <v>140</v>
      </c>
      <c r="X45" s="45">
        <v>250</v>
      </c>
      <c r="Y45" s="45">
        <v>380</v>
      </c>
      <c r="Z45" s="45">
        <v>310</v>
      </c>
      <c r="AA45" s="45">
        <v>250</v>
      </c>
      <c r="AB45" s="45">
        <v>100</v>
      </c>
      <c r="AC45" s="45">
        <v>80</v>
      </c>
      <c r="AD45" s="45">
        <v>70</v>
      </c>
      <c r="AE45" s="45">
        <v>50</v>
      </c>
      <c r="AF45" s="45">
        <v>0</v>
      </c>
      <c r="AG45" s="52">
        <v>456</v>
      </c>
      <c r="AH45" s="48">
        <f t="shared" si="2"/>
        <v>380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41</v>
      </c>
      <c r="AK46" s="50"/>
    </row>
    <row r="47" spans="1:88" ht="15.75" thickBot="1" x14ac:dyDescent="0.3">
      <c r="A47" s="66" t="s">
        <v>55</v>
      </c>
      <c r="B47" s="67">
        <v>13.7</v>
      </c>
      <c r="C47" s="67">
        <v>13.7</v>
      </c>
      <c r="D47" s="67">
        <v>13.7</v>
      </c>
      <c r="E47" s="67">
        <v>13.6</v>
      </c>
      <c r="F47" s="67">
        <v>13.7</v>
      </c>
      <c r="G47" s="67">
        <v>13.7</v>
      </c>
      <c r="H47" s="67">
        <v>13.7</v>
      </c>
      <c r="I47" s="67">
        <v>13.7</v>
      </c>
      <c r="J47" s="67">
        <v>13.6</v>
      </c>
      <c r="K47" s="67">
        <v>13.7</v>
      </c>
      <c r="L47" s="67">
        <v>13.7</v>
      </c>
      <c r="M47" s="67">
        <v>13.7</v>
      </c>
      <c r="N47" s="67">
        <v>13.7</v>
      </c>
      <c r="O47" s="67">
        <v>13.7</v>
      </c>
      <c r="P47" s="67">
        <v>13.7</v>
      </c>
      <c r="Q47" s="67">
        <v>13.7</v>
      </c>
      <c r="R47" s="67">
        <v>13.6</v>
      </c>
      <c r="S47" s="67">
        <v>13.6</v>
      </c>
      <c r="T47" s="67">
        <v>13.6</v>
      </c>
      <c r="U47" s="67">
        <v>13.6</v>
      </c>
      <c r="V47" s="67">
        <v>13.6</v>
      </c>
      <c r="W47" s="67">
        <v>13.6</v>
      </c>
      <c r="X47" s="67">
        <v>21.2</v>
      </c>
      <c r="Y47" s="67">
        <v>21.2</v>
      </c>
      <c r="Z47" s="67">
        <v>21.2</v>
      </c>
      <c r="AA47" s="67">
        <v>21.2</v>
      </c>
      <c r="AB47" s="67">
        <v>13.7</v>
      </c>
      <c r="AC47" s="67">
        <v>13.7</v>
      </c>
      <c r="AD47" s="67">
        <v>13.7</v>
      </c>
      <c r="AE47" s="67">
        <v>13.7</v>
      </c>
      <c r="AF47" s="67">
        <v>13.7</v>
      </c>
      <c r="AG47" s="68">
        <v>22.1</v>
      </c>
      <c r="AH47" s="48">
        <f t="shared" si="2"/>
        <v>21.2</v>
      </c>
      <c r="AI47" s="49">
        <f t="shared" si="3"/>
        <v>13.6</v>
      </c>
      <c r="AK47" s="50"/>
    </row>
    <row r="48" spans="1:88" ht="15.75" thickBot="1" x14ac:dyDescent="0.3">
      <c r="A48" s="69" t="s">
        <v>56</v>
      </c>
      <c r="B48" s="61">
        <f t="shared" ref="B48:AG48" si="6">SUM(B45:B47)</f>
        <v>54.7</v>
      </c>
      <c r="C48" s="61">
        <f t="shared" si="6"/>
        <v>54.7</v>
      </c>
      <c r="D48" s="61">
        <f t="shared" si="6"/>
        <v>54.7</v>
      </c>
      <c r="E48" s="61">
        <f t="shared" si="6"/>
        <v>54.6</v>
      </c>
      <c r="F48" s="61">
        <f t="shared" si="6"/>
        <v>69.7</v>
      </c>
      <c r="G48" s="61">
        <f t="shared" si="6"/>
        <v>114.7</v>
      </c>
      <c r="H48" s="61">
        <f t="shared" si="6"/>
        <v>79.7</v>
      </c>
      <c r="I48" s="61">
        <f t="shared" si="6"/>
        <v>84.7</v>
      </c>
      <c r="J48" s="61">
        <f t="shared" si="6"/>
        <v>144.6</v>
      </c>
      <c r="K48" s="61">
        <f t="shared" si="6"/>
        <v>154.69999999999999</v>
      </c>
      <c r="L48" s="61">
        <f t="shared" si="6"/>
        <v>154.69999999999999</v>
      </c>
      <c r="M48" s="61">
        <f t="shared" si="6"/>
        <v>404.7</v>
      </c>
      <c r="N48" s="61">
        <f t="shared" si="6"/>
        <v>409.7</v>
      </c>
      <c r="O48" s="61">
        <f t="shared" si="6"/>
        <v>404.7</v>
      </c>
      <c r="P48" s="61">
        <f t="shared" si="6"/>
        <v>179.7</v>
      </c>
      <c r="Q48" s="61">
        <f t="shared" si="6"/>
        <v>84.7</v>
      </c>
      <c r="R48" s="61">
        <f t="shared" si="6"/>
        <v>69.599999999999994</v>
      </c>
      <c r="S48" s="61">
        <f t="shared" si="6"/>
        <v>69.599999999999994</v>
      </c>
      <c r="T48" s="61">
        <f t="shared" si="6"/>
        <v>69.599999999999994</v>
      </c>
      <c r="U48" s="61">
        <f t="shared" si="6"/>
        <v>124.6</v>
      </c>
      <c r="V48" s="61">
        <f t="shared" ref="V48" si="7">SUM(V45:V47)</f>
        <v>114.6</v>
      </c>
      <c r="W48" s="61">
        <f t="shared" si="6"/>
        <v>194.6</v>
      </c>
      <c r="X48" s="61">
        <v>312.2</v>
      </c>
      <c r="Y48" s="61">
        <v>312.2</v>
      </c>
      <c r="Z48" s="61">
        <f t="shared" si="6"/>
        <v>372.2</v>
      </c>
      <c r="AA48" s="61">
        <f t="shared" si="6"/>
        <v>312.2</v>
      </c>
      <c r="AB48" s="61">
        <f t="shared" si="6"/>
        <v>154.69999999999999</v>
      </c>
      <c r="AC48" s="61">
        <f t="shared" si="6"/>
        <v>134.69999999999999</v>
      </c>
      <c r="AD48" s="61">
        <f t="shared" si="6"/>
        <v>124.7</v>
      </c>
      <c r="AE48" s="61">
        <f t="shared" si="6"/>
        <v>104.7</v>
      </c>
      <c r="AF48" s="61">
        <f t="shared" si="6"/>
        <v>54.7</v>
      </c>
      <c r="AG48" s="62">
        <f t="shared" si="6"/>
        <v>538.1</v>
      </c>
      <c r="AH48" s="48">
        <f t="shared" si="2"/>
        <v>409.7</v>
      </c>
      <c r="AI48" s="49">
        <f t="shared" si="3"/>
        <v>54.6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30.8</v>
      </c>
      <c r="I49" s="45">
        <v>61.6</v>
      </c>
      <c r="J49" s="45">
        <v>91.9</v>
      </c>
      <c r="K49" s="45">
        <v>91.4</v>
      </c>
      <c r="L49" s="45">
        <v>91.4</v>
      </c>
      <c r="M49" s="45">
        <v>142</v>
      </c>
      <c r="N49" s="45">
        <v>142</v>
      </c>
      <c r="O49" s="45">
        <v>142</v>
      </c>
      <c r="P49" s="45">
        <v>141.80000000000001</v>
      </c>
      <c r="Q49" s="45">
        <v>141.80000000000001</v>
      </c>
      <c r="R49" s="45">
        <v>90.7</v>
      </c>
      <c r="S49" s="45">
        <v>89.6</v>
      </c>
      <c r="T49" s="45">
        <v>81</v>
      </c>
      <c r="U49" s="45">
        <v>81</v>
      </c>
      <c r="V49" s="45">
        <v>103</v>
      </c>
      <c r="W49" s="45">
        <v>103</v>
      </c>
      <c r="X49" s="45">
        <v>140.19999999999999</v>
      </c>
      <c r="Y49" s="45">
        <v>140.4</v>
      </c>
      <c r="Z49" s="45">
        <v>140.4</v>
      </c>
      <c r="AA49" s="45">
        <v>140.4</v>
      </c>
      <c r="AB49" s="45">
        <v>139.6</v>
      </c>
      <c r="AC49" s="45">
        <v>120</v>
      </c>
      <c r="AD49" s="45">
        <v>60</v>
      </c>
      <c r="AE49" s="45">
        <v>20.5</v>
      </c>
      <c r="AF49" s="45">
        <v>0</v>
      </c>
      <c r="AG49" s="52">
        <v>144</v>
      </c>
      <c r="AH49" s="48">
        <f t="shared" si="2"/>
        <v>142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24.8</v>
      </c>
      <c r="H50" s="65">
        <v>44</v>
      </c>
      <c r="I50" s="65">
        <v>47.8</v>
      </c>
      <c r="J50" s="65">
        <v>72</v>
      </c>
      <c r="K50" s="65">
        <v>71.8</v>
      </c>
      <c r="L50" s="65">
        <v>71.8</v>
      </c>
      <c r="M50" s="65">
        <v>70</v>
      </c>
      <c r="N50" s="65">
        <v>70</v>
      </c>
      <c r="O50" s="65">
        <v>70</v>
      </c>
      <c r="P50" s="65">
        <v>68.7</v>
      </c>
      <c r="Q50" s="65">
        <v>60</v>
      </c>
      <c r="R50" s="45">
        <v>49.2</v>
      </c>
      <c r="S50" s="45">
        <v>34.5</v>
      </c>
      <c r="T50" s="45">
        <v>34.5</v>
      </c>
      <c r="U50" s="45">
        <v>34.5</v>
      </c>
      <c r="V50" s="45">
        <v>46.5</v>
      </c>
      <c r="W50" s="45">
        <v>46.5</v>
      </c>
      <c r="X50" s="45">
        <v>69.599999999999994</v>
      </c>
      <c r="Y50" s="45">
        <v>70.099999999999994</v>
      </c>
      <c r="Z50" s="45">
        <v>70.599999999999994</v>
      </c>
      <c r="AA50" s="45">
        <v>70.599999999999994</v>
      </c>
      <c r="AB50" s="65">
        <v>59.8</v>
      </c>
      <c r="AC50" s="65">
        <v>34.799999999999997</v>
      </c>
      <c r="AD50" s="65">
        <v>35</v>
      </c>
      <c r="AE50" s="65">
        <v>0</v>
      </c>
      <c r="AF50" s="65">
        <v>0</v>
      </c>
      <c r="AG50" s="55">
        <v>70</v>
      </c>
      <c r="AH50" s="48">
        <f t="shared" si="2"/>
        <v>72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33.1</v>
      </c>
      <c r="C51" s="65">
        <v>44.7</v>
      </c>
      <c r="D51" s="65">
        <v>44.7</v>
      </c>
      <c r="E51" s="65">
        <v>44.3</v>
      </c>
      <c r="F51" s="65">
        <v>16.899999999999999</v>
      </c>
      <c r="G51" s="65">
        <v>16.8</v>
      </c>
      <c r="H51" s="65">
        <v>16.899999999999999</v>
      </c>
      <c r="I51" s="65">
        <v>35.299999999999997</v>
      </c>
      <c r="J51" s="65">
        <v>33.9</v>
      </c>
      <c r="K51" s="65">
        <v>53.9</v>
      </c>
      <c r="L51" s="65">
        <v>53.9</v>
      </c>
      <c r="M51" s="65">
        <v>66</v>
      </c>
      <c r="N51" s="65">
        <v>66</v>
      </c>
      <c r="O51" s="65">
        <v>66</v>
      </c>
      <c r="P51" s="65">
        <v>44.3</v>
      </c>
      <c r="Q51" s="65">
        <v>32</v>
      </c>
      <c r="R51" s="45">
        <v>34.200000000000003</v>
      </c>
      <c r="S51" s="45">
        <v>32</v>
      </c>
      <c r="T51" s="45">
        <v>32</v>
      </c>
      <c r="U51" s="45">
        <v>32</v>
      </c>
      <c r="V51" s="45">
        <v>66.8</v>
      </c>
      <c r="W51" s="45">
        <v>66.8</v>
      </c>
      <c r="X51" s="45">
        <v>67.099999999999994</v>
      </c>
      <c r="Y51" s="45">
        <v>66.7</v>
      </c>
      <c r="Z51" s="45">
        <v>66.3</v>
      </c>
      <c r="AA51" s="45">
        <v>66.3</v>
      </c>
      <c r="AB51" s="65">
        <v>65.5</v>
      </c>
      <c r="AC51" s="65">
        <v>52.3</v>
      </c>
      <c r="AD51" s="65">
        <v>36</v>
      </c>
      <c r="AE51" s="65">
        <v>34</v>
      </c>
      <c r="AF51" s="65">
        <v>46</v>
      </c>
      <c r="AG51" s="55">
        <v>69</v>
      </c>
      <c r="AH51" s="48">
        <f t="shared" si="2"/>
        <v>67.099999999999994</v>
      </c>
      <c r="AI51" s="49">
        <f t="shared" si="3"/>
        <v>16.8</v>
      </c>
      <c r="AK51" s="50"/>
    </row>
    <row r="52" spans="1:41" x14ac:dyDescent="0.25">
      <c r="A52" s="54" t="s">
        <v>60</v>
      </c>
      <c r="B52" s="57">
        <v>60.4</v>
      </c>
      <c r="C52" s="57">
        <v>58.2</v>
      </c>
      <c r="D52" s="57">
        <v>58.2</v>
      </c>
      <c r="E52" s="57">
        <v>58.2</v>
      </c>
      <c r="F52" s="57">
        <v>58.2</v>
      </c>
      <c r="G52" s="57">
        <v>58.2</v>
      </c>
      <c r="H52" s="57">
        <v>59</v>
      </c>
      <c r="I52" s="57">
        <v>58.7</v>
      </c>
      <c r="J52" s="57">
        <v>58.2</v>
      </c>
      <c r="K52" s="57">
        <v>58.2</v>
      </c>
      <c r="L52" s="57">
        <v>58.2</v>
      </c>
      <c r="M52" s="57">
        <v>58.2</v>
      </c>
      <c r="N52" s="57">
        <v>58.2</v>
      </c>
      <c r="O52" s="57">
        <v>58.2</v>
      </c>
      <c r="P52" s="65">
        <v>57.4</v>
      </c>
      <c r="Q52" s="65">
        <v>57.4</v>
      </c>
      <c r="R52" s="65">
        <v>53.7</v>
      </c>
      <c r="S52" s="65">
        <v>53.9</v>
      </c>
      <c r="T52" s="65">
        <v>53.9</v>
      </c>
      <c r="U52" s="65">
        <v>53.9</v>
      </c>
      <c r="V52" s="65">
        <v>54.4</v>
      </c>
      <c r="W52" s="65">
        <v>54.4</v>
      </c>
      <c r="X52" s="65">
        <v>54.4</v>
      </c>
      <c r="Y52" s="65">
        <v>54.4</v>
      </c>
      <c r="Z52" s="65">
        <v>54.4</v>
      </c>
      <c r="AA52" s="65">
        <v>54.4</v>
      </c>
      <c r="AB52" s="65">
        <v>57.4</v>
      </c>
      <c r="AC52" s="65">
        <v>59</v>
      </c>
      <c r="AD52" s="65">
        <v>60</v>
      </c>
      <c r="AE52" s="65">
        <v>60</v>
      </c>
      <c r="AF52" s="65">
        <v>60</v>
      </c>
      <c r="AG52" s="55">
        <v>60</v>
      </c>
      <c r="AH52" s="48">
        <f t="shared" si="2"/>
        <v>60.4</v>
      </c>
      <c r="AI52" s="49">
        <f t="shared" si="3"/>
        <v>53.7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0</v>
      </c>
      <c r="N53" s="57">
        <v>0</v>
      </c>
      <c r="O53" s="57">
        <v>0</v>
      </c>
      <c r="P53" s="57">
        <v>0</v>
      </c>
      <c r="Q53" s="57">
        <v>0</v>
      </c>
      <c r="R53" s="57">
        <v>0</v>
      </c>
      <c r="S53" s="57">
        <v>0</v>
      </c>
      <c r="T53" s="57">
        <v>0</v>
      </c>
      <c r="U53" s="57">
        <v>0</v>
      </c>
      <c r="V53" s="57">
        <v>0</v>
      </c>
      <c r="W53" s="57">
        <v>0</v>
      </c>
      <c r="X53" s="65">
        <v>0</v>
      </c>
      <c r="Y53" s="65">
        <v>0</v>
      </c>
      <c r="Z53" s="65">
        <v>8.1</v>
      </c>
      <c r="AA53" s="65">
        <v>8.1</v>
      </c>
      <c r="AB53" s="65">
        <v>8</v>
      </c>
      <c r="AC53" s="65">
        <v>8</v>
      </c>
      <c r="AD53" s="65">
        <v>8</v>
      </c>
      <c r="AE53" s="65">
        <v>8</v>
      </c>
      <c r="AF53" s="65">
        <v>8</v>
      </c>
      <c r="AG53" s="55">
        <v>30</v>
      </c>
      <c r="AH53" s="48">
        <f t="shared" si="2"/>
        <v>8.1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0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>
        <v>17.100000000000001</v>
      </c>
      <c r="S55" s="65">
        <v>17.100000000000001</v>
      </c>
      <c r="T55" s="65">
        <v>17.100000000000001</v>
      </c>
      <c r="U55" s="65">
        <v>17.100000000000001</v>
      </c>
      <c r="V55" s="65">
        <v>17.100000000000001</v>
      </c>
      <c r="W55" s="65">
        <v>17.100000000000001</v>
      </c>
      <c r="X55" s="65">
        <v>17.100000000000001</v>
      </c>
      <c r="Y55" s="65">
        <v>17.100000000000001</v>
      </c>
      <c r="Z55" s="65">
        <v>17.100000000000001</v>
      </c>
      <c r="AA55" s="65">
        <v>17.100000000000001</v>
      </c>
      <c r="AB55" s="65">
        <v>17.100000000000001</v>
      </c>
      <c r="AC55" s="65">
        <v>17.100000000000001</v>
      </c>
      <c r="AD55" s="65">
        <v>17.100000000000001</v>
      </c>
      <c r="AE55" s="65">
        <v>17.100000000000001</v>
      </c>
      <c r="AF55" s="65">
        <v>17.100000000000001</v>
      </c>
      <c r="AG55" s="55">
        <v>24</v>
      </c>
      <c r="AH55" s="48">
        <f t="shared" si="2"/>
        <v>17.100000000000001</v>
      </c>
      <c r="AI55" s="49">
        <f t="shared" si="3"/>
        <v>17</v>
      </c>
      <c r="AK55" s="50"/>
    </row>
    <row r="56" spans="1:41" x14ac:dyDescent="0.25">
      <c r="A56" s="54" t="s">
        <v>64</v>
      </c>
      <c r="B56" s="65">
        <v>2.6</v>
      </c>
      <c r="C56" s="65">
        <v>2.6</v>
      </c>
      <c r="D56" s="65">
        <v>2.6</v>
      </c>
      <c r="E56" s="65">
        <v>2.6</v>
      </c>
      <c r="F56" s="65">
        <v>2.6</v>
      </c>
      <c r="G56" s="65">
        <v>2.6</v>
      </c>
      <c r="H56" s="65">
        <v>2.6</v>
      </c>
      <c r="I56" s="65">
        <v>2.6</v>
      </c>
      <c r="J56" s="65">
        <v>2.6</v>
      </c>
      <c r="K56" s="65">
        <v>2.6</v>
      </c>
      <c r="L56" s="65">
        <v>2.6</v>
      </c>
      <c r="M56" s="65">
        <v>2.6</v>
      </c>
      <c r="N56" s="65">
        <v>2.6</v>
      </c>
      <c r="O56" s="65">
        <v>2.6</v>
      </c>
      <c r="P56" s="65">
        <v>2.6</v>
      </c>
      <c r="Q56" s="65">
        <v>2.6</v>
      </c>
      <c r="R56" s="65">
        <v>2.6</v>
      </c>
      <c r="S56" s="65">
        <v>2.6</v>
      </c>
      <c r="T56" s="65">
        <v>2.6</v>
      </c>
      <c r="U56" s="65">
        <v>2.6</v>
      </c>
      <c r="V56" s="65">
        <v>2.6</v>
      </c>
      <c r="W56" s="65">
        <v>2.6</v>
      </c>
      <c r="X56" s="65">
        <v>2.6</v>
      </c>
      <c r="Y56" s="65">
        <v>2.6</v>
      </c>
      <c r="Z56" s="65">
        <v>2.6</v>
      </c>
      <c r="AA56" s="65">
        <v>2.6</v>
      </c>
      <c r="AB56" s="65">
        <v>2.6</v>
      </c>
      <c r="AC56" s="65">
        <v>2.6</v>
      </c>
      <c r="AD56" s="65">
        <v>2.6</v>
      </c>
      <c r="AE56" s="65">
        <v>2.6</v>
      </c>
      <c r="AF56" s="65">
        <v>2.6</v>
      </c>
      <c r="AG56" s="55">
        <v>15</v>
      </c>
      <c r="AH56" s="48">
        <f t="shared" si="2"/>
        <v>2.6</v>
      </c>
      <c r="AI56" s="49">
        <f t="shared" si="3"/>
        <v>2.6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13.3</v>
      </c>
      <c r="C57" s="65">
        <v>13.3</v>
      </c>
      <c r="D57" s="65">
        <v>13.3</v>
      </c>
      <c r="E57" s="65">
        <v>13.3</v>
      </c>
      <c r="F57" s="65">
        <v>13.3</v>
      </c>
      <c r="G57" s="65">
        <v>13.3</v>
      </c>
      <c r="H57" s="65">
        <v>13.3</v>
      </c>
      <c r="I57" s="65">
        <v>13.3</v>
      </c>
      <c r="J57" s="65">
        <v>13.3</v>
      </c>
      <c r="K57" s="65">
        <v>13.3</v>
      </c>
      <c r="L57" s="65">
        <v>13.3</v>
      </c>
      <c r="M57" s="65">
        <v>13.3</v>
      </c>
      <c r="N57" s="65">
        <v>13.3</v>
      </c>
      <c r="O57" s="65">
        <v>13.3</v>
      </c>
      <c r="P57" s="65">
        <v>13.3</v>
      </c>
      <c r="Q57" s="65">
        <v>13.3</v>
      </c>
      <c r="R57" s="65">
        <v>13.8</v>
      </c>
      <c r="S57" s="65">
        <v>13.8</v>
      </c>
      <c r="T57" s="65">
        <v>13.8</v>
      </c>
      <c r="U57" s="65">
        <v>13.8</v>
      </c>
      <c r="V57" s="65">
        <v>13.8</v>
      </c>
      <c r="W57" s="65">
        <v>13.8</v>
      </c>
      <c r="X57" s="65">
        <v>13.8</v>
      </c>
      <c r="Y57" s="65">
        <v>13.8</v>
      </c>
      <c r="Z57" s="65">
        <v>13.8</v>
      </c>
      <c r="AA57" s="65">
        <v>13.8</v>
      </c>
      <c r="AB57" s="65">
        <v>13.8</v>
      </c>
      <c r="AC57" s="65">
        <v>13.8</v>
      </c>
      <c r="AD57" s="65">
        <v>13.8</v>
      </c>
      <c r="AE57" s="65">
        <v>13.8</v>
      </c>
      <c r="AF57" s="65">
        <v>13.8</v>
      </c>
      <c r="AG57" s="55">
        <v>14.1</v>
      </c>
      <c r="AH57" s="48">
        <f t="shared" si="2"/>
        <v>13.8</v>
      </c>
      <c r="AI57" s="49">
        <f t="shared" si="3"/>
        <v>13.3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6.8</v>
      </c>
      <c r="C58" s="65">
        <v>6.8</v>
      </c>
      <c r="D58" s="65">
        <v>6.8</v>
      </c>
      <c r="E58" s="65">
        <v>6.8</v>
      </c>
      <c r="F58" s="65">
        <v>6.8</v>
      </c>
      <c r="G58" s="65">
        <v>6.8</v>
      </c>
      <c r="H58" s="65">
        <v>6.8</v>
      </c>
      <c r="I58" s="65">
        <v>6.8</v>
      </c>
      <c r="J58" s="65">
        <v>6.8</v>
      </c>
      <c r="K58" s="65">
        <v>6.8</v>
      </c>
      <c r="L58" s="65">
        <v>6.8</v>
      </c>
      <c r="M58" s="65">
        <v>6.8</v>
      </c>
      <c r="N58" s="65">
        <v>6.8</v>
      </c>
      <c r="O58" s="65">
        <v>6.8</v>
      </c>
      <c r="P58" s="65">
        <v>6.8</v>
      </c>
      <c r="Q58" s="65">
        <v>6.8</v>
      </c>
      <c r="R58" s="65">
        <v>6.8</v>
      </c>
      <c r="S58" s="65">
        <v>6.8</v>
      </c>
      <c r="T58" s="65">
        <v>6.8</v>
      </c>
      <c r="U58" s="65">
        <v>6.8</v>
      </c>
      <c r="V58" s="65">
        <v>6.8</v>
      </c>
      <c r="W58" s="65">
        <v>6.8</v>
      </c>
      <c r="X58" s="65">
        <v>6.8</v>
      </c>
      <c r="Y58" s="65">
        <v>6.8</v>
      </c>
      <c r="Z58" s="65">
        <v>6.8</v>
      </c>
      <c r="AA58" s="65">
        <v>6.8</v>
      </c>
      <c r="AB58" s="65">
        <v>6.8</v>
      </c>
      <c r="AC58" s="65">
        <v>6.8</v>
      </c>
      <c r="AD58" s="65">
        <v>6.8</v>
      </c>
      <c r="AE58" s="65">
        <v>6.8</v>
      </c>
      <c r="AF58" s="65">
        <v>6.8</v>
      </c>
      <c r="AG58" s="55">
        <v>14</v>
      </c>
      <c r="AH58" s="48">
        <f t="shared" si="2"/>
        <v>6.8</v>
      </c>
      <c r="AI58" s="49">
        <f t="shared" si="3"/>
        <v>6.8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5">
        <v>6.2</v>
      </c>
      <c r="AH60" s="48">
        <f t="shared" si="2"/>
        <v>3.2</v>
      </c>
      <c r="AI60" s="49">
        <f t="shared" si="3"/>
        <v>3.2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8">SUM(B49:B61)</f>
        <v>146.43999999999997</v>
      </c>
      <c r="C62" s="61">
        <f t="shared" si="8"/>
        <v>155.84</v>
      </c>
      <c r="D62" s="61">
        <f t="shared" si="8"/>
        <v>155.84</v>
      </c>
      <c r="E62" s="61">
        <f t="shared" si="8"/>
        <v>155.44</v>
      </c>
      <c r="F62" s="61">
        <f t="shared" si="8"/>
        <v>128.04</v>
      </c>
      <c r="G62" s="61">
        <f t="shared" si="8"/>
        <v>152.74</v>
      </c>
      <c r="H62" s="61">
        <f t="shared" si="8"/>
        <v>203.64</v>
      </c>
      <c r="I62" s="61">
        <f t="shared" si="8"/>
        <v>256.33999999999997</v>
      </c>
      <c r="J62" s="61">
        <f t="shared" si="8"/>
        <v>308.94000000000005</v>
      </c>
      <c r="K62" s="61">
        <f t="shared" si="8"/>
        <v>328.24000000000007</v>
      </c>
      <c r="L62" s="61">
        <f t="shared" si="8"/>
        <v>328.24000000000007</v>
      </c>
      <c r="M62" s="61">
        <f t="shared" si="8"/>
        <v>389.14000000000004</v>
      </c>
      <c r="N62" s="61">
        <f t="shared" si="8"/>
        <v>389.14000000000004</v>
      </c>
      <c r="O62" s="61">
        <f t="shared" si="8"/>
        <v>389.14000000000004</v>
      </c>
      <c r="P62" s="61">
        <f t="shared" si="8"/>
        <v>365.14000000000004</v>
      </c>
      <c r="Q62" s="61">
        <f t="shared" si="8"/>
        <v>344.14000000000004</v>
      </c>
      <c r="R62" s="61">
        <f t="shared" si="8"/>
        <v>281.34000000000003</v>
      </c>
      <c r="S62" s="61">
        <f t="shared" si="8"/>
        <v>263.54000000000002</v>
      </c>
      <c r="T62" s="61">
        <f t="shared" si="8"/>
        <v>254.94</v>
      </c>
      <c r="U62" s="61">
        <f t="shared" si="8"/>
        <v>254.94</v>
      </c>
      <c r="V62" s="61">
        <f t="shared" ref="V62" si="9">SUM(V49:V61)</f>
        <v>324.24000000000007</v>
      </c>
      <c r="W62" s="61">
        <f t="shared" si="8"/>
        <v>324.24000000000007</v>
      </c>
      <c r="X62" s="61">
        <v>384.84000000000003</v>
      </c>
      <c r="Y62" s="61">
        <v>384.84000000000003</v>
      </c>
      <c r="Z62" s="61">
        <f t="shared" si="8"/>
        <v>393.34000000000009</v>
      </c>
      <c r="AA62" s="61">
        <f t="shared" si="8"/>
        <v>393.34000000000009</v>
      </c>
      <c r="AB62" s="61">
        <f t="shared" si="8"/>
        <v>383.84000000000003</v>
      </c>
      <c r="AC62" s="61">
        <f t="shared" si="8"/>
        <v>327.6400000000001</v>
      </c>
      <c r="AD62" s="61">
        <f t="shared" si="8"/>
        <v>252.54</v>
      </c>
      <c r="AE62" s="61">
        <f t="shared" si="8"/>
        <v>176.04</v>
      </c>
      <c r="AF62" s="61">
        <f t="shared" si="8"/>
        <v>167.54</v>
      </c>
      <c r="AG62" s="62">
        <f t="shared" si="8"/>
        <v>489.91</v>
      </c>
      <c r="AH62" s="48">
        <f t="shared" si="2"/>
        <v>393.34000000000009</v>
      </c>
      <c r="AI62" s="49">
        <f t="shared" si="3"/>
        <v>128.04</v>
      </c>
      <c r="AK62" s="50"/>
    </row>
    <row r="63" spans="1:41" x14ac:dyDescent="0.25">
      <c r="A63" s="44" t="s">
        <v>71</v>
      </c>
      <c r="B63" s="45">
        <v>10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50</v>
      </c>
      <c r="L63" s="45">
        <v>50</v>
      </c>
      <c r="M63" s="45">
        <v>60</v>
      </c>
      <c r="N63" s="45">
        <v>60</v>
      </c>
      <c r="O63" s="45">
        <v>60</v>
      </c>
      <c r="P63" s="45">
        <v>60</v>
      </c>
      <c r="Q63" s="45">
        <v>60</v>
      </c>
      <c r="R63" s="45">
        <v>60</v>
      </c>
      <c r="S63" s="45">
        <v>60</v>
      </c>
      <c r="T63" s="45">
        <v>60</v>
      </c>
      <c r="U63" s="45">
        <v>60</v>
      </c>
      <c r="V63" s="45">
        <v>60</v>
      </c>
      <c r="W63" s="45">
        <v>60</v>
      </c>
      <c r="X63" s="45">
        <v>60</v>
      </c>
      <c r="Y63" s="45">
        <v>60</v>
      </c>
      <c r="Z63" s="45">
        <v>60</v>
      </c>
      <c r="AA63" s="45">
        <v>60</v>
      </c>
      <c r="AB63" s="45">
        <v>60</v>
      </c>
      <c r="AC63" s="45">
        <v>60</v>
      </c>
      <c r="AD63" s="45">
        <v>60</v>
      </c>
      <c r="AE63" s="45">
        <v>60</v>
      </c>
      <c r="AF63" s="45">
        <v>14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4.5999999999999996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22.6</v>
      </c>
      <c r="L64" s="65">
        <v>22.6</v>
      </c>
      <c r="M64" s="65">
        <v>28</v>
      </c>
      <c r="N64" s="65">
        <v>28</v>
      </c>
      <c r="O64" s="65">
        <v>28</v>
      </c>
      <c r="P64" s="65">
        <v>28</v>
      </c>
      <c r="Q64" s="65">
        <v>28</v>
      </c>
      <c r="R64" s="45">
        <v>11.5</v>
      </c>
      <c r="S64" s="65">
        <v>29</v>
      </c>
      <c r="T64" s="65">
        <v>29</v>
      </c>
      <c r="U64" s="65">
        <v>29</v>
      </c>
      <c r="V64" s="65">
        <v>29</v>
      </c>
      <c r="W64" s="65">
        <v>29</v>
      </c>
      <c r="X64" s="65">
        <v>27.5</v>
      </c>
      <c r="Y64" s="65">
        <v>27.5</v>
      </c>
      <c r="Z64" s="65">
        <v>27.6</v>
      </c>
      <c r="AA64" s="65">
        <v>27.6</v>
      </c>
      <c r="AB64" s="65">
        <v>28.1</v>
      </c>
      <c r="AC64" s="65">
        <v>28.1</v>
      </c>
      <c r="AD64" s="65">
        <v>28.1</v>
      </c>
      <c r="AE64" s="65">
        <v>27.7</v>
      </c>
      <c r="AF64" s="45">
        <v>12.6</v>
      </c>
      <c r="AG64" s="55">
        <v>32</v>
      </c>
      <c r="AH64" s="48">
        <f t="shared" si="2"/>
        <v>29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1.7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8.3000000000000007</v>
      </c>
      <c r="L65" s="67">
        <v>8.3000000000000007</v>
      </c>
      <c r="M65" s="67">
        <v>8.3000000000000007</v>
      </c>
      <c r="N65" s="67">
        <v>8.3000000000000007</v>
      </c>
      <c r="O65" s="67">
        <v>8.3000000000000007</v>
      </c>
      <c r="P65" s="67">
        <v>8.3000000000000007</v>
      </c>
      <c r="Q65" s="67">
        <v>8.3000000000000007</v>
      </c>
      <c r="R65" s="45">
        <v>4.3</v>
      </c>
      <c r="S65" s="67">
        <v>10.4</v>
      </c>
      <c r="T65" s="67">
        <v>10.4</v>
      </c>
      <c r="U65" s="67">
        <v>10.4</v>
      </c>
      <c r="V65" s="67">
        <v>10.4</v>
      </c>
      <c r="W65" s="67">
        <v>10.4</v>
      </c>
      <c r="X65" s="67">
        <v>10</v>
      </c>
      <c r="Y65" s="67">
        <v>10</v>
      </c>
      <c r="Z65" s="67">
        <v>10.1</v>
      </c>
      <c r="AA65" s="67">
        <v>10.1</v>
      </c>
      <c r="AB65" s="67">
        <v>10.199999999999999</v>
      </c>
      <c r="AC65" s="67">
        <v>10.199999999999999</v>
      </c>
      <c r="AD65" s="67">
        <v>10.199999999999999</v>
      </c>
      <c r="AE65" s="67">
        <v>10.1</v>
      </c>
      <c r="AF65" s="45">
        <v>4.5999999999999996</v>
      </c>
      <c r="AG65" s="68">
        <v>14</v>
      </c>
      <c r="AH65" s="48">
        <f t="shared" si="2"/>
        <v>10.4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f t="shared" ref="J66:L66" si="10">J63+J64+J65</f>
        <v>0</v>
      </c>
      <c r="K66" s="61">
        <f t="shared" si="10"/>
        <v>80.899999999999991</v>
      </c>
      <c r="L66" s="61">
        <f t="shared" si="10"/>
        <v>80.899999999999991</v>
      </c>
      <c r="M66" s="61">
        <f t="shared" ref="M66:AF66" si="11">M63+M64+M65</f>
        <v>96.3</v>
      </c>
      <c r="N66" s="61">
        <f t="shared" si="11"/>
        <v>96.3</v>
      </c>
      <c r="O66" s="61">
        <f t="shared" si="11"/>
        <v>96.3</v>
      </c>
      <c r="P66" s="61">
        <f t="shared" si="11"/>
        <v>96.3</v>
      </c>
      <c r="Q66" s="61">
        <f t="shared" si="11"/>
        <v>96.3</v>
      </c>
      <c r="R66" s="61">
        <f t="shared" si="11"/>
        <v>75.8</v>
      </c>
      <c r="S66" s="61">
        <f t="shared" si="11"/>
        <v>99.4</v>
      </c>
      <c r="T66" s="61">
        <f t="shared" si="11"/>
        <v>99.4</v>
      </c>
      <c r="U66" s="61">
        <f t="shared" si="11"/>
        <v>99.4</v>
      </c>
      <c r="V66" s="61">
        <f t="shared" ref="V66" si="12">V63+V64+V65</f>
        <v>99.4</v>
      </c>
      <c r="W66" s="61">
        <f t="shared" si="11"/>
        <v>99.4</v>
      </c>
      <c r="X66" s="61">
        <v>97.5</v>
      </c>
      <c r="Y66" s="61">
        <v>97.5</v>
      </c>
      <c r="Z66" s="61">
        <f t="shared" si="11"/>
        <v>97.699999999999989</v>
      </c>
      <c r="AA66" s="61">
        <f t="shared" si="11"/>
        <v>97.699999999999989</v>
      </c>
      <c r="AB66" s="61">
        <f t="shared" si="11"/>
        <v>98.3</v>
      </c>
      <c r="AC66" s="61">
        <f t="shared" si="11"/>
        <v>98.3</v>
      </c>
      <c r="AD66" s="61">
        <f t="shared" si="11"/>
        <v>98.3</v>
      </c>
      <c r="AE66" s="61">
        <f t="shared" si="11"/>
        <v>97.8</v>
      </c>
      <c r="AF66" s="61">
        <f t="shared" si="11"/>
        <v>31.200000000000003</v>
      </c>
      <c r="AG66" s="62">
        <f t="shared" ref="AG66" si="13">SUM(AG63:AG65)</f>
        <v>106</v>
      </c>
      <c r="AH66" s="48">
        <f t="shared" si="2"/>
        <v>99.4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74</v>
      </c>
      <c r="C67" s="45">
        <v>65</v>
      </c>
      <c r="D67" s="45">
        <v>73.7</v>
      </c>
      <c r="E67" s="45">
        <v>64.5</v>
      </c>
      <c r="F67" s="45">
        <v>56.3</v>
      </c>
      <c r="G67" s="45">
        <v>62.1</v>
      </c>
      <c r="H67" s="45">
        <v>65</v>
      </c>
      <c r="I67" s="45">
        <v>67.400000000000006</v>
      </c>
      <c r="J67" s="45">
        <v>52</v>
      </c>
      <c r="K67" s="45">
        <v>65.8</v>
      </c>
      <c r="L67" s="45">
        <v>65.8</v>
      </c>
      <c r="M67" s="45">
        <v>69.400000000000006</v>
      </c>
      <c r="N67" s="45">
        <v>68</v>
      </c>
      <c r="O67" s="45">
        <v>67</v>
      </c>
      <c r="P67" s="45">
        <v>59</v>
      </c>
      <c r="Q67" s="45">
        <v>75</v>
      </c>
      <c r="R67" s="45">
        <v>70</v>
      </c>
      <c r="S67" s="45">
        <v>75</v>
      </c>
      <c r="T67" s="45">
        <v>73.099999999999994</v>
      </c>
      <c r="U67" s="45">
        <v>70</v>
      </c>
      <c r="V67" s="45">
        <v>68</v>
      </c>
      <c r="W67" s="45">
        <v>68</v>
      </c>
      <c r="X67" s="45">
        <v>67.5</v>
      </c>
      <c r="Y67" s="45">
        <v>72.3</v>
      </c>
      <c r="Z67" s="45">
        <v>68.7</v>
      </c>
      <c r="AA67" s="45">
        <v>64.099999999999994</v>
      </c>
      <c r="AB67" s="45">
        <v>62.8</v>
      </c>
      <c r="AC67" s="45">
        <v>71.900000000000006</v>
      </c>
      <c r="AD67" s="45">
        <v>67.3</v>
      </c>
      <c r="AE67" s="45">
        <v>60</v>
      </c>
      <c r="AF67" s="45">
        <v>62</v>
      </c>
      <c r="AG67" s="52"/>
      <c r="AH67" s="48">
        <f t="shared" si="2"/>
        <v>75</v>
      </c>
      <c r="AI67" s="49">
        <f t="shared" si="3"/>
        <v>52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202.2</v>
      </c>
      <c r="C69" s="65">
        <v>167.1</v>
      </c>
      <c r="D69" s="65">
        <v>152.80000000000001</v>
      </c>
      <c r="E69" s="65">
        <v>166.5</v>
      </c>
      <c r="F69" s="65">
        <v>176.1</v>
      </c>
      <c r="G69" s="65">
        <v>168.1</v>
      </c>
      <c r="H69" s="65">
        <v>238</v>
      </c>
      <c r="I69" s="65">
        <v>254</v>
      </c>
      <c r="J69" s="65">
        <v>260</v>
      </c>
      <c r="K69" s="65">
        <v>263.10000000000002</v>
      </c>
      <c r="L69" s="65">
        <v>263.10000000000002</v>
      </c>
      <c r="M69" s="65">
        <v>98.2</v>
      </c>
      <c r="N69" s="65">
        <v>47</v>
      </c>
      <c r="O69" s="65">
        <v>0</v>
      </c>
      <c r="P69" s="65">
        <v>185</v>
      </c>
      <c r="Q69" s="65">
        <v>294</v>
      </c>
      <c r="R69" s="65">
        <v>311</v>
      </c>
      <c r="S69" s="65">
        <v>329</v>
      </c>
      <c r="T69" s="65">
        <v>325</v>
      </c>
      <c r="U69" s="65">
        <v>300</v>
      </c>
      <c r="V69" s="65">
        <v>254</v>
      </c>
      <c r="W69" s="65">
        <v>256</v>
      </c>
      <c r="X69" s="65">
        <v>175</v>
      </c>
      <c r="Y69" s="65">
        <v>77.8</v>
      </c>
      <c r="Z69" s="65">
        <v>72.599999999999994</v>
      </c>
      <c r="AA69" s="65">
        <v>72.599999999999994</v>
      </c>
      <c r="AB69" s="65">
        <v>142.30000000000001</v>
      </c>
      <c r="AC69" s="65">
        <v>235</v>
      </c>
      <c r="AD69" s="65">
        <v>233.5</v>
      </c>
      <c r="AE69" s="65">
        <v>202</v>
      </c>
      <c r="AF69" s="65">
        <v>210</v>
      </c>
      <c r="AG69" s="75"/>
      <c r="AH69" s="48">
        <f t="shared" si="2"/>
        <v>329</v>
      </c>
      <c r="AI69" s="49">
        <f t="shared" si="3"/>
        <v>0</v>
      </c>
      <c r="AK69" s="50"/>
    </row>
    <row r="70" spans="1:40" x14ac:dyDescent="0.25">
      <c r="A70" s="54" t="s">
        <v>78</v>
      </c>
      <c r="B70" s="76">
        <v>53.9</v>
      </c>
      <c r="C70" s="76">
        <v>54.8</v>
      </c>
      <c r="D70" s="76">
        <v>56</v>
      </c>
      <c r="E70" s="76">
        <v>50.5</v>
      </c>
      <c r="F70" s="76">
        <v>50.5</v>
      </c>
      <c r="G70" s="76">
        <v>47.6</v>
      </c>
      <c r="H70" s="76">
        <v>51.2</v>
      </c>
      <c r="I70" s="76">
        <v>50.1</v>
      </c>
      <c r="J70" s="76">
        <v>56.8</v>
      </c>
      <c r="K70" s="76">
        <v>57.5</v>
      </c>
      <c r="L70" s="76">
        <v>57.5</v>
      </c>
      <c r="M70" s="76">
        <v>64.8</v>
      </c>
      <c r="N70" s="76">
        <v>64.8</v>
      </c>
      <c r="O70" s="76">
        <v>63.9</v>
      </c>
      <c r="P70" s="76">
        <v>68</v>
      </c>
      <c r="Q70" s="76">
        <v>55</v>
      </c>
      <c r="R70" s="76">
        <v>54.2</v>
      </c>
      <c r="S70" s="76">
        <v>64</v>
      </c>
      <c r="T70" s="76">
        <v>64</v>
      </c>
      <c r="U70" s="76">
        <v>64</v>
      </c>
      <c r="V70" s="76">
        <v>64</v>
      </c>
      <c r="W70" s="76">
        <v>64</v>
      </c>
      <c r="X70" s="65">
        <v>60.09</v>
      </c>
      <c r="Y70" s="65">
        <v>60.09</v>
      </c>
      <c r="Z70" s="65">
        <v>58</v>
      </c>
      <c r="AA70" s="65">
        <v>58</v>
      </c>
      <c r="AB70" s="65">
        <v>52.5</v>
      </c>
      <c r="AC70" s="65">
        <v>55.4</v>
      </c>
      <c r="AD70" s="65">
        <v>52.9</v>
      </c>
      <c r="AE70" s="65">
        <v>56.9</v>
      </c>
      <c r="AF70" s="65">
        <v>62.3</v>
      </c>
      <c r="AG70" s="75"/>
      <c r="AH70" s="48">
        <f t="shared" si="2"/>
        <v>68</v>
      </c>
      <c r="AI70" s="49">
        <f t="shared" si="3"/>
        <v>47.6</v>
      </c>
      <c r="AK70" s="50"/>
    </row>
    <row r="71" spans="1:40" x14ac:dyDescent="0.25">
      <c r="A71" s="54" t="s">
        <v>79</v>
      </c>
      <c r="B71" s="45">
        <v>22.7</v>
      </c>
      <c r="C71" s="45">
        <v>22.1</v>
      </c>
      <c r="D71" s="45">
        <v>22.2</v>
      </c>
      <c r="E71" s="45">
        <v>23.4</v>
      </c>
      <c r="F71" s="45">
        <v>23.4</v>
      </c>
      <c r="G71" s="45">
        <v>22.4</v>
      </c>
      <c r="H71" s="45">
        <v>23.3</v>
      </c>
      <c r="I71" s="45">
        <v>23.1</v>
      </c>
      <c r="J71" s="45">
        <v>24.7</v>
      </c>
      <c r="K71" s="45">
        <v>25.2</v>
      </c>
      <c r="L71" s="45">
        <v>25.2</v>
      </c>
      <c r="M71" s="45">
        <v>32.5</v>
      </c>
      <c r="N71" s="45">
        <v>36</v>
      </c>
      <c r="O71" s="45">
        <v>36</v>
      </c>
      <c r="P71" s="45">
        <v>34.1</v>
      </c>
      <c r="Q71" s="45">
        <v>36.5</v>
      </c>
      <c r="R71" s="45">
        <v>33.299999999999997</v>
      </c>
      <c r="S71" s="45">
        <v>34.4</v>
      </c>
      <c r="T71" s="45">
        <v>34.4</v>
      </c>
      <c r="U71" s="45">
        <v>34.4</v>
      </c>
      <c r="V71" s="45">
        <v>34.4</v>
      </c>
      <c r="W71" s="45">
        <v>34.4</v>
      </c>
      <c r="X71" s="45">
        <v>28.6</v>
      </c>
      <c r="Y71" s="45">
        <v>28.6</v>
      </c>
      <c r="Z71" s="45">
        <v>25.5</v>
      </c>
      <c r="AA71" s="45">
        <v>25.5</v>
      </c>
      <c r="AB71" s="45">
        <v>24.5</v>
      </c>
      <c r="AC71" s="45">
        <v>23.8</v>
      </c>
      <c r="AD71" s="45">
        <v>23</v>
      </c>
      <c r="AE71" s="45">
        <v>21.9</v>
      </c>
      <c r="AF71" s="45">
        <v>25.5</v>
      </c>
      <c r="AG71" s="75"/>
      <c r="AH71" s="48">
        <f t="shared" si="2"/>
        <v>36.5</v>
      </c>
      <c r="AI71" s="49">
        <f t="shared" si="3"/>
        <v>21.9</v>
      </c>
      <c r="AK71" s="50"/>
    </row>
    <row r="72" spans="1:40" x14ac:dyDescent="0.25">
      <c r="A72" s="54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6</v>
      </c>
      <c r="L72" s="77">
        <v>6</v>
      </c>
      <c r="M72" s="77">
        <v>6</v>
      </c>
      <c r="N72" s="77">
        <v>6</v>
      </c>
      <c r="O72" s="77">
        <v>6</v>
      </c>
      <c r="P72" s="77">
        <v>6</v>
      </c>
      <c r="Q72" s="77">
        <v>6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5</v>
      </c>
      <c r="AC72" s="77">
        <v>5</v>
      </c>
      <c r="AD72" s="77">
        <v>5</v>
      </c>
      <c r="AE72" s="77">
        <v>5</v>
      </c>
      <c r="AF72" s="77">
        <v>0</v>
      </c>
      <c r="AG72" s="75"/>
      <c r="AH72" s="48">
        <f t="shared" si="2"/>
        <v>6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14">MAX(B75:AF75)</f>
        <v>0</v>
      </c>
      <c r="AI75" s="49">
        <f t="shared" ref="AI75:AI113" si="15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14"/>
        <v>0</v>
      </c>
      <c r="AI76" s="49">
        <f t="shared" si="15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14"/>
        <v>0</v>
      </c>
      <c r="AI77" s="49">
        <f t="shared" si="15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6">SUMIF(B67:B77,"&gt;0")</f>
        <v>357.79999999999995</v>
      </c>
      <c r="C78" s="61">
        <f t="shared" si="16"/>
        <v>314</v>
      </c>
      <c r="D78" s="61">
        <f t="shared" si="16"/>
        <v>309.7</v>
      </c>
      <c r="E78" s="61">
        <f t="shared" si="16"/>
        <v>309.89999999999998</v>
      </c>
      <c r="F78" s="61">
        <f t="shared" si="16"/>
        <v>311.29999999999995</v>
      </c>
      <c r="G78" s="61">
        <f t="shared" si="16"/>
        <v>305.2</v>
      </c>
      <c r="H78" s="61">
        <f t="shared" si="16"/>
        <v>382.5</v>
      </c>
      <c r="I78" s="61">
        <f t="shared" si="16"/>
        <v>399.6</v>
      </c>
      <c r="J78" s="61">
        <f t="shared" si="16"/>
        <v>398.5</v>
      </c>
      <c r="K78" s="61">
        <f t="shared" si="16"/>
        <v>417.6</v>
      </c>
      <c r="L78" s="61">
        <f t="shared" si="16"/>
        <v>417.6</v>
      </c>
      <c r="M78" s="61">
        <f t="shared" si="16"/>
        <v>270.90000000000003</v>
      </c>
      <c r="N78" s="61">
        <f t="shared" si="16"/>
        <v>221.8</v>
      </c>
      <c r="O78" s="61">
        <f t="shared" si="16"/>
        <v>172.9</v>
      </c>
      <c r="P78" s="61">
        <f t="shared" si="16"/>
        <v>352.1</v>
      </c>
      <c r="Q78" s="61">
        <f t="shared" si="16"/>
        <v>466.5</v>
      </c>
      <c r="R78" s="61">
        <f t="shared" si="16"/>
        <v>468.5</v>
      </c>
      <c r="S78" s="61">
        <f t="shared" si="16"/>
        <v>502.4</v>
      </c>
      <c r="T78" s="61">
        <f t="shared" si="16"/>
        <v>496.5</v>
      </c>
      <c r="U78" s="61">
        <f t="shared" si="16"/>
        <v>468.4</v>
      </c>
      <c r="V78" s="61">
        <f t="shared" ref="V78" si="17">SUMIF(V67:V77,"&gt;0")</f>
        <v>420.4</v>
      </c>
      <c r="W78" s="61">
        <f t="shared" si="16"/>
        <v>422.4</v>
      </c>
      <c r="X78" s="61">
        <v>331.19000000000005</v>
      </c>
      <c r="Y78" s="61">
        <v>331.19000000000005</v>
      </c>
      <c r="Z78" s="61">
        <f t="shared" si="16"/>
        <v>224.8</v>
      </c>
      <c r="AA78" s="61">
        <f t="shared" si="16"/>
        <v>220.2</v>
      </c>
      <c r="AB78" s="61">
        <f t="shared" si="16"/>
        <v>287.10000000000002</v>
      </c>
      <c r="AC78" s="61">
        <f t="shared" si="16"/>
        <v>391.09999999999997</v>
      </c>
      <c r="AD78" s="61">
        <f t="shared" si="16"/>
        <v>381.7</v>
      </c>
      <c r="AE78" s="61">
        <f t="shared" si="16"/>
        <v>345.79999999999995</v>
      </c>
      <c r="AF78" s="61">
        <f t="shared" si="16"/>
        <v>359.8</v>
      </c>
      <c r="AG78" s="81">
        <f>SUM(AG67:AG77)</f>
        <v>0</v>
      </c>
      <c r="AH78" s="48">
        <f t="shared" si="14"/>
        <v>502.4</v>
      </c>
      <c r="AI78" s="49">
        <f t="shared" si="15"/>
        <v>172.9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14"/>
        <v>0</v>
      </c>
      <c r="AI79" s="49">
        <f t="shared" si="15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14"/>
        <v>0</v>
      </c>
      <c r="AI80" s="49">
        <f t="shared" si="15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4"/>
        <v>0</v>
      </c>
      <c r="AI81" s="49">
        <f t="shared" si="15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>
        <v>0</v>
      </c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14"/>
        <v>0</v>
      </c>
      <c r="AI82" s="49">
        <f t="shared" si="15"/>
        <v>0</v>
      </c>
    </row>
    <row r="83" spans="1:37" ht="15.75" thickBot="1" x14ac:dyDescent="0.3">
      <c r="A83" s="74" t="s">
        <v>91</v>
      </c>
      <c r="B83" s="83">
        <f>B44+B48+B66+B62+B78+B82</f>
        <v>1070.7399999999998</v>
      </c>
      <c r="C83" s="83">
        <f t="shared" ref="C83:AG83" si="18">C44+C48+C66+C62+C78+C82</f>
        <v>1036.3400000000001</v>
      </c>
      <c r="D83" s="83">
        <f t="shared" si="18"/>
        <v>1032.04</v>
      </c>
      <c r="E83" s="83">
        <f t="shared" si="18"/>
        <v>1033.2399999999998</v>
      </c>
      <c r="F83" s="83">
        <f t="shared" si="18"/>
        <v>1022.3399999999999</v>
      </c>
      <c r="G83" s="83">
        <f t="shared" si="18"/>
        <v>1085.94</v>
      </c>
      <c r="H83" s="83">
        <f t="shared" si="18"/>
        <v>1179.1399999999999</v>
      </c>
      <c r="I83" s="83">
        <f t="shared" si="18"/>
        <v>1253.94</v>
      </c>
      <c r="J83" s="83">
        <f t="shared" si="18"/>
        <v>1365.3400000000001</v>
      </c>
      <c r="K83" s="83">
        <f t="shared" si="18"/>
        <v>1494.7400000000002</v>
      </c>
      <c r="L83" s="83">
        <f t="shared" si="18"/>
        <v>1494.7400000000002</v>
      </c>
      <c r="M83" s="83">
        <f t="shared" si="18"/>
        <v>1674.3400000000001</v>
      </c>
      <c r="N83" s="83">
        <f t="shared" si="18"/>
        <v>1630.24</v>
      </c>
      <c r="O83" s="83">
        <f t="shared" si="18"/>
        <v>1576.3400000000001</v>
      </c>
      <c r="P83" s="83">
        <f t="shared" si="18"/>
        <v>1506.54</v>
      </c>
      <c r="Q83" s="83">
        <f t="shared" si="18"/>
        <v>1504.94</v>
      </c>
      <c r="R83" s="83">
        <f t="shared" si="18"/>
        <v>1404.84</v>
      </c>
      <c r="S83" s="83">
        <f t="shared" si="18"/>
        <v>1444.54</v>
      </c>
      <c r="T83" s="83">
        <f t="shared" si="18"/>
        <v>1430.04</v>
      </c>
      <c r="U83" s="83">
        <f t="shared" si="18"/>
        <v>1456.2399999999998</v>
      </c>
      <c r="V83" s="83">
        <f t="shared" ref="V83" si="19">V44+V48+V66+V62+V78+V82</f>
        <v>1469.8400000000001</v>
      </c>
      <c r="W83" s="83">
        <f t="shared" si="18"/>
        <v>1551.8400000000001</v>
      </c>
      <c r="X83" s="83">
        <v>1636.9299999999998</v>
      </c>
      <c r="Y83" s="83">
        <v>1636.9299999999998</v>
      </c>
      <c r="Z83" s="83">
        <f t="shared" si="18"/>
        <v>1596.44</v>
      </c>
      <c r="AA83" s="83">
        <f t="shared" si="18"/>
        <v>1531.8400000000001</v>
      </c>
      <c r="AB83" s="83">
        <f t="shared" si="18"/>
        <v>1432.2399999999998</v>
      </c>
      <c r="AC83" s="83">
        <f t="shared" si="18"/>
        <v>1460.04</v>
      </c>
      <c r="AD83" s="83">
        <f t="shared" si="18"/>
        <v>1365.54</v>
      </c>
      <c r="AE83" s="83">
        <f t="shared" si="18"/>
        <v>1233.2399999999998</v>
      </c>
      <c r="AF83" s="83">
        <f t="shared" si="18"/>
        <v>1124.24</v>
      </c>
      <c r="AG83" s="62">
        <f t="shared" si="18"/>
        <v>2004.1900000000003</v>
      </c>
      <c r="AH83" s="48">
        <f>MAX(B83:AF83)</f>
        <v>1674.3400000000001</v>
      </c>
      <c r="AI83" s="49">
        <f>MIN(B83:AF83)</f>
        <v>1022.3399999999999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>
        <v>60</v>
      </c>
      <c r="N84" s="85">
        <v>60</v>
      </c>
      <c r="O84" s="85">
        <v>60</v>
      </c>
      <c r="P84" s="85">
        <v>60</v>
      </c>
      <c r="Q84" s="85">
        <v>30</v>
      </c>
      <c r="R84" s="85"/>
      <c r="S84" s="85"/>
      <c r="T84" s="85"/>
      <c r="U84" s="85"/>
      <c r="V84" s="85"/>
      <c r="W84" s="85">
        <v>100</v>
      </c>
      <c r="X84" s="85">
        <v>100</v>
      </c>
      <c r="Y84" s="85">
        <v>100</v>
      </c>
      <c r="Z84" s="85">
        <v>100</v>
      </c>
      <c r="AA84" s="85">
        <v>100</v>
      </c>
      <c r="AB84" s="85"/>
      <c r="AC84" s="85"/>
      <c r="AD84" s="85"/>
      <c r="AE84" s="85"/>
      <c r="AF84" s="85"/>
      <c r="AG84" s="81"/>
      <c r="AH84" s="48">
        <f t="shared" si="14"/>
        <v>100</v>
      </c>
      <c r="AI84" s="49">
        <f t="shared" si="15"/>
        <v>30</v>
      </c>
    </row>
    <row r="85" spans="1:37" ht="15.75" thickBot="1" x14ac:dyDescent="0.3">
      <c r="A85" s="74" t="s">
        <v>93</v>
      </c>
      <c r="B85" s="83">
        <f>B83+B84</f>
        <v>1070.7399999999998</v>
      </c>
      <c r="C85" s="83">
        <f t="shared" ref="C85:AF85" si="20">C83+C84</f>
        <v>1036.3400000000001</v>
      </c>
      <c r="D85" s="83">
        <f t="shared" si="20"/>
        <v>1032.04</v>
      </c>
      <c r="E85" s="83">
        <f t="shared" si="20"/>
        <v>1033.2399999999998</v>
      </c>
      <c r="F85" s="83">
        <f t="shared" si="20"/>
        <v>1022.3399999999999</v>
      </c>
      <c r="G85" s="83">
        <f t="shared" si="20"/>
        <v>1085.94</v>
      </c>
      <c r="H85" s="83">
        <f t="shared" si="20"/>
        <v>1179.1399999999999</v>
      </c>
      <c r="I85" s="83">
        <f t="shared" si="20"/>
        <v>1253.94</v>
      </c>
      <c r="J85" s="83">
        <f t="shared" si="20"/>
        <v>1365.3400000000001</v>
      </c>
      <c r="K85" s="83">
        <f t="shared" si="20"/>
        <v>1494.7400000000002</v>
      </c>
      <c r="L85" s="83">
        <f t="shared" si="20"/>
        <v>1494.7400000000002</v>
      </c>
      <c r="M85" s="83">
        <f t="shared" si="20"/>
        <v>1734.3400000000001</v>
      </c>
      <c r="N85" s="83">
        <f t="shared" si="20"/>
        <v>1690.24</v>
      </c>
      <c r="O85" s="83">
        <f t="shared" si="20"/>
        <v>1636.3400000000001</v>
      </c>
      <c r="P85" s="83">
        <f t="shared" si="20"/>
        <v>1566.54</v>
      </c>
      <c r="Q85" s="83">
        <f t="shared" si="20"/>
        <v>1534.94</v>
      </c>
      <c r="R85" s="83">
        <f t="shared" si="20"/>
        <v>1404.84</v>
      </c>
      <c r="S85" s="83">
        <f t="shared" si="20"/>
        <v>1444.54</v>
      </c>
      <c r="T85" s="83">
        <f t="shared" si="20"/>
        <v>1430.04</v>
      </c>
      <c r="U85" s="83">
        <f t="shared" si="20"/>
        <v>1456.2399999999998</v>
      </c>
      <c r="V85" s="83">
        <f t="shared" ref="V85" si="21">V83+V84</f>
        <v>1469.8400000000001</v>
      </c>
      <c r="W85" s="83">
        <f t="shared" si="20"/>
        <v>1651.8400000000001</v>
      </c>
      <c r="X85" s="83">
        <v>1636.9299999999998</v>
      </c>
      <c r="Y85" s="83">
        <v>1636.9299999999998</v>
      </c>
      <c r="Z85" s="83">
        <f t="shared" si="20"/>
        <v>1696.44</v>
      </c>
      <c r="AA85" s="83">
        <f t="shared" si="20"/>
        <v>1631.8400000000001</v>
      </c>
      <c r="AB85" s="83">
        <f t="shared" si="20"/>
        <v>1432.2399999999998</v>
      </c>
      <c r="AC85" s="83">
        <f t="shared" si="20"/>
        <v>1460.04</v>
      </c>
      <c r="AD85" s="83">
        <f t="shared" si="20"/>
        <v>1365.54</v>
      </c>
      <c r="AE85" s="83">
        <f t="shared" si="20"/>
        <v>1233.2399999999998</v>
      </c>
      <c r="AF85" s="83">
        <f t="shared" si="20"/>
        <v>1124.24</v>
      </c>
      <c r="AG85" s="81">
        <f>AG82+AG78+AG66+AG62+AG44+AG84</f>
        <v>1466.0900000000001</v>
      </c>
      <c r="AH85" s="48">
        <f t="shared" si="14"/>
        <v>1734.3400000000001</v>
      </c>
      <c r="AI85" s="49">
        <f t="shared" si="15"/>
        <v>1022.3399999999999</v>
      </c>
    </row>
    <row r="86" spans="1:37" ht="15.75" thickBot="1" x14ac:dyDescent="0.3">
      <c r="A86" s="74" t="s">
        <v>94</v>
      </c>
      <c r="B86" s="83">
        <f t="shared" ref="B86:AF86" si="22">B85-B93</f>
        <v>1070.7399999999998</v>
      </c>
      <c r="C86" s="83">
        <f t="shared" si="22"/>
        <v>1036.3400000000001</v>
      </c>
      <c r="D86" s="83">
        <f t="shared" si="22"/>
        <v>1032.04</v>
      </c>
      <c r="E86" s="83">
        <f t="shared" si="22"/>
        <v>1033.2399999999998</v>
      </c>
      <c r="F86" s="83">
        <f t="shared" si="22"/>
        <v>1022.3399999999999</v>
      </c>
      <c r="G86" s="83">
        <f t="shared" si="22"/>
        <v>1085.94</v>
      </c>
      <c r="H86" s="83">
        <f t="shared" si="22"/>
        <v>1179.1399999999999</v>
      </c>
      <c r="I86" s="83">
        <f t="shared" si="22"/>
        <v>1253.94</v>
      </c>
      <c r="J86" s="83">
        <f t="shared" si="22"/>
        <v>1365.3400000000001</v>
      </c>
      <c r="K86" s="83">
        <f t="shared" si="22"/>
        <v>1494.7400000000002</v>
      </c>
      <c r="L86" s="83">
        <f t="shared" si="22"/>
        <v>1494.7400000000002</v>
      </c>
      <c r="M86" s="83">
        <f t="shared" si="22"/>
        <v>1734.3400000000001</v>
      </c>
      <c r="N86" s="83">
        <f t="shared" si="22"/>
        <v>1690.24</v>
      </c>
      <c r="O86" s="83">
        <f t="shared" si="22"/>
        <v>1636.3400000000001</v>
      </c>
      <c r="P86" s="83">
        <f t="shared" si="22"/>
        <v>1566.54</v>
      </c>
      <c r="Q86" s="83">
        <f t="shared" si="22"/>
        <v>1534.94</v>
      </c>
      <c r="R86" s="83">
        <f t="shared" si="22"/>
        <v>1404.84</v>
      </c>
      <c r="S86" s="83">
        <f t="shared" si="22"/>
        <v>1444.54</v>
      </c>
      <c r="T86" s="83">
        <f t="shared" si="22"/>
        <v>1430.04</v>
      </c>
      <c r="U86" s="83">
        <f t="shared" si="22"/>
        <v>1456.2399999999998</v>
      </c>
      <c r="V86" s="83">
        <f t="shared" ref="V86" si="23">V85-V93</f>
        <v>1469.8400000000001</v>
      </c>
      <c r="W86" s="83">
        <f t="shared" si="22"/>
        <v>1651.8400000000001</v>
      </c>
      <c r="X86" s="83">
        <v>1636.9299999999998</v>
      </c>
      <c r="Y86" s="83">
        <v>1636.9299999999998</v>
      </c>
      <c r="Z86" s="83">
        <f t="shared" si="22"/>
        <v>1696.44</v>
      </c>
      <c r="AA86" s="83">
        <f t="shared" si="22"/>
        <v>1631.8400000000001</v>
      </c>
      <c r="AB86" s="83">
        <f t="shared" si="22"/>
        <v>1432.2399999999998</v>
      </c>
      <c r="AC86" s="83">
        <f t="shared" si="22"/>
        <v>1460.04</v>
      </c>
      <c r="AD86" s="83">
        <f t="shared" si="22"/>
        <v>1365.54</v>
      </c>
      <c r="AE86" s="83">
        <f t="shared" si="22"/>
        <v>1233.2399999999998</v>
      </c>
      <c r="AF86" s="83">
        <f t="shared" si="22"/>
        <v>1124.24</v>
      </c>
      <c r="AG86" s="81"/>
      <c r="AH86" s="48">
        <f t="shared" si="14"/>
        <v>1734.3400000000001</v>
      </c>
      <c r="AI86" s="49">
        <f t="shared" si="15"/>
        <v>1022.3399999999999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14"/>
        <v>0</v>
      </c>
      <c r="AI87" s="49">
        <f t="shared" si="15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14"/>
        <v>0</v>
      </c>
      <c r="AI88" s="49">
        <f t="shared" si="15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14"/>
        <v>0</v>
      </c>
      <c r="AI89" s="49">
        <f t="shared" si="15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14"/>
        <v>0</v>
      </c>
      <c r="AI90" s="49">
        <f t="shared" si="15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14"/>
        <v>0</v>
      </c>
      <c r="AI91" s="49">
        <f t="shared" si="15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14"/>
        <v>0</v>
      </c>
      <c r="AI92" s="49">
        <f t="shared" si="15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>
        <v>0</v>
      </c>
      <c r="Z93" s="61"/>
      <c r="AA93" s="61"/>
      <c r="AB93" s="61"/>
      <c r="AC93" s="61"/>
      <c r="AD93" s="61"/>
      <c r="AE93" s="61"/>
      <c r="AF93" s="61"/>
      <c r="AG93" s="81"/>
      <c r="AH93" s="48">
        <f t="shared" si="14"/>
        <v>0</v>
      </c>
      <c r="AI93" s="49">
        <f t="shared" si="15"/>
        <v>0</v>
      </c>
      <c r="AK93" s="50"/>
    </row>
    <row r="94" spans="1:37" ht="15.75" thickBot="1" x14ac:dyDescent="0.3">
      <c r="A94" s="74" t="s">
        <v>99</v>
      </c>
      <c r="B94" s="61">
        <f t="shared" ref="B94:AF94" si="24">B78-B93</f>
        <v>357.79999999999995</v>
      </c>
      <c r="C94" s="61">
        <f t="shared" si="24"/>
        <v>314</v>
      </c>
      <c r="D94" s="61">
        <f t="shared" si="24"/>
        <v>309.7</v>
      </c>
      <c r="E94" s="61">
        <f t="shared" si="24"/>
        <v>309.89999999999998</v>
      </c>
      <c r="F94" s="61">
        <f t="shared" si="24"/>
        <v>311.29999999999995</v>
      </c>
      <c r="G94" s="61">
        <f t="shared" si="24"/>
        <v>305.2</v>
      </c>
      <c r="H94" s="61">
        <f t="shared" si="24"/>
        <v>382.5</v>
      </c>
      <c r="I94" s="61">
        <f t="shared" si="24"/>
        <v>399.6</v>
      </c>
      <c r="J94" s="61">
        <f t="shared" si="24"/>
        <v>398.5</v>
      </c>
      <c r="K94" s="61">
        <f t="shared" si="24"/>
        <v>417.6</v>
      </c>
      <c r="L94" s="61">
        <f t="shared" si="24"/>
        <v>417.6</v>
      </c>
      <c r="M94" s="61">
        <f t="shared" si="24"/>
        <v>270.90000000000003</v>
      </c>
      <c r="N94" s="61">
        <f t="shared" si="24"/>
        <v>221.8</v>
      </c>
      <c r="O94" s="61">
        <f t="shared" si="24"/>
        <v>172.9</v>
      </c>
      <c r="P94" s="61">
        <f t="shared" si="24"/>
        <v>352.1</v>
      </c>
      <c r="Q94" s="61">
        <f t="shared" si="24"/>
        <v>466.5</v>
      </c>
      <c r="R94" s="61">
        <f t="shared" si="24"/>
        <v>468.5</v>
      </c>
      <c r="S94" s="61">
        <f t="shared" si="24"/>
        <v>502.4</v>
      </c>
      <c r="T94" s="61">
        <f t="shared" si="24"/>
        <v>496.5</v>
      </c>
      <c r="U94" s="61">
        <f t="shared" si="24"/>
        <v>468.4</v>
      </c>
      <c r="V94" s="61">
        <f t="shared" ref="V94" si="25">V78-V93</f>
        <v>420.4</v>
      </c>
      <c r="W94" s="61">
        <f t="shared" si="24"/>
        <v>422.4</v>
      </c>
      <c r="X94" s="61">
        <v>331.19000000000005</v>
      </c>
      <c r="Y94" s="61">
        <v>331.19000000000005</v>
      </c>
      <c r="Z94" s="61">
        <f t="shared" si="24"/>
        <v>224.8</v>
      </c>
      <c r="AA94" s="61">
        <f t="shared" si="24"/>
        <v>220.2</v>
      </c>
      <c r="AB94" s="61">
        <f t="shared" si="24"/>
        <v>287.10000000000002</v>
      </c>
      <c r="AC94" s="61">
        <f t="shared" si="24"/>
        <v>391.09999999999997</v>
      </c>
      <c r="AD94" s="61">
        <f t="shared" si="24"/>
        <v>381.7</v>
      </c>
      <c r="AE94" s="61">
        <f t="shared" si="24"/>
        <v>345.79999999999995</v>
      </c>
      <c r="AF94" s="61">
        <f t="shared" si="24"/>
        <v>359.8</v>
      </c>
      <c r="AG94" s="81"/>
      <c r="AH94" s="48">
        <f t="shared" si="14"/>
        <v>502.4</v>
      </c>
      <c r="AI94" s="49">
        <f t="shared" si="15"/>
        <v>172.9</v>
      </c>
    </row>
    <row r="95" spans="1:37" x14ac:dyDescent="0.25">
      <c r="A95" s="88" t="s">
        <v>100</v>
      </c>
      <c r="B95" s="89">
        <v>49.999000000000002</v>
      </c>
      <c r="C95" s="89">
        <v>49.978999999999999</v>
      </c>
      <c r="D95" s="89">
        <v>49.987000000000002</v>
      </c>
      <c r="E95" s="89">
        <v>50.045000000000002</v>
      </c>
      <c r="F95" s="89">
        <v>50.07</v>
      </c>
      <c r="G95" s="89">
        <v>50.008000000000003</v>
      </c>
      <c r="H95" s="89">
        <v>49.746000000000002</v>
      </c>
      <c r="I95" s="89">
        <v>49.764000000000003</v>
      </c>
      <c r="J95" s="89">
        <v>49.758000000000003</v>
      </c>
      <c r="K95" s="89">
        <v>49.865000000000002</v>
      </c>
      <c r="L95" s="89">
        <v>49.865000000000002</v>
      </c>
      <c r="M95" s="89">
        <v>50.045999999999999</v>
      </c>
      <c r="N95" s="89">
        <v>50.045999999999999</v>
      </c>
      <c r="O95" s="89">
        <v>49.905999999999999</v>
      </c>
      <c r="P95" s="89">
        <v>49.988999999999997</v>
      </c>
      <c r="Q95" s="89">
        <v>50.012999999999998</v>
      </c>
      <c r="R95" s="89">
        <v>50.030999999999999</v>
      </c>
      <c r="S95" s="89">
        <v>50.05</v>
      </c>
      <c r="T95" s="89">
        <v>49.93</v>
      </c>
      <c r="U95" s="89">
        <v>50.04</v>
      </c>
      <c r="V95" s="89">
        <v>49.91</v>
      </c>
      <c r="W95" s="89">
        <v>49.86</v>
      </c>
      <c r="X95" s="89">
        <v>49.84</v>
      </c>
      <c r="Y95" s="89">
        <v>49.97</v>
      </c>
      <c r="Z95" s="89">
        <v>49.96</v>
      </c>
      <c r="AA95" s="89">
        <v>49.96</v>
      </c>
      <c r="AB95" s="89">
        <v>50.026000000000003</v>
      </c>
      <c r="AC95" s="89">
        <v>50.052</v>
      </c>
      <c r="AD95" s="89">
        <v>49.948</v>
      </c>
      <c r="AE95" s="89">
        <v>50.05</v>
      </c>
      <c r="AF95" s="89">
        <v>49.945</v>
      </c>
      <c r="AG95" s="90"/>
      <c r="AH95" s="48">
        <f t="shared" si="14"/>
        <v>50.07</v>
      </c>
      <c r="AI95" s="49">
        <f t="shared" si="15"/>
        <v>49.746000000000002</v>
      </c>
    </row>
    <row r="96" spans="1:37" x14ac:dyDescent="0.25">
      <c r="A96" s="91" t="s">
        <v>101</v>
      </c>
      <c r="B96" s="65">
        <v>129.4</v>
      </c>
      <c r="C96" s="65">
        <v>129.6</v>
      </c>
      <c r="D96" s="65">
        <v>130.5</v>
      </c>
      <c r="E96" s="65">
        <v>129.5</v>
      </c>
      <c r="F96" s="65">
        <v>130.6</v>
      </c>
      <c r="G96" s="65">
        <v>127.5</v>
      </c>
      <c r="H96" s="65">
        <v>125.9</v>
      </c>
      <c r="I96" s="65">
        <v>124.9</v>
      </c>
      <c r="J96" s="65">
        <v>123.5</v>
      </c>
      <c r="K96" s="65">
        <v>126.2</v>
      </c>
      <c r="L96" s="65">
        <v>126.2</v>
      </c>
      <c r="M96" s="65">
        <v>124.3</v>
      </c>
      <c r="N96" s="65">
        <v>124.3</v>
      </c>
      <c r="O96" s="65">
        <v>122.9</v>
      </c>
      <c r="P96" s="65">
        <v>126.8</v>
      </c>
      <c r="Q96" s="65">
        <v>124.1</v>
      </c>
      <c r="R96" s="65">
        <v>125.6</v>
      </c>
      <c r="S96" s="65">
        <v>125.7</v>
      </c>
      <c r="T96" s="65">
        <v>125.8</v>
      </c>
      <c r="U96" s="65">
        <v>125.7</v>
      </c>
      <c r="V96" s="65">
        <v>128.30000000000001</v>
      </c>
      <c r="W96" s="65">
        <v>127.5</v>
      </c>
      <c r="X96" s="65">
        <v>126.4</v>
      </c>
      <c r="Y96" s="65">
        <v>126.9</v>
      </c>
      <c r="Z96" s="65">
        <v>127.8</v>
      </c>
      <c r="AA96" s="65">
        <v>128.5</v>
      </c>
      <c r="AB96" s="65">
        <v>130.69999999999999</v>
      </c>
      <c r="AC96" s="65">
        <v>129</v>
      </c>
      <c r="AD96" s="65">
        <v>128.19999999999999</v>
      </c>
      <c r="AE96" s="65">
        <v>130.30000000000001</v>
      </c>
      <c r="AF96" s="65">
        <v>128.5</v>
      </c>
      <c r="AG96" s="92"/>
      <c r="AH96" s="48">
        <f t="shared" si="14"/>
        <v>130.69999999999999</v>
      </c>
      <c r="AI96" s="49">
        <f t="shared" si="15"/>
        <v>122.9</v>
      </c>
    </row>
    <row r="97" spans="1:35" x14ac:dyDescent="0.25">
      <c r="A97" s="91" t="s">
        <v>102</v>
      </c>
      <c r="B97" s="65">
        <v>132.9</v>
      </c>
      <c r="C97" s="65">
        <v>133.30000000000001</v>
      </c>
      <c r="D97" s="65">
        <v>133.80000000000001</v>
      </c>
      <c r="E97" s="65">
        <v>133.30000000000001</v>
      </c>
      <c r="F97" s="65">
        <v>134</v>
      </c>
      <c r="G97" s="65">
        <v>131.5</v>
      </c>
      <c r="H97" s="65">
        <v>130.19999999999999</v>
      </c>
      <c r="I97" s="65">
        <v>129</v>
      </c>
      <c r="J97" s="65">
        <v>127.5</v>
      </c>
      <c r="K97" s="65">
        <v>129</v>
      </c>
      <c r="L97" s="65">
        <v>129</v>
      </c>
      <c r="M97" s="65">
        <v>126.4</v>
      </c>
      <c r="N97" s="65">
        <v>126.4</v>
      </c>
      <c r="O97" s="65">
        <v>125.5</v>
      </c>
      <c r="P97" s="65">
        <v>127.8</v>
      </c>
      <c r="Q97" s="65">
        <v>127</v>
      </c>
      <c r="R97" s="65">
        <v>128.5</v>
      </c>
      <c r="S97" s="65">
        <v>128.69999999999999</v>
      </c>
      <c r="T97" s="65">
        <v>128.6</v>
      </c>
      <c r="U97" s="65">
        <v>128.30000000000001</v>
      </c>
      <c r="V97" s="65">
        <v>129.69999999999999</v>
      </c>
      <c r="W97" s="65">
        <v>128.80000000000001</v>
      </c>
      <c r="X97" s="65">
        <v>127.4</v>
      </c>
      <c r="Y97" s="65">
        <v>127.6</v>
      </c>
      <c r="Z97" s="65">
        <v>128.6</v>
      </c>
      <c r="AA97" s="65">
        <v>129.30000000000001</v>
      </c>
      <c r="AB97" s="65">
        <v>130.9</v>
      </c>
      <c r="AC97" s="65">
        <v>130</v>
      </c>
      <c r="AD97" s="65">
        <v>130.19999999999999</v>
      </c>
      <c r="AE97" s="65">
        <v>133.1</v>
      </c>
      <c r="AF97" s="65">
        <v>132.1</v>
      </c>
      <c r="AG97" s="92"/>
      <c r="AH97" s="48">
        <f t="shared" si="14"/>
        <v>134</v>
      </c>
      <c r="AI97" s="49">
        <f t="shared" si="15"/>
        <v>125.5</v>
      </c>
    </row>
    <row r="98" spans="1:35" x14ac:dyDescent="0.25">
      <c r="A98" s="91" t="s">
        <v>103</v>
      </c>
      <c r="B98" s="65">
        <v>129.9</v>
      </c>
      <c r="C98" s="65">
        <v>130.6</v>
      </c>
      <c r="D98" s="65">
        <v>131.1</v>
      </c>
      <c r="E98" s="65">
        <v>132</v>
      </c>
      <c r="F98" s="65">
        <v>130.69999999999999</v>
      </c>
      <c r="G98" s="65">
        <v>129.5</v>
      </c>
      <c r="H98" s="65">
        <v>128.69999999999999</v>
      </c>
      <c r="I98" s="65">
        <v>126</v>
      </c>
      <c r="J98" s="65">
        <v>127.2</v>
      </c>
      <c r="K98" s="65">
        <v>128.9</v>
      </c>
      <c r="L98" s="65">
        <v>128.9</v>
      </c>
      <c r="M98" s="65">
        <v>126.7</v>
      </c>
      <c r="N98" s="65">
        <v>126.7</v>
      </c>
      <c r="O98" s="65">
        <v>128</v>
      </c>
      <c r="P98" s="65">
        <v>130.30000000000001</v>
      </c>
      <c r="Q98" s="65">
        <v>133.19999999999999</v>
      </c>
      <c r="R98" s="65">
        <v>130.19999999999999</v>
      </c>
      <c r="S98" s="65">
        <v>130.9</v>
      </c>
      <c r="T98" s="65">
        <v>131.07</v>
      </c>
      <c r="U98" s="65">
        <v>129</v>
      </c>
      <c r="V98" s="65">
        <v>132.1</v>
      </c>
      <c r="W98" s="65">
        <v>131</v>
      </c>
      <c r="X98" s="65">
        <v>130.6</v>
      </c>
      <c r="Y98" s="65">
        <v>132.1</v>
      </c>
      <c r="Z98" s="65">
        <v>132.80000000000001</v>
      </c>
      <c r="AA98" s="65">
        <v>132.6</v>
      </c>
      <c r="AB98" s="65">
        <v>132.1</v>
      </c>
      <c r="AC98" s="65">
        <v>132</v>
      </c>
      <c r="AD98" s="65">
        <v>130.6</v>
      </c>
      <c r="AE98" s="65">
        <v>132.6</v>
      </c>
      <c r="AF98" s="65">
        <v>131.1</v>
      </c>
      <c r="AG98" s="92"/>
      <c r="AH98" s="48">
        <f t="shared" si="14"/>
        <v>133.19999999999999</v>
      </c>
      <c r="AI98" s="49">
        <f t="shared" si="15"/>
        <v>126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4"/>
        <v>0</v>
      </c>
      <c r="AI99" s="49">
        <f t="shared" si="15"/>
        <v>0</v>
      </c>
    </row>
    <row r="100" spans="1:35" x14ac:dyDescent="0.25">
      <c r="A100" s="93" t="s">
        <v>105</v>
      </c>
      <c r="B100" s="94">
        <v>133.30000000000001</v>
      </c>
      <c r="C100" s="94">
        <v>135.5</v>
      </c>
      <c r="D100" s="94">
        <v>134</v>
      </c>
      <c r="E100" s="94">
        <v>136.4</v>
      </c>
      <c r="F100" s="94">
        <v>135.9</v>
      </c>
      <c r="G100" s="94">
        <v>132.4</v>
      </c>
      <c r="H100" s="94">
        <v>133.80000000000001</v>
      </c>
      <c r="I100" s="94">
        <v>134.30000000000001</v>
      </c>
      <c r="J100" s="94">
        <v>131.4</v>
      </c>
      <c r="K100" s="94">
        <v>135.5</v>
      </c>
      <c r="L100" s="94">
        <v>135.5</v>
      </c>
      <c r="M100" s="94">
        <v>142.5</v>
      </c>
      <c r="N100" s="94">
        <v>142.5</v>
      </c>
      <c r="O100" s="94">
        <v>134.1</v>
      </c>
      <c r="P100" s="94">
        <v>133.30000000000001</v>
      </c>
      <c r="Q100" s="94">
        <v>133.6</v>
      </c>
      <c r="R100" s="94">
        <v>133.1</v>
      </c>
      <c r="S100" s="94">
        <v>134</v>
      </c>
      <c r="T100" s="94">
        <v>134</v>
      </c>
      <c r="U100" s="94">
        <v>132.80000000000001</v>
      </c>
      <c r="V100" s="94">
        <v>134.80000000000001</v>
      </c>
      <c r="W100" s="94">
        <v>134</v>
      </c>
      <c r="X100" s="94">
        <v>133.6</v>
      </c>
      <c r="Y100" s="94">
        <v>135</v>
      </c>
      <c r="Z100" s="94">
        <v>132.9</v>
      </c>
      <c r="AA100" s="94">
        <v>133.4</v>
      </c>
      <c r="AB100" s="94">
        <v>134.5</v>
      </c>
      <c r="AC100" s="94">
        <v>133</v>
      </c>
      <c r="AD100" s="94">
        <v>132.5</v>
      </c>
      <c r="AE100" s="94">
        <v>133</v>
      </c>
      <c r="AF100" s="94">
        <v>133.30000000000001</v>
      </c>
      <c r="AG100" s="95"/>
      <c r="AH100" s="48">
        <f t="shared" si="14"/>
        <v>142.5</v>
      </c>
      <c r="AI100" s="49">
        <f t="shared" si="15"/>
        <v>131.4</v>
      </c>
    </row>
    <row r="101" spans="1:35" x14ac:dyDescent="0.25">
      <c r="A101" s="91" t="s">
        <v>106</v>
      </c>
      <c r="B101" s="65">
        <v>133.69999999999999</v>
      </c>
      <c r="C101" s="65">
        <v>133</v>
      </c>
      <c r="D101" s="65">
        <v>132.80000000000001</v>
      </c>
      <c r="E101" s="65">
        <v>123.6</v>
      </c>
      <c r="F101" s="65">
        <v>128</v>
      </c>
      <c r="G101" s="65">
        <v>129.4</v>
      </c>
      <c r="H101" s="65">
        <v>126</v>
      </c>
      <c r="I101" s="65">
        <v>126.2</v>
      </c>
      <c r="J101" s="65">
        <v>127.3</v>
      </c>
      <c r="K101" s="65">
        <v>129.9</v>
      </c>
      <c r="L101" s="65">
        <v>129.9</v>
      </c>
      <c r="M101" s="65">
        <v>125.4</v>
      </c>
      <c r="N101" s="65">
        <v>125.4</v>
      </c>
      <c r="O101" s="65">
        <v>132.30000000000001</v>
      </c>
      <c r="P101" s="65">
        <v>131.19999999999999</v>
      </c>
      <c r="Q101" s="65">
        <v>133</v>
      </c>
      <c r="R101" s="65">
        <v>132.69999999999999</v>
      </c>
      <c r="S101" s="65">
        <v>131</v>
      </c>
      <c r="T101" s="65">
        <v>129.9</v>
      </c>
      <c r="U101" s="65">
        <v>131.19999999999999</v>
      </c>
      <c r="V101" s="65">
        <v>134.9</v>
      </c>
      <c r="W101" s="65">
        <v>132.80000000000001</v>
      </c>
      <c r="X101" s="65">
        <v>135.6</v>
      </c>
      <c r="Y101" s="65">
        <v>134.4</v>
      </c>
      <c r="Z101" s="65">
        <v>136.19999999999999</v>
      </c>
      <c r="AA101" s="65">
        <v>133.6</v>
      </c>
      <c r="AB101" s="65">
        <v>133.19999999999999</v>
      </c>
      <c r="AC101" s="65">
        <v>128.69999999999999</v>
      </c>
      <c r="AD101" s="65">
        <v>130.69999999999999</v>
      </c>
      <c r="AE101" s="65">
        <v>135</v>
      </c>
      <c r="AF101" s="65">
        <v>136.19999999999999</v>
      </c>
      <c r="AG101" s="92"/>
      <c r="AH101" s="48">
        <f t="shared" si="14"/>
        <v>136.19999999999999</v>
      </c>
      <c r="AI101" s="49">
        <f t="shared" si="15"/>
        <v>123.6</v>
      </c>
    </row>
    <row r="102" spans="1:35" ht="15.75" thickBot="1" x14ac:dyDescent="0.3">
      <c r="A102" s="91" t="s">
        <v>107</v>
      </c>
      <c r="B102" s="96">
        <v>66.900000000000006</v>
      </c>
      <c r="C102" s="96">
        <v>67</v>
      </c>
      <c r="D102" s="96">
        <v>67</v>
      </c>
      <c r="E102" s="96">
        <v>67.099999999999994</v>
      </c>
      <c r="F102" s="96">
        <v>67.2</v>
      </c>
      <c r="G102" s="96">
        <v>65.900000000000006</v>
      </c>
      <c r="H102" s="96">
        <v>65.3</v>
      </c>
      <c r="I102" s="96">
        <v>64.7</v>
      </c>
      <c r="J102" s="96">
        <v>63.9</v>
      </c>
      <c r="K102" s="96">
        <v>64.599999999999994</v>
      </c>
      <c r="L102" s="96">
        <v>64.599999999999994</v>
      </c>
      <c r="M102" s="96">
        <v>63</v>
      </c>
      <c r="N102" s="96">
        <v>63</v>
      </c>
      <c r="O102" s="96">
        <v>62</v>
      </c>
      <c r="P102" s="96">
        <v>63.1</v>
      </c>
      <c r="Q102" s="96">
        <v>63.2</v>
      </c>
      <c r="R102" s="96">
        <v>63.999000000000002</v>
      </c>
      <c r="S102" s="96">
        <v>64.2</v>
      </c>
      <c r="T102" s="96">
        <v>64</v>
      </c>
      <c r="U102" s="96">
        <v>64.099999999999994</v>
      </c>
      <c r="V102" s="96">
        <v>64.599999999999994</v>
      </c>
      <c r="W102" s="96">
        <v>64.3</v>
      </c>
      <c r="X102" s="96">
        <v>63.6</v>
      </c>
      <c r="Y102" s="96">
        <v>63.5</v>
      </c>
      <c r="Z102" s="96">
        <v>64.2</v>
      </c>
      <c r="AA102" s="96">
        <v>64.599999999999994</v>
      </c>
      <c r="AB102" s="96">
        <v>65.2</v>
      </c>
      <c r="AC102" s="96">
        <v>64.900000000000006</v>
      </c>
      <c r="AD102" s="96">
        <v>65.3</v>
      </c>
      <c r="AE102" s="96">
        <v>66.5</v>
      </c>
      <c r="AF102" s="96">
        <v>66.2</v>
      </c>
      <c r="AG102" s="97"/>
      <c r="AH102" s="48">
        <f t="shared" si="14"/>
        <v>67.2</v>
      </c>
      <c r="AI102" s="49">
        <f t="shared" si="15"/>
        <v>62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 t="s">
        <v>256</v>
      </c>
      <c r="Z103" s="96"/>
      <c r="AA103" s="96"/>
      <c r="AB103" s="96"/>
      <c r="AC103" s="96"/>
      <c r="AD103" s="96"/>
      <c r="AE103" s="96"/>
      <c r="AF103" s="96"/>
      <c r="AG103" s="97"/>
      <c r="AH103" s="48">
        <f t="shared" si="14"/>
        <v>0</v>
      </c>
      <c r="AI103" s="49">
        <f t="shared" si="15"/>
        <v>0</v>
      </c>
    </row>
    <row r="104" spans="1:35" ht="15.75" thickBot="1" x14ac:dyDescent="0.3">
      <c r="A104" s="99" t="s">
        <v>108</v>
      </c>
      <c r="B104" s="100">
        <f t="shared" ref="B104:AF104" si="26">SUM(B16,B22,B25:B26,B52,B54:B55,B57,B59,B105:B109,B131,B137,B143,B152,B154,B166,B173,B176:B177,B184,B186,B188,B192:B194,B196:B198,B203,B209:B210,B212:B214,B222,B227)</f>
        <v>135.79999999999995</v>
      </c>
      <c r="C104" s="100">
        <f t="shared" si="26"/>
        <v>121.74</v>
      </c>
      <c r="D104" s="100">
        <f t="shared" si="26"/>
        <v>113.33999999999996</v>
      </c>
      <c r="E104" s="100">
        <f t="shared" si="26"/>
        <v>117.14000000000001</v>
      </c>
      <c r="F104" s="100">
        <f t="shared" si="26"/>
        <v>118.04</v>
      </c>
      <c r="G104" s="100">
        <f t="shared" si="26"/>
        <v>144.44000000000003</v>
      </c>
      <c r="H104" s="100">
        <f t="shared" si="26"/>
        <v>181.94</v>
      </c>
      <c r="I104" s="100">
        <f t="shared" si="26"/>
        <v>214.24</v>
      </c>
      <c r="J104" s="100">
        <f t="shared" si="26"/>
        <v>254.74</v>
      </c>
      <c r="K104" s="100">
        <f t="shared" si="26"/>
        <v>335.54</v>
      </c>
      <c r="L104" s="100">
        <f t="shared" si="26"/>
        <v>335.54</v>
      </c>
      <c r="M104" s="100">
        <f t="shared" si="26"/>
        <v>407.14000000000004</v>
      </c>
      <c r="N104" s="100">
        <f t="shared" si="26"/>
        <v>407.14000000000004</v>
      </c>
      <c r="O104" s="100">
        <f t="shared" si="26"/>
        <v>329.54</v>
      </c>
      <c r="P104" s="100">
        <v>42</v>
      </c>
      <c r="Q104" s="100">
        <f t="shared" si="26"/>
        <v>327.5</v>
      </c>
      <c r="R104" s="100">
        <f t="shared" si="26"/>
        <v>293.60000000000002</v>
      </c>
      <c r="S104" s="100">
        <f t="shared" si="26"/>
        <v>263.89999999999998</v>
      </c>
      <c r="T104" s="100">
        <f t="shared" si="26"/>
        <v>274</v>
      </c>
      <c r="U104" s="100">
        <f t="shared" si="26"/>
        <v>296.5</v>
      </c>
      <c r="V104" s="100">
        <f t="shared" ref="V104" si="27">SUM(V16,V22,V25:V26,V52,V54:V55,V57,V59,V105:V109,V131,V137,V143,V152,V154,V166,V173,V176:V177,V184,V186,V188,V192:V194,V196:V198,V203,V209:V210,V212:V214,V222,V227)</f>
        <v>344.59999999999997</v>
      </c>
      <c r="W104" s="100">
        <f t="shared" si="26"/>
        <v>284.3</v>
      </c>
      <c r="X104" s="100">
        <v>475.99708333333331</v>
      </c>
      <c r="Y104" s="100">
        <v>475.99708333333331</v>
      </c>
      <c r="Z104" s="100">
        <f t="shared" si="26"/>
        <v>415.9</v>
      </c>
      <c r="AA104" s="100">
        <f t="shared" si="26"/>
        <v>411</v>
      </c>
      <c r="AB104" s="100">
        <f t="shared" si="26"/>
        <v>436.59999999999997</v>
      </c>
      <c r="AC104" s="100">
        <f t="shared" si="26"/>
        <v>410.4</v>
      </c>
      <c r="AD104" s="100">
        <f t="shared" si="26"/>
        <v>357.3</v>
      </c>
      <c r="AE104" s="100">
        <f t="shared" si="26"/>
        <v>268.79999999999995</v>
      </c>
      <c r="AF104" s="100">
        <f t="shared" si="26"/>
        <v>180.39999999999998</v>
      </c>
      <c r="AG104" s="101"/>
      <c r="AH104" s="48">
        <f t="shared" si="14"/>
        <v>475.99708333333331</v>
      </c>
      <c r="AI104" s="49">
        <f t="shared" si="15"/>
        <v>42</v>
      </c>
    </row>
    <row r="105" spans="1:35" x14ac:dyDescent="0.25">
      <c r="A105" s="88" t="s">
        <v>109</v>
      </c>
      <c r="B105" s="102">
        <v>-3</v>
      </c>
      <c r="C105" s="102">
        <v>7.3</v>
      </c>
      <c r="D105" s="102">
        <v>4.7</v>
      </c>
      <c r="E105" s="102">
        <v>1.1000000000000001</v>
      </c>
      <c r="F105" s="102">
        <v>-2.2999999999999998</v>
      </c>
      <c r="G105" s="102">
        <v>-0.9</v>
      </c>
      <c r="H105" s="102">
        <v>10.4</v>
      </c>
      <c r="I105" s="102">
        <v>18</v>
      </c>
      <c r="J105" s="102">
        <v>23.2</v>
      </c>
      <c r="K105" s="102">
        <v>24.2</v>
      </c>
      <c r="L105" s="102">
        <v>24.2</v>
      </c>
      <c r="M105" s="102">
        <v>33.5</v>
      </c>
      <c r="N105" s="102">
        <v>33.5</v>
      </c>
      <c r="O105" s="102">
        <v>38.9</v>
      </c>
      <c r="P105" s="102">
        <v>41.9</v>
      </c>
      <c r="Q105" s="102">
        <v>34.200000000000003</v>
      </c>
      <c r="R105" s="102">
        <v>16.3</v>
      </c>
      <c r="S105" s="102">
        <v>13</v>
      </c>
      <c r="T105" s="102">
        <v>25.9</v>
      </c>
      <c r="U105" s="102">
        <v>22.8</v>
      </c>
      <c r="V105" s="102">
        <v>36.200000000000003</v>
      </c>
      <c r="W105" s="102">
        <v>33.6</v>
      </c>
      <c r="X105" s="102">
        <v>38.1</v>
      </c>
      <c r="Y105" s="102">
        <v>38.9</v>
      </c>
      <c r="Z105" s="102">
        <v>42.3</v>
      </c>
      <c r="AA105" s="102">
        <v>46.4</v>
      </c>
      <c r="AB105" s="102">
        <v>48.6</v>
      </c>
      <c r="AC105" s="102">
        <v>34.799999999999997</v>
      </c>
      <c r="AD105" s="102">
        <v>21.4</v>
      </c>
      <c r="AE105" s="102">
        <v>5.2</v>
      </c>
      <c r="AF105" s="102">
        <v>10.199999999999999</v>
      </c>
      <c r="AG105" s="103">
        <v>75</v>
      </c>
      <c r="AH105" s="48">
        <f t="shared" si="14"/>
        <v>48.6</v>
      </c>
      <c r="AI105" s="49">
        <f t="shared" si="15"/>
        <v>-3</v>
      </c>
    </row>
    <row r="106" spans="1:35" x14ac:dyDescent="0.25">
      <c r="A106" s="91" t="s">
        <v>110</v>
      </c>
      <c r="B106" s="104">
        <v>1.2</v>
      </c>
      <c r="C106" s="104">
        <v>14.5</v>
      </c>
      <c r="D106" s="104">
        <v>12.2</v>
      </c>
      <c r="E106" s="104">
        <v>7.8</v>
      </c>
      <c r="F106" s="104">
        <v>2.1</v>
      </c>
      <c r="G106" s="104">
        <v>6.3</v>
      </c>
      <c r="H106" s="104">
        <v>21.1</v>
      </c>
      <c r="I106" s="104">
        <v>31.6</v>
      </c>
      <c r="J106" s="104">
        <v>23.2</v>
      </c>
      <c r="K106" s="104">
        <v>36.9</v>
      </c>
      <c r="L106" s="104">
        <v>36.9</v>
      </c>
      <c r="M106" s="104">
        <v>48.8</v>
      </c>
      <c r="N106" s="104">
        <v>48.8</v>
      </c>
      <c r="O106" s="104">
        <v>56.7</v>
      </c>
      <c r="P106" s="104">
        <v>63.2</v>
      </c>
      <c r="Q106" s="104">
        <v>54.3</v>
      </c>
      <c r="R106" s="104">
        <v>28.5</v>
      </c>
      <c r="S106" s="104">
        <v>23.5</v>
      </c>
      <c r="T106" s="104">
        <v>27.5</v>
      </c>
      <c r="U106" s="104">
        <v>34.5</v>
      </c>
      <c r="V106" s="104">
        <v>46.5</v>
      </c>
      <c r="W106" s="104">
        <v>40.5</v>
      </c>
      <c r="X106" s="104">
        <v>48.8</v>
      </c>
      <c r="Y106" s="104">
        <v>50</v>
      </c>
      <c r="Z106" s="104">
        <v>56.9</v>
      </c>
      <c r="AA106" s="104">
        <v>60.5</v>
      </c>
      <c r="AB106" s="104">
        <v>63.1</v>
      </c>
      <c r="AC106" s="104">
        <v>42.1</v>
      </c>
      <c r="AD106" s="104">
        <v>25.4</v>
      </c>
      <c r="AE106" s="104">
        <v>4</v>
      </c>
      <c r="AF106" s="104">
        <v>11.7</v>
      </c>
      <c r="AG106" s="103">
        <v>240</v>
      </c>
      <c r="AH106" s="48">
        <f t="shared" si="14"/>
        <v>63.2</v>
      </c>
      <c r="AI106" s="49">
        <f t="shared" si="15"/>
        <v>1.2</v>
      </c>
    </row>
    <row r="107" spans="1:35" x14ac:dyDescent="0.25">
      <c r="A107" s="91" t="s">
        <v>111</v>
      </c>
      <c r="B107" s="104">
        <v>-57</v>
      </c>
      <c r="C107" s="104">
        <v>-67</v>
      </c>
      <c r="D107" s="104">
        <v>-68</v>
      </c>
      <c r="E107" s="104">
        <f>-30.2-32.8</f>
        <v>-63</v>
      </c>
      <c r="F107" s="104">
        <f>-28.1-30.3</f>
        <v>-58.400000000000006</v>
      </c>
      <c r="G107" s="104">
        <f>-26.4-28.5</f>
        <v>-54.9</v>
      </c>
      <c r="H107" s="104">
        <f>-23.3-25.3</f>
        <v>-48.6</v>
      </c>
      <c r="I107" s="104">
        <f>-21.4-23.1</f>
        <v>-44.5</v>
      </c>
      <c r="J107" s="104">
        <f>-13.6-14.9</f>
        <v>-28.5</v>
      </c>
      <c r="K107" s="104">
        <f>-3.4+2.4</f>
        <v>-1</v>
      </c>
      <c r="L107" s="104">
        <f t="shared" ref="L107" si="28">-3.4+2.4</f>
        <v>-1</v>
      </c>
      <c r="M107" s="104">
        <v>33</v>
      </c>
      <c r="N107" s="104">
        <v>33</v>
      </c>
      <c r="O107" s="104">
        <v>-31</v>
      </c>
      <c r="P107" s="104">
        <v>11</v>
      </c>
      <c r="Q107" s="104">
        <v>-16</v>
      </c>
      <c r="R107" s="104">
        <v>-24</v>
      </c>
      <c r="S107" s="104">
        <v>-35</v>
      </c>
      <c r="T107" s="104">
        <f>-35.2-5.8</f>
        <v>-41</v>
      </c>
      <c r="U107" s="104">
        <f>-33.8-1.9</f>
        <v>-35.699999999999996</v>
      </c>
      <c r="V107" s="104">
        <f>-17.4+14</f>
        <v>-3.3999999999999986</v>
      </c>
      <c r="W107" s="104">
        <f>-4.9+26.5</f>
        <v>21.6</v>
      </c>
      <c r="X107" s="104">
        <v>28.700000000000003</v>
      </c>
      <c r="Y107" s="104">
        <f>1.5+34.1</f>
        <v>35.6</v>
      </c>
      <c r="Z107" s="104">
        <f>-8+24.2</f>
        <v>16.2</v>
      </c>
      <c r="AA107" s="104">
        <f>-11.9+20</f>
        <v>8.1</v>
      </c>
      <c r="AB107" s="104">
        <v>34</v>
      </c>
      <c r="AC107" s="104">
        <f>29+23</f>
        <v>52</v>
      </c>
      <c r="AD107" s="104">
        <f>27+23</f>
        <v>50</v>
      </c>
      <c r="AE107" s="104">
        <v>6.7</v>
      </c>
      <c r="AF107" s="104">
        <v>-14</v>
      </c>
      <c r="AG107" s="103">
        <v>240</v>
      </c>
      <c r="AH107" s="48">
        <f t="shared" si="14"/>
        <v>52</v>
      </c>
      <c r="AI107" s="49">
        <f t="shared" si="15"/>
        <v>-68</v>
      </c>
    </row>
    <row r="108" spans="1:35" x14ac:dyDescent="0.25">
      <c r="A108" s="91" t="s">
        <v>112</v>
      </c>
      <c r="B108" s="104">
        <v>5.5</v>
      </c>
      <c r="C108" s="104">
        <v>-5</v>
      </c>
      <c r="D108" s="104">
        <v>-5.2</v>
      </c>
      <c r="E108" s="104">
        <v>-8.4</v>
      </c>
      <c r="F108" s="104">
        <v>-6.6</v>
      </c>
      <c r="G108" s="104">
        <v>-8.1</v>
      </c>
      <c r="H108" s="104">
        <v>-3.6</v>
      </c>
      <c r="I108" s="104">
        <v>-3.3</v>
      </c>
      <c r="J108" s="104">
        <v>0</v>
      </c>
      <c r="K108" s="104">
        <v>43.4</v>
      </c>
      <c r="L108" s="104">
        <v>43.4</v>
      </c>
      <c r="M108" s="104">
        <v>54.3</v>
      </c>
      <c r="N108" s="104">
        <v>54.3</v>
      </c>
      <c r="O108" s="104">
        <v>53.5</v>
      </c>
      <c r="P108" s="104">
        <v>51.4</v>
      </c>
      <c r="Q108" s="104">
        <v>43.4</v>
      </c>
      <c r="R108" s="104">
        <v>44.9</v>
      </c>
      <c r="S108" s="104">
        <v>40</v>
      </c>
      <c r="T108" s="104">
        <v>40</v>
      </c>
      <c r="U108" s="104">
        <v>44.6</v>
      </c>
      <c r="V108" s="104">
        <v>69.2</v>
      </c>
      <c r="W108" s="104">
        <v>61.7</v>
      </c>
      <c r="X108" s="104">
        <v>65.599999999999994</v>
      </c>
      <c r="Y108" s="104">
        <v>68.5</v>
      </c>
      <c r="Z108" s="104">
        <v>66.8</v>
      </c>
      <c r="AA108" s="104">
        <v>66.8</v>
      </c>
      <c r="AB108" s="104">
        <v>65</v>
      </c>
      <c r="AC108" s="104">
        <v>66</v>
      </c>
      <c r="AD108" s="104">
        <v>61</v>
      </c>
      <c r="AE108" s="104">
        <v>48.4</v>
      </c>
      <c r="AF108" s="104">
        <v>15</v>
      </c>
      <c r="AG108" s="103">
        <v>60</v>
      </c>
      <c r="AH108" s="48">
        <f t="shared" si="14"/>
        <v>69.2</v>
      </c>
      <c r="AI108" s="49">
        <f t="shared" si="15"/>
        <v>-8.4</v>
      </c>
    </row>
    <row r="109" spans="1:35" x14ac:dyDescent="0.25">
      <c r="A109" s="105" t="s">
        <v>113</v>
      </c>
      <c r="B109" s="106">
        <v>55.7</v>
      </c>
      <c r="C109" s="106">
        <v>39.799999999999997</v>
      </c>
      <c r="D109" s="106">
        <v>37.5</v>
      </c>
      <c r="E109" s="106">
        <v>48.1</v>
      </c>
      <c r="F109" s="106">
        <v>51.7</v>
      </c>
      <c r="G109" s="106">
        <v>70.5</v>
      </c>
      <c r="H109" s="106">
        <v>70.3</v>
      </c>
      <c r="I109" s="106">
        <v>80.400000000000006</v>
      </c>
      <c r="J109" s="106">
        <v>105.3</v>
      </c>
      <c r="K109" s="106">
        <v>100.5</v>
      </c>
      <c r="L109" s="106">
        <v>100.5</v>
      </c>
      <c r="M109" s="106">
        <v>106</v>
      </c>
      <c r="N109" s="106">
        <v>106</v>
      </c>
      <c r="O109" s="106">
        <v>79.900000000000006</v>
      </c>
      <c r="P109" s="106">
        <v>66.8</v>
      </c>
      <c r="Q109" s="106">
        <v>81.8</v>
      </c>
      <c r="R109" s="106">
        <v>101.7</v>
      </c>
      <c r="S109" s="106">
        <v>96</v>
      </c>
      <c r="T109" s="106">
        <v>95.2</v>
      </c>
      <c r="U109" s="106">
        <v>103.9</v>
      </c>
      <c r="V109" s="106">
        <v>69.2</v>
      </c>
      <c r="W109" s="106" t="s">
        <v>261</v>
      </c>
      <c r="X109" s="106">
        <v>93.4</v>
      </c>
      <c r="Y109" s="106">
        <v>112.9</v>
      </c>
      <c r="Z109" s="106">
        <v>106.8</v>
      </c>
      <c r="AA109" s="106">
        <v>102.3</v>
      </c>
      <c r="AB109" s="106">
        <v>96</v>
      </c>
      <c r="AC109" s="106">
        <v>84</v>
      </c>
      <c r="AD109" s="106">
        <v>67</v>
      </c>
      <c r="AE109" s="106">
        <v>72</v>
      </c>
      <c r="AF109" s="106">
        <v>25</v>
      </c>
      <c r="AG109" s="107">
        <v>120</v>
      </c>
      <c r="AH109" s="48">
        <f t="shared" si="14"/>
        <v>112.9</v>
      </c>
      <c r="AI109" s="49">
        <f t="shared" si="15"/>
        <v>25</v>
      </c>
    </row>
    <row r="110" spans="1:35" x14ac:dyDescent="0.25">
      <c r="A110" s="105" t="s">
        <v>115</v>
      </c>
      <c r="B110" s="106">
        <v>60.3</v>
      </c>
      <c r="C110" s="106">
        <v>48.2</v>
      </c>
      <c r="D110" s="106">
        <v>45.9</v>
      </c>
      <c r="E110" s="106">
        <v>58.3</v>
      </c>
      <c r="F110" s="106">
        <v>57</v>
      </c>
      <c r="G110" s="106">
        <v>73.5</v>
      </c>
      <c r="H110" s="106">
        <v>74</v>
      </c>
      <c r="I110" s="106">
        <v>80.7</v>
      </c>
      <c r="J110" s="106">
        <v>95.9</v>
      </c>
      <c r="K110" s="106">
        <v>84.1</v>
      </c>
      <c r="L110" s="106">
        <v>84.1</v>
      </c>
      <c r="M110" s="106">
        <v>89</v>
      </c>
      <c r="N110" s="106">
        <v>89</v>
      </c>
      <c r="O110" s="106">
        <v>91</v>
      </c>
      <c r="P110" s="106">
        <v>66.5</v>
      </c>
      <c r="Q110" s="106">
        <v>79.2</v>
      </c>
      <c r="R110" s="106">
        <v>96</v>
      </c>
      <c r="S110" s="106">
        <v>90</v>
      </c>
      <c r="T110" s="106">
        <v>97.1</v>
      </c>
      <c r="U110" s="106">
        <v>97.6</v>
      </c>
      <c r="V110" s="106">
        <v>64.3</v>
      </c>
      <c r="W110" s="106">
        <v>87.5</v>
      </c>
      <c r="X110" s="106">
        <v>89</v>
      </c>
      <c r="Y110" s="106">
        <v>94</v>
      </c>
      <c r="Z110" s="106">
        <v>70.7</v>
      </c>
      <c r="AA110" s="106">
        <v>64.099999999999994</v>
      </c>
      <c r="AB110" s="106">
        <v>26</v>
      </c>
      <c r="AC110" s="106">
        <v>78.900000000000006</v>
      </c>
      <c r="AD110" s="106">
        <v>85</v>
      </c>
      <c r="AE110" s="106">
        <v>62.5</v>
      </c>
      <c r="AF110" s="106">
        <v>83</v>
      </c>
      <c r="AG110" s="107"/>
      <c r="AH110" s="48">
        <f t="shared" si="14"/>
        <v>97.6</v>
      </c>
      <c r="AI110" s="49">
        <f t="shared" si="15"/>
        <v>26</v>
      </c>
    </row>
    <row r="111" spans="1:35" x14ac:dyDescent="0.25">
      <c r="A111" s="105" t="s">
        <v>116</v>
      </c>
      <c r="B111" s="106">
        <v>34.200000000000003</v>
      </c>
      <c r="C111" s="106">
        <v>26.9</v>
      </c>
      <c r="D111" s="106">
        <v>31.1</v>
      </c>
      <c r="E111" s="106">
        <v>25.4</v>
      </c>
      <c r="F111" s="106">
        <v>30</v>
      </c>
      <c r="G111" s="106">
        <v>34.1</v>
      </c>
      <c r="H111" s="106">
        <v>27</v>
      </c>
      <c r="I111" s="106">
        <v>22.1</v>
      </c>
      <c r="J111" s="106">
        <v>20.6</v>
      </c>
      <c r="K111" s="106">
        <v>24.4</v>
      </c>
      <c r="L111" s="106">
        <v>24.4</v>
      </c>
      <c r="M111" s="106">
        <v>16.8</v>
      </c>
      <c r="N111" s="106">
        <v>16.8</v>
      </c>
      <c r="O111" s="106">
        <v>9.5</v>
      </c>
      <c r="P111" s="106">
        <v>3.5</v>
      </c>
      <c r="Q111" s="106">
        <v>2.7</v>
      </c>
      <c r="R111" s="106">
        <v>26.2</v>
      </c>
      <c r="S111" s="106">
        <v>26</v>
      </c>
      <c r="T111" s="106">
        <v>19</v>
      </c>
      <c r="U111" s="106">
        <v>24.5</v>
      </c>
      <c r="V111" s="106">
        <v>18.3</v>
      </c>
      <c r="W111" s="106">
        <v>20.9</v>
      </c>
      <c r="X111" s="106">
        <v>15.3</v>
      </c>
      <c r="Y111" s="106">
        <v>16.8</v>
      </c>
      <c r="Z111" s="106">
        <v>13.3</v>
      </c>
      <c r="AA111" s="106">
        <v>12.9</v>
      </c>
      <c r="AB111" s="106">
        <v>7.7</v>
      </c>
      <c r="AC111" s="106">
        <v>16</v>
      </c>
      <c r="AD111" s="106">
        <v>28.4</v>
      </c>
      <c r="AE111" s="106">
        <v>35.200000000000003</v>
      </c>
      <c r="AF111" s="106">
        <v>32</v>
      </c>
      <c r="AG111" s="108"/>
      <c r="AH111" s="48">
        <f t="shared" si="14"/>
        <v>35.200000000000003</v>
      </c>
      <c r="AI111" s="49">
        <f t="shared" si="15"/>
        <v>2.7</v>
      </c>
    </row>
    <row r="112" spans="1:35" x14ac:dyDescent="0.25">
      <c r="A112" s="109" t="s">
        <v>117</v>
      </c>
      <c r="B112" s="94">
        <v>55.9</v>
      </c>
      <c r="C112" s="94">
        <v>58.1</v>
      </c>
      <c r="D112" s="94">
        <v>59.1</v>
      </c>
      <c r="E112" s="94">
        <v>60.5</v>
      </c>
      <c r="F112" s="94">
        <v>64.099999999999994</v>
      </c>
      <c r="G112" s="94">
        <v>58.5</v>
      </c>
      <c r="H112" s="94">
        <v>47.8</v>
      </c>
      <c r="I112" s="94">
        <v>40.799999999999997</v>
      </c>
      <c r="J112" s="94">
        <v>23.6</v>
      </c>
      <c r="K112" s="94">
        <v>10.8</v>
      </c>
      <c r="L112" s="94">
        <v>10.8</v>
      </c>
      <c r="M112" s="94">
        <v>7.9</v>
      </c>
      <c r="N112" s="94">
        <v>7.9</v>
      </c>
      <c r="O112" s="94">
        <v>17</v>
      </c>
      <c r="P112" s="94">
        <v>17.2</v>
      </c>
      <c r="Q112" s="94">
        <v>27</v>
      </c>
      <c r="R112" s="94">
        <v>31</v>
      </c>
      <c r="S112" s="94">
        <v>30</v>
      </c>
      <c r="T112" s="94">
        <v>31.3</v>
      </c>
      <c r="U112" s="94">
        <v>-21.1</v>
      </c>
      <c r="V112" s="94">
        <v>-2.8</v>
      </c>
      <c r="W112" s="94">
        <v>-23.9</v>
      </c>
      <c r="X112" s="94">
        <v>90.5</v>
      </c>
      <c r="Y112" s="94">
        <v>18.5</v>
      </c>
      <c r="Z112" s="94">
        <v>-5.9</v>
      </c>
      <c r="AA112" s="94">
        <v>-1.4</v>
      </c>
      <c r="AB112" s="94">
        <v>6.4</v>
      </c>
      <c r="AC112" s="94">
        <v>16</v>
      </c>
      <c r="AD112" s="94">
        <v>25.4</v>
      </c>
      <c r="AE112" s="94">
        <v>44.8</v>
      </c>
      <c r="AF112" s="94">
        <v>56.9</v>
      </c>
      <c r="AG112" s="108"/>
      <c r="AH112" s="48">
        <f t="shared" si="14"/>
        <v>90.5</v>
      </c>
      <c r="AI112" s="49">
        <f t="shared" si="15"/>
        <v>-23.9</v>
      </c>
    </row>
    <row r="113" spans="1:37" ht="15.75" thickBot="1" x14ac:dyDescent="0.3">
      <c r="A113" s="109" t="s">
        <v>118</v>
      </c>
      <c r="B113" s="94">
        <v>27.8</v>
      </c>
      <c r="C113" s="94">
        <v>39.200000000000003</v>
      </c>
      <c r="D113" s="94">
        <v>40.200000000000003</v>
      </c>
      <c r="E113" s="94">
        <v>34.799999999999997</v>
      </c>
      <c r="F113" s="94">
        <v>30.9</v>
      </c>
      <c r="G113" s="94">
        <v>26.2</v>
      </c>
      <c r="H113" s="94">
        <v>27.2</v>
      </c>
      <c r="I113" s="94">
        <v>26.4</v>
      </c>
      <c r="J113" s="94">
        <v>16.899999999999999</v>
      </c>
      <c r="K113" s="94">
        <v>23.1</v>
      </c>
      <c r="L113" s="94">
        <v>23.1</v>
      </c>
      <c r="M113" s="94">
        <v>-2</v>
      </c>
      <c r="N113" s="94">
        <v>-2</v>
      </c>
      <c r="O113" s="94">
        <v>7</v>
      </c>
      <c r="P113" s="94">
        <v>18.100000000000001</v>
      </c>
      <c r="Q113" s="94">
        <v>37</v>
      </c>
      <c r="R113" s="94">
        <v>19.100000000000001</v>
      </c>
      <c r="S113" s="94">
        <v>20</v>
      </c>
      <c r="T113" s="94">
        <v>23.9</v>
      </c>
      <c r="U113" s="94">
        <v>18</v>
      </c>
      <c r="V113" s="94">
        <v>1.3</v>
      </c>
      <c r="W113" s="94">
        <v>-18.399999999999999</v>
      </c>
      <c r="X113" s="94">
        <v>-20.399999999999999</v>
      </c>
      <c r="Y113" s="94">
        <v>-23.9</v>
      </c>
      <c r="Z113" s="94">
        <v>-7.6</v>
      </c>
      <c r="AA113" s="94">
        <v>-0.8</v>
      </c>
      <c r="AB113" s="94">
        <v>9.9</v>
      </c>
      <c r="AC113" s="185" t="s">
        <v>262</v>
      </c>
      <c r="AD113" s="94">
        <v>-13.3</v>
      </c>
      <c r="AE113" s="94">
        <v>14.6</v>
      </c>
      <c r="AF113" s="94">
        <v>16.8</v>
      </c>
      <c r="AG113" s="108"/>
      <c r="AH113" s="48">
        <f t="shared" si="14"/>
        <v>40.200000000000003</v>
      </c>
      <c r="AI113" s="49">
        <f t="shared" si="15"/>
        <v>-23.9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29">SUM(B115:B219)</f>
        <v>0</v>
      </c>
      <c r="C220" s="125">
        <f t="shared" si="29"/>
        <v>0</v>
      </c>
      <c r="D220" s="125">
        <f t="shared" si="29"/>
        <v>0</v>
      </c>
      <c r="E220" s="125">
        <f t="shared" si="29"/>
        <v>0</v>
      </c>
      <c r="F220" s="125">
        <f t="shared" si="29"/>
        <v>0</v>
      </c>
      <c r="G220" s="125">
        <f t="shared" si="29"/>
        <v>0</v>
      </c>
      <c r="H220" s="125">
        <f t="shared" si="29"/>
        <v>0</v>
      </c>
      <c r="I220" s="125">
        <f t="shared" si="29"/>
        <v>0</v>
      </c>
      <c r="J220" s="125">
        <f t="shared" si="29"/>
        <v>0</v>
      </c>
      <c r="K220" s="125">
        <f t="shared" si="29"/>
        <v>0</v>
      </c>
      <c r="L220" s="125">
        <f t="shared" si="29"/>
        <v>0</v>
      </c>
      <c r="M220" s="125">
        <f t="shared" si="29"/>
        <v>0</v>
      </c>
      <c r="N220" s="125">
        <f t="shared" si="29"/>
        <v>0</v>
      </c>
      <c r="O220" s="125">
        <f t="shared" si="29"/>
        <v>0</v>
      </c>
      <c r="P220" s="125">
        <f t="shared" si="29"/>
        <v>0</v>
      </c>
      <c r="Q220" s="125">
        <f t="shared" si="29"/>
        <v>0</v>
      </c>
      <c r="R220" s="125">
        <f t="shared" si="29"/>
        <v>0</v>
      </c>
      <c r="S220" s="125">
        <f t="shared" si="29"/>
        <v>0</v>
      </c>
      <c r="T220" s="125">
        <f t="shared" si="29"/>
        <v>0</v>
      </c>
      <c r="U220" s="125">
        <f t="shared" si="29"/>
        <v>0</v>
      </c>
      <c r="V220" s="125">
        <f t="shared" si="29"/>
        <v>0</v>
      </c>
      <c r="W220" s="125">
        <f t="shared" si="29"/>
        <v>0</v>
      </c>
      <c r="X220" s="125">
        <f t="shared" si="29"/>
        <v>0</v>
      </c>
      <c r="Y220" s="125">
        <f t="shared" si="29"/>
        <v>0</v>
      </c>
      <c r="Z220" s="125">
        <f t="shared" si="29"/>
        <v>0</v>
      </c>
      <c r="AA220" s="125">
        <f t="shared" si="29"/>
        <v>0</v>
      </c>
      <c r="AB220" s="125">
        <f t="shared" si="29"/>
        <v>0</v>
      </c>
      <c r="AC220" s="125">
        <f t="shared" si="29"/>
        <v>0</v>
      </c>
      <c r="AD220" s="125">
        <f t="shared" si="29"/>
        <v>0</v>
      </c>
      <c r="AE220" s="125">
        <f t="shared" si="29"/>
        <v>0</v>
      </c>
      <c r="AF220" s="126">
        <f t="shared" si="29"/>
        <v>0</v>
      </c>
      <c r="AG220" s="127">
        <f t="shared" si="29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30">AF222</f>
        <v>0</v>
      </c>
      <c r="C222" s="129">
        <v>0.3</v>
      </c>
      <c r="D222" s="129">
        <f t="shared" ref="D222:P227" si="31">C222</f>
        <v>0.3</v>
      </c>
      <c r="E222" s="129">
        <f t="shared" si="31"/>
        <v>0.3</v>
      </c>
      <c r="F222" s="129">
        <f t="shared" si="31"/>
        <v>0.3</v>
      </c>
      <c r="G222" s="129">
        <f t="shared" si="31"/>
        <v>0.3</v>
      </c>
      <c r="H222" s="129">
        <f t="shared" si="31"/>
        <v>0.3</v>
      </c>
      <c r="I222" s="129">
        <f t="shared" si="31"/>
        <v>0.3</v>
      </c>
      <c r="J222" s="129">
        <f t="shared" si="31"/>
        <v>0.3</v>
      </c>
      <c r="K222" s="129">
        <f t="shared" si="31"/>
        <v>0.3</v>
      </c>
      <c r="L222" s="129">
        <f t="shared" si="31"/>
        <v>0.3</v>
      </c>
      <c r="M222" s="129">
        <f t="shared" si="31"/>
        <v>0.3</v>
      </c>
      <c r="N222" s="129">
        <f t="shared" si="31"/>
        <v>0.3</v>
      </c>
      <c r="O222" s="129">
        <f t="shared" si="31"/>
        <v>0.3</v>
      </c>
      <c r="P222" s="129">
        <f t="shared" si="31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30"/>
        <v>0</v>
      </c>
      <c r="C223" s="117">
        <v>0.4</v>
      </c>
      <c r="D223" s="117">
        <f t="shared" si="31"/>
        <v>0.4</v>
      </c>
      <c r="E223" s="117">
        <f t="shared" si="31"/>
        <v>0.4</v>
      </c>
      <c r="F223" s="117">
        <f t="shared" si="31"/>
        <v>0.4</v>
      </c>
      <c r="G223" s="117">
        <f t="shared" si="31"/>
        <v>0.4</v>
      </c>
      <c r="H223" s="117">
        <f t="shared" si="31"/>
        <v>0.4</v>
      </c>
      <c r="I223" s="117">
        <f t="shared" si="31"/>
        <v>0.4</v>
      </c>
      <c r="J223" s="117">
        <f t="shared" si="31"/>
        <v>0.4</v>
      </c>
      <c r="K223" s="117">
        <f t="shared" si="31"/>
        <v>0.4</v>
      </c>
      <c r="L223" s="117">
        <f t="shared" si="31"/>
        <v>0.4</v>
      </c>
      <c r="M223" s="117">
        <f t="shared" si="31"/>
        <v>0.4</v>
      </c>
      <c r="N223" s="117">
        <f t="shared" si="31"/>
        <v>0.4</v>
      </c>
      <c r="O223" s="117">
        <f t="shared" si="31"/>
        <v>0.4</v>
      </c>
      <c r="P223" s="117">
        <f t="shared" si="31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30"/>
        <v>0</v>
      </c>
      <c r="C224" s="117">
        <v>1.5</v>
      </c>
      <c r="D224" s="117">
        <f t="shared" si="31"/>
        <v>1.5</v>
      </c>
      <c r="E224" s="117">
        <f t="shared" si="31"/>
        <v>1.5</v>
      </c>
      <c r="F224" s="117">
        <f t="shared" si="31"/>
        <v>1.5</v>
      </c>
      <c r="G224" s="117">
        <f t="shared" si="31"/>
        <v>1.5</v>
      </c>
      <c r="H224" s="117">
        <f t="shared" si="31"/>
        <v>1.5</v>
      </c>
      <c r="I224" s="100">
        <f t="shared" ref="I224" ca="1" si="32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31"/>
        <v>1.5</v>
      </c>
      <c r="K224" s="117">
        <f t="shared" ca="1" si="31"/>
        <v>1.5</v>
      </c>
      <c r="L224" s="117">
        <f t="shared" ca="1" si="31"/>
        <v>1.5</v>
      </c>
      <c r="M224" s="117">
        <f t="shared" ca="1" si="31"/>
        <v>1.5</v>
      </c>
      <c r="N224" s="117">
        <f t="shared" ca="1" si="31"/>
        <v>1.5</v>
      </c>
      <c r="O224" s="117">
        <f t="shared" ca="1" si="31"/>
        <v>1.5</v>
      </c>
      <c r="P224" s="117">
        <f t="shared" ca="1" si="31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30"/>
        <v>0</v>
      </c>
      <c r="C225" s="117">
        <v>0.3</v>
      </c>
      <c r="D225" s="117">
        <f t="shared" si="31"/>
        <v>0.3</v>
      </c>
      <c r="E225" s="117">
        <f t="shared" si="31"/>
        <v>0.3</v>
      </c>
      <c r="F225" s="117">
        <f t="shared" si="31"/>
        <v>0.3</v>
      </c>
      <c r="G225" s="117">
        <f t="shared" si="31"/>
        <v>0.3</v>
      </c>
      <c r="H225" s="117">
        <f t="shared" si="31"/>
        <v>0.3</v>
      </c>
      <c r="I225" s="117">
        <f t="shared" si="31"/>
        <v>0.3</v>
      </c>
      <c r="J225" s="117">
        <f t="shared" si="31"/>
        <v>0.3</v>
      </c>
      <c r="K225" s="117">
        <f t="shared" si="31"/>
        <v>0.3</v>
      </c>
      <c r="L225" s="117">
        <f t="shared" si="31"/>
        <v>0.3</v>
      </c>
      <c r="M225" s="117">
        <f t="shared" si="31"/>
        <v>0.3</v>
      </c>
      <c r="N225" s="117">
        <f t="shared" si="31"/>
        <v>0.3</v>
      </c>
      <c r="O225" s="117">
        <f t="shared" si="31"/>
        <v>0.3</v>
      </c>
      <c r="P225" s="117">
        <f t="shared" si="31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30"/>
        <v>0</v>
      </c>
      <c r="C226" s="117">
        <v>0.4</v>
      </c>
      <c r="D226" s="117">
        <f t="shared" si="31"/>
        <v>0.4</v>
      </c>
      <c r="E226" s="117">
        <f t="shared" si="31"/>
        <v>0.4</v>
      </c>
      <c r="F226" s="117">
        <f t="shared" si="31"/>
        <v>0.4</v>
      </c>
      <c r="G226" s="117">
        <f t="shared" si="31"/>
        <v>0.4</v>
      </c>
      <c r="H226" s="117">
        <f t="shared" si="31"/>
        <v>0.4</v>
      </c>
      <c r="I226" s="117">
        <f t="shared" si="31"/>
        <v>0.4</v>
      </c>
      <c r="J226" s="117">
        <f t="shared" si="31"/>
        <v>0.4</v>
      </c>
      <c r="K226" s="117">
        <f t="shared" si="31"/>
        <v>0.4</v>
      </c>
      <c r="L226" s="117">
        <f t="shared" si="31"/>
        <v>0.4</v>
      </c>
      <c r="M226" s="117">
        <f t="shared" si="31"/>
        <v>0.4</v>
      </c>
      <c r="N226" s="117">
        <f t="shared" si="31"/>
        <v>0.4</v>
      </c>
      <c r="O226" s="117">
        <f t="shared" si="31"/>
        <v>0.4</v>
      </c>
      <c r="P226" s="117">
        <f t="shared" si="31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30"/>
        <v>0</v>
      </c>
      <c r="C227" s="121">
        <v>0.64</v>
      </c>
      <c r="D227" s="121">
        <f t="shared" si="31"/>
        <v>0.64</v>
      </c>
      <c r="E227" s="121">
        <f t="shared" si="31"/>
        <v>0.64</v>
      </c>
      <c r="F227" s="121">
        <f t="shared" si="31"/>
        <v>0.64</v>
      </c>
      <c r="G227" s="121">
        <f t="shared" si="31"/>
        <v>0.64</v>
      </c>
      <c r="H227" s="121">
        <f t="shared" si="31"/>
        <v>0.64</v>
      </c>
      <c r="I227" s="121">
        <f t="shared" si="31"/>
        <v>0.64</v>
      </c>
      <c r="J227" s="121">
        <f t="shared" si="31"/>
        <v>0.64</v>
      </c>
      <c r="K227" s="121">
        <f t="shared" si="31"/>
        <v>0.64</v>
      </c>
      <c r="L227" s="121">
        <f t="shared" si="31"/>
        <v>0.64</v>
      </c>
      <c r="M227" s="121">
        <f t="shared" si="31"/>
        <v>0.64</v>
      </c>
      <c r="N227" s="121">
        <f t="shared" si="31"/>
        <v>0.64</v>
      </c>
      <c r="O227" s="121">
        <f t="shared" si="31"/>
        <v>0.64</v>
      </c>
      <c r="P227" s="121">
        <f t="shared" si="31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33">SUM(B222:B227)</f>
        <v>0</v>
      </c>
      <c r="C228" s="125">
        <f t="shared" si="33"/>
        <v>3.54</v>
      </c>
      <c r="D228" s="125">
        <f t="shared" si="33"/>
        <v>3.54</v>
      </c>
      <c r="E228" s="125">
        <f t="shared" si="33"/>
        <v>3.54</v>
      </c>
      <c r="F228" s="125">
        <f t="shared" si="33"/>
        <v>3.54</v>
      </c>
      <c r="G228" s="125">
        <f t="shared" si="33"/>
        <v>3.54</v>
      </c>
      <c r="H228" s="125">
        <f t="shared" si="33"/>
        <v>3.54</v>
      </c>
      <c r="I228" s="125">
        <f t="shared" ca="1" si="33"/>
        <v>3.54</v>
      </c>
      <c r="J228" s="125">
        <f t="shared" ca="1" si="33"/>
        <v>3.54</v>
      </c>
      <c r="K228" s="125">
        <f t="shared" ca="1" si="33"/>
        <v>3.54</v>
      </c>
      <c r="L228" s="125">
        <f t="shared" ca="1" si="33"/>
        <v>3.54</v>
      </c>
      <c r="M228" s="125">
        <f t="shared" ca="1" si="33"/>
        <v>3.54</v>
      </c>
      <c r="N228" s="125">
        <f t="shared" ca="1" si="33"/>
        <v>3.54</v>
      </c>
      <c r="O228" s="125">
        <f t="shared" ca="1" si="33"/>
        <v>3.54</v>
      </c>
      <c r="P228" s="125">
        <f t="shared" ca="1" si="33"/>
        <v>3.54</v>
      </c>
      <c r="Q228" s="125">
        <f t="shared" si="33"/>
        <v>0</v>
      </c>
      <c r="R228" s="125">
        <f t="shared" si="33"/>
        <v>0</v>
      </c>
      <c r="S228" s="125">
        <f t="shared" si="33"/>
        <v>0</v>
      </c>
      <c r="T228" s="125">
        <f t="shared" si="33"/>
        <v>0</v>
      </c>
      <c r="U228" s="125">
        <f t="shared" si="33"/>
        <v>0</v>
      </c>
      <c r="V228" s="125">
        <f t="shared" si="33"/>
        <v>0</v>
      </c>
      <c r="W228" s="125">
        <f t="shared" si="33"/>
        <v>0</v>
      </c>
      <c r="X228" s="125">
        <f t="shared" si="33"/>
        <v>0</v>
      </c>
      <c r="Y228" s="125">
        <f t="shared" si="33"/>
        <v>0</v>
      </c>
      <c r="Z228" s="125">
        <f t="shared" si="33"/>
        <v>0</v>
      </c>
      <c r="AA228" s="125">
        <f t="shared" si="33"/>
        <v>0</v>
      </c>
      <c r="AB228" s="125">
        <f t="shared" si="33"/>
        <v>0</v>
      </c>
      <c r="AC228" s="125">
        <f t="shared" si="33"/>
        <v>0</v>
      </c>
      <c r="AD228" s="125">
        <f t="shared" si="33"/>
        <v>0</v>
      </c>
      <c r="AE228" s="125">
        <f t="shared" si="33"/>
        <v>0</v>
      </c>
      <c r="AF228" s="125">
        <f t="shared" si="33"/>
        <v>0</v>
      </c>
      <c r="AG228" s="134">
        <f t="shared" si="33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1734.3400000000001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19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2079/09/19)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2079/09/19)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34">B85</f>
        <v>1070.7399999999998</v>
      </c>
      <c r="U242" s="159">
        <f t="shared" si="34"/>
        <v>1036.3400000000001</v>
      </c>
      <c r="V242" s="159">
        <f t="shared" si="34"/>
        <v>1032.04</v>
      </c>
      <c r="W242" s="159">
        <f t="shared" si="34"/>
        <v>1033.2399999999998</v>
      </c>
      <c r="X242" s="159">
        <f t="shared" si="34"/>
        <v>1022.3399999999999</v>
      </c>
      <c r="Y242" s="159">
        <f t="shared" si="34"/>
        <v>1085.94</v>
      </c>
      <c r="Z242" s="159">
        <f t="shared" si="34"/>
        <v>1179.1399999999999</v>
      </c>
      <c r="AA242" s="159">
        <f t="shared" si="34"/>
        <v>1253.94</v>
      </c>
      <c r="AB242" s="159">
        <f t="shared" si="34"/>
        <v>1365.3400000000001</v>
      </c>
      <c r="AC242" s="159">
        <f t="shared" si="34"/>
        <v>1494.7400000000002</v>
      </c>
      <c r="AD242" s="159">
        <f t="shared" si="34"/>
        <v>1494.7400000000002</v>
      </c>
      <c r="AE242" s="159">
        <f t="shared" si="34"/>
        <v>1734.3400000000001</v>
      </c>
      <c r="AF242" s="159">
        <f t="shared" si="34"/>
        <v>1690.24</v>
      </c>
      <c r="AG242" s="159">
        <f t="shared" si="34"/>
        <v>1636.3400000000001</v>
      </c>
      <c r="AH242" s="159">
        <f t="shared" si="34"/>
        <v>1566.54</v>
      </c>
      <c r="AI242" s="159">
        <f t="shared" si="34"/>
        <v>1534.94</v>
      </c>
      <c r="AJ242" s="159">
        <f t="shared" si="34"/>
        <v>1404.84</v>
      </c>
      <c r="AK242" s="159">
        <f t="shared" si="34"/>
        <v>1444.54</v>
      </c>
      <c r="AL242" s="159">
        <f t="shared" si="34"/>
        <v>1430.04</v>
      </c>
      <c r="AM242" s="159">
        <f t="shared" si="34"/>
        <v>1456.2399999999998</v>
      </c>
      <c r="AN242" s="159">
        <f t="shared" si="34"/>
        <v>1469.8400000000001</v>
      </c>
      <c r="AO242" s="159">
        <f t="shared" si="34"/>
        <v>1651.8400000000001</v>
      </c>
      <c r="AP242" s="159">
        <f t="shared" si="34"/>
        <v>1636.9299999999998</v>
      </c>
      <c r="AQ242" s="159">
        <f t="shared" si="34"/>
        <v>1636.9299999999998</v>
      </c>
      <c r="AR242" s="159">
        <f t="shared" si="34"/>
        <v>1696.44</v>
      </c>
      <c r="AS242" s="159">
        <f t="shared" si="34"/>
        <v>1631.8400000000001</v>
      </c>
      <c r="AT242" s="159">
        <f t="shared" si="34"/>
        <v>1432.2399999999998</v>
      </c>
      <c r="AU242" s="159">
        <f t="shared" si="34"/>
        <v>1460.04</v>
      </c>
      <c r="AV242" s="159">
        <f t="shared" si="34"/>
        <v>1365.54</v>
      </c>
      <c r="AW242" s="159">
        <f t="shared" si="34"/>
        <v>1233.2399999999998</v>
      </c>
      <c r="AX242" s="159">
        <f t="shared" si="34"/>
        <v>1124.24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35">C227</f>
        <v>0.64</v>
      </c>
      <c r="C263" s="162">
        <f t="shared" si="35"/>
        <v>0.64</v>
      </c>
      <c r="D263" s="162">
        <f t="shared" si="35"/>
        <v>0.64</v>
      </c>
      <c r="E263" s="162">
        <f t="shared" si="35"/>
        <v>0.64</v>
      </c>
      <c r="F263" s="162">
        <f t="shared" si="35"/>
        <v>0.64</v>
      </c>
      <c r="G263" s="162">
        <f t="shared" si="35"/>
        <v>0.64</v>
      </c>
      <c r="H263" s="162">
        <f t="shared" si="35"/>
        <v>0.64</v>
      </c>
      <c r="I263" s="162">
        <f t="shared" si="35"/>
        <v>0.64</v>
      </c>
      <c r="J263" s="162">
        <f t="shared" si="35"/>
        <v>0.64</v>
      </c>
      <c r="K263" s="162">
        <f t="shared" si="35"/>
        <v>0.64</v>
      </c>
      <c r="L263" s="162">
        <f t="shared" si="35"/>
        <v>0.64</v>
      </c>
      <c r="M263" s="162">
        <f t="shared" si="35"/>
        <v>0.64</v>
      </c>
      <c r="N263" s="162">
        <f t="shared" si="35"/>
        <v>0.64</v>
      </c>
      <c r="O263" s="162">
        <f t="shared" si="35"/>
        <v>0.64</v>
      </c>
      <c r="P263" s="162">
        <f t="shared" si="35"/>
        <v>0</v>
      </c>
      <c r="Q263" s="162">
        <f t="shared" si="35"/>
        <v>0</v>
      </c>
      <c r="R263" s="162">
        <f t="shared" si="35"/>
        <v>0</v>
      </c>
      <c r="S263" s="162">
        <f t="shared" si="35"/>
        <v>0</v>
      </c>
      <c r="T263" s="162">
        <f t="shared" si="35"/>
        <v>0</v>
      </c>
      <c r="U263" s="162">
        <f t="shared" si="35"/>
        <v>0</v>
      </c>
      <c r="V263" s="162">
        <f t="shared" si="35"/>
        <v>0</v>
      </c>
      <c r="W263" s="162">
        <f t="shared" si="35"/>
        <v>0</v>
      </c>
      <c r="X263" s="162">
        <f t="shared" si="35"/>
        <v>0</v>
      </c>
      <c r="Y263" s="162">
        <f t="shared" si="35"/>
        <v>0</v>
      </c>
      <c r="Z263" s="162">
        <f t="shared" si="35"/>
        <v>0</v>
      </c>
      <c r="AA263" s="162">
        <f t="shared" si="35"/>
        <v>0</v>
      </c>
      <c r="AB263" s="162">
        <f t="shared" si="35"/>
        <v>0</v>
      </c>
      <c r="AC263" s="162">
        <f t="shared" si="35"/>
        <v>0</v>
      </c>
      <c r="AD263" s="162">
        <f t="shared" si="35"/>
        <v>0</v>
      </c>
      <c r="AE263" s="162">
        <f t="shared" si="35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36">IF(B231&lt;100,"",B231-520)</f>
        <v/>
      </c>
      <c r="C264" s="163" t="str">
        <f t="shared" si="36"/>
        <v/>
      </c>
      <c r="D264" s="163" t="str">
        <f t="shared" si="36"/>
        <v/>
      </c>
      <c r="E264" s="163" t="str">
        <f t="shared" si="36"/>
        <v/>
      </c>
      <c r="F264" s="163" t="str">
        <f t="shared" si="36"/>
        <v/>
      </c>
      <c r="G264" s="163" t="str">
        <f t="shared" si="36"/>
        <v/>
      </c>
      <c r="H264" s="163" t="str">
        <f t="shared" si="36"/>
        <v/>
      </c>
      <c r="I264" s="163" t="str">
        <f t="shared" si="36"/>
        <v/>
      </c>
      <c r="J264" s="163" t="str">
        <f t="shared" si="36"/>
        <v/>
      </c>
      <c r="K264" s="163" t="str">
        <f t="shared" si="36"/>
        <v/>
      </c>
      <c r="L264" s="163" t="str">
        <f t="shared" si="36"/>
        <v/>
      </c>
      <c r="M264" s="163" t="str">
        <f t="shared" si="36"/>
        <v/>
      </c>
      <c r="N264" s="163" t="str">
        <f t="shared" si="36"/>
        <v/>
      </c>
      <c r="O264" s="163" t="str">
        <f t="shared" si="36"/>
        <v/>
      </c>
      <c r="P264" s="163" t="str">
        <f t="shared" si="36"/>
        <v/>
      </c>
      <c r="Q264" s="163" t="str">
        <f t="shared" si="36"/>
        <v/>
      </c>
      <c r="R264" s="163" t="str">
        <f t="shared" si="36"/>
        <v/>
      </c>
      <c r="S264" s="163" t="str">
        <f t="shared" si="36"/>
        <v/>
      </c>
      <c r="T264" s="163" t="str">
        <f t="shared" si="36"/>
        <v/>
      </c>
      <c r="U264" s="163" t="str">
        <f t="shared" si="36"/>
        <v/>
      </c>
      <c r="V264" s="163" t="str">
        <f t="shared" si="36"/>
        <v/>
      </c>
      <c r="W264" s="163" t="str">
        <f t="shared" si="36"/>
        <v/>
      </c>
      <c r="X264" s="163" t="str">
        <f t="shared" si="36"/>
        <v/>
      </c>
      <c r="Y264" s="163" t="str">
        <f t="shared" si="36"/>
        <v/>
      </c>
      <c r="Z264" s="163" t="str">
        <f t="shared" si="36"/>
        <v/>
      </c>
      <c r="AA264" s="163" t="str">
        <f t="shared" si="36"/>
        <v/>
      </c>
      <c r="AB264" s="163" t="str">
        <f t="shared" si="36"/>
        <v/>
      </c>
      <c r="AC264" s="163" t="str">
        <f t="shared" si="36"/>
        <v/>
      </c>
      <c r="AD264" s="163" t="str">
        <f t="shared" si="36"/>
        <v/>
      </c>
      <c r="AE264" s="163" t="str">
        <f t="shared" si="36"/>
        <v/>
      </c>
      <c r="AF264" s="163" t="str">
        <f t="shared" si="36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7">IF(B232&lt;100,"",B232-620)</f>
        <v/>
      </c>
      <c r="C265" s="163" t="str">
        <f t="shared" si="37"/>
        <v/>
      </c>
      <c r="D265" s="163" t="str">
        <f t="shared" si="37"/>
        <v/>
      </c>
      <c r="E265" s="163" t="str">
        <f t="shared" si="37"/>
        <v/>
      </c>
      <c r="F265" s="163" t="str">
        <f t="shared" si="37"/>
        <v/>
      </c>
      <c r="G265" s="163" t="str">
        <f t="shared" si="37"/>
        <v/>
      </c>
      <c r="H265" s="163" t="str">
        <f t="shared" si="37"/>
        <v/>
      </c>
      <c r="I265" s="163" t="str">
        <f t="shared" si="37"/>
        <v/>
      </c>
      <c r="J265" s="163" t="str">
        <f t="shared" si="37"/>
        <v/>
      </c>
      <c r="K265" s="163" t="str">
        <f t="shared" si="37"/>
        <v/>
      </c>
      <c r="L265" s="163" t="str">
        <f t="shared" si="37"/>
        <v/>
      </c>
      <c r="M265" s="163" t="str">
        <f t="shared" si="37"/>
        <v/>
      </c>
      <c r="N265" s="163" t="str">
        <f t="shared" si="37"/>
        <v/>
      </c>
      <c r="O265" s="163" t="str">
        <f t="shared" si="37"/>
        <v/>
      </c>
      <c r="P265" s="163" t="str">
        <f t="shared" si="37"/>
        <v/>
      </c>
      <c r="Q265" s="163" t="str">
        <f t="shared" si="37"/>
        <v/>
      </c>
      <c r="R265" s="163" t="str">
        <f t="shared" si="37"/>
        <v/>
      </c>
      <c r="S265" s="163" t="str">
        <f t="shared" si="37"/>
        <v/>
      </c>
      <c r="T265" s="163" t="str">
        <f t="shared" si="37"/>
        <v/>
      </c>
      <c r="U265" s="163" t="str">
        <f t="shared" si="37"/>
        <v/>
      </c>
      <c r="V265" s="163" t="str">
        <f t="shared" si="37"/>
        <v/>
      </c>
      <c r="W265" s="163" t="str">
        <f t="shared" si="37"/>
        <v/>
      </c>
      <c r="X265" s="163" t="str">
        <f t="shared" si="37"/>
        <v/>
      </c>
      <c r="Y265" s="163" t="str">
        <f t="shared" si="37"/>
        <v/>
      </c>
      <c r="Z265" s="163" t="str">
        <f t="shared" si="37"/>
        <v/>
      </c>
      <c r="AA265" s="163" t="str">
        <f t="shared" si="37"/>
        <v/>
      </c>
      <c r="AB265" s="163" t="str">
        <f t="shared" si="37"/>
        <v/>
      </c>
      <c r="AC265" s="163" t="str">
        <f t="shared" si="37"/>
        <v/>
      </c>
      <c r="AD265" s="163" t="str">
        <f t="shared" si="37"/>
        <v/>
      </c>
      <c r="AE265" s="163" t="str">
        <f t="shared" si="37"/>
        <v/>
      </c>
      <c r="AF265" s="163" t="str">
        <f t="shared" si="37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8">IF(B233&lt;100,"",B233-330)</f>
        <v/>
      </c>
      <c r="C266" s="163" t="str">
        <f t="shared" si="38"/>
        <v/>
      </c>
      <c r="D266" s="163" t="str">
        <f t="shared" si="38"/>
        <v/>
      </c>
      <c r="E266" s="163" t="str">
        <f t="shared" si="38"/>
        <v/>
      </c>
      <c r="F266" s="163" t="str">
        <f t="shared" si="38"/>
        <v/>
      </c>
      <c r="G266" s="163" t="str">
        <f t="shared" si="38"/>
        <v/>
      </c>
      <c r="H266" s="163" t="str">
        <f t="shared" si="38"/>
        <v/>
      </c>
      <c r="I266" s="163" t="str">
        <f t="shared" si="38"/>
        <v/>
      </c>
      <c r="J266" s="163" t="str">
        <f t="shared" si="38"/>
        <v/>
      </c>
      <c r="K266" s="163" t="str">
        <f t="shared" si="38"/>
        <v/>
      </c>
      <c r="L266" s="163" t="str">
        <f t="shared" si="38"/>
        <v/>
      </c>
      <c r="M266" s="163" t="str">
        <f t="shared" si="38"/>
        <v/>
      </c>
      <c r="N266" s="163" t="str">
        <f t="shared" si="38"/>
        <v/>
      </c>
      <c r="O266" s="163" t="str">
        <f t="shared" si="38"/>
        <v/>
      </c>
      <c r="P266" s="163" t="str">
        <f t="shared" si="38"/>
        <v/>
      </c>
      <c r="Q266" s="163" t="str">
        <f t="shared" si="38"/>
        <v/>
      </c>
      <c r="R266" s="163" t="str">
        <f t="shared" si="38"/>
        <v/>
      </c>
      <c r="S266" s="163" t="str">
        <f t="shared" si="38"/>
        <v/>
      </c>
      <c r="T266" s="163" t="str">
        <f t="shared" si="38"/>
        <v/>
      </c>
      <c r="U266" s="163" t="str">
        <f t="shared" si="38"/>
        <v/>
      </c>
      <c r="V266" s="163" t="str">
        <f t="shared" si="38"/>
        <v/>
      </c>
      <c r="W266" s="163" t="str">
        <f t="shared" si="38"/>
        <v/>
      </c>
      <c r="X266" s="163" t="str">
        <f t="shared" si="38"/>
        <v/>
      </c>
      <c r="Y266" s="163" t="str">
        <f t="shared" si="38"/>
        <v/>
      </c>
      <c r="Z266" s="163" t="str">
        <f t="shared" si="38"/>
        <v/>
      </c>
      <c r="AA266" s="163" t="str">
        <f t="shared" si="38"/>
        <v/>
      </c>
      <c r="AB266" s="163" t="str">
        <f t="shared" si="38"/>
        <v/>
      </c>
      <c r="AC266" s="163" t="str">
        <f t="shared" si="38"/>
        <v/>
      </c>
      <c r="AD266" s="163" t="str">
        <f t="shared" si="38"/>
        <v/>
      </c>
      <c r="AE266" s="163" t="str">
        <f t="shared" si="38"/>
        <v/>
      </c>
      <c r="AF266" s="163" t="str">
        <f t="shared" si="38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9">IF(B234&lt;100,"",B234-1500)</f>
        <v/>
      </c>
      <c r="C267" s="163" t="str">
        <f t="shared" si="39"/>
        <v/>
      </c>
      <c r="D267" s="163" t="str">
        <f t="shared" si="39"/>
        <v/>
      </c>
      <c r="E267" s="163" t="str">
        <f t="shared" si="39"/>
        <v/>
      </c>
      <c r="F267" s="163" t="str">
        <f t="shared" si="39"/>
        <v/>
      </c>
      <c r="G267" s="163" t="str">
        <f t="shared" si="39"/>
        <v/>
      </c>
      <c r="H267" s="163" t="str">
        <f t="shared" si="39"/>
        <v/>
      </c>
      <c r="I267" s="163" t="str">
        <f t="shared" si="39"/>
        <v/>
      </c>
      <c r="J267" s="163" t="str">
        <f t="shared" si="39"/>
        <v/>
      </c>
      <c r="K267" s="163" t="str">
        <f t="shared" si="39"/>
        <v/>
      </c>
      <c r="L267" s="163" t="str">
        <f t="shared" si="39"/>
        <v/>
      </c>
      <c r="M267" s="163" t="str">
        <f t="shared" si="39"/>
        <v/>
      </c>
      <c r="N267" s="163" t="str">
        <f t="shared" si="39"/>
        <v/>
      </c>
      <c r="O267" s="163" t="str">
        <f t="shared" si="39"/>
        <v/>
      </c>
      <c r="P267" s="163" t="str">
        <f t="shared" si="39"/>
        <v/>
      </c>
      <c r="Q267" s="163" t="str">
        <f t="shared" si="39"/>
        <v/>
      </c>
      <c r="R267" s="163" t="str">
        <f t="shared" si="39"/>
        <v/>
      </c>
      <c r="S267" s="163" t="str">
        <f t="shared" si="39"/>
        <v/>
      </c>
      <c r="T267" s="163" t="str">
        <f t="shared" si="39"/>
        <v/>
      </c>
      <c r="U267" s="163" t="str">
        <f t="shared" si="39"/>
        <v/>
      </c>
      <c r="V267" s="163" t="str">
        <f t="shared" si="39"/>
        <v/>
      </c>
      <c r="W267" s="163" t="str">
        <f t="shared" si="39"/>
        <v/>
      </c>
      <c r="X267" s="163" t="str">
        <f t="shared" si="39"/>
        <v/>
      </c>
      <c r="Y267" s="163" t="str">
        <f t="shared" si="39"/>
        <v/>
      </c>
      <c r="Z267" s="163" t="str">
        <f t="shared" si="39"/>
        <v/>
      </c>
      <c r="AA267" s="163" t="str">
        <f t="shared" si="39"/>
        <v/>
      </c>
      <c r="AB267" s="163" t="str">
        <f t="shared" si="39"/>
        <v/>
      </c>
      <c r="AC267" s="163" t="str">
        <f t="shared" si="39"/>
        <v/>
      </c>
      <c r="AD267" s="163" t="str">
        <f t="shared" si="39"/>
        <v/>
      </c>
      <c r="AE267" s="163" t="str">
        <f t="shared" si="39"/>
        <v/>
      </c>
      <c r="AF267" s="163" t="str">
        <f t="shared" si="39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X11:AF41">
    <cfRule type="expression" dxfId="5820" priority="234">
      <formula>B$9&gt;=20/24</formula>
    </cfRule>
    <cfRule type="expression" dxfId="5819" priority="235">
      <formula>AND(B$9&gt;=14/24,B$9&lt;20/24)</formula>
    </cfRule>
    <cfRule type="expression" dxfId="5818" priority="236">
      <formula>AND(B$9&gt;=8/24,B$9&lt;14/24)</formula>
    </cfRule>
    <cfRule type="expression" dxfId="5817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X11:AF41">
    <cfRule type="expression" dxfId="5816" priority="232">
      <formula>X11&gt;$AG11</formula>
    </cfRule>
  </conditionalFormatting>
  <conditionalFormatting sqref="A95:A105 A55:A82 A91:A93 A198:A228 A42:A53 A114:A185 A38:A39 A87:A89 A84:A85 A107:A109 A35:A36 A17:A18 A11:A15 A20:A33">
    <cfRule type="expression" dxfId="5815" priority="231">
      <formula>$AH11=0</formula>
    </cfRule>
  </conditionalFormatting>
  <conditionalFormatting sqref="A110">
    <cfRule type="expression" dxfId="5814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5813" priority="228">
      <formula>$AH41=0</formula>
    </cfRule>
  </conditionalFormatting>
  <conditionalFormatting sqref="A94">
    <cfRule type="expression" dxfId="5812" priority="227">
      <formula>$AH94=0</formula>
    </cfRule>
  </conditionalFormatting>
  <conditionalFormatting sqref="A16">
    <cfRule type="expression" dxfId="5811" priority="226">
      <formula>$AH16=0</formula>
    </cfRule>
  </conditionalFormatting>
  <conditionalFormatting sqref="A192:A197">
    <cfRule type="expression" dxfId="5810" priority="225">
      <formula>$AH192=0</formula>
    </cfRule>
  </conditionalFormatting>
  <conditionalFormatting sqref="A186:A191">
    <cfRule type="expression" dxfId="5809" priority="224">
      <formula>$AH186=0</formula>
    </cfRule>
  </conditionalFormatting>
  <conditionalFormatting sqref="A54">
    <cfRule type="expression" dxfId="5808" priority="223">
      <formula>$AH54=0</formula>
    </cfRule>
  </conditionalFormatting>
  <conditionalFormatting sqref="A90">
    <cfRule type="expression" dxfId="5807" priority="222">
      <formula>$AH90=0</formula>
    </cfRule>
  </conditionalFormatting>
  <conditionalFormatting sqref="AD95:AF95 E95:Y95">
    <cfRule type="expression" dxfId="5806" priority="218">
      <formula>E$9&gt;=20/24</formula>
    </cfRule>
    <cfRule type="expression" dxfId="5805" priority="219">
      <formula>AND(E$9&gt;=14/24,E$9&lt;20/24)</formula>
    </cfRule>
    <cfRule type="expression" dxfId="5804" priority="220">
      <formula>AND(E$9&gt;=8/24,E$9&lt;14/24)</formula>
    </cfRule>
    <cfRule type="expression" dxfId="5803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802" priority="240">
      <formula>C$9&gt;=20/24</formula>
    </cfRule>
    <cfRule type="expression" dxfId="5801" priority="241">
      <formula>AND(C$9&gt;=14/24,C$9&lt;20/24)</formula>
    </cfRule>
    <cfRule type="expression" dxfId="5800" priority="242">
      <formula>AND(C$9&gt;=8/24,C$9&lt;14/24)</formula>
    </cfRule>
    <cfRule type="expression" dxfId="5799" priority="243">
      <formula>C$9&lt;8/24</formula>
    </cfRule>
  </conditionalFormatting>
  <conditionalFormatting sqref="A229">
    <cfRule type="expression" dxfId="5798" priority="244">
      <formula>$AH229=0</formula>
    </cfRule>
  </conditionalFormatting>
  <conditionalFormatting sqref="AG241">
    <cfRule type="expression" dxfId="5797" priority="245">
      <formula>B$9&gt;=20/24</formula>
    </cfRule>
    <cfRule type="expression" dxfId="5796" priority="246">
      <formula>AND(B$9&gt;=14/24,B$9&lt;20/24)</formula>
    </cfRule>
    <cfRule type="expression" dxfId="5795" priority="247">
      <formula>AND(B$9&gt;=8/24,B$9&lt;14/24)</formula>
    </cfRule>
    <cfRule type="expression" dxfId="5794" priority="248">
      <formula>B$9&lt;8/24</formula>
    </cfRule>
  </conditionalFormatting>
  <conditionalFormatting sqref="S8">
    <cfRule type="expression" dxfId="5793" priority="213">
      <formula>U$9&gt;=20/24</formula>
    </cfRule>
    <cfRule type="expression" dxfId="5792" priority="214">
      <formula>AND(U$9&gt;=14/24,U$9&lt;20/24)</formula>
    </cfRule>
    <cfRule type="expression" dxfId="5791" priority="215">
      <formula>AND(U$9&gt;=8/24,U$9&lt;14/24)</formula>
    </cfRule>
    <cfRule type="expression" dxfId="5790" priority="216">
      <formula>U$9&lt;8/24</formula>
    </cfRule>
  </conditionalFormatting>
  <conditionalFormatting sqref="AB8">
    <cfRule type="expression" dxfId="5789" priority="209">
      <formula>AD$9&gt;=20/24</formula>
    </cfRule>
    <cfRule type="expression" dxfId="5788" priority="210">
      <formula>AND(AD$9&gt;=14/24,AD$9&lt;20/24)</formula>
    </cfRule>
    <cfRule type="expression" dxfId="5787" priority="211">
      <formula>AND(AD$9&gt;=8/24,AD$9&lt;14/24)</formula>
    </cfRule>
    <cfRule type="expression" dxfId="5786" priority="212">
      <formula>AD$9&lt;8/24</formula>
    </cfRule>
  </conditionalFormatting>
  <conditionalFormatting sqref="AH241:AX241">
    <cfRule type="expression" dxfId="5785" priority="249">
      <formula>AG$9&gt;=20/24</formula>
    </cfRule>
    <cfRule type="expression" dxfId="5784" priority="250">
      <formula>AND(AG$9&gt;=14/24,AG$9&lt;20/24)</formula>
    </cfRule>
    <cfRule type="expression" dxfId="5783" priority="251">
      <formula>AND(AG$9&gt;=8/24,AG$9&lt;14/24)</formula>
    </cfRule>
    <cfRule type="expression" dxfId="5782" priority="252">
      <formula>AG$9&lt;8/24</formula>
    </cfRule>
  </conditionalFormatting>
  <conditionalFormatting sqref="T241">
    <cfRule type="expression" dxfId="5781" priority="253">
      <formula>AX$9&gt;=20/24</formula>
    </cfRule>
    <cfRule type="expression" dxfId="5780" priority="254">
      <formula>AND(AX$9&gt;=14/24,AX$9&lt;20/24)</formula>
    </cfRule>
    <cfRule type="expression" dxfId="5779" priority="255">
      <formula>AND(AX$9&gt;=8/24,AX$9&lt;14/24)</formula>
    </cfRule>
    <cfRule type="expression" dxfId="5778" priority="256">
      <formula>AX$9&lt;8/24</formula>
    </cfRule>
  </conditionalFormatting>
  <conditionalFormatting sqref="A111:A112">
    <cfRule type="expression" dxfId="5777" priority="208">
      <formula>$AH111=0</formula>
    </cfRule>
  </conditionalFormatting>
  <conditionalFormatting sqref="P50:Q52 R52:W52 E67:AF67 AB50:AF51 X52:AF53">
    <cfRule type="expression" dxfId="5776" priority="204">
      <formula>E$9&gt;=20/24</formula>
    </cfRule>
    <cfRule type="expression" dxfId="5775" priority="205">
      <formula>AND(E$9&gt;=14/24,E$9&lt;20/24)</formula>
    </cfRule>
    <cfRule type="expression" dxfId="5774" priority="206">
      <formula>AND(E$9&gt;=8/24,E$9&lt;14/24)</formula>
    </cfRule>
    <cfRule type="expression" dxfId="5773" priority="207">
      <formula>E$9&lt;8/24</formula>
    </cfRule>
  </conditionalFormatting>
  <conditionalFormatting sqref="AB49:AF49 P49:Q49">
    <cfRule type="expression" dxfId="5772" priority="200">
      <formula>P$9&gt;=20/24</formula>
    </cfRule>
    <cfRule type="expression" dxfId="5771" priority="201">
      <formula>AND(P$9&gt;=14/24,P$9&lt;20/24)</formula>
    </cfRule>
    <cfRule type="expression" dxfId="5770" priority="202">
      <formula>AND(P$9&gt;=8/24,P$9&lt;14/24)</formula>
    </cfRule>
    <cfRule type="expression" dxfId="5769" priority="203">
      <formula>P$9&lt;8/24</formula>
    </cfRule>
  </conditionalFormatting>
  <conditionalFormatting sqref="P49:Q52 R52:W52 AB49:AF51 X52:AF53">
    <cfRule type="expression" dxfId="5768" priority="199">
      <formula>P49&gt;$AG49</formula>
    </cfRule>
  </conditionalFormatting>
  <conditionalFormatting sqref="AD96:AF102 E68:W69 X43:AF43 X92:AF92 D82:AF82 O96:Y102 X68:AF70 X63:AF65">
    <cfRule type="expression" dxfId="5767" priority="195">
      <formula>D$9&gt;=20/24</formula>
    </cfRule>
    <cfRule type="expression" dxfId="5766" priority="196">
      <formula>AND(D$9&gt;=14/24,D$9&lt;20/24)</formula>
    </cfRule>
    <cfRule type="expression" dxfId="5765" priority="197">
      <formula>AND(D$9&gt;=8/24,D$9&lt;14/24)</formula>
    </cfRule>
    <cfRule type="expression" dxfId="5764" priority="198">
      <formula>D$9&lt;8/24</formula>
    </cfRule>
  </conditionalFormatting>
  <conditionalFormatting sqref="X43:AF43 X63:AF65">
    <cfRule type="expression" dxfId="5763" priority="194">
      <formula>X43&gt;$AG43</formula>
    </cfRule>
  </conditionalFormatting>
  <conditionalFormatting sqref="R49:AA51">
    <cfRule type="expression" dxfId="5762" priority="190">
      <formula>R$9&gt;=20/24</formula>
    </cfRule>
    <cfRule type="expression" dxfId="5761" priority="191">
      <formula>AND(R$9&gt;=14/24,R$9&lt;20/24)</formula>
    </cfRule>
    <cfRule type="expression" dxfId="5760" priority="192">
      <formula>AND(R$9&gt;=8/24,R$9&lt;14/24)</formula>
    </cfRule>
    <cfRule type="expression" dxfId="5759" priority="193">
      <formula>R$9&lt;8/24</formula>
    </cfRule>
  </conditionalFormatting>
  <conditionalFormatting sqref="R49:AA51">
    <cfRule type="expression" dxfId="5758" priority="189">
      <formula>R49&gt;$AG49</formula>
    </cfRule>
  </conditionalFormatting>
  <conditionalFormatting sqref="C93:AF93 C84:AF84">
    <cfRule type="expression" dxfId="5757" priority="185">
      <formula>C$9&gt;=20/24</formula>
    </cfRule>
    <cfRule type="expression" dxfId="5756" priority="186">
      <formula>AND(C$9&gt;=14/24,C$9&lt;20/24)</formula>
    </cfRule>
    <cfRule type="expression" dxfId="5755" priority="187">
      <formula>AND(C$9&gt;=8/24,C$9&lt;14/24)</formula>
    </cfRule>
    <cfRule type="expression" dxfId="5754" priority="188">
      <formula>C$9&lt;8/24</formula>
    </cfRule>
  </conditionalFormatting>
  <conditionalFormatting sqref="T43:W43">
    <cfRule type="expression" dxfId="5753" priority="181">
      <formula>T$9&gt;=20/24</formula>
    </cfRule>
    <cfRule type="expression" dxfId="5752" priority="182">
      <formula>AND(T$9&gt;=14/24,T$9&lt;20/24)</formula>
    </cfRule>
    <cfRule type="expression" dxfId="5751" priority="183">
      <formula>AND(T$9&gt;=8/24,T$9&lt;14/24)</formula>
    </cfRule>
    <cfRule type="expression" dxfId="5750" priority="184">
      <formula>T$9&lt;8/24</formula>
    </cfRule>
  </conditionalFormatting>
  <conditionalFormatting sqref="T43:W43">
    <cfRule type="expression" dxfId="5749" priority="180">
      <formula>T43&gt;$AG43</formula>
    </cfRule>
  </conditionalFormatting>
  <conditionalFormatting sqref="E50:O51 X42:AF42">
    <cfRule type="expression" dxfId="5748" priority="176">
      <formula>E$9&gt;=20/24</formula>
    </cfRule>
    <cfRule type="expression" dxfId="5747" priority="177">
      <formula>AND(E$9&gt;=14/24,E$9&lt;20/24)</formula>
    </cfRule>
    <cfRule type="expression" dxfId="5746" priority="178">
      <formula>AND(E$9&gt;=8/24,E$9&lt;14/24)</formula>
    </cfRule>
    <cfRule type="expression" dxfId="5745" priority="179">
      <formula>E$9&lt;8/24</formula>
    </cfRule>
  </conditionalFormatting>
  <conditionalFormatting sqref="E49:O49">
    <cfRule type="expression" dxfId="5744" priority="172">
      <formula>E$9&gt;=20/24</formula>
    </cfRule>
    <cfRule type="expression" dxfId="5743" priority="173">
      <formula>AND(E$9&gt;=14/24,E$9&lt;20/24)</formula>
    </cfRule>
    <cfRule type="expression" dxfId="5742" priority="174">
      <formula>AND(E$9&gt;=8/24,E$9&lt;14/24)</formula>
    </cfRule>
    <cfRule type="expression" dxfId="5741" priority="175">
      <formula>E$9&lt;8/24</formula>
    </cfRule>
  </conditionalFormatting>
  <conditionalFormatting sqref="E49:O51 X42:AF42">
    <cfRule type="expression" dxfId="5740" priority="171">
      <formula>E42&gt;$AG42</formula>
    </cfRule>
  </conditionalFormatting>
  <conditionalFormatting sqref="AG66 AG83 E96:N102 R63:W65">
    <cfRule type="expression" dxfId="5739" priority="167">
      <formula>E$9&gt;=20/24</formula>
    </cfRule>
    <cfRule type="expression" dxfId="5738" priority="168">
      <formula>AND(E$9&gt;=14/24,E$9&lt;20/24)</formula>
    </cfRule>
    <cfRule type="expression" dxfId="5737" priority="169">
      <formula>AND(E$9&gt;=8/24,E$9&lt;14/24)</formula>
    </cfRule>
    <cfRule type="expression" dxfId="5736" priority="170">
      <formula>E$9&lt;8/24</formula>
    </cfRule>
  </conditionalFormatting>
  <conditionalFormatting sqref="AG44 AG62 AG66 R53:W53 R63:W65">
    <cfRule type="expression" dxfId="5735" priority="166">
      <formula>R44&gt;$AG44</formula>
    </cfRule>
  </conditionalFormatting>
  <conditionalFormatting sqref="X54:AF54">
    <cfRule type="expression" dxfId="5734" priority="162">
      <formula>X$9&gt;=20/24</formula>
    </cfRule>
    <cfRule type="expression" dxfId="5733" priority="163">
      <formula>AND(X$9&gt;=14/24,X$9&lt;20/24)</formula>
    </cfRule>
    <cfRule type="expression" dxfId="5732" priority="164">
      <formula>AND(X$9&gt;=8/24,X$9&lt;14/24)</formula>
    </cfRule>
    <cfRule type="expression" dxfId="5731" priority="165">
      <formula>X$9&lt;8/24</formula>
    </cfRule>
  </conditionalFormatting>
  <conditionalFormatting sqref="X54:AF54">
    <cfRule type="expression" dxfId="5730" priority="161">
      <formula>X54&gt;$AG54</formula>
    </cfRule>
  </conditionalFormatting>
  <conditionalFormatting sqref="A40">
    <cfRule type="expression" dxfId="5729" priority="160">
      <formula>$AH40=0</formula>
    </cfRule>
  </conditionalFormatting>
  <conditionalFormatting sqref="X87:AF91">
    <cfRule type="expression" dxfId="5728" priority="156">
      <formula>X$9&gt;=20/24</formula>
    </cfRule>
    <cfRule type="expression" dxfId="5727" priority="157">
      <formula>AND(X$9&gt;=14/24,X$9&lt;20/24)</formula>
    </cfRule>
    <cfRule type="expression" dxfId="5726" priority="158">
      <formula>AND(X$9&gt;=8/24,X$9&lt;14/24)</formula>
    </cfRule>
    <cfRule type="expression" dxfId="5725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5724" priority="152">
      <formula>E$9&gt;=20/24</formula>
    </cfRule>
    <cfRule type="expression" dxfId="5723" priority="153">
      <formula>AND(E$9&gt;=14/24,E$9&lt;20/24)</formula>
    </cfRule>
    <cfRule type="expression" dxfId="5722" priority="154">
      <formula>AND(E$9&gt;=8/24,E$9&lt;14/24)</formula>
    </cfRule>
    <cfRule type="expression" dxfId="5721" priority="155">
      <formula>E$9&lt;8/24</formula>
    </cfRule>
  </conditionalFormatting>
  <conditionalFormatting sqref="E45:AF47">
    <cfRule type="expression" dxfId="5720" priority="151">
      <formula>E45&gt;$AG45</formula>
    </cfRule>
  </conditionalFormatting>
  <conditionalFormatting sqref="AG48">
    <cfRule type="expression" dxfId="5719" priority="147">
      <formula>AG$9&gt;=20/24</formula>
    </cfRule>
    <cfRule type="expression" dxfId="5718" priority="148">
      <formula>AND(AG$9&gt;=14/24,AG$9&lt;20/24)</formula>
    </cfRule>
    <cfRule type="expression" dxfId="5717" priority="149">
      <formula>AND(AG$9&gt;=8/24,AG$9&lt;14/24)</formula>
    </cfRule>
    <cfRule type="expression" dxfId="5716" priority="150">
      <formula>AG$9&lt;8/24</formula>
    </cfRule>
  </conditionalFormatting>
  <conditionalFormatting sqref="AG48">
    <cfRule type="expression" dxfId="5715" priority="146">
      <formula>AG48&gt;$AG48</formula>
    </cfRule>
  </conditionalFormatting>
  <conditionalFormatting sqref="C103:AF103">
    <cfRule type="expression" dxfId="5714" priority="142">
      <formula>C$9&gt;=20/24</formula>
    </cfRule>
    <cfRule type="expression" dxfId="5713" priority="143">
      <formula>AND(C$9&gt;=14/24,C$9&lt;20/24)</formula>
    </cfRule>
    <cfRule type="expression" dxfId="5712" priority="144">
      <formula>AND(C$9&gt;=8/24,C$9&lt;14/24)</formula>
    </cfRule>
    <cfRule type="expression" dxfId="5711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710" priority="140">
      <formula>$AH37=0</formula>
    </cfRule>
  </conditionalFormatting>
  <conditionalFormatting sqref="A86">
    <cfRule type="expression" dxfId="5709" priority="138">
      <formula>$AH86=0</formula>
    </cfRule>
  </conditionalFormatting>
  <conditionalFormatting sqref="A83">
    <cfRule type="expression" dxfId="5708" priority="139">
      <formula>$AH83=0</formula>
    </cfRule>
  </conditionalFormatting>
  <conditionalFormatting sqref="A113">
    <cfRule type="expression" dxfId="5707" priority="129">
      <formula>$AH113=0</formula>
    </cfRule>
  </conditionalFormatting>
  <conditionalFormatting sqref="D106:AF106">
    <cfRule type="expression" dxfId="5706" priority="125">
      <formula>D$9&gt;=20/24</formula>
    </cfRule>
    <cfRule type="expression" dxfId="5705" priority="126">
      <formula>AND(D$9&gt;=14/24,D$9&lt;20/24)</formula>
    </cfRule>
    <cfRule type="expression" dxfId="5704" priority="127">
      <formula>AND(D$9&gt;=8/24,D$9&lt;14/24)</formula>
    </cfRule>
    <cfRule type="expression" dxfId="5703" priority="128">
      <formula>D$9&lt;8/24</formula>
    </cfRule>
  </conditionalFormatting>
  <conditionalFormatting sqref="A106">
    <cfRule type="expression" dxfId="5702" priority="124">
      <formula>$AH106=0</formula>
    </cfRule>
  </conditionalFormatting>
  <conditionalFormatting sqref="A19">
    <cfRule type="expression" dxfId="5701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700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Z95:AC95">
    <cfRule type="expression" dxfId="5699" priority="116">
      <formula>Z$9&gt;=20/24</formula>
    </cfRule>
    <cfRule type="expression" dxfId="5698" priority="117">
      <formula>AND(Z$9&gt;=14/24,Z$9&lt;20/24)</formula>
    </cfRule>
    <cfRule type="expression" dxfId="5697" priority="118">
      <formula>AND(Z$9&gt;=8/24,Z$9&lt;14/24)</formula>
    </cfRule>
    <cfRule type="expression" dxfId="5696" priority="119">
      <formula>Z$9&lt;8/24</formula>
    </cfRule>
  </conditionalFormatting>
  <conditionalFormatting sqref="Z96:AC102">
    <cfRule type="expression" dxfId="5695" priority="112">
      <formula>Z$9&gt;=20/24</formula>
    </cfRule>
    <cfRule type="expression" dxfId="5694" priority="113">
      <formula>AND(Z$9&gt;=14/24,Z$9&lt;20/24)</formula>
    </cfRule>
    <cfRule type="expression" dxfId="5693" priority="114">
      <formula>AND(Z$9&gt;=8/24,Z$9&lt;14/24)</formula>
    </cfRule>
    <cfRule type="expression" dxfId="5692" priority="115">
      <formula>Z$9&lt;8/24</formula>
    </cfRule>
  </conditionalFormatting>
  <conditionalFormatting sqref="B105:C105 B107:C112 B15:W40">
    <cfRule type="expression" dxfId="5691" priority="108">
      <formula>B$9&gt;=20/24</formula>
    </cfRule>
    <cfRule type="expression" dxfId="5690" priority="109">
      <formula>AND(B$9&gt;=14/24,B$9&lt;20/24)</formula>
    </cfRule>
    <cfRule type="expression" dxfId="5689" priority="110">
      <formula>AND(B$9&gt;=8/24,B$9&lt;14/24)</formula>
    </cfRule>
    <cfRule type="expression" dxfId="5688" priority="111">
      <formula>B$9&lt;8/24</formula>
    </cfRule>
  </conditionalFormatting>
  <conditionalFormatting sqref="B43:S43">
    <cfRule type="expression" dxfId="5687" priority="104">
      <formula>B$9&gt;=20/24</formula>
    </cfRule>
    <cfRule type="expression" dxfId="5686" priority="105">
      <formula>AND(B$9&gt;=14/24,B$9&lt;20/24)</formula>
    </cfRule>
    <cfRule type="expression" dxfId="5685" priority="106">
      <formula>AND(B$9&gt;=8/24,B$9&lt;14/24)</formula>
    </cfRule>
    <cfRule type="expression" dxfId="5684" priority="107">
      <formula>B$9&lt;8/24</formula>
    </cfRule>
  </conditionalFormatting>
  <conditionalFormatting sqref="B43:S43 B15:W40">
    <cfRule type="expression" dxfId="5683" priority="103">
      <formula>B15&gt;$AG15</formula>
    </cfRule>
  </conditionalFormatting>
  <conditionalFormatting sqref="B95:D95">
    <cfRule type="expression" dxfId="5682" priority="99">
      <formula>B$9&gt;=20/24</formula>
    </cfRule>
    <cfRule type="expression" dxfId="5681" priority="100">
      <formula>AND(B$9&gt;=14/24,B$9&lt;20/24)</formula>
    </cfRule>
    <cfRule type="expression" dxfId="5680" priority="101">
      <formula>AND(B$9&gt;=8/24,B$9&lt;14/24)</formula>
    </cfRule>
    <cfRule type="expression" dxfId="5679" priority="102">
      <formula>B$9&lt;8/24</formula>
    </cfRule>
  </conditionalFormatting>
  <conditionalFormatting sqref="B67:D67 B50:D51">
    <cfRule type="expression" dxfId="5678" priority="95">
      <formula>B$9&gt;=20/24</formula>
    </cfRule>
    <cfRule type="expression" dxfId="5677" priority="96">
      <formula>AND(B$9&gt;=14/24,B$9&lt;20/24)</formula>
    </cfRule>
    <cfRule type="expression" dxfId="5676" priority="97">
      <formula>AND(B$9&gt;=8/24,B$9&lt;14/24)</formula>
    </cfRule>
    <cfRule type="expression" dxfId="5675" priority="98">
      <formula>B$9&lt;8/24</formula>
    </cfRule>
  </conditionalFormatting>
  <conditionalFormatting sqref="B49:D49">
    <cfRule type="expression" dxfId="5674" priority="91">
      <formula>B$9&gt;=20/24</formula>
    </cfRule>
    <cfRule type="expression" dxfId="5673" priority="92">
      <formula>AND(B$9&gt;=14/24,B$9&lt;20/24)</formula>
    </cfRule>
    <cfRule type="expression" dxfId="5672" priority="93">
      <formula>AND(B$9&gt;=8/24,B$9&lt;14/24)</formula>
    </cfRule>
    <cfRule type="expression" dxfId="5671" priority="94">
      <formula>B$9&lt;8/24</formula>
    </cfRule>
  </conditionalFormatting>
  <conditionalFormatting sqref="B49:D51">
    <cfRule type="expression" dxfId="5670" priority="90">
      <formula>B49&gt;$AG49</formula>
    </cfRule>
  </conditionalFormatting>
  <conditionalFormatting sqref="B82:C82 B96:D102 B68:D72 B63:Q65 B92:W92 E70:W72 B79:AF81 X71:AF72">
    <cfRule type="expression" dxfId="5669" priority="86">
      <formula>B$9&gt;=20/24</formula>
    </cfRule>
    <cfRule type="expression" dxfId="5668" priority="87">
      <formula>AND(B$9&gt;=14/24,B$9&lt;20/24)</formula>
    </cfRule>
    <cfRule type="expression" dxfId="5667" priority="88">
      <formula>AND(B$9&gt;=8/24,B$9&lt;14/24)</formula>
    </cfRule>
    <cfRule type="expression" dxfId="5666" priority="89">
      <formula>B$9&lt;8/24</formula>
    </cfRule>
  </conditionalFormatting>
  <conditionalFormatting sqref="B52:O53 P53:Q53 B63:Q65">
    <cfRule type="expression" dxfId="5665" priority="85">
      <formula>B52&gt;$AG52</formula>
    </cfRule>
  </conditionalFormatting>
  <conditionalFormatting sqref="B54:W54">
    <cfRule type="expression" dxfId="5664" priority="81">
      <formula>B$9&gt;=20/24</formula>
    </cfRule>
    <cfRule type="expression" dxfId="5663" priority="82">
      <formula>AND(B$9&gt;=14/24,B$9&lt;20/24)</formula>
    </cfRule>
    <cfRule type="expression" dxfId="5662" priority="83">
      <formula>AND(B$9&gt;=8/24,B$9&lt;14/24)</formula>
    </cfRule>
    <cfRule type="expression" dxfId="5661" priority="84">
      <formula>B$9&lt;8/24</formula>
    </cfRule>
  </conditionalFormatting>
  <conditionalFormatting sqref="B54:W54">
    <cfRule type="expression" dxfId="5660" priority="80">
      <formula>B54&gt;$AG54</formula>
    </cfRule>
  </conditionalFormatting>
  <conditionalFormatting sqref="B84 B93">
    <cfRule type="expression" dxfId="5659" priority="76">
      <formula>B$9&gt;=20/24</formula>
    </cfRule>
    <cfRule type="expression" dxfId="5658" priority="77">
      <formula>AND(B$9&gt;=14/24,B$9&lt;20/24)</formula>
    </cfRule>
    <cfRule type="expression" dxfId="5657" priority="78">
      <formula>AND(B$9&gt;=8/24,B$9&lt;14/24)</formula>
    </cfRule>
    <cfRule type="expression" dxfId="5656" priority="79">
      <formula>B$9&lt;8/24</formula>
    </cfRule>
  </conditionalFormatting>
  <conditionalFormatting sqref="B42:W42">
    <cfRule type="expression" dxfId="5655" priority="72">
      <formula>B$9&gt;=20/24</formula>
    </cfRule>
    <cfRule type="expression" dxfId="5654" priority="73">
      <formula>AND(B$9&gt;=14/24,B$9&lt;20/24)</formula>
    </cfRule>
    <cfRule type="expression" dxfId="5653" priority="74">
      <formula>AND(B$9&gt;=8/24,B$9&lt;14/24)</formula>
    </cfRule>
    <cfRule type="expression" dxfId="5652" priority="75">
      <formula>B$9&lt;8/24</formula>
    </cfRule>
  </conditionalFormatting>
  <conditionalFormatting sqref="B42:W42">
    <cfRule type="expression" dxfId="5651" priority="71">
      <formula>B42&gt;$AG42</formula>
    </cfRule>
  </conditionalFormatting>
  <conditionalFormatting sqref="B85:AF85 B94:AF94 B83:AF83 B66:AF66">
    <cfRule type="expression" dxfId="5650" priority="67">
      <formula>B$9&gt;=20/24</formula>
    </cfRule>
    <cfRule type="expression" dxfId="5649" priority="68">
      <formula>AND(B$9&gt;=14/24,B$9&lt;20/24)</formula>
    </cfRule>
    <cfRule type="expression" dxfId="5648" priority="69">
      <formula>AND(B$9&gt;=8/24,B$9&lt;14/24)</formula>
    </cfRule>
    <cfRule type="expression" dxfId="5647" priority="70">
      <formula>B$9&lt;8/24</formula>
    </cfRule>
  </conditionalFormatting>
  <conditionalFormatting sqref="B61:AF62 B44:AF44 B66:AF66">
    <cfRule type="expression" dxfId="5646" priority="66">
      <formula>B44&gt;$AG44</formula>
    </cfRule>
  </conditionalFormatting>
  <conditionalFormatting sqref="B78:AF78">
    <cfRule type="expression" dxfId="5645" priority="62">
      <formula>B$9&gt;=20/24</formula>
    </cfRule>
    <cfRule type="expression" dxfId="5644" priority="63">
      <formula>AND(B$9&gt;=14/24,B$9&lt;20/24)</formula>
    </cfRule>
    <cfRule type="expression" dxfId="5643" priority="64">
      <formula>AND(B$9&gt;=8/24,B$9&lt;14/24)</formula>
    </cfRule>
    <cfRule type="expression" dxfId="5642" priority="65">
      <formula>B$9&lt;8/24</formula>
    </cfRule>
  </conditionalFormatting>
  <conditionalFormatting sqref="B87:W91">
    <cfRule type="expression" dxfId="5641" priority="58">
      <formula>B$9&gt;=20/24</formula>
    </cfRule>
    <cfRule type="expression" dxfId="5640" priority="59">
      <formula>AND(B$9&gt;=14/24,B$9&lt;20/24)</formula>
    </cfRule>
    <cfRule type="expression" dxfId="5639" priority="60">
      <formula>AND(B$9&gt;=8/24,B$9&lt;14/24)</formula>
    </cfRule>
    <cfRule type="expression" dxfId="5638" priority="61">
      <formula>B$9&lt;8/24</formula>
    </cfRule>
  </conditionalFormatting>
  <conditionalFormatting sqref="B45:D47">
    <cfRule type="expression" dxfId="5637" priority="54">
      <formula>B$9&gt;=20/24</formula>
    </cfRule>
    <cfRule type="expression" dxfId="5636" priority="55">
      <formula>AND(B$9&gt;=14/24,B$9&lt;20/24)</formula>
    </cfRule>
    <cfRule type="expression" dxfId="5635" priority="56">
      <formula>AND(B$9&gt;=8/24,B$9&lt;14/24)</formula>
    </cfRule>
    <cfRule type="expression" dxfId="5634" priority="57">
      <formula>B$9&lt;8/24</formula>
    </cfRule>
  </conditionalFormatting>
  <conditionalFormatting sqref="B45:D47">
    <cfRule type="expression" dxfId="5633" priority="53">
      <formula>B45&gt;$AG45</formula>
    </cfRule>
  </conditionalFormatting>
  <conditionalFormatting sqref="B48:AF48">
    <cfRule type="expression" dxfId="5632" priority="49">
      <formula>B$9&gt;=20/24</formula>
    </cfRule>
    <cfRule type="expression" dxfId="5631" priority="50">
      <formula>AND(B$9&gt;=14/24,B$9&lt;20/24)</formula>
    </cfRule>
    <cfRule type="expression" dxfId="5630" priority="51">
      <formula>AND(B$9&gt;=8/24,B$9&lt;14/24)</formula>
    </cfRule>
    <cfRule type="expression" dxfId="5629" priority="52">
      <formula>B$9&lt;8/24</formula>
    </cfRule>
  </conditionalFormatting>
  <conditionalFormatting sqref="B48:AF48">
    <cfRule type="expression" dxfId="5628" priority="48">
      <formula>B48&gt;$AG48</formula>
    </cfRule>
  </conditionalFormatting>
  <conditionalFormatting sqref="B103">
    <cfRule type="expression" dxfId="5627" priority="44">
      <formula>B$9&gt;=20/24</formula>
    </cfRule>
    <cfRule type="expression" dxfId="5626" priority="45">
      <formula>AND(B$9&gt;=14/24,B$9&lt;20/24)</formula>
    </cfRule>
    <cfRule type="expression" dxfId="5625" priority="46">
      <formula>AND(B$9&gt;=8/24,B$9&lt;14/24)</formula>
    </cfRule>
    <cfRule type="expression" dxfId="5624" priority="47">
      <formula>B$9&lt;8/24</formula>
    </cfRule>
  </conditionalFormatting>
  <conditionalFormatting sqref="B106:C106">
    <cfRule type="expression" dxfId="5623" priority="32">
      <formula>B$9&gt;=20/24</formula>
    </cfRule>
    <cfRule type="expression" dxfId="5622" priority="33">
      <formula>AND(B$9&gt;=14/24,B$9&lt;20/24)</formula>
    </cfRule>
    <cfRule type="expression" dxfId="5621" priority="34">
      <formula>AND(B$9&gt;=8/24,B$9&lt;14/24)</formula>
    </cfRule>
    <cfRule type="expression" dxfId="5620" priority="35">
      <formula>B$9&lt;8/24</formula>
    </cfRule>
  </conditionalFormatting>
  <conditionalFormatting sqref="B55:AF60">
    <cfRule type="expression" dxfId="5619" priority="28">
      <formula>B$9&gt;=20/24</formula>
    </cfRule>
    <cfRule type="expression" dxfId="5618" priority="29">
      <formula>AND(B$9&gt;=14/24,B$9&lt;20/24)</formula>
    </cfRule>
    <cfRule type="expression" dxfId="5617" priority="30">
      <formula>AND(B$9&gt;=8/24,B$9&lt;14/24)</formula>
    </cfRule>
    <cfRule type="expression" dxfId="5616" priority="31">
      <formula>B$9&lt;8/24</formula>
    </cfRule>
  </conditionalFormatting>
  <conditionalFormatting sqref="B55:AF60">
    <cfRule type="expression" dxfId="5615" priority="27">
      <formula>B55&gt;$AG55</formula>
    </cfRule>
  </conditionalFormatting>
  <conditionalFormatting sqref="B12:W14 B41:W41">
    <cfRule type="expression" dxfId="5614" priority="26">
      <formula>B12&gt;$AG12</formula>
    </cfRule>
  </conditionalFormatting>
  <conditionalFormatting sqref="B11:W11">
    <cfRule type="expression" dxfId="5613" priority="22">
      <formula>B$9&gt;=20/24</formula>
    </cfRule>
    <cfRule type="expression" dxfId="5612" priority="23">
      <formula>AND(B$9&gt;=14/24,B$9&lt;20/24)</formula>
    </cfRule>
    <cfRule type="expression" dxfId="5611" priority="24">
      <formula>AND(B$9&gt;=8/24,B$9&lt;14/24)</formula>
    </cfRule>
    <cfRule type="expression" dxfId="5610" priority="25">
      <formula>B$9&lt;8/24</formula>
    </cfRule>
  </conditionalFormatting>
  <conditionalFormatting sqref="B11:W11">
    <cfRule type="expression" dxfId="5609" priority="21">
      <formula>B11&gt;$AG11</formula>
    </cfRule>
  </conditionalFormatting>
  <conditionalFormatting sqref="B12:W14">
    <cfRule type="expression" dxfId="5608" priority="17">
      <formula>B$9&gt;=20/24</formula>
    </cfRule>
    <cfRule type="expression" dxfId="5607" priority="18">
      <formula>AND(B$9&gt;=14/24,B$9&lt;20/24)</formula>
    </cfRule>
    <cfRule type="expression" dxfId="5606" priority="19">
      <formula>AND(B$9&gt;=8/24,B$9&lt;14/24)</formula>
    </cfRule>
    <cfRule type="expression" dxfId="5605" priority="20">
      <formula>B$9&lt;8/24</formula>
    </cfRule>
  </conditionalFormatting>
  <conditionalFormatting sqref="B41:W41">
    <cfRule type="expression" dxfId="5604" priority="13">
      <formula>B$9&gt;=20/24</formula>
    </cfRule>
    <cfRule type="expression" dxfId="5603" priority="14">
      <formula>AND(B$9&gt;=14/24,B$9&lt;20/24)</formula>
    </cfRule>
    <cfRule type="expression" dxfId="5602" priority="15">
      <formula>AND(B$9&gt;=8/24,B$9&lt;14/24)</formula>
    </cfRule>
    <cfRule type="expression" dxfId="5601" priority="16">
      <formula>B$9&lt;8/24</formula>
    </cfRule>
  </conditionalFormatting>
  <conditionalFormatting sqref="B73:AF77">
    <cfRule type="expression" dxfId="5600" priority="9">
      <formula>B$9&gt;=20/24</formula>
    </cfRule>
    <cfRule type="expression" dxfId="5599" priority="10">
      <formula>AND(B$9&gt;=14/24,B$9&lt;20/24)</formula>
    </cfRule>
    <cfRule type="expression" dxfId="5598" priority="11">
      <formula>AND(B$9&gt;=8/24,B$9&lt;14/24)</formula>
    </cfRule>
    <cfRule type="expression" dxfId="5597" priority="12">
      <formula>B$9&lt;8/24</formula>
    </cfRule>
  </conditionalFormatting>
  <conditionalFormatting sqref="AL74:AN74 AL80:AN80 AN75:AN76">
    <cfRule type="expression" dxfId="5596" priority="5">
      <formula>AL$9&gt;=20/24</formula>
    </cfRule>
    <cfRule type="expression" dxfId="5595" priority="6">
      <formula>AND(AL$9&gt;=14/24,AL$9&lt;20/24)</formula>
    </cfRule>
    <cfRule type="expression" dxfId="5594" priority="7">
      <formula>AND(AL$9&gt;=8/24,AL$9&lt;14/24)</formula>
    </cfRule>
    <cfRule type="expression" dxfId="5593" priority="8">
      <formula>AL$9&lt;8/24</formula>
    </cfRule>
  </conditionalFormatting>
  <conditionalFormatting sqref="AN77:AN78">
    <cfRule type="expression" dxfId="5592" priority="1">
      <formula>AN$9&gt;=20/24</formula>
    </cfRule>
    <cfRule type="expression" dxfId="5591" priority="2">
      <formula>AND(AN$9&gt;=14/24,AN$9&lt;20/24)</formula>
    </cfRule>
    <cfRule type="expression" dxfId="5590" priority="3">
      <formula>AND(AN$9&gt;=8/24,AN$9&lt;14/24)</formula>
    </cfRule>
    <cfRule type="expression" dxfId="5589" priority="4">
      <formula>AN$9&lt;8/24</formula>
    </cfRule>
  </conditionalFormatting>
  <conditionalFormatting sqref="AL75:AM79">
    <cfRule type="expression" dxfId="5588" priority="258">
      <formula>AJ$9&gt;=20/24</formula>
    </cfRule>
    <cfRule type="expression" dxfId="5587" priority="259">
      <formula>AND(AJ$9&gt;=14/24,AJ$9&lt;20/24)</formula>
    </cfRule>
    <cfRule type="expression" dxfId="5586" priority="260">
      <formula>AND(AJ$9&gt;=8/24,AJ$9&lt;14/24)</formula>
    </cfRule>
    <cfRule type="expression" dxfId="5585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C8531CA1-DBB3-44F7-A993-EFAB99DCA68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36492988-968E-4F37-81C5-D4C3A3C16DA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3B4E3CEE-FF4F-41F7-8B01-B72CD079535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83B781B7-80EB-4F26-827D-BA6B5D1F9CF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F250EFE8-366D-41BB-84FF-337FCE89FB7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D1C6B76D-F758-48BF-8C44-BD62DF99105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52A812B8-4CCB-4CFC-BB01-D27D099EB73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26EE0888-BC60-4FA9-A673-BD037594FB0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03AA27DC-3569-4724-8949-E0A00F15657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6EE661CD-EEF0-4883-A358-81635B42A7A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A699376F-D220-47BE-A780-90FCFB79072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45487854-40F1-4A55-809B-90F849FCEB3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5A4616DD-7BE6-406C-B931-D1969283755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70D767FE-8C29-48E7-94FE-5E300EF88D2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9A324655-8B75-4846-93CF-DAC41F6BD73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23BA0578-FC4D-48C3-8CFE-7FAC4AEA71E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J274"/>
  <sheetViews>
    <sheetView topLeftCell="A4" workbookViewId="0">
      <pane ySplit="7" topLeftCell="A35" activePane="bottomLeft" state="frozen"/>
      <selection activeCell="A4" sqref="A4"/>
      <selection pane="bottomLeft" activeCell="AE50" sqref="AE5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2079/09/20</v>
      </c>
      <c r="C4" s="197"/>
      <c r="D4" s="197"/>
      <c r="E4" s="198" t="str">
        <f ca="1">"2079/"&amp;"09/"&amp;INT(MID(CELL("filename",G6),FIND("]",CELL("filename",G6))+1,200))</f>
        <v>2079/09/20</v>
      </c>
      <c r="F4" s="198"/>
      <c r="G4" s="198"/>
      <c r="H4" s="198" t="str">
        <f ca="1">TEXT(E4,"dddd")</f>
        <v>Wednesday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369.3</v>
      </c>
      <c r="C5" s="30">
        <f t="shared" si="0"/>
        <v>353.4</v>
      </c>
      <c r="D5" s="30">
        <f t="shared" si="0"/>
        <v>360.1</v>
      </c>
      <c r="E5" s="30">
        <f t="shared" si="0"/>
        <v>364.3</v>
      </c>
      <c r="F5" s="30">
        <f t="shared" si="0"/>
        <v>371.40000000000003</v>
      </c>
      <c r="G5" s="30">
        <f t="shared" si="0"/>
        <v>377</v>
      </c>
      <c r="H5" s="30">
        <f t="shared" si="0"/>
        <v>369</v>
      </c>
      <c r="I5" s="30">
        <f t="shared" si="0"/>
        <v>374.2</v>
      </c>
      <c r="J5" s="30">
        <f t="shared" si="0"/>
        <v>367.8</v>
      </c>
      <c r="K5" s="30">
        <f t="shared" si="0"/>
        <v>272.3</v>
      </c>
      <c r="L5" s="30">
        <f t="shared" si="0"/>
        <v>168.79999999999998</v>
      </c>
      <c r="M5" s="30">
        <f t="shared" si="0"/>
        <v>200</v>
      </c>
      <c r="N5" s="30">
        <f t="shared" si="0"/>
        <v>168</v>
      </c>
      <c r="O5" s="30">
        <f t="shared" si="0"/>
        <v>179</v>
      </c>
      <c r="P5" s="30">
        <f t="shared" si="0"/>
        <v>458.6</v>
      </c>
      <c r="Q5" s="30">
        <f t="shared" si="0"/>
        <v>512.20000000000005</v>
      </c>
      <c r="R5" s="30">
        <f t="shared" si="0"/>
        <v>527</v>
      </c>
      <c r="S5" s="30">
        <f t="shared" si="0"/>
        <v>518.19999999999993</v>
      </c>
      <c r="T5" s="30">
        <f t="shared" si="0"/>
        <v>475.4</v>
      </c>
      <c r="U5" s="30">
        <f t="shared" si="0"/>
        <v>405.6</v>
      </c>
      <c r="V5" s="30">
        <f t="shared" si="0"/>
        <v>409</v>
      </c>
      <c r="W5" s="30">
        <f t="shared" si="0"/>
        <v>351.9</v>
      </c>
      <c r="X5" s="30">
        <f t="shared" si="0"/>
        <v>249</v>
      </c>
      <c r="Y5" s="30">
        <f t="shared" si="0"/>
        <v>265.10000000000002</v>
      </c>
      <c r="Z5" s="30">
        <f t="shared" si="0"/>
        <v>285.10000000000002</v>
      </c>
      <c r="AA5" s="30">
        <f t="shared" si="0"/>
        <v>299.3</v>
      </c>
      <c r="AB5" s="30">
        <f t="shared" si="0"/>
        <v>351</v>
      </c>
      <c r="AC5" s="30">
        <f t="shared" si="0"/>
        <v>415.5</v>
      </c>
      <c r="AD5" s="30">
        <f t="shared" si="0"/>
        <v>406</v>
      </c>
      <c r="AE5" s="30">
        <f t="shared" si="0"/>
        <v>419</v>
      </c>
      <c r="AF5" s="30">
        <f>B78</f>
        <v>344.40000000000003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1752MW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Load=1045</v>
      </c>
      <c r="B7" s="35">
        <f t="shared" ref="B7:AF7" si="1">B85</f>
        <v>1108.8399999999999</v>
      </c>
      <c r="C7" s="35">
        <f t="shared" si="1"/>
        <v>1088.1399999999999</v>
      </c>
      <c r="D7" s="35">
        <f t="shared" si="1"/>
        <v>1054.1399999999999</v>
      </c>
      <c r="E7" s="35">
        <f t="shared" si="1"/>
        <v>1044.7399999999998</v>
      </c>
      <c r="F7" s="35">
        <f t="shared" si="1"/>
        <v>1048.9399999999998</v>
      </c>
      <c r="G7" s="35">
        <f t="shared" si="1"/>
        <v>1114.44</v>
      </c>
      <c r="H7" s="35">
        <f t="shared" si="1"/>
        <v>1199.3399999999999</v>
      </c>
      <c r="I7" s="35">
        <f t="shared" si="1"/>
        <v>1251.8399999999999</v>
      </c>
      <c r="J7" s="35">
        <f t="shared" si="1"/>
        <v>1391.94</v>
      </c>
      <c r="K7" s="35">
        <f t="shared" si="1"/>
        <v>1449.84</v>
      </c>
      <c r="L7" s="35">
        <f t="shared" si="1"/>
        <v>1567.4399999999998</v>
      </c>
      <c r="M7" s="35">
        <f t="shared" si="1"/>
        <v>1751.83</v>
      </c>
      <c r="N7" s="35">
        <f>N85</f>
        <v>1716.33</v>
      </c>
      <c r="O7" s="35">
        <f t="shared" si="1"/>
        <v>1694.33</v>
      </c>
      <c r="P7" s="35">
        <f t="shared" si="1"/>
        <v>1379.33</v>
      </c>
      <c r="Q7" s="35">
        <f t="shared" si="1"/>
        <v>1505.5299999999997</v>
      </c>
      <c r="R7" s="35">
        <f t="shared" si="1"/>
        <v>1429.3400000000001</v>
      </c>
      <c r="S7" s="35">
        <f t="shared" si="1"/>
        <v>1453.1399999999999</v>
      </c>
      <c r="T7" s="35">
        <f t="shared" si="1"/>
        <v>1449.34</v>
      </c>
      <c r="U7" s="35">
        <f t="shared" si="1"/>
        <v>1487.44</v>
      </c>
      <c r="V7" s="35">
        <f t="shared" si="1"/>
        <v>1552.04</v>
      </c>
      <c r="W7" s="35">
        <f t="shared" si="1"/>
        <v>1633.6399999999999</v>
      </c>
      <c r="X7" s="35">
        <f t="shared" si="1"/>
        <v>1765.3399999999997</v>
      </c>
      <c r="Y7" s="35">
        <f t="shared" si="1"/>
        <v>1782.4399999999998</v>
      </c>
      <c r="Z7" s="35">
        <f t="shared" si="1"/>
        <v>1748.54</v>
      </c>
      <c r="AA7" s="35">
        <f t="shared" si="1"/>
        <v>1648.54</v>
      </c>
      <c r="AB7" s="35">
        <f t="shared" si="1"/>
        <v>1725.7399999999998</v>
      </c>
      <c r="AC7" s="35">
        <f t="shared" si="1"/>
        <v>1416.94</v>
      </c>
      <c r="AD7" s="35">
        <f t="shared" si="1"/>
        <v>1361.44</v>
      </c>
      <c r="AE7" s="35">
        <f t="shared" si="1"/>
        <v>1223.3399999999999</v>
      </c>
      <c r="AF7" s="35">
        <f t="shared" si="1"/>
        <v>1105.94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20</v>
      </c>
      <c r="C11" s="45">
        <v>20</v>
      </c>
      <c r="D11" s="45">
        <v>20</v>
      </c>
      <c r="E11" s="45">
        <v>20</v>
      </c>
      <c r="F11" s="45">
        <v>20</v>
      </c>
      <c r="G11" s="45">
        <v>20</v>
      </c>
      <c r="H11" s="45">
        <v>20</v>
      </c>
      <c r="I11" s="45">
        <v>20</v>
      </c>
      <c r="J11" s="45">
        <v>20</v>
      </c>
      <c r="K11" s="45">
        <v>20</v>
      </c>
      <c r="L11" s="45">
        <v>20</v>
      </c>
      <c r="M11" s="45">
        <v>20</v>
      </c>
      <c r="N11" s="45">
        <v>20</v>
      </c>
      <c r="O11" s="45">
        <v>20</v>
      </c>
      <c r="P11" s="45">
        <v>20</v>
      </c>
      <c r="Q11" s="45">
        <v>20</v>
      </c>
      <c r="R11" s="45">
        <v>21.1</v>
      </c>
      <c r="S11" s="45">
        <v>21.1</v>
      </c>
      <c r="T11" s="45">
        <v>21.1</v>
      </c>
      <c r="U11" s="45">
        <v>21.9</v>
      </c>
      <c r="V11" s="45">
        <v>21.9</v>
      </c>
      <c r="W11" s="45">
        <v>21.9</v>
      </c>
      <c r="X11" s="45">
        <v>21.9</v>
      </c>
      <c r="Y11" s="45">
        <v>21.9</v>
      </c>
      <c r="Z11" s="45">
        <v>21.9</v>
      </c>
      <c r="AA11" s="45">
        <v>21.9</v>
      </c>
      <c r="AB11" s="45">
        <v>22.2</v>
      </c>
      <c r="AC11" s="45">
        <v>23.5</v>
      </c>
      <c r="AD11" s="45">
        <v>23.5</v>
      </c>
      <c r="AE11" s="45">
        <v>22</v>
      </c>
      <c r="AF11" s="45">
        <v>22</v>
      </c>
      <c r="AG11" s="47">
        <v>52.4</v>
      </c>
      <c r="AH11" s="48">
        <f t="shared" ref="AH11:AH74" si="2">MAX(B11:AF11)</f>
        <v>23.5</v>
      </c>
      <c r="AI11" s="49">
        <f t="shared" ref="AI11:AI74" si="3">MIN(B11:AF11)</f>
        <v>20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43</v>
      </c>
      <c r="C12" s="45">
        <v>43</v>
      </c>
      <c r="D12" s="45">
        <v>43</v>
      </c>
      <c r="E12" s="45">
        <v>43</v>
      </c>
      <c r="F12" s="45">
        <v>43</v>
      </c>
      <c r="G12" s="45">
        <v>43</v>
      </c>
      <c r="H12" s="45">
        <v>43</v>
      </c>
      <c r="I12" s="45">
        <v>43</v>
      </c>
      <c r="J12" s="45">
        <v>43</v>
      </c>
      <c r="K12" s="45">
        <v>43</v>
      </c>
      <c r="L12" s="45">
        <v>43</v>
      </c>
      <c r="M12" s="45">
        <v>43</v>
      </c>
      <c r="N12" s="45">
        <v>43</v>
      </c>
      <c r="O12" s="45">
        <v>43</v>
      </c>
      <c r="P12" s="45">
        <v>43</v>
      </c>
      <c r="Q12" s="45">
        <v>43</v>
      </c>
      <c r="R12" s="45">
        <v>43.2</v>
      </c>
      <c r="S12" s="45">
        <v>43.2</v>
      </c>
      <c r="T12" s="45">
        <v>43.2</v>
      </c>
      <c r="U12" s="45">
        <v>42.1</v>
      </c>
      <c r="V12" s="45">
        <v>42.1</v>
      </c>
      <c r="W12" s="45">
        <v>42.1</v>
      </c>
      <c r="X12" s="45">
        <v>42.1</v>
      </c>
      <c r="Y12" s="45">
        <v>42.1</v>
      </c>
      <c r="Z12" s="45">
        <v>42.1</v>
      </c>
      <c r="AA12" s="45">
        <v>42.1</v>
      </c>
      <c r="AB12" s="45">
        <v>42.1</v>
      </c>
      <c r="AC12" s="45">
        <v>42.1</v>
      </c>
      <c r="AD12" s="45">
        <v>42.1</v>
      </c>
      <c r="AE12" s="45">
        <v>42.1</v>
      </c>
      <c r="AF12" s="45">
        <v>42.1</v>
      </c>
      <c r="AG12" s="51">
        <v>50</v>
      </c>
      <c r="AH12" s="48">
        <f t="shared" si="2"/>
        <v>43.2</v>
      </c>
      <c r="AI12" s="49">
        <f t="shared" si="3"/>
        <v>42.1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24.2</v>
      </c>
      <c r="C13" s="45">
        <v>24.2</v>
      </c>
      <c r="D13" s="45">
        <v>24.2</v>
      </c>
      <c r="E13" s="45">
        <v>24.2</v>
      </c>
      <c r="F13" s="45">
        <v>24.2</v>
      </c>
      <c r="G13" s="45">
        <v>24.2</v>
      </c>
      <c r="H13" s="45">
        <v>24.2</v>
      </c>
      <c r="I13" s="45">
        <v>24.2</v>
      </c>
      <c r="J13" s="45">
        <v>24.2</v>
      </c>
      <c r="K13" s="45">
        <v>24.2</v>
      </c>
      <c r="L13" s="45">
        <v>24.2</v>
      </c>
      <c r="M13" s="45">
        <v>24.2</v>
      </c>
      <c r="N13" s="45">
        <v>24.2</v>
      </c>
      <c r="O13" s="45">
        <v>24.2</v>
      </c>
      <c r="P13" s="45">
        <v>24.2</v>
      </c>
      <c r="Q13" s="45">
        <v>24.2</v>
      </c>
      <c r="R13" s="45">
        <v>24.2</v>
      </c>
      <c r="S13" s="45">
        <v>24.2</v>
      </c>
      <c r="T13" s="45">
        <v>24.2</v>
      </c>
      <c r="U13" s="45">
        <v>21.9</v>
      </c>
      <c r="V13" s="45">
        <v>21.9</v>
      </c>
      <c r="W13" s="45">
        <v>21.9</v>
      </c>
      <c r="X13" s="45">
        <v>21.9</v>
      </c>
      <c r="Y13" s="45">
        <v>21.9</v>
      </c>
      <c r="Z13" s="45">
        <v>21.9</v>
      </c>
      <c r="AA13" s="45">
        <v>21.9</v>
      </c>
      <c r="AB13" s="45">
        <v>21.9</v>
      </c>
      <c r="AC13" s="45">
        <v>21.9</v>
      </c>
      <c r="AD13" s="45">
        <v>21.9</v>
      </c>
      <c r="AE13" s="45">
        <v>21.9</v>
      </c>
      <c r="AF13" s="45">
        <v>21.9</v>
      </c>
      <c r="AG13" s="51">
        <v>45</v>
      </c>
      <c r="AH13" s="48">
        <f t="shared" si="2"/>
        <v>24.2</v>
      </c>
      <c r="AI13" s="49">
        <f t="shared" si="3"/>
        <v>21.9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11</v>
      </c>
      <c r="C14" s="45">
        <v>11</v>
      </c>
      <c r="D14" s="45">
        <v>11</v>
      </c>
      <c r="E14" s="45">
        <v>11</v>
      </c>
      <c r="F14" s="45">
        <v>11</v>
      </c>
      <c r="G14" s="45">
        <v>11</v>
      </c>
      <c r="H14" s="45">
        <v>11</v>
      </c>
      <c r="I14" s="45">
        <v>11</v>
      </c>
      <c r="J14" s="45">
        <v>11</v>
      </c>
      <c r="K14" s="45">
        <v>11</v>
      </c>
      <c r="L14" s="45">
        <v>11</v>
      </c>
      <c r="M14" s="45">
        <v>11</v>
      </c>
      <c r="N14" s="45">
        <v>11</v>
      </c>
      <c r="O14" s="45">
        <v>11</v>
      </c>
      <c r="P14" s="45">
        <v>11</v>
      </c>
      <c r="Q14" s="45">
        <v>11</v>
      </c>
      <c r="R14" s="45">
        <v>11</v>
      </c>
      <c r="S14" s="45">
        <v>11</v>
      </c>
      <c r="T14" s="45">
        <v>11</v>
      </c>
      <c r="U14" s="45">
        <v>11</v>
      </c>
      <c r="V14" s="45">
        <v>11</v>
      </c>
      <c r="W14" s="45">
        <v>11</v>
      </c>
      <c r="X14" s="45">
        <v>11</v>
      </c>
      <c r="Y14" s="45">
        <v>11</v>
      </c>
      <c r="Z14" s="45">
        <v>11</v>
      </c>
      <c r="AA14" s="45">
        <v>11</v>
      </c>
      <c r="AB14" s="45">
        <v>11</v>
      </c>
      <c r="AC14" s="45">
        <v>11</v>
      </c>
      <c r="AD14" s="45">
        <v>11</v>
      </c>
      <c r="AE14" s="45">
        <v>11</v>
      </c>
      <c r="AF14" s="45">
        <v>11</v>
      </c>
      <c r="AG14" s="51">
        <v>42</v>
      </c>
      <c r="AH14" s="48">
        <f t="shared" si="2"/>
        <v>11</v>
      </c>
      <c r="AI14" s="49">
        <f t="shared" si="3"/>
        <v>11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17.2</v>
      </c>
      <c r="C15" s="45">
        <v>17.2</v>
      </c>
      <c r="D15" s="45">
        <v>17.2</v>
      </c>
      <c r="E15" s="45">
        <v>17.2</v>
      </c>
      <c r="F15" s="45">
        <v>17.2</v>
      </c>
      <c r="G15" s="45">
        <v>17.2</v>
      </c>
      <c r="H15" s="45">
        <v>17.2</v>
      </c>
      <c r="I15" s="45">
        <v>17.2</v>
      </c>
      <c r="J15" s="45">
        <v>17.2</v>
      </c>
      <c r="K15" s="45">
        <v>17.2</v>
      </c>
      <c r="L15" s="45">
        <v>17.2</v>
      </c>
      <c r="M15" s="45">
        <v>17.2</v>
      </c>
      <c r="N15" s="45">
        <v>17.2</v>
      </c>
      <c r="O15" s="45">
        <v>17.2</v>
      </c>
      <c r="P15" s="45">
        <v>17.2</v>
      </c>
      <c r="Q15" s="45">
        <v>17.2</v>
      </c>
      <c r="R15" s="45">
        <v>17.2</v>
      </c>
      <c r="S15" s="45">
        <v>17.2</v>
      </c>
      <c r="T15" s="45">
        <v>17.2</v>
      </c>
      <c r="U15" s="45">
        <v>17.2</v>
      </c>
      <c r="V15" s="45">
        <v>17.2</v>
      </c>
      <c r="W15" s="45">
        <v>17.2</v>
      </c>
      <c r="X15" s="45">
        <v>17.2</v>
      </c>
      <c r="Y15" s="45">
        <v>17.2</v>
      </c>
      <c r="Z15" s="45">
        <v>17.2</v>
      </c>
      <c r="AA15" s="45">
        <v>17.2</v>
      </c>
      <c r="AB15" s="45">
        <v>17.2</v>
      </c>
      <c r="AC15" s="45">
        <v>17.2</v>
      </c>
      <c r="AD15" s="45">
        <v>17.2</v>
      </c>
      <c r="AE15" s="45">
        <v>17.2</v>
      </c>
      <c r="AF15" s="45">
        <v>17.2</v>
      </c>
      <c r="AG15" s="51">
        <v>36</v>
      </c>
      <c r="AH15" s="48">
        <f t="shared" si="2"/>
        <v>17.2</v>
      </c>
      <c r="AI15" s="49">
        <f t="shared" si="3"/>
        <v>17.2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10.1</v>
      </c>
      <c r="C16" s="45">
        <v>10.1</v>
      </c>
      <c r="D16" s="45">
        <v>10.1</v>
      </c>
      <c r="E16" s="45">
        <v>10.1</v>
      </c>
      <c r="F16" s="45">
        <v>10.1</v>
      </c>
      <c r="G16" s="45">
        <v>10.1</v>
      </c>
      <c r="H16" s="45">
        <v>10.1</v>
      </c>
      <c r="I16" s="45">
        <v>10.1</v>
      </c>
      <c r="J16" s="45">
        <v>10.1</v>
      </c>
      <c r="K16" s="45">
        <v>10.1</v>
      </c>
      <c r="L16" s="45">
        <v>10.1</v>
      </c>
      <c r="M16" s="45">
        <v>10.1</v>
      </c>
      <c r="N16" s="45">
        <v>10.1</v>
      </c>
      <c r="O16" s="45">
        <v>10.1</v>
      </c>
      <c r="P16" s="45">
        <v>10.1</v>
      </c>
      <c r="Q16" s="45">
        <v>10.1</v>
      </c>
      <c r="R16" s="45">
        <v>10.1</v>
      </c>
      <c r="S16" s="45">
        <v>10.1</v>
      </c>
      <c r="T16" s="45">
        <v>10.1</v>
      </c>
      <c r="U16" s="45">
        <v>9.8000000000000007</v>
      </c>
      <c r="V16" s="45">
        <v>9.8000000000000007</v>
      </c>
      <c r="W16" s="45">
        <v>9.8000000000000007</v>
      </c>
      <c r="X16" s="45">
        <v>9.8000000000000007</v>
      </c>
      <c r="Y16" s="45">
        <v>9.8000000000000007</v>
      </c>
      <c r="Z16" s="45">
        <v>9.8000000000000007</v>
      </c>
      <c r="AA16" s="45">
        <v>9.8000000000000007</v>
      </c>
      <c r="AB16" s="45">
        <v>9.8000000000000007</v>
      </c>
      <c r="AC16" s="45">
        <v>9.8000000000000007</v>
      </c>
      <c r="AD16" s="45">
        <v>9.8000000000000007</v>
      </c>
      <c r="AE16" s="45">
        <v>9.8000000000000007</v>
      </c>
      <c r="AF16" s="45">
        <v>9.8000000000000007</v>
      </c>
      <c r="AG16" s="52">
        <v>30</v>
      </c>
      <c r="AH16" s="48">
        <f t="shared" si="2"/>
        <v>10.1</v>
      </c>
      <c r="AI16" s="49">
        <f t="shared" si="3"/>
        <v>9.8000000000000007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9.6999999999999993</v>
      </c>
      <c r="C17" s="45">
        <v>9.6999999999999993</v>
      </c>
      <c r="D17" s="45">
        <v>9.6999999999999993</v>
      </c>
      <c r="E17" s="45">
        <v>9.6999999999999993</v>
      </c>
      <c r="F17" s="45">
        <v>9.6999999999999993</v>
      </c>
      <c r="G17" s="45">
        <v>9.6999999999999993</v>
      </c>
      <c r="H17" s="45">
        <v>9.6999999999999993</v>
      </c>
      <c r="I17" s="45">
        <v>9.6999999999999993</v>
      </c>
      <c r="J17" s="45">
        <v>9.6999999999999993</v>
      </c>
      <c r="K17" s="45">
        <v>9.6999999999999993</v>
      </c>
      <c r="L17" s="45">
        <v>9.6999999999999993</v>
      </c>
      <c r="M17" s="45">
        <v>9.6999999999999993</v>
      </c>
      <c r="N17" s="45">
        <v>9.6999999999999993</v>
      </c>
      <c r="O17" s="45">
        <v>9.6999999999999993</v>
      </c>
      <c r="P17" s="45">
        <v>9.6999999999999993</v>
      </c>
      <c r="Q17" s="45">
        <v>9.6999999999999993</v>
      </c>
      <c r="R17" s="45">
        <v>9.6999999999999993</v>
      </c>
      <c r="S17" s="45">
        <v>9.6999999999999993</v>
      </c>
      <c r="T17" s="45">
        <v>9.6999999999999993</v>
      </c>
      <c r="U17" s="45">
        <v>9.6999999999999993</v>
      </c>
      <c r="V17" s="45">
        <v>9.6999999999999993</v>
      </c>
      <c r="W17" s="45">
        <v>9.6999999999999993</v>
      </c>
      <c r="X17" s="45">
        <v>9.6999999999999993</v>
      </c>
      <c r="Y17" s="45">
        <v>9.6999999999999993</v>
      </c>
      <c r="Z17" s="45">
        <v>9.6999999999999993</v>
      </c>
      <c r="AA17" s="45">
        <v>9.6999999999999993</v>
      </c>
      <c r="AB17" s="45">
        <v>9.6999999999999993</v>
      </c>
      <c r="AC17" s="45">
        <v>9.6999999999999993</v>
      </c>
      <c r="AD17" s="45">
        <v>9.6999999999999993</v>
      </c>
      <c r="AE17" s="45">
        <v>9.6999999999999993</v>
      </c>
      <c r="AF17" s="45">
        <v>9.6999999999999993</v>
      </c>
      <c r="AG17" s="51">
        <v>24.2</v>
      </c>
      <c r="AH17" s="48">
        <f t="shared" si="2"/>
        <v>9.6999999999999993</v>
      </c>
      <c r="AI17" s="49">
        <f t="shared" si="3"/>
        <v>9.6999999999999993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12</v>
      </c>
      <c r="C20" s="45">
        <v>12</v>
      </c>
      <c r="D20" s="45">
        <v>12</v>
      </c>
      <c r="E20" s="45">
        <v>12</v>
      </c>
      <c r="F20" s="45">
        <v>12</v>
      </c>
      <c r="G20" s="45">
        <v>12</v>
      </c>
      <c r="H20" s="45">
        <v>12</v>
      </c>
      <c r="I20" s="45">
        <v>12</v>
      </c>
      <c r="J20" s="45">
        <v>12</v>
      </c>
      <c r="K20" s="45">
        <v>12</v>
      </c>
      <c r="L20" s="45">
        <v>12</v>
      </c>
      <c r="M20" s="45">
        <v>12</v>
      </c>
      <c r="N20" s="45">
        <v>12</v>
      </c>
      <c r="O20" s="45">
        <v>12</v>
      </c>
      <c r="P20" s="45">
        <v>12</v>
      </c>
      <c r="Q20" s="45">
        <v>12</v>
      </c>
      <c r="R20" s="45">
        <v>12</v>
      </c>
      <c r="S20" s="45">
        <v>12</v>
      </c>
      <c r="T20" s="45">
        <v>12</v>
      </c>
      <c r="U20" s="45">
        <v>12</v>
      </c>
      <c r="V20" s="45">
        <v>12</v>
      </c>
      <c r="W20" s="45">
        <v>12</v>
      </c>
      <c r="X20" s="45">
        <v>12</v>
      </c>
      <c r="Y20" s="45">
        <v>12</v>
      </c>
      <c r="Z20" s="45">
        <v>12</v>
      </c>
      <c r="AA20" s="45">
        <v>12</v>
      </c>
      <c r="AB20" s="45">
        <v>12</v>
      </c>
      <c r="AC20" s="45">
        <v>12</v>
      </c>
      <c r="AD20" s="45">
        <v>12</v>
      </c>
      <c r="AE20" s="45">
        <v>12</v>
      </c>
      <c r="AF20" s="45">
        <v>12</v>
      </c>
      <c r="AG20" s="51">
        <v>25</v>
      </c>
      <c r="AH20" s="48">
        <f t="shared" si="2"/>
        <v>12</v>
      </c>
      <c r="AI20" s="49">
        <f t="shared" si="3"/>
        <v>12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10</v>
      </c>
      <c r="C24" s="45">
        <v>10</v>
      </c>
      <c r="D24" s="45">
        <v>10</v>
      </c>
      <c r="E24" s="45">
        <v>10</v>
      </c>
      <c r="F24" s="45">
        <v>10</v>
      </c>
      <c r="G24" s="45">
        <v>10</v>
      </c>
      <c r="H24" s="45">
        <v>10</v>
      </c>
      <c r="I24" s="45">
        <v>10</v>
      </c>
      <c r="J24" s="45">
        <v>10</v>
      </c>
      <c r="K24" s="45">
        <v>10</v>
      </c>
      <c r="L24" s="45">
        <v>10</v>
      </c>
      <c r="M24" s="45">
        <v>10</v>
      </c>
      <c r="N24" s="45">
        <v>10</v>
      </c>
      <c r="O24" s="45">
        <v>10</v>
      </c>
      <c r="P24" s="45">
        <v>10</v>
      </c>
      <c r="Q24" s="45">
        <v>10</v>
      </c>
      <c r="R24" s="45">
        <v>10</v>
      </c>
      <c r="S24" s="45">
        <v>10</v>
      </c>
      <c r="T24" s="45">
        <v>10</v>
      </c>
      <c r="U24" s="45">
        <v>10.199999999999999</v>
      </c>
      <c r="V24" s="45">
        <v>10.199999999999999</v>
      </c>
      <c r="W24" s="45">
        <v>10.199999999999999</v>
      </c>
      <c r="X24" s="45">
        <v>10.199999999999999</v>
      </c>
      <c r="Y24" s="45">
        <v>10.199999999999999</v>
      </c>
      <c r="Z24" s="45">
        <v>10.199999999999999</v>
      </c>
      <c r="AA24" s="45">
        <v>10.199999999999999</v>
      </c>
      <c r="AB24" s="45">
        <v>10.199999999999999</v>
      </c>
      <c r="AC24" s="45">
        <v>10.199999999999999</v>
      </c>
      <c r="AD24" s="45">
        <v>10.199999999999999</v>
      </c>
      <c r="AE24" s="45">
        <v>10.199999999999999</v>
      </c>
      <c r="AF24" s="45">
        <v>10.199999999999999</v>
      </c>
      <c r="AG24" s="51">
        <v>23.5</v>
      </c>
      <c r="AH24" s="48">
        <f t="shared" si="2"/>
        <v>10.199999999999999</v>
      </c>
      <c r="AI24" s="49">
        <f t="shared" si="3"/>
        <v>10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>
        <v>1.2</v>
      </c>
      <c r="S32" s="45">
        <v>1.2</v>
      </c>
      <c r="T32" s="45">
        <v>1.2</v>
      </c>
      <c r="U32" s="45">
        <v>1.2</v>
      </c>
      <c r="V32" s="45">
        <v>1.2</v>
      </c>
      <c r="W32" s="45">
        <v>1.2</v>
      </c>
      <c r="X32" s="45">
        <v>1.2</v>
      </c>
      <c r="Y32" s="45">
        <v>1.2</v>
      </c>
      <c r="Z32" s="45">
        <v>1.2</v>
      </c>
      <c r="AA32" s="45">
        <v>1.2</v>
      </c>
      <c r="AB32" s="45">
        <v>1.2</v>
      </c>
      <c r="AC32" s="45">
        <v>1.2</v>
      </c>
      <c r="AD32" s="45">
        <v>1.2</v>
      </c>
      <c r="AE32" s="45">
        <v>1.2</v>
      </c>
      <c r="AF32" s="45">
        <v>1.2</v>
      </c>
      <c r="AG32" s="51">
        <v>13.6</v>
      </c>
      <c r="AH32" s="48">
        <f t="shared" si="2"/>
        <v>1.2</v>
      </c>
      <c r="AI32" s="49">
        <f t="shared" si="3"/>
        <v>1.2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1</v>
      </c>
      <c r="T41" s="45">
        <v>1</v>
      </c>
      <c r="U41" s="45">
        <v>1</v>
      </c>
      <c r="V41" s="45">
        <v>1</v>
      </c>
      <c r="W41" s="45">
        <v>1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1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180</v>
      </c>
      <c r="C42" s="57">
        <v>180</v>
      </c>
      <c r="D42" s="57">
        <v>180</v>
      </c>
      <c r="E42" s="57">
        <v>180</v>
      </c>
      <c r="F42" s="57">
        <v>180</v>
      </c>
      <c r="G42" s="57">
        <v>180</v>
      </c>
      <c r="H42" s="57">
        <v>180</v>
      </c>
      <c r="I42" s="57">
        <v>180</v>
      </c>
      <c r="J42" s="57">
        <v>180</v>
      </c>
      <c r="K42" s="57">
        <v>180</v>
      </c>
      <c r="L42" s="57">
        <v>180</v>
      </c>
      <c r="M42" s="57">
        <v>180</v>
      </c>
      <c r="N42" s="57">
        <v>180</v>
      </c>
      <c r="O42" s="57">
        <v>180</v>
      </c>
      <c r="P42" s="57">
        <v>180</v>
      </c>
      <c r="Q42" s="57">
        <v>180</v>
      </c>
      <c r="R42" s="57">
        <v>150</v>
      </c>
      <c r="S42" s="57">
        <v>150</v>
      </c>
      <c r="T42" s="57">
        <v>150</v>
      </c>
      <c r="U42" s="57">
        <v>150</v>
      </c>
      <c r="V42" s="57">
        <v>150</v>
      </c>
      <c r="W42" s="57">
        <v>150</v>
      </c>
      <c r="X42" s="57">
        <v>150</v>
      </c>
      <c r="Y42" s="57">
        <v>150</v>
      </c>
      <c r="Z42" s="57">
        <v>150</v>
      </c>
      <c r="AA42" s="57">
        <v>150</v>
      </c>
      <c r="AB42" s="57">
        <v>150</v>
      </c>
      <c r="AC42" s="57">
        <v>150</v>
      </c>
      <c r="AD42" s="57">
        <v>150</v>
      </c>
      <c r="AE42" s="57">
        <v>150</v>
      </c>
      <c r="AF42" s="57">
        <v>150</v>
      </c>
      <c r="AG42" s="55">
        <v>85</v>
      </c>
      <c r="AH42" s="48">
        <f t="shared" si="2"/>
        <v>180</v>
      </c>
      <c r="AI42" s="49">
        <f t="shared" si="3"/>
        <v>150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v>510.99999999999994</v>
      </c>
      <c r="C44" s="61">
        <f t="shared" ref="C44:AG44" si="4">SUM(C11:C42)</f>
        <v>510.99999999999994</v>
      </c>
      <c r="D44" s="61">
        <f t="shared" si="4"/>
        <v>510.99999999999994</v>
      </c>
      <c r="E44" s="61">
        <f t="shared" si="4"/>
        <v>510.99999999999994</v>
      </c>
      <c r="F44" s="61">
        <f t="shared" si="4"/>
        <v>510.99999999999994</v>
      </c>
      <c r="G44" s="61">
        <f t="shared" si="4"/>
        <v>510.99999999999994</v>
      </c>
      <c r="H44" s="61">
        <f t="shared" si="4"/>
        <v>510.99999999999994</v>
      </c>
      <c r="I44" s="61">
        <f t="shared" si="4"/>
        <v>510.99999999999994</v>
      </c>
      <c r="J44" s="61">
        <f t="shared" si="4"/>
        <v>510.99999999999994</v>
      </c>
      <c r="K44" s="61">
        <f t="shared" si="4"/>
        <v>510.99999999999994</v>
      </c>
      <c r="L44" s="61">
        <f t="shared" si="4"/>
        <v>510.99999999999994</v>
      </c>
      <c r="M44" s="61">
        <f t="shared" si="4"/>
        <v>510.99999999999994</v>
      </c>
      <c r="N44" s="61">
        <f t="shared" si="4"/>
        <v>510.99999999999994</v>
      </c>
      <c r="O44" s="61">
        <f t="shared" si="4"/>
        <v>510.99999999999994</v>
      </c>
      <c r="P44" s="61">
        <f t="shared" si="4"/>
        <v>510.99999999999994</v>
      </c>
      <c r="Q44" s="61">
        <f t="shared" si="4"/>
        <v>510.99999999999994</v>
      </c>
      <c r="R44" s="61">
        <f>SUM(R11:R42)</f>
        <v>482.29999999999995</v>
      </c>
      <c r="S44" s="61">
        <f t="shared" si="4"/>
        <v>483.29999999999995</v>
      </c>
      <c r="T44" s="61">
        <f t="shared" si="4"/>
        <v>483.29999999999995</v>
      </c>
      <c r="U44" s="61">
        <f t="shared" si="4"/>
        <v>480.59999999999991</v>
      </c>
      <c r="V44" s="61">
        <f t="shared" si="4"/>
        <v>480.59999999999991</v>
      </c>
      <c r="W44" s="61">
        <f t="shared" si="4"/>
        <v>480.59999999999991</v>
      </c>
      <c r="X44" s="61">
        <f t="shared" si="4"/>
        <v>479.59999999999991</v>
      </c>
      <c r="Y44" s="61">
        <f t="shared" si="4"/>
        <v>479.59999999999991</v>
      </c>
      <c r="Z44" s="61">
        <f t="shared" si="4"/>
        <v>479.59999999999991</v>
      </c>
      <c r="AA44" s="61">
        <f t="shared" si="4"/>
        <v>479.59999999999991</v>
      </c>
      <c r="AB44" s="61">
        <f t="shared" si="4"/>
        <v>479.89999999999992</v>
      </c>
      <c r="AC44" s="61">
        <f t="shared" si="4"/>
        <v>481.19999999999993</v>
      </c>
      <c r="AD44" s="61">
        <f t="shared" si="4"/>
        <v>481.19999999999993</v>
      </c>
      <c r="AE44" s="61">
        <f t="shared" si="4"/>
        <v>479.69999999999993</v>
      </c>
      <c r="AF44" s="61">
        <f t="shared" si="4"/>
        <v>479.69999999999993</v>
      </c>
      <c r="AG44" s="62">
        <f t="shared" si="4"/>
        <v>814.78000000000009</v>
      </c>
      <c r="AH44" s="48">
        <f t="shared" si="2"/>
        <v>510.99999999999994</v>
      </c>
      <c r="AI44" s="49">
        <f t="shared" si="3"/>
        <v>479.59999999999991</v>
      </c>
      <c r="AK44" s="50"/>
    </row>
    <row r="45" spans="1:88" x14ac:dyDescent="0.25">
      <c r="A45" s="6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50</v>
      </c>
      <c r="I45" s="45">
        <v>55</v>
      </c>
      <c r="J45" s="45">
        <v>150</v>
      </c>
      <c r="K45" s="45">
        <v>150</v>
      </c>
      <c r="L45" s="45">
        <v>250</v>
      </c>
      <c r="M45" s="164">
        <v>420</v>
      </c>
      <c r="N45" s="164">
        <v>360</v>
      </c>
      <c r="O45" s="164">
        <v>370</v>
      </c>
      <c r="P45" s="45">
        <v>125</v>
      </c>
      <c r="Q45" s="45">
        <v>90</v>
      </c>
      <c r="R45" s="45">
        <v>35</v>
      </c>
      <c r="S45" s="45">
        <v>35</v>
      </c>
      <c r="T45" s="45">
        <v>40</v>
      </c>
      <c r="U45" s="45">
        <v>40</v>
      </c>
      <c r="V45" s="45">
        <v>80</v>
      </c>
      <c r="W45" s="45">
        <v>100</v>
      </c>
      <c r="X45" s="45">
        <v>280</v>
      </c>
      <c r="Y45" s="45">
        <v>350</v>
      </c>
      <c r="Z45" s="45">
        <v>280</v>
      </c>
      <c r="AA45" s="45">
        <v>130</v>
      </c>
      <c r="AB45" s="45">
        <v>139</v>
      </c>
      <c r="AC45" s="45">
        <v>70</v>
      </c>
      <c r="AD45" s="45">
        <v>0</v>
      </c>
      <c r="AE45" s="45">
        <v>0</v>
      </c>
      <c r="AF45" s="45">
        <v>0</v>
      </c>
      <c r="AG45" s="52">
        <v>456</v>
      </c>
      <c r="AH45" s="48">
        <f t="shared" si="2"/>
        <v>420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41</v>
      </c>
      <c r="AK46" s="50"/>
    </row>
    <row r="47" spans="1:88" ht="15.75" thickBot="1" x14ac:dyDescent="0.3">
      <c r="A47" s="66" t="s">
        <v>55</v>
      </c>
      <c r="B47" s="67">
        <v>13.7</v>
      </c>
      <c r="C47" s="67">
        <v>13.3</v>
      </c>
      <c r="D47" s="67">
        <v>13.2</v>
      </c>
      <c r="E47" s="67">
        <v>13.1</v>
      </c>
      <c r="F47" s="67">
        <v>13.1</v>
      </c>
      <c r="G47" s="67">
        <v>13.1</v>
      </c>
      <c r="H47" s="67">
        <v>13.1</v>
      </c>
      <c r="I47" s="67">
        <v>13.2</v>
      </c>
      <c r="J47" s="67">
        <v>13.2</v>
      </c>
      <c r="K47" s="67">
        <v>13.1</v>
      </c>
      <c r="L47" s="67">
        <v>13.2</v>
      </c>
      <c r="M47" s="67">
        <v>13.1</v>
      </c>
      <c r="N47" s="67">
        <v>13.1</v>
      </c>
      <c r="O47" s="67">
        <v>13.1</v>
      </c>
      <c r="P47" s="67">
        <v>13.1</v>
      </c>
      <c r="Q47" s="67">
        <v>13.1</v>
      </c>
      <c r="R47" s="67">
        <v>13.2</v>
      </c>
      <c r="S47" s="67">
        <v>13.2</v>
      </c>
      <c r="T47" s="67">
        <v>13.2</v>
      </c>
      <c r="U47" s="67">
        <v>13.2</v>
      </c>
      <c r="V47" s="67">
        <v>13.2</v>
      </c>
      <c r="W47" s="67">
        <v>13.2</v>
      </c>
      <c r="X47" s="67">
        <v>21</v>
      </c>
      <c r="Y47" s="67">
        <v>21</v>
      </c>
      <c r="Z47" s="67">
        <v>21</v>
      </c>
      <c r="AA47" s="67">
        <v>21</v>
      </c>
      <c r="AB47" s="67">
        <v>21</v>
      </c>
      <c r="AC47" s="67">
        <v>21</v>
      </c>
      <c r="AD47" s="67">
        <v>21</v>
      </c>
      <c r="AE47" s="67">
        <v>21</v>
      </c>
      <c r="AF47" s="67">
        <v>21</v>
      </c>
      <c r="AG47" s="68">
        <v>22.1</v>
      </c>
      <c r="AH47" s="48">
        <f t="shared" si="2"/>
        <v>21</v>
      </c>
      <c r="AI47" s="49">
        <f t="shared" si="3"/>
        <v>13.1</v>
      </c>
      <c r="AK47" s="50"/>
    </row>
    <row r="48" spans="1:88" ht="15.75" thickBot="1" x14ac:dyDescent="0.3">
      <c r="A48" s="69" t="s">
        <v>56</v>
      </c>
      <c r="B48" s="61">
        <v>54.7</v>
      </c>
      <c r="C48" s="61">
        <f t="shared" ref="C48:AG48" si="5">SUM(C45:C47)</f>
        <v>54.3</v>
      </c>
      <c r="D48" s="61">
        <f t="shared" si="5"/>
        <v>54.2</v>
      </c>
      <c r="E48" s="61">
        <f t="shared" si="5"/>
        <v>54.1</v>
      </c>
      <c r="F48" s="61">
        <f t="shared" si="5"/>
        <v>54.1</v>
      </c>
      <c r="G48" s="61">
        <f t="shared" si="5"/>
        <v>54.1</v>
      </c>
      <c r="H48" s="61">
        <f t="shared" si="5"/>
        <v>104.1</v>
      </c>
      <c r="I48" s="61">
        <f t="shared" si="5"/>
        <v>109.2</v>
      </c>
      <c r="J48" s="61">
        <f t="shared" si="5"/>
        <v>204.2</v>
      </c>
      <c r="K48" s="61">
        <f t="shared" si="5"/>
        <v>204.1</v>
      </c>
      <c r="L48" s="61">
        <f t="shared" si="5"/>
        <v>304.2</v>
      </c>
      <c r="M48" s="61">
        <f t="shared" si="5"/>
        <v>474.1</v>
      </c>
      <c r="N48" s="61">
        <f t="shared" si="5"/>
        <v>414.1</v>
      </c>
      <c r="O48" s="61">
        <f t="shared" si="5"/>
        <v>424.1</v>
      </c>
      <c r="P48" s="61">
        <f t="shared" si="5"/>
        <v>179.1</v>
      </c>
      <c r="Q48" s="61">
        <f t="shared" si="5"/>
        <v>144.1</v>
      </c>
      <c r="R48" s="61">
        <f t="shared" si="5"/>
        <v>89.2</v>
      </c>
      <c r="S48" s="61">
        <f t="shared" si="5"/>
        <v>89.2</v>
      </c>
      <c r="T48" s="61">
        <f t="shared" si="5"/>
        <v>94.2</v>
      </c>
      <c r="U48" s="61">
        <f t="shared" si="5"/>
        <v>94.2</v>
      </c>
      <c r="V48" s="61">
        <f t="shared" si="5"/>
        <v>134.19999999999999</v>
      </c>
      <c r="W48" s="61">
        <f t="shared" si="5"/>
        <v>154.19999999999999</v>
      </c>
      <c r="X48" s="61">
        <f t="shared" si="5"/>
        <v>342</v>
      </c>
      <c r="Y48" s="61">
        <f t="shared" si="5"/>
        <v>412</v>
      </c>
      <c r="Z48" s="61">
        <f t="shared" si="5"/>
        <v>342</v>
      </c>
      <c r="AA48" s="61">
        <f t="shared" si="5"/>
        <v>192</v>
      </c>
      <c r="AB48" s="61">
        <f t="shared" si="5"/>
        <v>201</v>
      </c>
      <c r="AC48" s="61">
        <f t="shared" si="5"/>
        <v>132</v>
      </c>
      <c r="AD48" s="61">
        <f t="shared" si="5"/>
        <v>62</v>
      </c>
      <c r="AE48" s="61">
        <f t="shared" si="5"/>
        <v>62</v>
      </c>
      <c r="AF48" s="61">
        <f t="shared" si="5"/>
        <v>62</v>
      </c>
      <c r="AG48" s="62">
        <f t="shared" si="5"/>
        <v>538.1</v>
      </c>
      <c r="AH48" s="48">
        <f t="shared" si="2"/>
        <v>474.1</v>
      </c>
      <c r="AI48" s="49">
        <f t="shared" si="3"/>
        <v>54.1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45.6</v>
      </c>
      <c r="J49" s="45">
        <v>46</v>
      </c>
      <c r="K49" s="45">
        <v>93.4</v>
      </c>
      <c r="L49" s="45">
        <v>143</v>
      </c>
      <c r="M49" s="45">
        <v>143.4</v>
      </c>
      <c r="N49" s="45">
        <v>143.4</v>
      </c>
      <c r="O49" s="45">
        <v>143.4</v>
      </c>
      <c r="P49" s="45">
        <v>141</v>
      </c>
      <c r="Q49" s="45">
        <v>102</v>
      </c>
      <c r="R49" s="45">
        <v>70.8</v>
      </c>
      <c r="S49" s="45">
        <v>70.8</v>
      </c>
      <c r="T49" s="45">
        <v>70.8</v>
      </c>
      <c r="U49" s="45">
        <v>102.4</v>
      </c>
      <c r="V49" s="45">
        <v>118.5</v>
      </c>
      <c r="W49" s="45">
        <v>141</v>
      </c>
      <c r="X49" s="45">
        <v>141</v>
      </c>
      <c r="Y49" s="45">
        <v>141</v>
      </c>
      <c r="Z49" s="45">
        <v>141</v>
      </c>
      <c r="AA49" s="45">
        <v>141</v>
      </c>
      <c r="AB49" s="45">
        <v>139.19999999999999</v>
      </c>
      <c r="AC49" s="45">
        <v>139</v>
      </c>
      <c r="AD49" s="45">
        <v>139</v>
      </c>
      <c r="AE49" s="45">
        <v>60</v>
      </c>
      <c r="AF49" s="45">
        <v>0</v>
      </c>
      <c r="AG49" s="52">
        <v>144</v>
      </c>
      <c r="AH49" s="48">
        <f t="shared" si="2"/>
        <v>143.4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35</v>
      </c>
      <c r="H50" s="65">
        <v>42.7</v>
      </c>
      <c r="I50" s="65">
        <v>52.3</v>
      </c>
      <c r="J50" s="65">
        <v>70</v>
      </c>
      <c r="K50" s="65">
        <v>62.5</v>
      </c>
      <c r="L50" s="65">
        <v>70.5</v>
      </c>
      <c r="M50" s="65">
        <v>69</v>
      </c>
      <c r="N50" s="65">
        <v>69</v>
      </c>
      <c r="O50" s="65">
        <v>69</v>
      </c>
      <c r="P50" s="65">
        <v>67.099999999999994</v>
      </c>
      <c r="Q50" s="65">
        <v>23</v>
      </c>
      <c r="R50" s="45">
        <v>25.1</v>
      </c>
      <c r="S50" s="45">
        <v>25.1</v>
      </c>
      <c r="T50" s="45">
        <v>25.1</v>
      </c>
      <c r="U50" s="45">
        <v>60.9</v>
      </c>
      <c r="V50" s="45">
        <v>60.4</v>
      </c>
      <c r="W50" s="45">
        <v>69.7</v>
      </c>
      <c r="X50" s="45">
        <v>69.7</v>
      </c>
      <c r="Y50" s="45">
        <v>69.7</v>
      </c>
      <c r="Z50" s="45">
        <v>69.7</v>
      </c>
      <c r="AA50" s="45">
        <v>69.7</v>
      </c>
      <c r="AB50" s="65">
        <v>61</v>
      </c>
      <c r="AC50" s="65">
        <v>45</v>
      </c>
      <c r="AD50" s="65">
        <v>25</v>
      </c>
      <c r="AE50" s="65">
        <v>25</v>
      </c>
      <c r="AF50" s="65">
        <v>0</v>
      </c>
      <c r="AG50" s="55">
        <v>70</v>
      </c>
      <c r="AH50" s="48">
        <f t="shared" si="2"/>
        <v>70.5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45</v>
      </c>
      <c r="C51" s="65">
        <v>34</v>
      </c>
      <c r="D51" s="65">
        <v>16</v>
      </c>
      <c r="E51" s="65">
        <v>0</v>
      </c>
      <c r="F51" s="65">
        <v>0</v>
      </c>
      <c r="G51" s="65">
        <v>23.4</v>
      </c>
      <c r="H51" s="65">
        <v>45</v>
      </c>
      <c r="I51" s="65">
        <v>45.2</v>
      </c>
      <c r="J51" s="65">
        <v>67</v>
      </c>
      <c r="K51" s="65">
        <v>61.5</v>
      </c>
      <c r="L51" s="65">
        <v>66.900000000000006</v>
      </c>
      <c r="M51" s="65">
        <v>67.7</v>
      </c>
      <c r="N51" s="65">
        <v>61</v>
      </c>
      <c r="O51" s="65">
        <v>61</v>
      </c>
      <c r="P51" s="65">
        <v>34.299999999999997</v>
      </c>
      <c r="Q51" s="65">
        <v>41</v>
      </c>
      <c r="R51" s="45">
        <v>33.6</v>
      </c>
      <c r="S51" s="45">
        <v>33.6</v>
      </c>
      <c r="T51" s="45">
        <v>33.6</v>
      </c>
      <c r="U51" s="45">
        <v>50.9</v>
      </c>
      <c r="V51" s="45">
        <v>50.3</v>
      </c>
      <c r="W51" s="45">
        <v>68.2</v>
      </c>
      <c r="X51" s="45">
        <v>68.2</v>
      </c>
      <c r="Y51" s="45">
        <v>68.2</v>
      </c>
      <c r="Z51" s="45">
        <v>68.2</v>
      </c>
      <c r="AA51" s="45">
        <v>68.2</v>
      </c>
      <c r="AB51" s="65">
        <v>66.8</v>
      </c>
      <c r="AC51" s="65">
        <v>67</v>
      </c>
      <c r="AD51" s="65">
        <v>67</v>
      </c>
      <c r="AE51" s="65">
        <v>65</v>
      </c>
      <c r="AF51" s="65">
        <v>33</v>
      </c>
      <c r="AG51" s="55">
        <v>69</v>
      </c>
      <c r="AH51" s="48">
        <f t="shared" si="2"/>
        <v>68.2</v>
      </c>
      <c r="AI51" s="49">
        <f t="shared" si="3"/>
        <v>0</v>
      </c>
      <c r="AK51" s="50"/>
    </row>
    <row r="52" spans="1:41" x14ac:dyDescent="0.25">
      <c r="A52" s="54" t="s">
        <v>60</v>
      </c>
      <c r="B52" s="57">
        <v>58.2</v>
      </c>
      <c r="C52" s="57">
        <v>58.2</v>
      </c>
      <c r="D52" s="57">
        <v>58.2</v>
      </c>
      <c r="E52" s="57">
        <v>58.2</v>
      </c>
      <c r="F52" s="57">
        <v>58.2</v>
      </c>
      <c r="G52" s="57">
        <v>58.2</v>
      </c>
      <c r="H52" s="57">
        <v>58.2</v>
      </c>
      <c r="I52" s="57">
        <v>58.2</v>
      </c>
      <c r="J52" s="57">
        <v>58.2</v>
      </c>
      <c r="K52" s="57">
        <v>58.2</v>
      </c>
      <c r="L52" s="57">
        <v>58.2</v>
      </c>
      <c r="M52" s="65">
        <v>56.2</v>
      </c>
      <c r="N52" s="65">
        <v>56.2</v>
      </c>
      <c r="O52" s="65">
        <v>56.2</v>
      </c>
      <c r="P52" s="65">
        <v>56.2</v>
      </c>
      <c r="Q52" s="65">
        <v>56.2</v>
      </c>
      <c r="R52" s="45">
        <v>56.2</v>
      </c>
      <c r="S52" s="45">
        <v>56.2</v>
      </c>
      <c r="T52" s="45">
        <v>56.2</v>
      </c>
      <c r="U52" s="45">
        <v>54.1</v>
      </c>
      <c r="V52" s="65">
        <v>53.4</v>
      </c>
      <c r="W52" s="65">
        <v>53.4</v>
      </c>
      <c r="X52" s="65">
        <v>53.4</v>
      </c>
      <c r="Y52" s="65">
        <v>53.4</v>
      </c>
      <c r="Z52" s="65">
        <v>53.4</v>
      </c>
      <c r="AA52" s="65">
        <v>53.4</v>
      </c>
      <c r="AB52" s="65">
        <v>59.5</v>
      </c>
      <c r="AC52" s="65">
        <v>59.5</v>
      </c>
      <c r="AD52" s="65">
        <v>59.5</v>
      </c>
      <c r="AE52" s="65">
        <v>59.5</v>
      </c>
      <c r="AF52" s="65">
        <v>59.5</v>
      </c>
      <c r="AG52" s="55">
        <v>60</v>
      </c>
      <c r="AH52" s="48">
        <f t="shared" si="2"/>
        <v>59.5</v>
      </c>
      <c r="AI52" s="49">
        <f t="shared" si="3"/>
        <v>53.4</v>
      </c>
      <c r="AK52" s="50"/>
    </row>
    <row r="53" spans="1:41" x14ac:dyDescent="0.25">
      <c r="A53" s="54" t="s">
        <v>61</v>
      </c>
      <c r="B53" s="57">
        <v>7.9</v>
      </c>
      <c r="C53" s="57">
        <v>7.8</v>
      </c>
      <c r="D53" s="57">
        <v>7.8</v>
      </c>
      <c r="E53" s="57">
        <v>7.8</v>
      </c>
      <c r="F53" s="57">
        <v>7.8</v>
      </c>
      <c r="G53" s="57">
        <v>7.8</v>
      </c>
      <c r="H53" s="57">
        <v>7.8</v>
      </c>
      <c r="I53" s="57">
        <v>7.8</v>
      </c>
      <c r="J53" s="57">
        <v>7.8</v>
      </c>
      <c r="K53" s="57">
        <v>7.8</v>
      </c>
      <c r="L53" s="57">
        <v>7.8</v>
      </c>
      <c r="M53" s="65">
        <v>7.99</v>
      </c>
      <c r="N53" s="65">
        <v>7.99</v>
      </c>
      <c r="O53" s="65">
        <v>7.99</v>
      </c>
      <c r="P53" s="65">
        <v>7.99</v>
      </c>
      <c r="Q53" s="65">
        <v>7.99</v>
      </c>
      <c r="R53" s="45">
        <v>8</v>
      </c>
      <c r="S53" s="45">
        <v>8</v>
      </c>
      <c r="T53" s="45">
        <v>8</v>
      </c>
      <c r="U53" s="45">
        <v>9</v>
      </c>
      <c r="V53" s="65">
        <v>0</v>
      </c>
      <c r="W53" s="65">
        <v>8.5</v>
      </c>
      <c r="X53" s="65">
        <v>8.5</v>
      </c>
      <c r="Y53" s="65">
        <v>8.5</v>
      </c>
      <c r="Z53" s="65">
        <v>8.5</v>
      </c>
      <c r="AA53" s="65">
        <v>8.5</v>
      </c>
      <c r="AB53" s="65">
        <v>8.5</v>
      </c>
      <c r="AC53" s="65">
        <v>8.5</v>
      </c>
      <c r="AD53" s="65">
        <v>8.5</v>
      </c>
      <c r="AE53" s="65">
        <v>13.4</v>
      </c>
      <c r="AF53" s="65">
        <v>0</v>
      </c>
      <c r="AG53" s="55">
        <v>30</v>
      </c>
      <c r="AH53" s="48">
        <f t="shared" si="2"/>
        <v>13.4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45">
        <v>0</v>
      </c>
      <c r="S54" s="45">
        <v>8</v>
      </c>
      <c r="T54" s="45">
        <v>8</v>
      </c>
      <c r="U54" s="45">
        <v>8</v>
      </c>
      <c r="V54" s="45">
        <v>8</v>
      </c>
      <c r="W54" s="45">
        <v>8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8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17.2</v>
      </c>
      <c r="N55" s="65">
        <v>17.2</v>
      </c>
      <c r="O55" s="65">
        <v>17.2</v>
      </c>
      <c r="P55" s="65">
        <v>17.2</v>
      </c>
      <c r="Q55" s="65">
        <v>17.2</v>
      </c>
      <c r="R55" s="45">
        <v>17.2</v>
      </c>
      <c r="S55" s="45">
        <v>17.2</v>
      </c>
      <c r="T55" s="45">
        <v>17.2</v>
      </c>
      <c r="U55" s="45">
        <v>17.2</v>
      </c>
      <c r="V55" s="45">
        <v>17.2</v>
      </c>
      <c r="W55" s="45">
        <v>17.2</v>
      </c>
      <c r="X55" s="65">
        <v>17.2</v>
      </c>
      <c r="Y55" s="65">
        <v>17.2</v>
      </c>
      <c r="Z55" s="65">
        <v>17.2</v>
      </c>
      <c r="AA55" s="65">
        <v>17.2</v>
      </c>
      <c r="AB55" s="65">
        <v>17.2</v>
      </c>
      <c r="AC55" s="65">
        <v>17.2</v>
      </c>
      <c r="AD55" s="65">
        <v>17.2</v>
      </c>
      <c r="AE55" s="65">
        <v>17.2</v>
      </c>
      <c r="AF55" s="65">
        <v>17.2</v>
      </c>
      <c r="AG55" s="55">
        <v>24</v>
      </c>
      <c r="AH55" s="48">
        <f t="shared" si="2"/>
        <v>17.2</v>
      </c>
      <c r="AI55" s="49">
        <f t="shared" si="3"/>
        <v>17.100000000000001</v>
      </c>
      <c r="AK55" s="50"/>
    </row>
    <row r="56" spans="1:41" x14ac:dyDescent="0.25">
      <c r="A56" s="54" t="s">
        <v>64</v>
      </c>
      <c r="B56" s="65">
        <v>2.6</v>
      </c>
      <c r="C56" s="65">
        <v>2.6</v>
      </c>
      <c r="D56" s="65">
        <v>2.6</v>
      </c>
      <c r="E56" s="65">
        <v>2.6</v>
      </c>
      <c r="F56" s="65">
        <v>2.6</v>
      </c>
      <c r="G56" s="65">
        <v>2.6</v>
      </c>
      <c r="H56" s="65">
        <v>2.6</v>
      </c>
      <c r="I56" s="65">
        <v>2.6</v>
      </c>
      <c r="J56" s="65">
        <v>2.6</v>
      </c>
      <c r="K56" s="65">
        <v>2.6</v>
      </c>
      <c r="L56" s="65">
        <v>2.6</v>
      </c>
      <c r="M56" s="65">
        <v>2.6</v>
      </c>
      <c r="N56" s="65">
        <v>2.6</v>
      </c>
      <c r="O56" s="65">
        <v>2.6</v>
      </c>
      <c r="P56" s="65">
        <v>2.6</v>
      </c>
      <c r="Q56" s="65">
        <v>2.6</v>
      </c>
      <c r="R56" s="45">
        <v>2.6</v>
      </c>
      <c r="S56" s="45">
        <v>2.6</v>
      </c>
      <c r="T56" s="45">
        <v>2.6</v>
      </c>
      <c r="U56" s="45">
        <v>2.6</v>
      </c>
      <c r="V56" s="45">
        <v>2.6</v>
      </c>
      <c r="W56" s="45">
        <v>2.6</v>
      </c>
      <c r="X56" s="65">
        <v>2.6</v>
      </c>
      <c r="Y56" s="65">
        <v>2.6</v>
      </c>
      <c r="Z56" s="65">
        <v>2.6</v>
      </c>
      <c r="AA56" s="65">
        <v>2.6</v>
      </c>
      <c r="AB56" s="65">
        <v>2.6</v>
      </c>
      <c r="AC56" s="65">
        <v>2.6</v>
      </c>
      <c r="AD56" s="65">
        <v>2.6</v>
      </c>
      <c r="AE56" s="65">
        <v>2.6</v>
      </c>
      <c r="AF56" s="65">
        <v>2.6</v>
      </c>
      <c r="AG56" s="55">
        <v>15</v>
      </c>
      <c r="AH56" s="48">
        <f t="shared" si="2"/>
        <v>2.6</v>
      </c>
      <c r="AI56" s="49">
        <f t="shared" si="3"/>
        <v>2.6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13.8</v>
      </c>
      <c r="C57" s="65">
        <v>13.8</v>
      </c>
      <c r="D57" s="65">
        <v>13.8</v>
      </c>
      <c r="E57" s="65">
        <v>13.8</v>
      </c>
      <c r="F57" s="65">
        <v>13.8</v>
      </c>
      <c r="G57" s="65">
        <v>13.8</v>
      </c>
      <c r="H57" s="65">
        <v>13.8</v>
      </c>
      <c r="I57" s="65">
        <v>13.8</v>
      </c>
      <c r="J57" s="65">
        <v>13.8</v>
      </c>
      <c r="K57" s="65">
        <v>13.8</v>
      </c>
      <c r="L57" s="65">
        <v>13.8</v>
      </c>
      <c r="M57" s="65">
        <v>14.6</v>
      </c>
      <c r="N57" s="65">
        <v>14.6</v>
      </c>
      <c r="O57" s="65">
        <v>14.6</v>
      </c>
      <c r="P57" s="65">
        <v>14.6</v>
      </c>
      <c r="Q57" s="65">
        <v>14.6</v>
      </c>
      <c r="R57" s="65">
        <v>12.9</v>
      </c>
      <c r="S57" s="65">
        <v>12.9</v>
      </c>
      <c r="T57" s="65">
        <v>12.9</v>
      </c>
      <c r="U57" s="65">
        <v>12.9</v>
      </c>
      <c r="V57" s="65">
        <v>12.9</v>
      </c>
      <c r="W57" s="65">
        <v>12.9</v>
      </c>
      <c r="X57" s="65">
        <v>12.9</v>
      </c>
      <c r="Y57" s="65">
        <v>12.9</v>
      </c>
      <c r="Z57" s="65">
        <v>12.9</v>
      </c>
      <c r="AA57" s="65">
        <v>12.9</v>
      </c>
      <c r="AB57" s="65">
        <v>12.9</v>
      </c>
      <c r="AC57" s="65">
        <v>12.9</v>
      </c>
      <c r="AD57" s="65">
        <v>12.9</v>
      </c>
      <c r="AE57" s="65">
        <v>12.9</v>
      </c>
      <c r="AF57" s="65">
        <v>12.9</v>
      </c>
      <c r="AG57" s="55">
        <v>14.1</v>
      </c>
      <c r="AH57" s="48">
        <f t="shared" si="2"/>
        <v>14.6</v>
      </c>
      <c r="AI57" s="49">
        <f t="shared" si="3"/>
        <v>12.9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6.8</v>
      </c>
      <c r="C58" s="65">
        <v>6.8</v>
      </c>
      <c r="D58" s="65">
        <v>6.8</v>
      </c>
      <c r="E58" s="65">
        <v>6.8</v>
      </c>
      <c r="F58" s="65">
        <v>6.8</v>
      </c>
      <c r="G58" s="65">
        <v>6.8</v>
      </c>
      <c r="H58" s="65">
        <v>6.8</v>
      </c>
      <c r="I58" s="65">
        <v>6.8</v>
      </c>
      <c r="J58" s="65">
        <v>6.8</v>
      </c>
      <c r="K58" s="65">
        <v>6.8</v>
      </c>
      <c r="L58" s="65">
        <v>6.8</v>
      </c>
      <c r="M58" s="65">
        <v>6.8</v>
      </c>
      <c r="N58" s="65">
        <v>6.8</v>
      </c>
      <c r="O58" s="65">
        <v>6.8</v>
      </c>
      <c r="P58" s="65">
        <v>6.8</v>
      </c>
      <c r="Q58" s="65">
        <v>6.8</v>
      </c>
      <c r="R58" s="65">
        <v>6.8</v>
      </c>
      <c r="S58" s="65">
        <v>6.8</v>
      </c>
      <c r="T58" s="65">
        <v>6.8</v>
      </c>
      <c r="U58" s="65">
        <v>6.8</v>
      </c>
      <c r="V58" s="65">
        <v>6.8</v>
      </c>
      <c r="W58" s="65">
        <v>6.8</v>
      </c>
      <c r="X58" s="65">
        <v>6.8</v>
      </c>
      <c r="Y58" s="65">
        <v>6.8</v>
      </c>
      <c r="Z58" s="65">
        <v>6.8</v>
      </c>
      <c r="AA58" s="65">
        <v>6.8</v>
      </c>
      <c r="AB58" s="65">
        <v>6.8</v>
      </c>
      <c r="AC58" s="65">
        <v>6.8</v>
      </c>
      <c r="AD58" s="65">
        <v>6.8</v>
      </c>
      <c r="AE58" s="65">
        <v>6.8</v>
      </c>
      <c r="AF58" s="65">
        <v>6.8</v>
      </c>
      <c r="AG58" s="55">
        <v>14</v>
      </c>
      <c r="AH58" s="48">
        <f t="shared" si="2"/>
        <v>6.8</v>
      </c>
      <c r="AI58" s="49">
        <f t="shared" si="3"/>
        <v>6.8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5">
        <v>6.2</v>
      </c>
      <c r="AH60" s="48">
        <f t="shared" si="2"/>
        <v>3.2</v>
      </c>
      <c r="AI60" s="49">
        <f t="shared" si="3"/>
        <v>3.2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v>167.54</v>
      </c>
      <c r="C62" s="61">
        <f t="shared" ref="C62:AG62" si="6">SUM(C49:C61)</f>
        <v>153.54</v>
      </c>
      <c r="D62" s="61">
        <f t="shared" si="6"/>
        <v>135.53999999999996</v>
      </c>
      <c r="E62" s="61">
        <f t="shared" si="6"/>
        <v>119.53999999999999</v>
      </c>
      <c r="F62" s="61">
        <f t="shared" si="6"/>
        <v>119.53999999999999</v>
      </c>
      <c r="G62" s="61">
        <f t="shared" si="6"/>
        <v>177.94</v>
      </c>
      <c r="H62" s="61">
        <f t="shared" si="6"/>
        <v>207.24</v>
      </c>
      <c r="I62" s="61">
        <f t="shared" si="6"/>
        <v>262.64000000000004</v>
      </c>
      <c r="J62" s="61">
        <f t="shared" si="6"/>
        <v>302.54000000000008</v>
      </c>
      <c r="K62" s="61">
        <f t="shared" si="6"/>
        <v>336.94000000000011</v>
      </c>
      <c r="L62" s="61">
        <f t="shared" si="6"/>
        <v>399.94000000000005</v>
      </c>
      <c r="M62" s="61">
        <f t="shared" si="6"/>
        <v>398.73000000000008</v>
      </c>
      <c r="N62" s="61">
        <f t="shared" si="6"/>
        <v>392.03000000000003</v>
      </c>
      <c r="O62" s="61">
        <f t="shared" si="6"/>
        <v>392.03000000000003</v>
      </c>
      <c r="P62" s="61">
        <f t="shared" si="6"/>
        <v>361.03000000000003</v>
      </c>
      <c r="Q62" s="61">
        <f t="shared" si="6"/>
        <v>284.63</v>
      </c>
      <c r="R62" s="61">
        <f t="shared" si="6"/>
        <v>246.43999999999997</v>
      </c>
      <c r="S62" s="61">
        <f t="shared" si="6"/>
        <v>254.43999999999997</v>
      </c>
      <c r="T62" s="61">
        <f t="shared" si="6"/>
        <v>254.43999999999997</v>
      </c>
      <c r="U62" s="61">
        <f t="shared" si="6"/>
        <v>338.04</v>
      </c>
      <c r="V62" s="61">
        <f t="shared" si="6"/>
        <v>343.34</v>
      </c>
      <c r="W62" s="61">
        <f t="shared" si="6"/>
        <v>401.53999999999996</v>
      </c>
      <c r="X62" s="61">
        <f t="shared" si="6"/>
        <v>393.53999999999996</v>
      </c>
      <c r="Y62" s="61">
        <f t="shared" si="6"/>
        <v>393.53999999999996</v>
      </c>
      <c r="Z62" s="61">
        <f t="shared" si="6"/>
        <v>393.53999999999996</v>
      </c>
      <c r="AA62" s="61">
        <f t="shared" si="6"/>
        <v>393.53999999999996</v>
      </c>
      <c r="AB62" s="61">
        <f t="shared" si="6"/>
        <v>387.74</v>
      </c>
      <c r="AC62" s="61">
        <f t="shared" si="6"/>
        <v>371.74</v>
      </c>
      <c r="AD62" s="61">
        <f t="shared" si="6"/>
        <v>351.74</v>
      </c>
      <c r="AE62" s="61">
        <f t="shared" si="6"/>
        <v>275.64</v>
      </c>
      <c r="AF62" s="61">
        <f t="shared" si="6"/>
        <v>145.23999999999998</v>
      </c>
      <c r="AG62" s="62">
        <f t="shared" si="6"/>
        <v>489.91</v>
      </c>
      <c r="AH62" s="48">
        <f t="shared" si="2"/>
        <v>401.53999999999996</v>
      </c>
      <c r="AI62" s="49">
        <f t="shared" si="3"/>
        <v>119.53999999999999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60</v>
      </c>
      <c r="N63" s="45">
        <v>60</v>
      </c>
      <c r="O63" s="45">
        <v>60</v>
      </c>
      <c r="P63" s="45">
        <v>60</v>
      </c>
      <c r="Q63" s="45">
        <v>60</v>
      </c>
      <c r="R63" s="45">
        <v>60</v>
      </c>
      <c r="S63" s="45">
        <v>60</v>
      </c>
      <c r="T63" s="45">
        <v>60</v>
      </c>
      <c r="U63" s="45">
        <v>60</v>
      </c>
      <c r="V63" s="45">
        <v>60</v>
      </c>
      <c r="W63" s="45">
        <v>60</v>
      </c>
      <c r="X63" s="45">
        <v>60</v>
      </c>
      <c r="Y63" s="45">
        <v>60</v>
      </c>
      <c r="Z63" s="45">
        <v>60</v>
      </c>
      <c r="AA63" s="45">
        <v>60</v>
      </c>
      <c r="AB63" s="45">
        <v>60</v>
      </c>
      <c r="AC63" s="45">
        <v>50</v>
      </c>
      <c r="AD63" s="45">
        <v>30</v>
      </c>
      <c r="AE63" s="45">
        <v>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28.9</v>
      </c>
      <c r="N64" s="65">
        <v>28.9</v>
      </c>
      <c r="O64" s="65">
        <v>28.9</v>
      </c>
      <c r="P64" s="65">
        <v>28.9</v>
      </c>
      <c r="Q64" s="65">
        <v>28.9</v>
      </c>
      <c r="R64" s="45">
        <v>28.9</v>
      </c>
      <c r="S64" s="45">
        <v>28.9</v>
      </c>
      <c r="T64" s="45">
        <v>28.9</v>
      </c>
      <c r="U64" s="45">
        <v>28.9</v>
      </c>
      <c r="V64" s="65">
        <v>28.1</v>
      </c>
      <c r="W64" s="65">
        <v>28.1</v>
      </c>
      <c r="X64" s="65">
        <v>28.1</v>
      </c>
      <c r="Y64" s="65">
        <v>28.1</v>
      </c>
      <c r="Z64" s="65">
        <v>28.1</v>
      </c>
      <c r="AA64" s="65">
        <v>28.1</v>
      </c>
      <c r="AB64" s="65">
        <v>27.7</v>
      </c>
      <c r="AC64" s="65">
        <v>23</v>
      </c>
      <c r="AD64" s="65">
        <v>15</v>
      </c>
      <c r="AE64" s="65">
        <v>0</v>
      </c>
      <c r="AF64" s="65">
        <v>0</v>
      </c>
      <c r="AG64" s="55">
        <v>32</v>
      </c>
      <c r="AH64" s="48">
        <f t="shared" si="2"/>
        <v>28.9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10.3</v>
      </c>
      <c r="N65" s="67">
        <v>10.3</v>
      </c>
      <c r="O65" s="67">
        <v>10.3</v>
      </c>
      <c r="P65" s="67">
        <v>10.3</v>
      </c>
      <c r="Q65" s="67">
        <v>10.3</v>
      </c>
      <c r="R65" s="45">
        <v>10.3</v>
      </c>
      <c r="S65" s="45">
        <v>10.3</v>
      </c>
      <c r="T65" s="45">
        <v>10.3</v>
      </c>
      <c r="U65" s="45">
        <v>10.3</v>
      </c>
      <c r="V65" s="67">
        <v>10.199999999999999</v>
      </c>
      <c r="W65" s="67">
        <v>10.199999999999999</v>
      </c>
      <c r="X65" s="67">
        <v>10.199999999999999</v>
      </c>
      <c r="Y65" s="67">
        <v>10.199999999999999</v>
      </c>
      <c r="Z65" s="67">
        <v>10.199999999999999</v>
      </c>
      <c r="AA65" s="67">
        <v>10.199999999999999</v>
      </c>
      <c r="AB65" s="67">
        <v>10.1</v>
      </c>
      <c r="AC65" s="67">
        <v>8</v>
      </c>
      <c r="AD65" s="67">
        <v>6</v>
      </c>
      <c r="AE65" s="67">
        <v>0</v>
      </c>
      <c r="AF65" s="67">
        <v>0</v>
      </c>
      <c r="AG65" s="68">
        <v>14</v>
      </c>
      <c r="AH65" s="48">
        <f t="shared" si="2"/>
        <v>10.3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31.200000000000003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0</v>
      </c>
      <c r="M66" s="61">
        <f t="shared" ref="M66:AF66" si="7">M63+M64+M65</f>
        <v>99.2</v>
      </c>
      <c r="N66" s="61">
        <f t="shared" si="7"/>
        <v>99.2</v>
      </c>
      <c r="O66" s="61">
        <f t="shared" si="7"/>
        <v>99.2</v>
      </c>
      <c r="P66" s="61">
        <f t="shared" si="7"/>
        <v>99.2</v>
      </c>
      <c r="Q66" s="61">
        <f t="shared" si="7"/>
        <v>99.2</v>
      </c>
      <c r="R66" s="61">
        <f>R63+R64+R65</f>
        <v>99.2</v>
      </c>
      <c r="S66" s="61">
        <f t="shared" si="7"/>
        <v>99.2</v>
      </c>
      <c r="T66" s="61">
        <f t="shared" si="7"/>
        <v>99.2</v>
      </c>
      <c r="U66" s="61">
        <f t="shared" si="7"/>
        <v>99.2</v>
      </c>
      <c r="V66" s="61">
        <f t="shared" si="7"/>
        <v>98.3</v>
      </c>
      <c r="W66" s="61">
        <f t="shared" si="7"/>
        <v>98.3</v>
      </c>
      <c r="X66" s="61">
        <f t="shared" si="7"/>
        <v>98.3</v>
      </c>
      <c r="Y66" s="61">
        <f t="shared" si="7"/>
        <v>98.3</v>
      </c>
      <c r="Z66" s="61">
        <f t="shared" si="7"/>
        <v>98.3</v>
      </c>
      <c r="AA66" s="61">
        <f t="shared" si="7"/>
        <v>98.3</v>
      </c>
      <c r="AB66" s="61">
        <f t="shared" si="7"/>
        <v>97.8</v>
      </c>
      <c r="AC66" s="61">
        <f t="shared" si="7"/>
        <v>81</v>
      </c>
      <c r="AD66" s="61">
        <f t="shared" si="7"/>
        <v>51</v>
      </c>
      <c r="AE66" s="61">
        <f t="shared" si="7"/>
        <v>0</v>
      </c>
      <c r="AF66" s="61">
        <f t="shared" si="7"/>
        <v>0</v>
      </c>
      <c r="AG66" s="62">
        <f t="shared" ref="AG66" si="8">SUM(AG63:AG65)</f>
        <v>106</v>
      </c>
      <c r="AH66" s="48">
        <f t="shared" si="2"/>
        <v>99.2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54</v>
      </c>
      <c r="C67" s="45">
        <v>53</v>
      </c>
      <c r="D67" s="45">
        <v>61</v>
      </c>
      <c r="E67" s="45">
        <v>63</v>
      </c>
      <c r="F67" s="45">
        <v>59.2</v>
      </c>
      <c r="G67" s="45">
        <v>65.3</v>
      </c>
      <c r="H67" s="45">
        <v>67.8</v>
      </c>
      <c r="I67" s="45">
        <v>61</v>
      </c>
      <c r="J67" s="45">
        <v>67.2</v>
      </c>
      <c r="K67" s="45">
        <v>63.8</v>
      </c>
      <c r="L67" s="45">
        <v>61.3</v>
      </c>
      <c r="M67" s="45">
        <v>61.7</v>
      </c>
      <c r="N67" s="45">
        <v>66</v>
      </c>
      <c r="O67" s="45">
        <v>66</v>
      </c>
      <c r="P67" s="45">
        <v>75</v>
      </c>
      <c r="Q67" s="45">
        <v>64.599999999999994</v>
      </c>
      <c r="R67" s="45">
        <v>65</v>
      </c>
      <c r="S67" s="45">
        <v>70</v>
      </c>
      <c r="T67" s="45">
        <v>57.4</v>
      </c>
      <c r="U67" s="45">
        <v>72</v>
      </c>
      <c r="V67" s="45">
        <v>76.3</v>
      </c>
      <c r="W67" s="45">
        <v>63.9</v>
      </c>
      <c r="X67" s="45">
        <v>72</v>
      </c>
      <c r="Y67" s="45">
        <v>72.7</v>
      </c>
      <c r="Z67" s="45">
        <v>67.5</v>
      </c>
      <c r="AA67" s="45">
        <v>65.2</v>
      </c>
      <c r="AB67" s="45">
        <v>65.400000000000006</v>
      </c>
      <c r="AC67" s="45">
        <v>56</v>
      </c>
      <c r="AD67" s="45">
        <v>59.5</v>
      </c>
      <c r="AE67" s="45">
        <v>67</v>
      </c>
      <c r="AF67" s="45">
        <v>71</v>
      </c>
      <c r="AG67" s="52"/>
      <c r="AH67" s="48">
        <f t="shared" si="2"/>
        <v>76.3</v>
      </c>
      <c r="AI67" s="49">
        <f t="shared" si="3"/>
        <v>53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203.1</v>
      </c>
      <c r="C69" s="65">
        <v>230</v>
      </c>
      <c r="D69" s="65">
        <v>212.4</v>
      </c>
      <c r="E69" s="65">
        <v>220</v>
      </c>
      <c r="F69" s="65">
        <v>225</v>
      </c>
      <c r="G69" s="65">
        <v>225</v>
      </c>
      <c r="H69" s="65">
        <v>230</v>
      </c>
      <c r="I69" s="65">
        <v>221</v>
      </c>
      <c r="J69" s="65">
        <v>229</v>
      </c>
      <c r="K69" s="65">
        <v>223</v>
      </c>
      <c r="L69" s="65">
        <v>126</v>
      </c>
      <c r="M69" s="65">
        <v>10</v>
      </c>
      <c r="N69" s="65">
        <v>32</v>
      </c>
      <c r="O69" s="65">
        <v>0</v>
      </c>
      <c r="P69" s="65">
        <v>0</v>
      </c>
      <c r="Q69" s="65">
        <v>287</v>
      </c>
      <c r="R69" s="65">
        <v>347</v>
      </c>
      <c r="S69" s="65">
        <v>350</v>
      </c>
      <c r="T69" s="65">
        <v>353</v>
      </c>
      <c r="U69" s="65">
        <v>297</v>
      </c>
      <c r="V69" s="65">
        <v>235</v>
      </c>
      <c r="W69" s="65">
        <v>247</v>
      </c>
      <c r="X69" s="65">
        <v>184</v>
      </c>
      <c r="Y69" s="65">
        <v>80</v>
      </c>
      <c r="Z69" s="65">
        <v>110</v>
      </c>
      <c r="AA69" s="65">
        <v>133</v>
      </c>
      <c r="AB69" s="65">
        <v>155</v>
      </c>
      <c r="AC69" s="65">
        <v>218</v>
      </c>
      <c r="AD69" s="65">
        <v>282</v>
      </c>
      <c r="AE69" s="65">
        <v>265</v>
      </c>
      <c r="AF69" s="65">
        <v>267</v>
      </c>
      <c r="AG69" s="75"/>
      <c r="AH69" s="48">
        <f t="shared" si="2"/>
        <v>353</v>
      </c>
      <c r="AI69" s="49">
        <f t="shared" si="3"/>
        <v>0</v>
      </c>
      <c r="AK69" s="50"/>
    </row>
    <row r="70" spans="1:40" x14ac:dyDescent="0.25">
      <c r="A70" s="54" t="s">
        <v>78</v>
      </c>
      <c r="B70" s="76">
        <v>63.3</v>
      </c>
      <c r="C70" s="76">
        <v>62.3</v>
      </c>
      <c r="D70" s="76">
        <v>57.1</v>
      </c>
      <c r="E70" s="76">
        <v>55</v>
      </c>
      <c r="F70" s="76">
        <v>58</v>
      </c>
      <c r="G70" s="76">
        <v>58</v>
      </c>
      <c r="H70" s="76">
        <v>56</v>
      </c>
      <c r="I70" s="76">
        <v>62</v>
      </c>
      <c r="J70" s="76">
        <v>53</v>
      </c>
      <c r="K70" s="76">
        <v>53</v>
      </c>
      <c r="L70" s="76">
        <v>55</v>
      </c>
      <c r="M70" s="76">
        <v>60.4</v>
      </c>
      <c r="N70" s="76">
        <v>66</v>
      </c>
      <c r="O70" s="76">
        <v>66</v>
      </c>
      <c r="P70" s="76">
        <v>61</v>
      </c>
      <c r="Q70" s="76">
        <v>64</v>
      </c>
      <c r="R70" s="76">
        <v>63.2</v>
      </c>
      <c r="S70" s="76">
        <v>69.7</v>
      </c>
      <c r="T70" s="76">
        <v>69.7</v>
      </c>
      <c r="U70" s="76">
        <v>67</v>
      </c>
      <c r="V70" s="76">
        <v>60</v>
      </c>
      <c r="W70" s="76">
        <v>64.5</v>
      </c>
      <c r="X70" s="65">
        <v>63.5</v>
      </c>
      <c r="Y70" s="65">
        <v>64.5</v>
      </c>
      <c r="Z70" s="65">
        <v>57.4</v>
      </c>
      <c r="AA70" s="65">
        <v>56.3</v>
      </c>
      <c r="AB70" s="65">
        <v>50.2</v>
      </c>
      <c r="AC70" s="65">
        <v>49</v>
      </c>
      <c r="AD70" s="65">
        <v>47</v>
      </c>
      <c r="AE70" s="65">
        <v>47</v>
      </c>
      <c r="AF70" s="65">
        <v>51</v>
      </c>
      <c r="AG70" s="75"/>
      <c r="AH70" s="48">
        <f t="shared" si="2"/>
        <v>69.7</v>
      </c>
      <c r="AI70" s="49">
        <f t="shared" si="3"/>
        <v>47</v>
      </c>
      <c r="AK70" s="50"/>
    </row>
    <row r="71" spans="1:40" x14ac:dyDescent="0.25">
      <c r="A71" s="54" t="s">
        <v>79</v>
      </c>
      <c r="B71" s="45">
        <v>24</v>
      </c>
      <c r="C71" s="45">
        <v>24</v>
      </c>
      <c r="D71" s="45">
        <v>22.9</v>
      </c>
      <c r="E71" s="45">
        <v>22.1</v>
      </c>
      <c r="F71" s="45">
        <v>22.1</v>
      </c>
      <c r="G71" s="45">
        <v>23.1</v>
      </c>
      <c r="H71" s="45">
        <v>23.2</v>
      </c>
      <c r="I71" s="45">
        <v>25</v>
      </c>
      <c r="J71" s="45">
        <v>25</v>
      </c>
      <c r="K71" s="45">
        <v>28</v>
      </c>
      <c r="L71" s="45">
        <v>30</v>
      </c>
      <c r="M71" s="45">
        <v>31.7</v>
      </c>
      <c r="N71" s="45">
        <v>31</v>
      </c>
      <c r="O71" s="45">
        <v>31</v>
      </c>
      <c r="P71" s="45">
        <v>38</v>
      </c>
      <c r="Q71" s="45">
        <v>38</v>
      </c>
      <c r="R71" s="45">
        <v>32</v>
      </c>
      <c r="S71" s="45">
        <v>32.299999999999997</v>
      </c>
      <c r="T71" s="45">
        <v>33.1</v>
      </c>
      <c r="U71" s="45">
        <v>34.4</v>
      </c>
      <c r="V71" s="45">
        <v>29.3</v>
      </c>
      <c r="W71" s="45">
        <v>28.6</v>
      </c>
      <c r="X71" s="45">
        <v>27.4</v>
      </c>
      <c r="Y71" s="45">
        <v>26.8</v>
      </c>
      <c r="Z71" s="45">
        <v>25.2</v>
      </c>
      <c r="AA71" s="45">
        <v>25.6</v>
      </c>
      <c r="AB71" s="45">
        <v>23.7</v>
      </c>
      <c r="AC71" s="45">
        <v>23</v>
      </c>
      <c r="AD71" s="45">
        <v>22</v>
      </c>
      <c r="AE71" s="45">
        <v>22</v>
      </c>
      <c r="AF71" s="45">
        <v>25</v>
      </c>
      <c r="AG71" s="75"/>
      <c r="AH71" s="48">
        <f t="shared" si="2"/>
        <v>38</v>
      </c>
      <c r="AI71" s="49">
        <f t="shared" si="3"/>
        <v>22</v>
      </c>
      <c r="AK71" s="50"/>
    </row>
    <row r="72" spans="1:40" x14ac:dyDescent="0.25">
      <c r="A72" s="54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5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9">MAX(B75:AF75)</f>
        <v>0</v>
      </c>
      <c r="AI75" s="49">
        <f t="shared" ref="AI75:AI113" si="10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9"/>
        <v>0</v>
      </c>
      <c r="AI76" s="49">
        <f t="shared" si="10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9"/>
        <v>0</v>
      </c>
      <c r="AI77" s="49">
        <f t="shared" si="10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1">SUMIF(B67:B77,"&gt;0")</f>
        <v>344.40000000000003</v>
      </c>
      <c r="C78" s="61">
        <f t="shared" si="11"/>
        <v>369.3</v>
      </c>
      <c r="D78" s="61">
        <f t="shared" si="11"/>
        <v>353.4</v>
      </c>
      <c r="E78" s="61">
        <f t="shared" si="11"/>
        <v>360.1</v>
      </c>
      <c r="F78" s="61">
        <f t="shared" si="11"/>
        <v>364.3</v>
      </c>
      <c r="G78" s="61">
        <f t="shared" si="11"/>
        <v>371.40000000000003</v>
      </c>
      <c r="H78" s="61">
        <f t="shared" si="11"/>
        <v>377</v>
      </c>
      <c r="I78" s="61">
        <f t="shared" si="11"/>
        <v>369</v>
      </c>
      <c r="J78" s="61">
        <f t="shared" si="11"/>
        <v>374.2</v>
      </c>
      <c r="K78" s="61">
        <f t="shared" si="11"/>
        <v>367.8</v>
      </c>
      <c r="L78" s="61">
        <f t="shared" si="11"/>
        <v>272.3</v>
      </c>
      <c r="M78" s="61">
        <f t="shared" si="11"/>
        <v>168.79999999999998</v>
      </c>
      <c r="N78" s="61">
        <f t="shared" si="11"/>
        <v>200</v>
      </c>
      <c r="O78" s="61">
        <f t="shared" si="11"/>
        <v>168</v>
      </c>
      <c r="P78" s="61">
        <f t="shared" si="11"/>
        <v>179</v>
      </c>
      <c r="Q78" s="61">
        <f t="shared" si="11"/>
        <v>458.6</v>
      </c>
      <c r="R78" s="61">
        <f t="shared" si="11"/>
        <v>512.20000000000005</v>
      </c>
      <c r="S78" s="61">
        <f t="shared" si="11"/>
        <v>527</v>
      </c>
      <c r="T78" s="61">
        <f t="shared" si="11"/>
        <v>518.19999999999993</v>
      </c>
      <c r="U78" s="61">
        <f t="shared" si="11"/>
        <v>475.4</v>
      </c>
      <c r="V78" s="61">
        <f t="shared" si="11"/>
        <v>405.6</v>
      </c>
      <c r="W78" s="61">
        <f t="shared" si="11"/>
        <v>409</v>
      </c>
      <c r="X78" s="61">
        <f t="shared" si="11"/>
        <v>351.9</v>
      </c>
      <c r="Y78" s="61">
        <f t="shared" si="11"/>
        <v>249</v>
      </c>
      <c r="Z78" s="61">
        <f t="shared" si="11"/>
        <v>265.10000000000002</v>
      </c>
      <c r="AA78" s="61">
        <f t="shared" si="11"/>
        <v>285.10000000000002</v>
      </c>
      <c r="AB78" s="61">
        <f t="shared" si="11"/>
        <v>299.3</v>
      </c>
      <c r="AC78" s="61">
        <f t="shared" si="11"/>
        <v>351</v>
      </c>
      <c r="AD78" s="61">
        <f t="shared" si="11"/>
        <v>415.5</v>
      </c>
      <c r="AE78" s="61">
        <f t="shared" si="11"/>
        <v>406</v>
      </c>
      <c r="AF78" s="61">
        <f t="shared" si="11"/>
        <v>419</v>
      </c>
      <c r="AG78" s="81">
        <f>SUM(AG67:AG77)</f>
        <v>0</v>
      </c>
      <c r="AH78" s="48">
        <f t="shared" si="9"/>
        <v>527</v>
      </c>
      <c r="AI78" s="49">
        <f t="shared" si="10"/>
        <v>168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9"/>
        <v>0</v>
      </c>
      <c r="AI79" s="49">
        <f t="shared" si="10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9"/>
        <v>0</v>
      </c>
      <c r="AI80" s="49">
        <f t="shared" si="10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9"/>
        <v>0</v>
      </c>
      <c r="AI81" s="49">
        <f t="shared" si="10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9"/>
        <v>0</v>
      </c>
      <c r="AI82" s="49">
        <f t="shared" si="10"/>
        <v>0</v>
      </c>
    </row>
    <row r="83" spans="1:37" ht="15.75" thickBot="1" x14ac:dyDescent="0.3">
      <c r="A83" s="74" t="s">
        <v>91</v>
      </c>
      <c r="B83" s="83">
        <f>B44+B48+B66+B62+B78+B82</f>
        <v>1108.8399999999999</v>
      </c>
      <c r="C83" s="83">
        <f t="shared" ref="C83:AG83" si="12">C44+C48+C66+C62+C78+C82</f>
        <v>1088.1399999999999</v>
      </c>
      <c r="D83" s="83">
        <f t="shared" si="12"/>
        <v>1054.1399999999999</v>
      </c>
      <c r="E83" s="83">
        <f t="shared" si="12"/>
        <v>1044.7399999999998</v>
      </c>
      <c r="F83" s="83">
        <f t="shared" si="12"/>
        <v>1048.9399999999998</v>
      </c>
      <c r="G83" s="83">
        <f t="shared" si="12"/>
        <v>1114.44</v>
      </c>
      <c r="H83" s="83">
        <f t="shared" si="12"/>
        <v>1199.3399999999999</v>
      </c>
      <c r="I83" s="83">
        <f t="shared" si="12"/>
        <v>1251.8399999999999</v>
      </c>
      <c r="J83" s="83">
        <f t="shared" si="12"/>
        <v>1391.94</v>
      </c>
      <c r="K83" s="83">
        <f t="shared" si="12"/>
        <v>1419.84</v>
      </c>
      <c r="L83" s="83">
        <f t="shared" si="12"/>
        <v>1487.4399999999998</v>
      </c>
      <c r="M83" s="83">
        <f t="shared" si="12"/>
        <v>1651.83</v>
      </c>
      <c r="N83" s="83">
        <f t="shared" si="12"/>
        <v>1616.33</v>
      </c>
      <c r="O83" s="83">
        <f t="shared" si="12"/>
        <v>1594.33</v>
      </c>
      <c r="P83" s="83">
        <f t="shared" si="12"/>
        <v>1329.33</v>
      </c>
      <c r="Q83" s="83">
        <f t="shared" si="12"/>
        <v>1497.5299999999997</v>
      </c>
      <c r="R83" s="83">
        <f t="shared" si="12"/>
        <v>1429.3400000000001</v>
      </c>
      <c r="S83" s="83">
        <f t="shared" si="12"/>
        <v>1453.1399999999999</v>
      </c>
      <c r="T83" s="83">
        <f t="shared" si="12"/>
        <v>1449.34</v>
      </c>
      <c r="U83" s="83">
        <f t="shared" si="12"/>
        <v>1487.44</v>
      </c>
      <c r="V83" s="83">
        <f t="shared" si="12"/>
        <v>1462.04</v>
      </c>
      <c r="W83" s="83">
        <f t="shared" si="12"/>
        <v>1543.6399999999999</v>
      </c>
      <c r="X83" s="83">
        <f t="shared" si="12"/>
        <v>1665.3399999999997</v>
      </c>
      <c r="Y83" s="83">
        <f t="shared" si="12"/>
        <v>1632.4399999999998</v>
      </c>
      <c r="Z83" s="83">
        <f t="shared" si="12"/>
        <v>1578.54</v>
      </c>
      <c r="AA83" s="83">
        <f t="shared" si="12"/>
        <v>1448.54</v>
      </c>
      <c r="AB83" s="83">
        <f t="shared" si="12"/>
        <v>1465.7399999999998</v>
      </c>
      <c r="AC83" s="83">
        <f t="shared" si="12"/>
        <v>1416.94</v>
      </c>
      <c r="AD83" s="83">
        <f t="shared" si="12"/>
        <v>1361.44</v>
      </c>
      <c r="AE83" s="83">
        <f t="shared" si="12"/>
        <v>1223.3399999999999</v>
      </c>
      <c r="AF83" s="83">
        <f t="shared" si="12"/>
        <v>1105.94</v>
      </c>
      <c r="AG83" s="62">
        <f t="shared" si="12"/>
        <v>2004.1900000000003</v>
      </c>
      <c r="AH83" s="48">
        <f>MAX(B83:AF83)</f>
        <v>1665.3399999999997</v>
      </c>
      <c r="AI83" s="49">
        <f>MIN(B83:AF83)</f>
        <v>1044.7399999999998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>
        <v>30</v>
      </c>
      <c r="L84" s="85">
        <v>80</v>
      </c>
      <c r="M84" s="85">
        <v>100</v>
      </c>
      <c r="N84" s="85">
        <v>100</v>
      </c>
      <c r="O84" s="85">
        <v>100</v>
      </c>
      <c r="P84" s="85">
        <v>50</v>
      </c>
      <c r="Q84" s="85">
        <v>8</v>
      </c>
      <c r="R84" s="85"/>
      <c r="S84" s="85"/>
      <c r="T84" s="85"/>
      <c r="U84" s="85"/>
      <c r="V84" s="85">
        <v>90</v>
      </c>
      <c r="W84" s="85">
        <v>90</v>
      </c>
      <c r="X84" s="85">
        <v>100</v>
      </c>
      <c r="Y84" s="85">
        <v>150</v>
      </c>
      <c r="Z84" s="85">
        <v>170</v>
      </c>
      <c r="AA84" s="85">
        <v>200</v>
      </c>
      <c r="AB84" s="85">
        <v>260</v>
      </c>
      <c r="AC84" s="85">
        <v>0</v>
      </c>
      <c r="AD84" s="85">
        <v>0</v>
      </c>
      <c r="AE84" s="85">
        <v>0</v>
      </c>
      <c r="AF84" s="85">
        <v>0</v>
      </c>
      <c r="AG84" s="81"/>
      <c r="AH84" s="48">
        <f t="shared" si="9"/>
        <v>260</v>
      </c>
      <c r="AI84" s="49">
        <f t="shared" si="10"/>
        <v>0</v>
      </c>
    </row>
    <row r="85" spans="1:37" ht="15.75" thickBot="1" x14ac:dyDescent="0.3">
      <c r="A85" s="74" t="s">
        <v>93</v>
      </c>
      <c r="B85" s="83">
        <f>B83+B84</f>
        <v>1108.8399999999999</v>
      </c>
      <c r="C85" s="83">
        <f t="shared" ref="C85:AF85" si="13">C83+C84</f>
        <v>1088.1399999999999</v>
      </c>
      <c r="D85" s="83">
        <f t="shared" si="13"/>
        <v>1054.1399999999999</v>
      </c>
      <c r="E85" s="83">
        <f t="shared" si="13"/>
        <v>1044.7399999999998</v>
      </c>
      <c r="F85" s="83">
        <f t="shared" si="13"/>
        <v>1048.9399999999998</v>
      </c>
      <c r="G85" s="83">
        <f t="shared" si="13"/>
        <v>1114.44</v>
      </c>
      <c r="H85" s="83">
        <f t="shared" si="13"/>
        <v>1199.3399999999999</v>
      </c>
      <c r="I85" s="83">
        <f t="shared" si="13"/>
        <v>1251.8399999999999</v>
      </c>
      <c r="J85" s="83">
        <f t="shared" si="13"/>
        <v>1391.94</v>
      </c>
      <c r="K85" s="83">
        <f t="shared" si="13"/>
        <v>1449.84</v>
      </c>
      <c r="L85" s="83">
        <f t="shared" si="13"/>
        <v>1567.4399999999998</v>
      </c>
      <c r="M85" s="83">
        <f t="shared" si="13"/>
        <v>1751.83</v>
      </c>
      <c r="N85" s="83">
        <f t="shared" si="13"/>
        <v>1716.33</v>
      </c>
      <c r="O85" s="83">
        <f t="shared" si="13"/>
        <v>1694.33</v>
      </c>
      <c r="P85" s="83">
        <f t="shared" si="13"/>
        <v>1379.33</v>
      </c>
      <c r="Q85" s="83">
        <f t="shared" si="13"/>
        <v>1505.5299999999997</v>
      </c>
      <c r="R85" s="83">
        <f t="shared" si="13"/>
        <v>1429.3400000000001</v>
      </c>
      <c r="S85" s="83">
        <f t="shared" si="13"/>
        <v>1453.1399999999999</v>
      </c>
      <c r="T85" s="83">
        <f t="shared" si="13"/>
        <v>1449.34</v>
      </c>
      <c r="U85" s="83">
        <f t="shared" si="13"/>
        <v>1487.44</v>
      </c>
      <c r="V85" s="83">
        <f t="shared" si="13"/>
        <v>1552.04</v>
      </c>
      <c r="W85" s="83">
        <f t="shared" si="13"/>
        <v>1633.6399999999999</v>
      </c>
      <c r="X85" s="83">
        <f t="shared" si="13"/>
        <v>1765.3399999999997</v>
      </c>
      <c r="Y85" s="83">
        <f t="shared" si="13"/>
        <v>1782.4399999999998</v>
      </c>
      <c r="Z85" s="83">
        <f t="shared" si="13"/>
        <v>1748.54</v>
      </c>
      <c r="AA85" s="83">
        <f t="shared" si="13"/>
        <v>1648.54</v>
      </c>
      <c r="AB85" s="83">
        <f t="shared" si="13"/>
        <v>1725.7399999999998</v>
      </c>
      <c r="AC85" s="83">
        <f t="shared" si="13"/>
        <v>1416.94</v>
      </c>
      <c r="AD85" s="83">
        <f t="shared" si="13"/>
        <v>1361.44</v>
      </c>
      <c r="AE85" s="83">
        <f t="shared" si="13"/>
        <v>1223.3399999999999</v>
      </c>
      <c r="AF85" s="83">
        <f t="shared" si="13"/>
        <v>1105.94</v>
      </c>
      <c r="AG85" s="81">
        <f>AG82+AG78+AG66+AG62+AG44+AG84</f>
        <v>1466.0900000000001</v>
      </c>
      <c r="AH85" s="48">
        <f t="shared" si="9"/>
        <v>1782.4399999999998</v>
      </c>
      <c r="AI85" s="49">
        <f t="shared" si="10"/>
        <v>1044.7399999999998</v>
      </c>
    </row>
    <row r="86" spans="1:37" ht="15.75" thickBot="1" x14ac:dyDescent="0.3">
      <c r="A86" s="74" t="s">
        <v>94</v>
      </c>
      <c r="B86" s="83">
        <f t="shared" ref="B86:AF86" si="14">B85-B93</f>
        <v>1108.8399999999999</v>
      </c>
      <c r="C86" s="83">
        <f t="shared" si="14"/>
        <v>1088.1399999999999</v>
      </c>
      <c r="D86" s="83">
        <f t="shared" si="14"/>
        <v>1054.1399999999999</v>
      </c>
      <c r="E86" s="83">
        <f t="shared" si="14"/>
        <v>1044.7399999999998</v>
      </c>
      <c r="F86" s="83">
        <f t="shared" si="14"/>
        <v>1048.9399999999998</v>
      </c>
      <c r="G86" s="83">
        <f t="shared" si="14"/>
        <v>1114.44</v>
      </c>
      <c r="H86" s="83">
        <f t="shared" si="14"/>
        <v>1199.3399999999999</v>
      </c>
      <c r="I86" s="83">
        <f t="shared" si="14"/>
        <v>1251.8399999999999</v>
      </c>
      <c r="J86" s="83">
        <f t="shared" si="14"/>
        <v>1391.94</v>
      </c>
      <c r="K86" s="83">
        <f t="shared" si="14"/>
        <v>1449.84</v>
      </c>
      <c r="L86" s="83">
        <f t="shared" si="14"/>
        <v>1567.4399999999998</v>
      </c>
      <c r="M86" s="83">
        <f t="shared" si="14"/>
        <v>1751.83</v>
      </c>
      <c r="N86" s="83">
        <f t="shared" si="14"/>
        <v>1716.33</v>
      </c>
      <c r="O86" s="83">
        <f t="shared" si="14"/>
        <v>1694.33</v>
      </c>
      <c r="P86" s="83">
        <f t="shared" si="14"/>
        <v>1379.33</v>
      </c>
      <c r="Q86" s="83">
        <f t="shared" si="14"/>
        <v>1505.5299999999997</v>
      </c>
      <c r="R86" s="83">
        <f t="shared" si="14"/>
        <v>1429.3400000000001</v>
      </c>
      <c r="S86" s="83">
        <f t="shared" si="14"/>
        <v>1453.1399999999999</v>
      </c>
      <c r="T86" s="83">
        <f t="shared" si="14"/>
        <v>1449.34</v>
      </c>
      <c r="U86" s="83">
        <f t="shared" si="14"/>
        <v>1487.44</v>
      </c>
      <c r="V86" s="83">
        <f t="shared" si="14"/>
        <v>1552.04</v>
      </c>
      <c r="W86" s="83">
        <f t="shared" si="14"/>
        <v>1633.6399999999999</v>
      </c>
      <c r="X86" s="83">
        <f t="shared" si="14"/>
        <v>1765.3399999999997</v>
      </c>
      <c r="Y86" s="83">
        <f t="shared" si="14"/>
        <v>1782.4399999999998</v>
      </c>
      <c r="Z86" s="83">
        <f t="shared" si="14"/>
        <v>1748.54</v>
      </c>
      <c r="AA86" s="83">
        <f t="shared" si="14"/>
        <v>1648.54</v>
      </c>
      <c r="AB86" s="83">
        <f t="shared" si="14"/>
        <v>1725.7399999999998</v>
      </c>
      <c r="AC86" s="83">
        <f t="shared" si="14"/>
        <v>1416.94</v>
      </c>
      <c r="AD86" s="83">
        <f t="shared" si="14"/>
        <v>1361.44</v>
      </c>
      <c r="AE86" s="83">
        <f t="shared" si="14"/>
        <v>1223.3399999999999</v>
      </c>
      <c r="AF86" s="83">
        <f t="shared" si="14"/>
        <v>1105.94</v>
      </c>
      <c r="AG86" s="81"/>
      <c r="AH86" s="48">
        <f t="shared" si="9"/>
        <v>1782.4399999999998</v>
      </c>
      <c r="AI86" s="49">
        <f t="shared" si="10"/>
        <v>1044.7399999999998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9"/>
        <v>0</v>
      </c>
      <c r="AI87" s="49">
        <f t="shared" si="10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9"/>
        <v>0</v>
      </c>
      <c r="AI88" s="49">
        <f t="shared" si="10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9"/>
        <v>0</v>
      </c>
      <c r="AI89" s="49">
        <f t="shared" si="10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9"/>
        <v>0</v>
      </c>
      <c r="AI90" s="49">
        <f t="shared" si="10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9"/>
        <v>0</v>
      </c>
      <c r="AI91" s="49">
        <f t="shared" si="10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9"/>
        <v>0</v>
      </c>
      <c r="AI92" s="49">
        <f t="shared" si="10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81"/>
      <c r="AH93" s="48">
        <f t="shared" si="9"/>
        <v>0</v>
      </c>
      <c r="AI93" s="49">
        <f t="shared" si="10"/>
        <v>0</v>
      </c>
      <c r="AK93" s="50"/>
    </row>
    <row r="94" spans="1:37" ht="15.75" thickBot="1" x14ac:dyDescent="0.3">
      <c r="A94" s="74" t="s">
        <v>99</v>
      </c>
      <c r="B94" s="61">
        <f t="shared" ref="B94:AF94" si="15">B78-B93</f>
        <v>344.40000000000003</v>
      </c>
      <c r="C94" s="61">
        <f t="shared" si="15"/>
        <v>369.3</v>
      </c>
      <c r="D94" s="61">
        <f t="shared" si="15"/>
        <v>353.4</v>
      </c>
      <c r="E94" s="61">
        <f t="shared" si="15"/>
        <v>360.1</v>
      </c>
      <c r="F94" s="61">
        <f t="shared" si="15"/>
        <v>364.3</v>
      </c>
      <c r="G94" s="61">
        <f t="shared" si="15"/>
        <v>371.40000000000003</v>
      </c>
      <c r="H94" s="61">
        <f t="shared" si="15"/>
        <v>377</v>
      </c>
      <c r="I94" s="61">
        <f t="shared" si="15"/>
        <v>369</v>
      </c>
      <c r="J94" s="61">
        <f t="shared" si="15"/>
        <v>374.2</v>
      </c>
      <c r="K94" s="61">
        <f t="shared" si="15"/>
        <v>367.8</v>
      </c>
      <c r="L94" s="61">
        <f t="shared" si="15"/>
        <v>272.3</v>
      </c>
      <c r="M94" s="61">
        <f t="shared" si="15"/>
        <v>168.79999999999998</v>
      </c>
      <c r="N94" s="61">
        <f t="shared" si="15"/>
        <v>200</v>
      </c>
      <c r="O94" s="61">
        <f t="shared" si="15"/>
        <v>168</v>
      </c>
      <c r="P94" s="61">
        <f t="shared" si="15"/>
        <v>179</v>
      </c>
      <c r="Q94" s="61">
        <f t="shared" si="15"/>
        <v>458.6</v>
      </c>
      <c r="R94" s="61">
        <f t="shared" si="15"/>
        <v>512.20000000000005</v>
      </c>
      <c r="S94" s="61">
        <f t="shared" si="15"/>
        <v>527</v>
      </c>
      <c r="T94" s="61">
        <f t="shared" si="15"/>
        <v>518.19999999999993</v>
      </c>
      <c r="U94" s="61">
        <f t="shared" si="15"/>
        <v>475.4</v>
      </c>
      <c r="V94" s="61">
        <f t="shared" si="15"/>
        <v>405.6</v>
      </c>
      <c r="W94" s="61">
        <f t="shared" si="15"/>
        <v>409</v>
      </c>
      <c r="X94" s="61">
        <v>151.6</v>
      </c>
      <c r="Y94" s="61">
        <f t="shared" si="15"/>
        <v>249</v>
      </c>
      <c r="Z94" s="61">
        <f t="shared" si="15"/>
        <v>265.10000000000002</v>
      </c>
      <c r="AA94" s="61">
        <f t="shared" si="15"/>
        <v>285.10000000000002</v>
      </c>
      <c r="AB94" s="61">
        <f t="shared" si="15"/>
        <v>299.3</v>
      </c>
      <c r="AC94" s="61">
        <f t="shared" si="15"/>
        <v>351</v>
      </c>
      <c r="AD94" s="61">
        <f t="shared" si="15"/>
        <v>415.5</v>
      </c>
      <c r="AE94" s="61">
        <f t="shared" si="15"/>
        <v>406</v>
      </c>
      <c r="AF94" s="61">
        <f t="shared" si="15"/>
        <v>419</v>
      </c>
      <c r="AG94" s="81"/>
      <c r="AH94" s="48">
        <f t="shared" si="9"/>
        <v>527</v>
      </c>
      <c r="AI94" s="49">
        <f t="shared" si="10"/>
        <v>151.6</v>
      </c>
    </row>
    <row r="95" spans="1:37" x14ac:dyDescent="0.25">
      <c r="A95" s="88" t="s">
        <v>100</v>
      </c>
      <c r="B95" s="89">
        <v>50.015999999999998</v>
      </c>
      <c r="C95" s="89">
        <v>50.031999999999996</v>
      </c>
      <c r="D95" s="89">
        <v>50.1</v>
      </c>
      <c r="E95" s="89">
        <v>49.902000000000001</v>
      </c>
      <c r="F95" s="89">
        <v>49.991999999999997</v>
      </c>
      <c r="G95" s="89">
        <v>50.012999999999998</v>
      </c>
      <c r="H95" s="89">
        <v>50.084000000000003</v>
      </c>
      <c r="I95" s="89">
        <v>49.82</v>
      </c>
      <c r="J95" s="89">
        <v>50.052999999999997</v>
      </c>
      <c r="K95" s="89">
        <v>49.762</v>
      </c>
      <c r="L95" s="89">
        <v>49.692999999999998</v>
      </c>
      <c r="M95" s="89">
        <v>49.996000000000002</v>
      </c>
      <c r="N95" s="89">
        <v>49.984000000000002</v>
      </c>
      <c r="O95" s="89">
        <v>49.984000000000002</v>
      </c>
      <c r="P95" s="89">
        <v>50.223300000000002</v>
      </c>
      <c r="Q95" s="89">
        <v>50.107999999999997</v>
      </c>
      <c r="R95" s="89">
        <v>50.021000000000001</v>
      </c>
      <c r="S95" s="89">
        <v>49.758000000000003</v>
      </c>
      <c r="T95" s="89">
        <v>49.81</v>
      </c>
      <c r="U95" s="89">
        <v>49.884</v>
      </c>
      <c r="V95" s="89">
        <v>50.027999999999999</v>
      </c>
      <c r="W95" s="89">
        <v>49.985999999999997</v>
      </c>
      <c r="X95" s="89">
        <v>49.926000000000002</v>
      </c>
      <c r="Y95" s="89">
        <v>50.029000000000003</v>
      </c>
      <c r="Z95" s="89">
        <v>49.981999999999999</v>
      </c>
      <c r="AA95" s="89">
        <v>49.914999999999999</v>
      </c>
      <c r="AB95" s="89">
        <v>49.88</v>
      </c>
      <c r="AC95" s="89">
        <v>49.97</v>
      </c>
      <c r="AD95" s="89">
        <v>49.95</v>
      </c>
      <c r="AE95" s="89">
        <v>49.99</v>
      </c>
      <c r="AF95" s="89">
        <v>50.01</v>
      </c>
      <c r="AG95" s="90"/>
      <c r="AH95" s="48">
        <f t="shared" si="9"/>
        <v>50.223300000000002</v>
      </c>
      <c r="AI95" s="49">
        <f t="shared" si="10"/>
        <v>49.692999999999998</v>
      </c>
    </row>
    <row r="96" spans="1:37" x14ac:dyDescent="0.25">
      <c r="A96" s="91" t="s">
        <v>101</v>
      </c>
      <c r="B96" s="65">
        <v>129.4</v>
      </c>
      <c r="C96" s="65">
        <v>128.30000000000001</v>
      </c>
      <c r="D96" s="65">
        <v>128.69999999999999</v>
      </c>
      <c r="E96" s="65">
        <v>128</v>
      </c>
      <c r="F96" s="65">
        <v>129.5</v>
      </c>
      <c r="G96" s="65">
        <v>127.8</v>
      </c>
      <c r="H96" s="65">
        <v>125.3</v>
      </c>
      <c r="I96" s="65">
        <v>124.4</v>
      </c>
      <c r="J96" s="65">
        <v>125</v>
      </c>
      <c r="K96" s="65">
        <v>127.3</v>
      </c>
      <c r="L96" s="65">
        <v>125.1</v>
      </c>
      <c r="M96" s="65">
        <v>124.6</v>
      </c>
      <c r="N96" s="65">
        <v>124.1</v>
      </c>
      <c r="O96" s="65">
        <v>124.1</v>
      </c>
      <c r="P96" s="65">
        <v>124.6</v>
      </c>
      <c r="Q96" s="65">
        <v>124.6</v>
      </c>
      <c r="R96" s="65">
        <v>124.6</v>
      </c>
      <c r="S96" s="65">
        <v>125.5</v>
      </c>
      <c r="T96" s="65">
        <v>124.3</v>
      </c>
      <c r="U96" s="65">
        <v>125.2</v>
      </c>
      <c r="V96" s="65">
        <v>128.19999999999999</v>
      </c>
      <c r="W96" s="65">
        <v>125.8</v>
      </c>
      <c r="X96" s="65">
        <v>124.8</v>
      </c>
      <c r="Y96" s="65">
        <v>125.9</v>
      </c>
      <c r="Z96" s="65">
        <v>128</v>
      </c>
      <c r="AA96" s="65">
        <v>129.4</v>
      </c>
      <c r="AB96" s="65">
        <v>129.30000000000001</v>
      </c>
      <c r="AC96" s="65">
        <v>128</v>
      </c>
      <c r="AD96" s="65">
        <v>128</v>
      </c>
      <c r="AE96" s="65">
        <v>129</v>
      </c>
      <c r="AF96" s="65">
        <v>129</v>
      </c>
      <c r="AG96" s="92"/>
      <c r="AH96" s="48">
        <f t="shared" si="9"/>
        <v>129.5</v>
      </c>
      <c r="AI96" s="49">
        <f t="shared" si="10"/>
        <v>124.1</v>
      </c>
    </row>
    <row r="97" spans="1:35" x14ac:dyDescent="0.25">
      <c r="A97" s="91" t="s">
        <v>102</v>
      </c>
      <c r="B97" s="65">
        <v>132.4</v>
      </c>
      <c r="C97" s="65">
        <v>131.9</v>
      </c>
      <c r="D97" s="65">
        <v>132.69999999999999</v>
      </c>
      <c r="E97" s="65">
        <v>131.5</v>
      </c>
      <c r="F97" s="65">
        <v>132.9</v>
      </c>
      <c r="G97" s="65">
        <v>131.69999999999999</v>
      </c>
      <c r="H97" s="65">
        <v>129.5</v>
      </c>
      <c r="I97" s="65">
        <v>128.69999999999999</v>
      </c>
      <c r="J97" s="65">
        <v>128.80000000000001</v>
      </c>
      <c r="K97" s="65">
        <v>129.1</v>
      </c>
      <c r="L97" s="65">
        <v>126.9</v>
      </c>
      <c r="M97" s="65">
        <v>126.2</v>
      </c>
      <c r="N97" s="65">
        <v>126.3</v>
      </c>
      <c r="O97" s="65">
        <v>126.3</v>
      </c>
      <c r="P97" s="65">
        <v>126.5</v>
      </c>
      <c r="Q97" s="65">
        <v>127.5</v>
      </c>
      <c r="R97" s="65">
        <v>127.3</v>
      </c>
      <c r="S97" s="65">
        <v>127.9</v>
      </c>
      <c r="T97" s="65">
        <v>127.3</v>
      </c>
      <c r="U97" s="65">
        <v>128</v>
      </c>
      <c r="V97" s="65">
        <v>129.30000000000001</v>
      </c>
      <c r="W97" s="65">
        <v>127.5</v>
      </c>
      <c r="X97" s="65">
        <v>126.2</v>
      </c>
      <c r="Y97" s="65">
        <v>127.4</v>
      </c>
      <c r="Z97" s="65">
        <v>128.69999999999999</v>
      </c>
      <c r="AA97" s="65">
        <v>130</v>
      </c>
      <c r="AB97" s="65">
        <v>130.4</v>
      </c>
      <c r="AC97" s="65">
        <v>130</v>
      </c>
      <c r="AD97" s="65">
        <v>130</v>
      </c>
      <c r="AE97" s="65">
        <v>131</v>
      </c>
      <c r="AF97" s="65">
        <v>132</v>
      </c>
      <c r="AG97" s="92"/>
      <c r="AH97" s="48">
        <f t="shared" si="9"/>
        <v>132.9</v>
      </c>
      <c r="AI97" s="49">
        <f t="shared" si="10"/>
        <v>126.2</v>
      </c>
    </row>
    <row r="98" spans="1:35" x14ac:dyDescent="0.25">
      <c r="A98" s="91" t="s">
        <v>103</v>
      </c>
      <c r="B98" s="65">
        <v>132.4</v>
      </c>
      <c r="C98" s="65">
        <v>131.80000000000001</v>
      </c>
      <c r="D98" s="65">
        <v>132.4</v>
      </c>
      <c r="E98" s="65">
        <v>132.30000000000001</v>
      </c>
      <c r="F98" s="65">
        <v>131.6</v>
      </c>
      <c r="G98" s="65">
        <v>130.6</v>
      </c>
      <c r="H98" s="65">
        <v>129.19999999999999</v>
      </c>
      <c r="I98" s="65">
        <v>128.5</v>
      </c>
      <c r="J98" s="65">
        <v>129.19999999999999</v>
      </c>
      <c r="K98" s="65">
        <v>128.80000000000001</v>
      </c>
      <c r="L98" s="65">
        <v>126.1</v>
      </c>
      <c r="M98" s="65">
        <v>129.30000000000001</v>
      </c>
      <c r="N98" s="65">
        <v>127.1</v>
      </c>
      <c r="O98" s="65">
        <v>127.1</v>
      </c>
      <c r="P98" s="65">
        <v>130.9</v>
      </c>
      <c r="Q98" s="65">
        <v>130.6</v>
      </c>
      <c r="R98" s="65">
        <v>131.19999999999999</v>
      </c>
      <c r="S98" s="65">
        <v>128</v>
      </c>
      <c r="T98" s="65">
        <v>127.1</v>
      </c>
      <c r="U98" s="65">
        <v>128.9</v>
      </c>
      <c r="V98" s="65">
        <v>131.19999999999999</v>
      </c>
      <c r="W98" s="65">
        <v>128.1</v>
      </c>
      <c r="X98" s="65">
        <v>127.2</v>
      </c>
      <c r="Y98" s="65">
        <v>131.1</v>
      </c>
      <c r="Z98" s="65">
        <v>132.5</v>
      </c>
      <c r="AA98" s="65">
        <v>131.69999999999999</v>
      </c>
      <c r="AB98" s="65">
        <v>131.30000000000001</v>
      </c>
      <c r="AC98" s="65">
        <v>130</v>
      </c>
      <c r="AD98" s="65">
        <v>132</v>
      </c>
      <c r="AE98" s="65">
        <v>131</v>
      </c>
      <c r="AF98" s="65">
        <v>131</v>
      </c>
      <c r="AG98" s="92"/>
      <c r="AH98" s="48">
        <f t="shared" si="9"/>
        <v>132.5</v>
      </c>
      <c r="AI98" s="49">
        <f t="shared" si="10"/>
        <v>126.1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9"/>
        <v>0</v>
      </c>
      <c r="AI99" s="49">
        <f t="shared" si="10"/>
        <v>0</v>
      </c>
    </row>
    <row r="100" spans="1:35" x14ac:dyDescent="0.25">
      <c r="A100" s="93" t="s">
        <v>105</v>
      </c>
      <c r="B100" s="94">
        <v>132.1</v>
      </c>
      <c r="C100" s="94">
        <v>131.69999999999999</v>
      </c>
      <c r="D100" s="94">
        <v>135</v>
      </c>
      <c r="E100" s="94">
        <v>133</v>
      </c>
      <c r="F100" s="94">
        <v>134.1</v>
      </c>
      <c r="G100" s="94">
        <v>133.19999999999999</v>
      </c>
      <c r="H100" s="94">
        <v>131.30000000000001</v>
      </c>
      <c r="I100" s="94">
        <v>129.5</v>
      </c>
      <c r="J100" s="94">
        <v>127.8</v>
      </c>
      <c r="K100" s="94">
        <v>131.4</v>
      </c>
      <c r="L100" s="94">
        <v>133.5</v>
      </c>
      <c r="M100" s="94">
        <v>130.9</v>
      </c>
      <c r="N100" s="94">
        <v>131.30000000000001</v>
      </c>
      <c r="O100" s="94">
        <v>131.30000000000001</v>
      </c>
      <c r="P100" s="94">
        <v>141.4</v>
      </c>
      <c r="Q100" s="94">
        <v>133.6</v>
      </c>
      <c r="R100" s="94">
        <v>130.80000000000001</v>
      </c>
      <c r="S100" s="94">
        <v>133.4</v>
      </c>
      <c r="T100" s="94">
        <v>133.30000000000001</v>
      </c>
      <c r="U100" s="94">
        <v>135.1</v>
      </c>
      <c r="V100" s="94">
        <v>133.9</v>
      </c>
      <c r="W100" s="94">
        <v>134.30000000000001</v>
      </c>
      <c r="X100" s="94">
        <v>133.6</v>
      </c>
      <c r="Y100" s="94">
        <v>134</v>
      </c>
      <c r="Z100" s="94">
        <v>135.19999999999999</v>
      </c>
      <c r="AA100" s="94">
        <v>137.1</v>
      </c>
      <c r="AB100" s="94">
        <v>135.19999999999999</v>
      </c>
      <c r="AC100" s="94">
        <v>135</v>
      </c>
      <c r="AD100" s="94">
        <v>135</v>
      </c>
      <c r="AE100" s="94">
        <v>136</v>
      </c>
      <c r="AF100" s="94">
        <v>136</v>
      </c>
      <c r="AG100" s="95"/>
      <c r="AH100" s="48">
        <f t="shared" si="9"/>
        <v>141.4</v>
      </c>
      <c r="AI100" s="49">
        <f t="shared" si="10"/>
        <v>127.8</v>
      </c>
    </row>
    <row r="101" spans="1:35" x14ac:dyDescent="0.25">
      <c r="A101" s="91" t="s">
        <v>106</v>
      </c>
      <c r="B101" s="65">
        <v>132.30000000000001</v>
      </c>
      <c r="C101" s="65">
        <v>134.1</v>
      </c>
      <c r="D101" s="65">
        <v>134.80000000000001</v>
      </c>
      <c r="E101" s="65">
        <v>133.80000000000001</v>
      </c>
      <c r="F101" s="65">
        <v>132.30000000000001</v>
      </c>
      <c r="G101" s="65">
        <v>132.1</v>
      </c>
      <c r="H101" s="65">
        <v>124.8</v>
      </c>
      <c r="I101" s="65">
        <v>125.5</v>
      </c>
      <c r="J101" s="65">
        <v>128.19999999999999</v>
      </c>
      <c r="K101" s="65">
        <v>125.3</v>
      </c>
      <c r="L101" s="65">
        <v>128.30000000000001</v>
      </c>
      <c r="M101" s="65">
        <v>134.5</v>
      </c>
      <c r="N101" s="65">
        <v>126.7</v>
      </c>
      <c r="O101" s="65">
        <v>126.7</v>
      </c>
      <c r="P101" s="65">
        <v>127</v>
      </c>
      <c r="Q101" s="65">
        <v>128.80000000000001</v>
      </c>
      <c r="R101" s="65">
        <v>131.80000000000001</v>
      </c>
      <c r="S101" s="65">
        <v>132.4</v>
      </c>
      <c r="T101" s="65">
        <v>132</v>
      </c>
      <c r="U101" s="65">
        <v>132.69999999999999</v>
      </c>
      <c r="V101" s="65">
        <v>131.5</v>
      </c>
      <c r="W101" s="65">
        <v>133.69999999999999</v>
      </c>
      <c r="X101" s="65">
        <v>131.4</v>
      </c>
      <c r="Y101" s="65">
        <v>132.5</v>
      </c>
      <c r="Z101" s="65">
        <v>136</v>
      </c>
      <c r="AA101" s="65">
        <v>132.69999999999999</v>
      </c>
      <c r="AB101" s="65">
        <v>128.19999999999999</v>
      </c>
      <c r="AC101" s="65">
        <v>128</v>
      </c>
      <c r="AD101" s="65">
        <v>126</v>
      </c>
      <c r="AE101" s="65">
        <v>128</v>
      </c>
      <c r="AF101" s="65">
        <v>131</v>
      </c>
      <c r="AG101" s="92"/>
      <c r="AH101" s="48">
        <f t="shared" si="9"/>
        <v>136</v>
      </c>
      <c r="AI101" s="49">
        <f t="shared" si="10"/>
        <v>124.8</v>
      </c>
    </row>
    <row r="102" spans="1:35" ht="15.75" thickBot="1" x14ac:dyDescent="0.3">
      <c r="A102" s="91" t="s">
        <v>107</v>
      </c>
      <c r="B102" s="96">
        <v>66.7</v>
      </c>
      <c r="C102" s="96">
        <v>66</v>
      </c>
      <c r="D102" s="96">
        <v>66.3</v>
      </c>
      <c r="E102" s="96">
        <v>65.900000000000006</v>
      </c>
      <c r="F102" s="96">
        <v>66.400000000000006</v>
      </c>
      <c r="G102" s="96">
        <v>65.599999999999994</v>
      </c>
      <c r="H102" s="96">
        <v>64.599999999999994</v>
      </c>
      <c r="I102" s="96">
        <v>64</v>
      </c>
      <c r="J102" s="96">
        <v>64.599999999999994</v>
      </c>
      <c r="K102" s="96">
        <v>64.7</v>
      </c>
      <c r="L102" s="96">
        <v>63.2</v>
      </c>
      <c r="M102" s="96">
        <v>62.6</v>
      </c>
      <c r="N102" s="96">
        <v>62.7</v>
      </c>
      <c r="O102" s="96">
        <v>62.7</v>
      </c>
      <c r="P102" s="96">
        <v>62.6</v>
      </c>
      <c r="Q102" s="96">
        <v>63.2</v>
      </c>
      <c r="R102" s="96">
        <v>63.4</v>
      </c>
      <c r="S102" s="96">
        <v>63</v>
      </c>
      <c r="T102" s="96">
        <v>63.3</v>
      </c>
      <c r="U102" s="96">
        <v>63.6</v>
      </c>
      <c r="V102" s="96">
        <v>64.2</v>
      </c>
      <c r="W102" s="96">
        <v>63.3</v>
      </c>
      <c r="X102" s="96">
        <v>62.4</v>
      </c>
      <c r="Y102" s="96">
        <v>63.1</v>
      </c>
      <c r="Z102" s="96">
        <v>63.4</v>
      </c>
      <c r="AA102" s="96">
        <v>64</v>
      </c>
      <c r="AB102" s="96">
        <v>64.5</v>
      </c>
      <c r="AC102" s="96">
        <v>64.400000000000006</v>
      </c>
      <c r="AD102" s="96">
        <v>64.8</v>
      </c>
      <c r="AE102" s="96">
        <v>65.5</v>
      </c>
      <c r="AF102" s="96">
        <v>65.8</v>
      </c>
      <c r="AG102" s="97"/>
      <c r="AH102" s="48">
        <f t="shared" si="9"/>
        <v>66.7</v>
      </c>
      <c r="AI102" s="49">
        <f t="shared" si="10"/>
        <v>62.4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9"/>
        <v>0</v>
      </c>
      <c r="AI103" s="49">
        <f t="shared" si="10"/>
        <v>0</v>
      </c>
    </row>
    <row r="104" spans="1:35" ht="15.75" thickBot="1" x14ac:dyDescent="0.3">
      <c r="A104" s="99" t="s">
        <v>108</v>
      </c>
      <c r="B104" s="100">
        <f t="shared" ref="B104:AF104" si="16">SUM(B16,B22,B25:B26,B52,B54:B55,B57,B59,B105:B109,B131,B137,B143,B152,B154,B166,B173,B176:B177,B184,B186,B188,B192:B194,B196:B198,B203,B209:B210,B212:B214,B222,B227)</f>
        <v>145.19999999999999</v>
      </c>
      <c r="C104" s="100">
        <f t="shared" si="16"/>
        <v>141.74</v>
      </c>
      <c r="D104" s="100">
        <f t="shared" si="16"/>
        <v>121.24</v>
      </c>
      <c r="E104" s="100">
        <f t="shared" si="16"/>
        <v>122.63999999999999</v>
      </c>
      <c r="F104" s="100">
        <f t="shared" si="16"/>
        <v>126.53999999999999</v>
      </c>
      <c r="G104" s="100">
        <f t="shared" si="16"/>
        <v>153.63999999999999</v>
      </c>
      <c r="H104" s="100">
        <f t="shared" si="16"/>
        <v>182.64</v>
      </c>
      <c r="I104" s="100">
        <f t="shared" si="16"/>
        <v>214.64</v>
      </c>
      <c r="J104" s="100">
        <f t="shared" si="16"/>
        <v>282.64</v>
      </c>
      <c r="K104" s="100">
        <f t="shared" si="16"/>
        <v>331.94</v>
      </c>
      <c r="L104" s="100">
        <f t="shared" si="16"/>
        <v>377.54</v>
      </c>
      <c r="M104" s="100">
        <f t="shared" si="16"/>
        <v>411.24000000000007</v>
      </c>
      <c r="N104" s="100">
        <f t="shared" si="16"/>
        <v>388.24</v>
      </c>
      <c r="O104" s="100">
        <f t="shared" si="16"/>
        <v>388.24</v>
      </c>
      <c r="P104" s="100">
        <v>42</v>
      </c>
      <c r="Q104" s="100">
        <f t="shared" si="16"/>
        <v>328.40000000000009</v>
      </c>
      <c r="R104" s="100">
        <f t="shared" si="16"/>
        <v>278.40000000000003</v>
      </c>
      <c r="S104" s="100">
        <f t="shared" si="16"/>
        <v>325</v>
      </c>
      <c r="T104" s="100">
        <f t="shared" si="16"/>
        <v>319.7</v>
      </c>
      <c r="U104" s="100">
        <f t="shared" si="16"/>
        <v>341</v>
      </c>
      <c r="V104" s="100">
        <f t="shared" si="16"/>
        <v>377.8</v>
      </c>
      <c r="W104" s="100">
        <f t="shared" si="16"/>
        <v>416.80000000000007</v>
      </c>
      <c r="X104" s="100">
        <v>390.59708333333339</v>
      </c>
      <c r="Y104" s="100">
        <f t="shared" si="16"/>
        <v>452</v>
      </c>
      <c r="Z104" s="100">
        <f t="shared" si="16"/>
        <v>452</v>
      </c>
      <c r="AA104" s="100">
        <f t="shared" si="16"/>
        <v>455</v>
      </c>
      <c r="AB104" s="100">
        <f t="shared" si="16"/>
        <v>392.20000000000005</v>
      </c>
      <c r="AC104" s="100">
        <f t="shared" si="16"/>
        <v>366.9</v>
      </c>
      <c r="AD104" s="100">
        <f t="shared" si="16"/>
        <v>350.9</v>
      </c>
      <c r="AE104" s="100">
        <f t="shared" si="16"/>
        <v>251.9</v>
      </c>
      <c r="AF104" s="100">
        <f t="shared" si="16"/>
        <v>188.9</v>
      </c>
      <c r="AG104" s="101"/>
      <c r="AH104" s="48">
        <f t="shared" si="9"/>
        <v>455</v>
      </c>
      <c r="AI104" s="49">
        <f t="shared" si="10"/>
        <v>42</v>
      </c>
    </row>
    <row r="105" spans="1:35" x14ac:dyDescent="0.25">
      <c r="A105" s="88" t="s">
        <v>109</v>
      </c>
      <c r="B105" s="102">
        <v>2.1</v>
      </c>
      <c r="C105" s="102">
        <v>-1.2</v>
      </c>
      <c r="D105" s="102">
        <v>0</v>
      </c>
      <c r="E105" s="102">
        <v>-10</v>
      </c>
      <c r="F105" s="102">
        <v>-10</v>
      </c>
      <c r="G105" s="102">
        <v>6</v>
      </c>
      <c r="H105" s="102">
        <v>9</v>
      </c>
      <c r="I105" s="102">
        <v>17</v>
      </c>
      <c r="J105" s="102">
        <v>17</v>
      </c>
      <c r="K105" s="102">
        <v>21</v>
      </c>
      <c r="L105" s="102">
        <v>38.299999999999997</v>
      </c>
      <c r="M105" s="102">
        <v>40.5</v>
      </c>
      <c r="N105" s="102">
        <v>41.5</v>
      </c>
      <c r="O105" s="102">
        <v>41.5</v>
      </c>
      <c r="P105" s="102">
        <v>40.299999999999997</v>
      </c>
      <c r="Q105" s="102">
        <v>25.3</v>
      </c>
      <c r="R105" s="102">
        <v>9.9</v>
      </c>
      <c r="S105" s="102">
        <v>11.6</v>
      </c>
      <c r="T105" s="102">
        <v>12</v>
      </c>
      <c r="U105" s="102">
        <v>26.8</v>
      </c>
      <c r="V105" s="102">
        <v>34.1</v>
      </c>
      <c r="W105" s="102">
        <v>51</v>
      </c>
      <c r="X105" s="102">
        <v>49.985999999999997</v>
      </c>
      <c r="Y105" s="102">
        <v>42.8</v>
      </c>
      <c r="Z105" s="102">
        <v>42.8</v>
      </c>
      <c r="AA105" s="102">
        <v>51.2</v>
      </c>
      <c r="AB105" s="102">
        <v>49.2</v>
      </c>
      <c r="AC105" s="102">
        <v>47</v>
      </c>
      <c r="AD105" s="102">
        <v>47</v>
      </c>
      <c r="AE105" s="102">
        <v>29</v>
      </c>
      <c r="AF105" s="102">
        <v>5</v>
      </c>
      <c r="AG105" s="103">
        <v>75</v>
      </c>
      <c r="AH105" s="48">
        <f t="shared" si="9"/>
        <v>51.2</v>
      </c>
      <c r="AI105" s="49">
        <f t="shared" si="10"/>
        <v>-10</v>
      </c>
    </row>
    <row r="106" spans="1:35" x14ac:dyDescent="0.25">
      <c r="A106" s="91" t="s">
        <v>110</v>
      </c>
      <c r="B106" s="104">
        <v>7.4</v>
      </c>
      <c r="C106" s="104">
        <v>1.5</v>
      </c>
      <c r="D106" s="104">
        <v>6.9</v>
      </c>
      <c r="E106" s="104">
        <v>-5</v>
      </c>
      <c r="F106" s="104">
        <v>-8</v>
      </c>
      <c r="G106" s="104">
        <v>16</v>
      </c>
      <c r="H106" s="104">
        <v>17</v>
      </c>
      <c r="I106" s="104">
        <v>30</v>
      </c>
      <c r="J106" s="104">
        <v>29</v>
      </c>
      <c r="K106" s="104">
        <v>33</v>
      </c>
      <c r="L106" s="104">
        <v>28</v>
      </c>
      <c r="M106" s="104">
        <v>58.6</v>
      </c>
      <c r="N106" s="104">
        <v>60.5</v>
      </c>
      <c r="O106" s="104">
        <v>60.5</v>
      </c>
      <c r="P106" s="104">
        <v>62.1</v>
      </c>
      <c r="Q106" s="104">
        <v>37.4</v>
      </c>
      <c r="R106" s="104">
        <v>16.3</v>
      </c>
      <c r="S106" s="104">
        <v>20.3</v>
      </c>
      <c r="T106" s="104">
        <v>21</v>
      </c>
      <c r="U106" s="104">
        <v>41.3</v>
      </c>
      <c r="V106" s="104">
        <v>45</v>
      </c>
      <c r="W106" s="104">
        <v>66.400000000000006</v>
      </c>
      <c r="X106" s="104">
        <v>50.3</v>
      </c>
      <c r="Y106" s="104">
        <v>53.1</v>
      </c>
      <c r="Z106" s="104">
        <v>53.1</v>
      </c>
      <c r="AA106" s="104">
        <v>66</v>
      </c>
      <c r="AB106" s="104">
        <v>63.8</v>
      </c>
      <c r="AC106" s="104">
        <v>61</v>
      </c>
      <c r="AD106" s="104">
        <v>61</v>
      </c>
      <c r="AE106" s="104">
        <v>37</v>
      </c>
      <c r="AF106" s="104">
        <v>9</v>
      </c>
      <c r="AG106" s="103">
        <v>240</v>
      </c>
      <c r="AH106" s="48">
        <f t="shared" si="9"/>
        <v>66.400000000000006</v>
      </c>
      <c r="AI106" s="49">
        <f t="shared" si="10"/>
        <v>-8</v>
      </c>
    </row>
    <row r="107" spans="1:35" x14ac:dyDescent="0.25">
      <c r="A107" s="91" t="s">
        <v>111</v>
      </c>
      <c r="B107" s="104">
        <v>-50.7</v>
      </c>
      <c r="C107" s="104">
        <f>-26-27</f>
        <v>-53</v>
      </c>
      <c r="D107" s="104">
        <f>-31-33</f>
        <v>-64</v>
      </c>
      <c r="E107" s="104">
        <v>-54</v>
      </c>
      <c r="F107" s="104">
        <v>-48</v>
      </c>
      <c r="G107" s="104">
        <v>-58</v>
      </c>
      <c r="H107" s="104">
        <v>-50</v>
      </c>
      <c r="I107" s="104">
        <v>-42</v>
      </c>
      <c r="J107" s="104">
        <v>-25</v>
      </c>
      <c r="K107" s="104">
        <v>5</v>
      </c>
      <c r="L107" s="104">
        <v>41.6</v>
      </c>
      <c r="M107" s="104">
        <v>27</v>
      </c>
      <c r="N107" s="104">
        <v>11</v>
      </c>
      <c r="O107" s="104">
        <v>11</v>
      </c>
      <c r="P107" s="104">
        <v>-3</v>
      </c>
      <c r="Q107" s="104">
        <v>23</v>
      </c>
      <c r="R107" s="104">
        <v>-30.4</v>
      </c>
      <c r="S107" s="104">
        <v>8.1</v>
      </c>
      <c r="T107" s="104">
        <v>2</v>
      </c>
      <c r="U107" s="104">
        <v>-1</v>
      </c>
      <c r="V107" s="104">
        <v>25</v>
      </c>
      <c r="W107" s="104">
        <v>32</v>
      </c>
      <c r="X107" s="104">
        <v>72</v>
      </c>
      <c r="Y107" s="104">
        <v>76</v>
      </c>
      <c r="Z107" s="104">
        <v>76</v>
      </c>
      <c r="AA107" s="104">
        <v>40</v>
      </c>
      <c r="AB107" s="104">
        <f>-23.8+7.1</f>
        <v>-16.700000000000003</v>
      </c>
      <c r="AC107" s="104">
        <v>-14</v>
      </c>
      <c r="AD107" s="104">
        <v>10</v>
      </c>
      <c r="AE107" s="104">
        <v>-26</v>
      </c>
      <c r="AF107" s="104">
        <v>-33</v>
      </c>
      <c r="AG107" s="103">
        <v>240</v>
      </c>
      <c r="AH107" s="48">
        <f t="shared" si="9"/>
        <v>76</v>
      </c>
      <c r="AI107" s="49">
        <f t="shared" si="10"/>
        <v>-64</v>
      </c>
    </row>
    <row r="108" spans="1:35" x14ac:dyDescent="0.25">
      <c r="A108" s="91" t="s">
        <v>112</v>
      </c>
      <c r="B108" s="104">
        <v>0.5</v>
      </c>
      <c r="C108" s="104">
        <v>0</v>
      </c>
      <c r="D108" s="104">
        <v>-6.5</v>
      </c>
      <c r="E108" s="104">
        <v>-5</v>
      </c>
      <c r="F108" s="104">
        <v>-3.1</v>
      </c>
      <c r="G108" s="104">
        <v>-5</v>
      </c>
      <c r="H108" s="104">
        <v>-5</v>
      </c>
      <c r="I108" s="104">
        <v>0</v>
      </c>
      <c r="J108" s="104">
        <v>20</v>
      </c>
      <c r="K108" s="104">
        <v>37.299999999999997</v>
      </c>
      <c r="L108" s="104">
        <v>41</v>
      </c>
      <c r="M108" s="104">
        <v>51.7</v>
      </c>
      <c r="N108" s="104">
        <v>50.7</v>
      </c>
      <c r="O108" s="104">
        <v>50.7</v>
      </c>
      <c r="P108" s="104">
        <v>47.9</v>
      </c>
      <c r="Q108" s="104">
        <v>46.5</v>
      </c>
      <c r="R108" s="104">
        <v>47.4</v>
      </c>
      <c r="S108" s="104">
        <v>46</v>
      </c>
      <c r="T108" s="104">
        <v>43.5</v>
      </c>
      <c r="U108" s="104">
        <v>46.7</v>
      </c>
      <c r="V108" s="104">
        <v>53.4</v>
      </c>
      <c r="W108" s="104">
        <v>54.2</v>
      </c>
      <c r="X108" s="104">
        <v>67</v>
      </c>
      <c r="Y108" s="104">
        <v>67.3</v>
      </c>
      <c r="Z108" s="104">
        <v>67.3</v>
      </c>
      <c r="AA108" s="104">
        <v>69</v>
      </c>
      <c r="AB108" s="104">
        <v>67.900000000000006</v>
      </c>
      <c r="AC108" s="104">
        <v>61</v>
      </c>
      <c r="AD108" s="104">
        <v>37</v>
      </c>
      <c r="AE108" s="104">
        <v>10</v>
      </c>
      <c r="AF108" s="104">
        <v>4</v>
      </c>
      <c r="AG108" s="103">
        <v>60</v>
      </c>
      <c r="AH108" s="48">
        <f t="shared" si="9"/>
        <v>69</v>
      </c>
      <c r="AI108" s="49">
        <f t="shared" si="10"/>
        <v>-6.5</v>
      </c>
    </row>
    <row r="109" spans="1:35" x14ac:dyDescent="0.25">
      <c r="A109" s="105" t="s">
        <v>113</v>
      </c>
      <c r="B109" s="106">
        <v>55.2</v>
      </c>
      <c r="C109" s="106">
        <v>62.8</v>
      </c>
      <c r="D109" s="106">
        <v>53.2</v>
      </c>
      <c r="E109" s="106">
        <v>65</v>
      </c>
      <c r="F109" s="106">
        <v>64</v>
      </c>
      <c r="G109" s="106">
        <v>63</v>
      </c>
      <c r="H109" s="106">
        <v>80</v>
      </c>
      <c r="I109" s="106">
        <v>78</v>
      </c>
      <c r="J109" s="106">
        <v>110</v>
      </c>
      <c r="K109" s="106">
        <v>104</v>
      </c>
      <c r="L109" s="106">
        <v>97</v>
      </c>
      <c r="M109" s="106">
        <v>102.9</v>
      </c>
      <c r="N109" s="106">
        <v>94</v>
      </c>
      <c r="O109" s="106">
        <v>94</v>
      </c>
      <c r="P109" s="106">
        <v>84.2</v>
      </c>
      <c r="Q109" s="106">
        <v>66.599999999999994</v>
      </c>
      <c r="R109" s="106">
        <v>107.3</v>
      </c>
      <c r="S109" s="106">
        <v>103.1</v>
      </c>
      <c r="T109" s="106">
        <v>105.3</v>
      </c>
      <c r="U109" s="106">
        <v>93.7</v>
      </c>
      <c r="V109" s="106">
        <v>87.5</v>
      </c>
      <c r="W109" s="106">
        <v>80.400000000000006</v>
      </c>
      <c r="X109" s="106">
        <v>105</v>
      </c>
      <c r="Y109" s="106">
        <v>88</v>
      </c>
      <c r="Z109" s="106">
        <v>88</v>
      </c>
      <c r="AA109" s="106">
        <v>104</v>
      </c>
      <c r="AB109" s="106">
        <v>97.1</v>
      </c>
      <c r="AC109" s="106">
        <v>81</v>
      </c>
      <c r="AD109" s="106">
        <v>65</v>
      </c>
      <c r="AE109" s="106">
        <v>71</v>
      </c>
      <c r="AF109" s="106">
        <v>73</v>
      </c>
      <c r="AG109" s="107">
        <v>120</v>
      </c>
      <c r="AH109" s="48">
        <f t="shared" si="9"/>
        <v>110</v>
      </c>
      <c r="AI109" s="49">
        <f t="shared" si="10"/>
        <v>53.2</v>
      </c>
    </row>
    <row r="110" spans="1:35" x14ac:dyDescent="0.25">
      <c r="A110" s="105" t="s">
        <v>115</v>
      </c>
      <c r="B110" s="106">
        <v>63.7</v>
      </c>
      <c r="C110" s="106">
        <v>71.900000000000006</v>
      </c>
      <c r="D110" s="106">
        <v>65.5</v>
      </c>
      <c r="E110" s="106">
        <v>77</v>
      </c>
      <c r="F110" s="106">
        <v>72</v>
      </c>
      <c r="G110" s="106">
        <v>73</v>
      </c>
      <c r="H110" s="106">
        <v>85</v>
      </c>
      <c r="I110" s="106">
        <v>79</v>
      </c>
      <c r="J110" s="106">
        <v>100</v>
      </c>
      <c r="K110" s="106">
        <v>89</v>
      </c>
      <c r="L110" s="106">
        <v>90</v>
      </c>
      <c r="M110" s="106">
        <v>89.6</v>
      </c>
      <c r="N110" s="106">
        <v>82</v>
      </c>
      <c r="O110" s="106">
        <v>82</v>
      </c>
      <c r="P110" s="106">
        <v>68.5</v>
      </c>
      <c r="Q110" s="106">
        <v>103</v>
      </c>
      <c r="R110" s="106">
        <v>101.6</v>
      </c>
      <c r="S110" s="106">
        <v>97</v>
      </c>
      <c r="T110" s="106">
        <v>102</v>
      </c>
      <c r="U110" s="106">
        <v>84.7</v>
      </c>
      <c r="V110" s="106">
        <v>66.400000000000006</v>
      </c>
      <c r="W110" s="106">
        <v>64</v>
      </c>
      <c r="X110" s="106">
        <v>97</v>
      </c>
      <c r="Y110" s="106">
        <v>96</v>
      </c>
      <c r="Z110" s="106">
        <v>96</v>
      </c>
      <c r="AA110" s="106">
        <v>48</v>
      </c>
      <c r="AB110" s="106">
        <v>37.299999999999997</v>
      </c>
      <c r="AC110" s="106">
        <v>62</v>
      </c>
      <c r="AD110" s="106">
        <v>69</v>
      </c>
      <c r="AE110" s="106">
        <v>63</v>
      </c>
      <c r="AF110" s="106">
        <v>75</v>
      </c>
      <c r="AG110" s="107"/>
      <c r="AH110" s="48">
        <f t="shared" si="9"/>
        <v>103</v>
      </c>
      <c r="AI110" s="49">
        <f t="shared" si="10"/>
        <v>37.299999999999997</v>
      </c>
    </row>
    <row r="111" spans="1:35" x14ac:dyDescent="0.25">
      <c r="A111" s="105" t="s">
        <v>116</v>
      </c>
      <c r="B111" s="106">
        <v>37.799999999999997</v>
      </c>
      <c r="C111" s="106">
        <v>36.1</v>
      </c>
      <c r="D111" s="106">
        <v>26.6</v>
      </c>
      <c r="E111" s="106">
        <v>45</v>
      </c>
      <c r="F111" s="106">
        <v>50</v>
      </c>
      <c r="G111" s="106">
        <v>45</v>
      </c>
      <c r="H111" s="106">
        <v>50</v>
      </c>
      <c r="I111" s="106">
        <v>42</v>
      </c>
      <c r="J111" s="106">
        <v>58</v>
      </c>
      <c r="K111" s="106">
        <v>43</v>
      </c>
      <c r="L111" s="106">
        <v>4</v>
      </c>
      <c r="M111" s="106">
        <v>5.7</v>
      </c>
      <c r="N111" s="106">
        <v>2.9</v>
      </c>
      <c r="O111" s="106">
        <v>2.9</v>
      </c>
      <c r="P111" s="106">
        <v>-2.2000000000000002</v>
      </c>
      <c r="Q111" s="106">
        <v>10.4</v>
      </c>
      <c r="R111" s="106">
        <v>27.6</v>
      </c>
      <c r="S111" s="106">
        <v>34.200000000000003</v>
      </c>
      <c r="T111" s="106">
        <v>37</v>
      </c>
      <c r="U111" s="106">
        <v>25.3</v>
      </c>
      <c r="V111" s="106">
        <v>18.3</v>
      </c>
      <c r="W111" s="106">
        <v>7</v>
      </c>
      <c r="X111" s="106">
        <v>17.5</v>
      </c>
      <c r="Y111" s="106">
        <v>17</v>
      </c>
      <c r="Z111" s="106">
        <v>17</v>
      </c>
      <c r="AA111" s="106">
        <v>4</v>
      </c>
      <c r="AB111" s="106">
        <v>6.7</v>
      </c>
      <c r="AC111" s="106">
        <v>6.5</v>
      </c>
      <c r="AD111" s="106">
        <v>2</v>
      </c>
      <c r="AE111" s="106">
        <v>20</v>
      </c>
      <c r="AF111" s="106">
        <v>29</v>
      </c>
      <c r="AG111" s="108"/>
      <c r="AH111" s="48">
        <f t="shared" si="9"/>
        <v>58</v>
      </c>
      <c r="AI111" s="49">
        <f t="shared" si="10"/>
        <v>-2.2000000000000002</v>
      </c>
    </row>
    <row r="112" spans="1:35" x14ac:dyDescent="0.25">
      <c r="A112" s="109" t="s">
        <v>117</v>
      </c>
      <c r="B112" s="94">
        <v>56.1</v>
      </c>
      <c r="C112" s="94">
        <v>54.2</v>
      </c>
      <c r="D112" s="94">
        <v>51</v>
      </c>
      <c r="E112" s="94">
        <v>61</v>
      </c>
      <c r="F112" s="94">
        <v>61</v>
      </c>
      <c r="G112" s="94">
        <v>59</v>
      </c>
      <c r="H112" s="94">
        <v>48</v>
      </c>
      <c r="I112" s="94">
        <v>38</v>
      </c>
      <c r="J112" s="94">
        <v>22</v>
      </c>
      <c r="K112" s="94">
        <v>54</v>
      </c>
      <c r="L112" s="94">
        <v>3</v>
      </c>
      <c r="M112" s="94">
        <v>-4.0999999999999996</v>
      </c>
      <c r="N112" s="94">
        <v>3.1</v>
      </c>
      <c r="O112" s="94">
        <v>3.1</v>
      </c>
      <c r="P112" s="94">
        <v>17.2</v>
      </c>
      <c r="Q112" s="94">
        <v>28.4</v>
      </c>
      <c r="R112" s="94">
        <v>27.3</v>
      </c>
      <c r="S112" s="94">
        <v>25.4</v>
      </c>
      <c r="T112" s="94">
        <v>23.7</v>
      </c>
      <c r="U112" s="94">
        <v>22.6</v>
      </c>
      <c r="V112" s="94">
        <v>-1.7</v>
      </c>
      <c r="W112" s="94">
        <v>-26</v>
      </c>
      <c r="X112" s="94">
        <v>-39</v>
      </c>
      <c r="Y112" s="94">
        <v>-28</v>
      </c>
      <c r="Z112" s="94">
        <v>-28</v>
      </c>
      <c r="AA112" s="94">
        <v>-7</v>
      </c>
      <c r="AB112" s="94">
        <v>5.0999999999999996</v>
      </c>
      <c r="AC112" s="94">
        <v>13</v>
      </c>
      <c r="AD112" s="94">
        <v>26</v>
      </c>
      <c r="AE112" s="94">
        <v>47</v>
      </c>
      <c r="AF112" s="94">
        <v>49</v>
      </c>
      <c r="AG112" s="108"/>
      <c r="AH112" s="48">
        <f t="shared" si="9"/>
        <v>61</v>
      </c>
      <c r="AI112" s="49">
        <f t="shared" si="10"/>
        <v>-39</v>
      </c>
    </row>
    <row r="113" spans="1:37" ht="15.75" thickBot="1" x14ac:dyDescent="0.3">
      <c r="A113" s="109" t="s">
        <v>118</v>
      </c>
      <c r="B113" s="94">
        <v>30.6</v>
      </c>
      <c r="C113" s="94">
        <v>26.9</v>
      </c>
      <c r="D113" s="94">
        <v>34</v>
      </c>
      <c r="E113" s="94">
        <v>25</v>
      </c>
      <c r="F113" s="94">
        <v>21</v>
      </c>
      <c r="G113" s="94">
        <v>34</v>
      </c>
      <c r="H113" s="94">
        <v>25</v>
      </c>
      <c r="I113" s="94">
        <v>21</v>
      </c>
      <c r="J113" s="94">
        <v>18</v>
      </c>
      <c r="K113" s="94">
        <v>1</v>
      </c>
      <c r="L113" s="94">
        <v>0</v>
      </c>
      <c r="M113" s="94">
        <v>7.4</v>
      </c>
      <c r="N113" s="94">
        <v>18.100000000000001</v>
      </c>
      <c r="O113" s="94">
        <v>18.100000000000001</v>
      </c>
      <c r="P113" s="94">
        <v>28.2</v>
      </c>
      <c r="Q113" s="94">
        <v>9.8000000000000007</v>
      </c>
      <c r="R113" s="94">
        <v>11.4</v>
      </c>
      <c r="S113" s="94">
        <v>12.2</v>
      </c>
      <c r="T113" s="94">
        <v>19.2</v>
      </c>
      <c r="U113" s="94">
        <v>23.6</v>
      </c>
      <c r="V113" s="94">
        <v>1.9</v>
      </c>
      <c r="W113" s="94">
        <v>3.8</v>
      </c>
      <c r="X113" s="94">
        <v>-29</v>
      </c>
      <c r="Y113" s="94">
        <v>-30</v>
      </c>
      <c r="Z113" s="94">
        <v>-30</v>
      </c>
      <c r="AA113" s="94">
        <v>-3.7</v>
      </c>
      <c r="AB113" s="94">
        <v>-6.9</v>
      </c>
      <c r="AC113" s="94">
        <v>0</v>
      </c>
      <c r="AD113" s="94">
        <v>-3</v>
      </c>
      <c r="AE113" s="94">
        <v>-14</v>
      </c>
      <c r="AF113" s="94">
        <v>-14</v>
      </c>
      <c r="AG113" s="108"/>
      <c r="AH113" s="48">
        <f t="shared" si="9"/>
        <v>34</v>
      </c>
      <c r="AI113" s="49">
        <f t="shared" si="10"/>
        <v>-30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17">SUM(B115:B219)</f>
        <v>0</v>
      </c>
      <c r="C220" s="125">
        <f t="shared" si="17"/>
        <v>0</v>
      </c>
      <c r="D220" s="125">
        <f t="shared" si="17"/>
        <v>0</v>
      </c>
      <c r="E220" s="125">
        <f t="shared" si="17"/>
        <v>0</v>
      </c>
      <c r="F220" s="125">
        <f t="shared" si="17"/>
        <v>0</v>
      </c>
      <c r="G220" s="125">
        <f t="shared" si="17"/>
        <v>0</v>
      </c>
      <c r="H220" s="125">
        <f t="shared" si="17"/>
        <v>0</v>
      </c>
      <c r="I220" s="125">
        <f t="shared" si="17"/>
        <v>0</v>
      </c>
      <c r="J220" s="125">
        <f t="shared" si="17"/>
        <v>0</v>
      </c>
      <c r="K220" s="125">
        <f t="shared" si="17"/>
        <v>0</v>
      </c>
      <c r="L220" s="125">
        <f t="shared" si="17"/>
        <v>0</v>
      </c>
      <c r="M220" s="125">
        <f t="shared" si="17"/>
        <v>0</v>
      </c>
      <c r="N220" s="125">
        <f t="shared" si="17"/>
        <v>0</v>
      </c>
      <c r="O220" s="125">
        <f t="shared" si="17"/>
        <v>0</v>
      </c>
      <c r="P220" s="125">
        <f t="shared" si="17"/>
        <v>0</v>
      </c>
      <c r="Q220" s="125">
        <f t="shared" si="17"/>
        <v>0</v>
      </c>
      <c r="R220" s="125">
        <f t="shared" si="17"/>
        <v>0</v>
      </c>
      <c r="S220" s="125">
        <f t="shared" si="17"/>
        <v>0</v>
      </c>
      <c r="T220" s="125">
        <f t="shared" si="17"/>
        <v>0</v>
      </c>
      <c r="U220" s="125">
        <f t="shared" si="17"/>
        <v>0</v>
      </c>
      <c r="V220" s="125">
        <f t="shared" si="17"/>
        <v>0</v>
      </c>
      <c r="W220" s="125">
        <f t="shared" si="17"/>
        <v>0</v>
      </c>
      <c r="X220" s="125">
        <f t="shared" si="17"/>
        <v>0</v>
      </c>
      <c r="Y220" s="125">
        <f t="shared" si="17"/>
        <v>0</v>
      </c>
      <c r="Z220" s="125">
        <f t="shared" si="17"/>
        <v>0</v>
      </c>
      <c r="AA220" s="125">
        <f t="shared" si="17"/>
        <v>0</v>
      </c>
      <c r="AB220" s="125">
        <f t="shared" si="17"/>
        <v>0</v>
      </c>
      <c r="AC220" s="125">
        <f t="shared" si="17"/>
        <v>0</v>
      </c>
      <c r="AD220" s="125">
        <f t="shared" si="17"/>
        <v>0</v>
      </c>
      <c r="AE220" s="125">
        <f t="shared" si="17"/>
        <v>0</v>
      </c>
      <c r="AF220" s="126">
        <f t="shared" si="17"/>
        <v>0</v>
      </c>
      <c r="AG220" s="127">
        <f t="shared" si="17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18">AF222</f>
        <v>0</v>
      </c>
      <c r="C222" s="129">
        <v>0.3</v>
      </c>
      <c r="D222" s="129">
        <f t="shared" ref="D222:P227" si="19">C222</f>
        <v>0.3</v>
      </c>
      <c r="E222" s="129">
        <f t="shared" si="19"/>
        <v>0.3</v>
      </c>
      <c r="F222" s="129">
        <f t="shared" si="19"/>
        <v>0.3</v>
      </c>
      <c r="G222" s="129">
        <f t="shared" si="19"/>
        <v>0.3</v>
      </c>
      <c r="H222" s="129">
        <f t="shared" si="19"/>
        <v>0.3</v>
      </c>
      <c r="I222" s="129">
        <f t="shared" si="19"/>
        <v>0.3</v>
      </c>
      <c r="J222" s="129">
        <f t="shared" si="19"/>
        <v>0.3</v>
      </c>
      <c r="K222" s="129">
        <f t="shared" si="19"/>
        <v>0.3</v>
      </c>
      <c r="L222" s="129">
        <f t="shared" si="19"/>
        <v>0.3</v>
      </c>
      <c r="M222" s="129">
        <f t="shared" si="19"/>
        <v>0.3</v>
      </c>
      <c r="N222" s="129">
        <f t="shared" si="19"/>
        <v>0.3</v>
      </c>
      <c r="O222" s="129">
        <f t="shared" si="19"/>
        <v>0.3</v>
      </c>
      <c r="P222" s="129">
        <f t="shared" si="19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18"/>
        <v>0</v>
      </c>
      <c r="C223" s="117">
        <v>0.4</v>
      </c>
      <c r="D223" s="117">
        <f t="shared" si="19"/>
        <v>0.4</v>
      </c>
      <c r="E223" s="117">
        <f t="shared" si="19"/>
        <v>0.4</v>
      </c>
      <c r="F223" s="117">
        <f t="shared" si="19"/>
        <v>0.4</v>
      </c>
      <c r="G223" s="117">
        <f t="shared" si="19"/>
        <v>0.4</v>
      </c>
      <c r="H223" s="117">
        <f t="shared" si="19"/>
        <v>0.4</v>
      </c>
      <c r="I223" s="117">
        <f t="shared" si="19"/>
        <v>0.4</v>
      </c>
      <c r="J223" s="117">
        <f t="shared" si="19"/>
        <v>0.4</v>
      </c>
      <c r="K223" s="117">
        <f t="shared" si="19"/>
        <v>0.4</v>
      </c>
      <c r="L223" s="117">
        <f t="shared" si="19"/>
        <v>0.4</v>
      </c>
      <c r="M223" s="117">
        <f t="shared" si="19"/>
        <v>0.4</v>
      </c>
      <c r="N223" s="117">
        <f t="shared" si="19"/>
        <v>0.4</v>
      </c>
      <c r="O223" s="117">
        <f t="shared" si="19"/>
        <v>0.4</v>
      </c>
      <c r="P223" s="117">
        <f t="shared" si="19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18"/>
        <v>0</v>
      </c>
      <c r="C224" s="117">
        <v>1.5</v>
      </c>
      <c r="D224" s="117">
        <f t="shared" si="19"/>
        <v>1.5</v>
      </c>
      <c r="E224" s="117">
        <f t="shared" si="19"/>
        <v>1.5</v>
      </c>
      <c r="F224" s="117">
        <f t="shared" si="19"/>
        <v>1.5</v>
      </c>
      <c r="G224" s="117">
        <f t="shared" si="19"/>
        <v>1.5</v>
      </c>
      <c r="H224" s="117">
        <f t="shared" si="19"/>
        <v>1.5</v>
      </c>
      <c r="I224" s="100">
        <f t="shared" ref="I224" ca="1" si="20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19"/>
        <v>1.5</v>
      </c>
      <c r="K224" s="117">
        <f t="shared" ca="1" si="19"/>
        <v>1.5</v>
      </c>
      <c r="L224" s="117">
        <f t="shared" ca="1" si="19"/>
        <v>1.5</v>
      </c>
      <c r="M224" s="117">
        <f t="shared" ca="1" si="19"/>
        <v>1.5</v>
      </c>
      <c r="N224" s="117">
        <f t="shared" ca="1" si="19"/>
        <v>1.5</v>
      </c>
      <c r="O224" s="117">
        <f t="shared" ca="1" si="19"/>
        <v>1.5</v>
      </c>
      <c r="P224" s="117">
        <f t="shared" ca="1" si="19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18"/>
        <v>0</v>
      </c>
      <c r="C225" s="117">
        <v>0.3</v>
      </c>
      <c r="D225" s="117">
        <f t="shared" si="19"/>
        <v>0.3</v>
      </c>
      <c r="E225" s="117">
        <f t="shared" si="19"/>
        <v>0.3</v>
      </c>
      <c r="F225" s="117">
        <f t="shared" si="19"/>
        <v>0.3</v>
      </c>
      <c r="G225" s="117">
        <f t="shared" si="19"/>
        <v>0.3</v>
      </c>
      <c r="H225" s="117">
        <f t="shared" si="19"/>
        <v>0.3</v>
      </c>
      <c r="I225" s="117">
        <f t="shared" si="19"/>
        <v>0.3</v>
      </c>
      <c r="J225" s="117">
        <f t="shared" si="19"/>
        <v>0.3</v>
      </c>
      <c r="K225" s="117">
        <f t="shared" si="19"/>
        <v>0.3</v>
      </c>
      <c r="L225" s="117">
        <f t="shared" si="19"/>
        <v>0.3</v>
      </c>
      <c r="M225" s="117">
        <f t="shared" si="19"/>
        <v>0.3</v>
      </c>
      <c r="N225" s="117">
        <f t="shared" si="19"/>
        <v>0.3</v>
      </c>
      <c r="O225" s="117">
        <f t="shared" si="19"/>
        <v>0.3</v>
      </c>
      <c r="P225" s="117">
        <f t="shared" si="19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18"/>
        <v>0</v>
      </c>
      <c r="C226" s="117">
        <v>0.4</v>
      </c>
      <c r="D226" s="117">
        <f t="shared" si="19"/>
        <v>0.4</v>
      </c>
      <c r="E226" s="117">
        <f t="shared" si="19"/>
        <v>0.4</v>
      </c>
      <c r="F226" s="117">
        <f t="shared" si="19"/>
        <v>0.4</v>
      </c>
      <c r="G226" s="117">
        <f t="shared" si="19"/>
        <v>0.4</v>
      </c>
      <c r="H226" s="117">
        <f t="shared" si="19"/>
        <v>0.4</v>
      </c>
      <c r="I226" s="117">
        <f t="shared" si="19"/>
        <v>0.4</v>
      </c>
      <c r="J226" s="117">
        <f t="shared" si="19"/>
        <v>0.4</v>
      </c>
      <c r="K226" s="117">
        <f t="shared" si="19"/>
        <v>0.4</v>
      </c>
      <c r="L226" s="117">
        <f t="shared" si="19"/>
        <v>0.4</v>
      </c>
      <c r="M226" s="117">
        <f t="shared" si="19"/>
        <v>0.4</v>
      </c>
      <c r="N226" s="117">
        <f t="shared" si="19"/>
        <v>0.4</v>
      </c>
      <c r="O226" s="117">
        <f t="shared" si="19"/>
        <v>0.4</v>
      </c>
      <c r="P226" s="117">
        <f t="shared" si="19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18"/>
        <v>0</v>
      </c>
      <c r="C227" s="121">
        <v>0.64</v>
      </c>
      <c r="D227" s="121">
        <f t="shared" si="19"/>
        <v>0.64</v>
      </c>
      <c r="E227" s="121">
        <f t="shared" si="19"/>
        <v>0.64</v>
      </c>
      <c r="F227" s="121">
        <f t="shared" si="19"/>
        <v>0.64</v>
      </c>
      <c r="G227" s="121">
        <f t="shared" si="19"/>
        <v>0.64</v>
      </c>
      <c r="H227" s="121">
        <f t="shared" si="19"/>
        <v>0.64</v>
      </c>
      <c r="I227" s="121">
        <f t="shared" si="19"/>
        <v>0.64</v>
      </c>
      <c r="J227" s="121">
        <f t="shared" si="19"/>
        <v>0.64</v>
      </c>
      <c r="K227" s="121">
        <f t="shared" si="19"/>
        <v>0.64</v>
      </c>
      <c r="L227" s="121">
        <f t="shared" si="19"/>
        <v>0.64</v>
      </c>
      <c r="M227" s="121">
        <f t="shared" si="19"/>
        <v>0.64</v>
      </c>
      <c r="N227" s="121">
        <f t="shared" si="19"/>
        <v>0.64</v>
      </c>
      <c r="O227" s="121">
        <f t="shared" si="19"/>
        <v>0.64</v>
      </c>
      <c r="P227" s="121">
        <f t="shared" si="19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1">SUM(B222:B227)</f>
        <v>0</v>
      </c>
      <c r="C228" s="125">
        <f t="shared" si="21"/>
        <v>3.54</v>
      </c>
      <c r="D228" s="125">
        <f t="shared" si="21"/>
        <v>3.54</v>
      </c>
      <c r="E228" s="125">
        <f t="shared" si="21"/>
        <v>3.54</v>
      </c>
      <c r="F228" s="125">
        <f t="shared" si="21"/>
        <v>3.54</v>
      </c>
      <c r="G228" s="125">
        <f t="shared" si="21"/>
        <v>3.54</v>
      </c>
      <c r="H228" s="125">
        <f t="shared" si="21"/>
        <v>3.54</v>
      </c>
      <c r="I228" s="125">
        <f t="shared" ca="1" si="21"/>
        <v>3.54</v>
      </c>
      <c r="J228" s="125">
        <f t="shared" ca="1" si="21"/>
        <v>3.54</v>
      </c>
      <c r="K228" s="125">
        <f t="shared" ca="1" si="21"/>
        <v>3.54</v>
      </c>
      <c r="L228" s="125">
        <f t="shared" ca="1" si="21"/>
        <v>3.54</v>
      </c>
      <c r="M228" s="125">
        <f t="shared" ca="1" si="21"/>
        <v>3.54</v>
      </c>
      <c r="N228" s="125">
        <f t="shared" ca="1" si="21"/>
        <v>3.54</v>
      </c>
      <c r="O228" s="125">
        <f t="shared" ca="1" si="21"/>
        <v>3.54</v>
      </c>
      <c r="P228" s="125">
        <f t="shared" ca="1" si="21"/>
        <v>3.54</v>
      </c>
      <c r="Q228" s="125">
        <f t="shared" si="21"/>
        <v>0</v>
      </c>
      <c r="R228" s="125">
        <f t="shared" si="21"/>
        <v>0</v>
      </c>
      <c r="S228" s="125">
        <f t="shared" si="21"/>
        <v>0</v>
      </c>
      <c r="T228" s="125">
        <f t="shared" si="21"/>
        <v>0</v>
      </c>
      <c r="U228" s="125">
        <f t="shared" si="21"/>
        <v>0</v>
      </c>
      <c r="V228" s="125">
        <f t="shared" si="21"/>
        <v>0</v>
      </c>
      <c r="W228" s="125">
        <f t="shared" si="21"/>
        <v>0</v>
      </c>
      <c r="X228" s="125">
        <f t="shared" si="21"/>
        <v>0</v>
      </c>
      <c r="Y228" s="125">
        <f t="shared" si="21"/>
        <v>0</v>
      </c>
      <c r="Z228" s="125">
        <f t="shared" si="21"/>
        <v>0</v>
      </c>
      <c r="AA228" s="125">
        <f t="shared" si="21"/>
        <v>0</v>
      </c>
      <c r="AB228" s="125">
        <f t="shared" si="21"/>
        <v>0</v>
      </c>
      <c r="AC228" s="125">
        <f t="shared" si="21"/>
        <v>0</v>
      </c>
      <c r="AD228" s="125">
        <f t="shared" si="21"/>
        <v>0</v>
      </c>
      <c r="AE228" s="125">
        <f t="shared" si="21"/>
        <v>0</v>
      </c>
      <c r="AF228" s="125">
        <f t="shared" si="21"/>
        <v>0</v>
      </c>
      <c r="AG228" s="134">
        <f t="shared" si="21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1751.83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20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2079/09/20)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2079/09/20)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2">B85</f>
        <v>1108.8399999999999</v>
      </c>
      <c r="U242" s="159">
        <f t="shared" si="22"/>
        <v>1088.1399999999999</v>
      </c>
      <c r="V242" s="159">
        <f t="shared" si="22"/>
        <v>1054.1399999999999</v>
      </c>
      <c r="W242" s="159">
        <f t="shared" si="22"/>
        <v>1044.7399999999998</v>
      </c>
      <c r="X242" s="159">
        <f t="shared" si="22"/>
        <v>1048.9399999999998</v>
      </c>
      <c r="Y242" s="159">
        <f t="shared" si="22"/>
        <v>1114.44</v>
      </c>
      <c r="Z242" s="159">
        <f t="shared" si="22"/>
        <v>1199.3399999999999</v>
      </c>
      <c r="AA242" s="159">
        <f t="shared" si="22"/>
        <v>1251.8399999999999</v>
      </c>
      <c r="AB242" s="159">
        <f t="shared" si="22"/>
        <v>1391.94</v>
      </c>
      <c r="AC242" s="159">
        <f t="shared" si="22"/>
        <v>1449.84</v>
      </c>
      <c r="AD242" s="159">
        <f t="shared" si="22"/>
        <v>1567.4399999999998</v>
      </c>
      <c r="AE242" s="159">
        <f t="shared" si="22"/>
        <v>1751.83</v>
      </c>
      <c r="AF242" s="159">
        <f t="shared" si="22"/>
        <v>1716.33</v>
      </c>
      <c r="AG242" s="159">
        <f t="shared" si="22"/>
        <v>1694.33</v>
      </c>
      <c r="AH242" s="159">
        <f t="shared" si="22"/>
        <v>1379.33</v>
      </c>
      <c r="AI242" s="159">
        <f t="shared" si="22"/>
        <v>1505.5299999999997</v>
      </c>
      <c r="AJ242" s="159">
        <f t="shared" si="22"/>
        <v>1429.3400000000001</v>
      </c>
      <c r="AK242" s="159">
        <f t="shared" si="22"/>
        <v>1453.1399999999999</v>
      </c>
      <c r="AL242" s="159">
        <f t="shared" si="22"/>
        <v>1449.34</v>
      </c>
      <c r="AM242" s="159">
        <f t="shared" si="22"/>
        <v>1487.44</v>
      </c>
      <c r="AN242" s="159">
        <f t="shared" si="22"/>
        <v>1552.04</v>
      </c>
      <c r="AO242" s="159">
        <f t="shared" si="22"/>
        <v>1633.6399999999999</v>
      </c>
      <c r="AP242" s="159">
        <f t="shared" si="22"/>
        <v>1765.3399999999997</v>
      </c>
      <c r="AQ242" s="159">
        <f t="shared" si="22"/>
        <v>1782.4399999999998</v>
      </c>
      <c r="AR242" s="159">
        <f t="shared" si="22"/>
        <v>1748.54</v>
      </c>
      <c r="AS242" s="159">
        <f t="shared" si="22"/>
        <v>1648.54</v>
      </c>
      <c r="AT242" s="159">
        <f t="shared" si="22"/>
        <v>1725.7399999999998</v>
      </c>
      <c r="AU242" s="159">
        <f t="shared" si="22"/>
        <v>1416.94</v>
      </c>
      <c r="AV242" s="159">
        <f t="shared" si="22"/>
        <v>1361.44</v>
      </c>
      <c r="AW242" s="159">
        <f t="shared" si="22"/>
        <v>1223.3399999999999</v>
      </c>
      <c r="AX242" s="159">
        <f t="shared" si="22"/>
        <v>1105.94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3">C227</f>
        <v>0.64</v>
      </c>
      <c r="C263" s="162">
        <f t="shared" si="23"/>
        <v>0.64</v>
      </c>
      <c r="D263" s="162">
        <f t="shared" si="23"/>
        <v>0.64</v>
      </c>
      <c r="E263" s="162">
        <f t="shared" si="23"/>
        <v>0.64</v>
      </c>
      <c r="F263" s="162">
        <f t="shared" si="23"/>
        <v>0.64</v>
      </c>
      <c r="G263" s="162">
        <f t="shared" si="23"/>
        <v>0.64</v>
      </c>
      <c r="H263" s="162">
        <f t="shared" si="23"/>
        <v>0.64</v>
      </c>
      <c r="I263" s="162">
        <f t="shared" si="23"/>
        <v>0.64</v>
      </c>
      <c r="J263" s="162">
        <f t="shared" si="23"/>
        <v>0.64</v>
      </c>
      <c r="K263" s="162">
        <f t="shared" si="23"/>
        <v>0.64</v>
      </c>
      <c r="L263" s="162">
        <f t="shared" si="23"/>
        <v>0.64</v>
      </c>
      <c r="M263" s="162">
        <f t="shared" si="23"/>
        <v>0.64</v>
      </c>
      <c r="N263" s="162">
        <f t="shared" si="23"/>
        <v>0.64</v>
      </c>
      <c r="O263" s="162">
        <f t="shared" si="23"/>
        <v>0.64</v>
      </c>
      <c r="P263" s="162">
        <f t="shared" si="23"/>
        <v>0</v>
      </c>
      <c r="Q263" s="162">
        <f t="shared" si="23"/>
        <v>0</v>
      </c>
      <c r="R263" s="162">
        <f t="shared" si="23"/>
        <v>0</v>
      </c>
      <c r="S263" s="162">
        <f t="shared" si="23"/>
        <v>0</v>
      </c>
      <c r="T263" s="162">
        <f t="shared" si="23"/>
        <v>0</v>
      </c>
      <c r="U263" s="162">
        <f t="shared" si="23"/>
        <v>0</v>
      </c>
      <c r="V263" s="162">
        <f t="shared" si="23"/>
        <v>0</v>
      </c>
      <c r="W263" s="162">
        <f t="shared" si="23"/>
        <v>0</v>
      </c>
      <c r="X263" s="162">
        <f t="shared" si="23"/>
        <v>0</v>
      </c>
      <c r="Y263" s="162">
        <f t="shared" si="23"/>
        <v>0</v>
      </c>
      <c r="Z263" s="162">
        <f t="shared" si="23"/>
        <v>0</v>
      </c>
      <c r="AA263" s="162">
        <f t="shared" si="23"/>
        <v>0</v>
      </c>
      <c r="AB263" s="162">
        <f t="shared" si="23"/>
        <v>0</v>
      </c>
      <c r="AC263" s="162">
        <f t="shared" si="23"/>
        <v>0</v>
      </c>
      <c r="AD263" s="162">
        <f t="shared" si="23"/>
        <v>0</v>
      </c>
      <c r="AE263" s="162">
        <f t="shared" si="23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4">IF(B231&lt;100,"",B231-520)</f>
        <v/>
      </c>
      <c r="C264" s="163" t="str">
        <f t="shared" si="24"/>
        <v/>
      </c>
      <c r="D264" s="163" t="str">
        <f t="shared" si="24"/>
        <v/>
      </c>
      <c r="E264" s="163" t="str">
        <f t="shared" si="24"/>
        <v/>
      </c>
      <c r="F264" s="163" t="str">
        <f t="shared" si="24"/>
        <v/>
      </c>
      <c r="G264" s="163" t="str">
        <f t="shared" si="24"/>
        <v/>
      </c>
      <c r="H264" s="163" t="str">
        <f t="shared" si="24"/>
        <v/>
      </c>
      <c r="I264" s="163" t="str">
        <f t="shared" si="24"/>
        <v/>
      </c>
      <c r="J264" s="163" t="str">
        <f t="shared" si="24"/>
        <v/>
      </c>
      <c r="K264" s="163" t="str">
        <f t="shared" si="24"/>
        <v/>
      </c>
      <c r="L264" s="163" t="str">
        <f t="shared" si="24"/>
        <v/>
      </c>
      <c r="M264" s="163" t="str">
        <f t="shared" si="24"/>
        <v/>
      </c>
      <c r="N264" s="163" t="str">
        <f t="shared" si="24"/>
        <v/>
      </c>
      <c r="O264" s="163" t="str">
        <f t="shared" si="24"/>
        <v/>
      </c>
      <c r="P264" s="163" t="str">
        <f t="shared" si="24"/>
        <v/>
      </c>
      <c r="Q264" s="163" t="str">
        <f t="shared" si="24"/>
        <v/>
      </c>
      <c r="R264" s="163" t="str">
        <f t="shared" si="24"/>
        <v/>
      </c>
      <c r="S264" s="163" t="str">
        <f t="shared" si="24"/>
        <v/>
      </c>
      <c r="T264" s="163" t="str">
        <f t="shared" si="24"/>
        <v/>
      </c>
      <c r="U264" s="163" t="str">
        <f t="shared" si="24"/>
        <v/>
      </c>
      <c r="V264" s="163" t="str">
        <f t="shared" si="24"/>
        <v/>
      </c>
      <c r="W264" s="163" t="str">
        <f t="shared" si="24"/>
        <v/>
      </c>
      <c r="X264" s="163" t="str">
        <f t="shared" si="24"/>
        <v/>
      </c>
      <c r="Y264" s="163" t="str">
        <f t="shared" si="24"/>
        <v/>
      </c>
      <c r="Z264" s="163" t="str">
        <f t="shared" si="24"/>
        <v/>
      </c>
      <c r="AA264" s="163" t="str">
        <f t="shared" si="24"/>
        <v/>
      </c>
      <c r="AB264" s="163" t="str">
        <f t="shared" si="24"/>
        <v/>
      </c>
      <c r="AC264" s="163" t="str">
        <f t="shared" si="24"/>
        <v/>
      </c>
      <c r="AD264" s="163" t="str">
        <f t="shared" si="24"/>
        <v/>
      </c>
      <c r="AE264" s="163" t="str">
        <f t="shared" si="24"/>
        <v/>
      </c>
      <c r="AF264" s="163" t="str">
        <f t="shared" si="24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5">IF(B232&lt;100,"",B232-620)</f>
        <v/>
      </c>
      <c r="C265" s="163" t="str">
        <f t="shared" si="25"/>
        <v/>
      </c>
      <c r="D265" s="163" t="str">
        <f t="shared" si="25"/>
        <v/>
      </c>
      <c r="E265" s="163" t="str">
        <f t="shared" si="25"/>
        <v/>
      </c>
      <c r="F265" s="163" t="str">
        <f t="shared" si="25"/>
        <v/>
      </c>
      <c r="G265" s="163" t="str">
        <f t="shared" si="25"/>
        <v/>
      </c>
      <c r="H265" s="163" t="str">
        <f t="shared" si="25"/>
        <v/>
      </c>
      <c r="I265" s="163" t="str">
        <f t="shared" si="25"/>
        <v/>
      </c>
      <c r="J265" s="163" t="str">
        <f t="shared" si="25"/>
        <v/>
      </c>
      <c r="K265" s="163" t="str">
        <f t="shared" si="25"/>
        <v/>
      </c>
      <c r="L265" s="163" t="str">
        <f t="shared" si="25"/>
        <v/>
      </c>
      <c r="M265" s="163" t="str">
        <f t="shared" si="25"/>
        <v/>
      </c>
      <c r="N265" s="163" t="str">
        <f t="shared" si="25"/>
        <v/>
      </c>
      <c r="O265" s="163" t="str">
        <f t="shared" si="25"/>
        <v/>
      </c>
      <c r="P265" s="163" t="str">
        <f t="shared" si="25"/>
        <v/>
      </c>
      <c r="Q265" s="163" t="str">
        <f t="shared" si="25"/>
        <v/>
      </c>
      <c r="R265" s="163" t="str">
        <f t="shared" si="25"/>
        <v/>
      </c>
      <c r="S265" s="163" t="str">
        <f t="shared" si="25"/>
        <v/>
      </c>
      <c r="T265" s="163" t="str">
        <f t="shared" si="25"/>
        <v/>
      </c>
      <c r="U265" s="163" t="str">
        <f t="shared" si="25"/>
        <v/>
      </c>
      <c r="V265" s="163" t="str">
        <f t="shared" si="25"/>
        <v/>
      </c>
      <c r="W265" s="163" t="str">
        <f t="shared" si="25"/>
        <v/>
      </c>
      <c r="X265" s="163" t="str">
        <f t="shared" si="25"/>
        <v/>
      </c>
      <c r="Y265" s="163" t="str">
        <f t="shared" si="25"/>
        <v/>
      </c>
      <c r="Z265" s="163" t="str">
        <f t="shared" si="25"/>
        <v/>
      </c>
      <c r="AA265" s="163" t="str">
        <f t="shared" si="25"/>
        <v/>
      </c>
      <c r="AB265" s="163" t="str">
        <f t="shared" si="25"/>
        <v/>
      </c>
      <c r="AC265" s="163" t="str">
        <f t="shared" si="25"/>
        <v/>
      </c>
      <c r="AD265" s="163" t="str">
        <f t="shared" si="25"/>
        <v/>
      </c>
      <c r="AE265" s="163" t="str">
        <f t="shared" si="25"/>
        <v/>
      </c>
      <c r="AF265" s="163" t="str">
        <f t="shared" si="25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26">IF(B233&lt;100,"",B233-330)</f>
        <v/>
      </c>
      <c r="C266" s="163" t="str">
        <f t="shared" si="26"/>
        <v/>
      </c>
      <c r="D266" s="163" t="str">
        <f t="shared" si="26"/>
        <v/>
      </c>
      <c r="E266" s="163" t="str">
        <f t="shared" si="26"/>
        <v/>
      </c>
      <c r="F266" s="163" t="str">
        <f t="shared" si="26"/>
        <v/>
      </c>
      <c r="G266" s="163" t="str">
        <f t="shared" si="26"/>
        <v/>
      </c>
      <c r="H266" s="163" t="str">
        <f t="shared" si="26"/>
        <v/>
      </c>
      <c r="I266" s="163" t="str">
        <f t="shared" si="26"/>
        <v/>
      </c>
      <c r="J266" s="163" t="str">
        <f t="shared" si="26"/>
        <v/>
      </c>
      <c r="K266" s="163" t="str">
        <f t="shared" si="26"/>
        <v/>
      </c>
      <c r="L266" s="163" t="str">
        <f t="shared" si="26"/>
        <v/>
      </c>
      <c r="M266" s="163" t="str">
        <f t="shared" si="26"/>
        <v/>
      </c>
      <c r="N266" s="163" t="str">
        <f t="shared" si="26"/>
        <v/>
      </c>
      <c r="O266" s="163" t="str">
        <f t="shared" si="26"/>
        <v/>
      </c>
      <c r="P266" s="163" t="str">
        <f t="shared" si="26"/>
        <v/>
      </c>
      <c r="Q266" s="163" t="str">
        <f t="shared" si="26"/>
        <v/>
      </c>
      <c r="R266" s="163" t="str">
        <f t="shared" si="26"/>
        <v/>
      </c>
      <c r="S266" s="163" t="str">
        <f t="shared" si="26"/>
        <v/>
      </c>
      <c r="T266" s="163" t="str">
        <f t="shared" si="26"/>
        <v/>
      </c>
      <c r="U266" s="163" t="str">
        <f t="shared" si="26"/>
        <v/>
      </c>
      <c r="V266" s="163" t="str">
        <f t="shared" si="26"/>
        <v/>
      </c>
      <c r="W266" s="163" t="str">
        <f t="shared" si="26"/>
        <v/>
      </c>
      <c r="X266" s="163" t="str">
        <f t="shared" si="26"/>
        <v/>
      </c>
      <c r="Y266" s="163" t="str">
        <f t="shared" si="26"/>
        <v/>
      </c>
      <c r="Z266" s="163" t="str">
        <f t="shared" si="26"/>
        <v/>
      </c>
      <c r="AA266" s="163" t="str">
        <f t="shared" si="26"/>
        <v/>
      </c>
      <c r="AB266" s="163" t="str">
        <f t="shared" si="26"/>
        <v/>
      </c>
      <c r="AC266" s="163" t="str">
        <f t="shared" si="26"/>
        <v/>
      </c>
      <c r="AD266" s="163" t="str">
        <f t="shared" si="26"/>
        <v/>
      </c>
      <c r="AE266" s="163" t="str">
        <f t="shared" si="26"/>
        <v/>
      </c>
      <c r="AF266" s="163" t="str">
        <f t="shared" si="26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27">IF(B234&lt;100,"",B234-1500)</f>
        <v/>
      </c>
      <c r="C267" s="163" t="str">
        <f t="shared" si="27"/>
        <v/>
      </c>
      <c r="D267" s="163" t="str">
        <f t="shared" si="27"/>
        <v/>
      </c>
      <c r="E267" s="163" t="str">
        <f t="shared" si="27"/>
        <v/>
      </c>
      <c r="F267" s="163" t="str">
        <f t="shared" si="27"/>
        <v/>
      </c>
      <c r="G267" s="163" t="str">
        <f t="shared" si="27"/>
        <v/>
      </c>
      <c r="H267" s="163" t="str">
        <f t="shared" si="27"/>
        <v/>
      </c>
      <c r="I267" s="163" t="str">
        <f t="shared" si="27"/>
        <v/>
      </c>
      <c r="J267" s="163" t="str">
        <f t="shared" si="27"/>
        <v/>
      </c>
      <c r="K267" s="163" t="str">
        <f t="shared" si="27"/>
        <v/>
      </c>
      <c r="L267" s="163" t="str">
        <f t="shared" si="27"/>
        <v/>
      </c>
      <c r="M267" s="163" t="str">
        <f t="shared" si="27"/>
        <v/>
      </c>
      <c r="N267" s="163" t="str">
        <f t="shared" si="27"/>
        <v/>
      </c>
      <c r="O267" s="163" t="str">
        <f t="shared" si="27"/>
        <v/>
      </c>
      <c r="P267" s="163" t="str">
        <f t="shared" si="27"/>
        <v/>
      </c>
      <c r="Q267" s="163" t="str">
        <f t="shared" si="27"/>
        <v/>
      </c>
      <c r="R267" s="163" t="str">
        <f t="shared" si="27"/>
        <v/>
      </c>
      <c r="S267" s="163" t="str">
        <f t="shared" si="27"/>
        <v/>
      </c>
      <c r="T267" s="163" t="str">
        <f t="shared" si="27"/>
        <v/>
      </c>
      <c r="U267" s="163" t="str">
        <f t="shared" si="27"/>
        <v/>
      </c>
      <c r="V267" s="163" t="str">
        <f t="shared" si="27"/>
        <v/>
      </c>
      <c r="W267" s="163" t="str">
        <f t="shared" si="27"/>
        <v/>
      </c>
      <c r="X267" s="163" t="str">
        <f t="shared" si="27"/>
        <v/>
      </c>
      <c r="Y267" s="163" t="str">
        <f t="shared" si="27"/>
        <v/>
      </c>
      <c r="Z267" s="163" t="str">
        <f t="shared" si="27"/>
        <v/>
      </c>
      <c r="AA267" s="163" t="str">
        <f t="shared" si="27"/>
        <v/>
      </c>
      <c r="AB267" s="163" t="str">
        <f t="shared" si="27"/>
        <v/>
      </c>
      <c r="AC267" s="163" t="str">
        <f t="shared" si="27"/>
        <v/>
      </c>
      <c r="AD267" s="163" t="str">
        <f t="shared" si="27"/>
        <v/>
      </c>
      <c r="AE267" s="163" t="str">
        <f t="shared" si="27"/>
        <v/>
      </c>
      <c r="AF267" s="163" t="str">
        <f t="shared" si="27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X11:AF41">
    <cfRule type="expression" dxfId="5568" priority="234">
      <formula>B$9&gt;=20/24</formula>
    </cfRule>
    <cfRule type="expression" dxfId="5567" priority="235">
      <formula>AND(B$9&gt;=14/24,B$9&lt;20/24)</formula>
    </cfRule>
    <cfRule type="expression" dxfId="5566" priority="236">
      <formula>AND(B$9&gt;=8/24,B$9&lt;14/24)</formula>
    </cfRule>
    <cfRule type="expression" dxfId="5565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X11:AF41">
    <cfRule type="expression" dxfId="5564" priority="232">
      <formula>X11&gt;$AG11</formula>
    </cfRule>
  </conditionalFormatting>
  <conditionalFormatting sqref="A95:A105 A55:A82 A91:A93 A198:A228 A42:A53 A114:A185 A38:A39 A87:A89 A84:A85 A107:A109 A35:A36 A17:A18 A11:A15 A20:A33">
    <cfRule type="expression" dxfId="5563" priority="231">
      <formula>$AH11=0</formula>
    </cfRule>
  </conditionalFormatting>
  <conditionalFormatting sqref="A110">
    <cfRule type="expression" dxfId="5562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5561" priority="228">
      <formula>$AH41=0</formula>
    </cfRule>
  </conditionalFormatting>
  <conditionalFormatting sqref="A94">
    <cfRule type="expression" dxfId="5560" priority="227">
      <formula>$AH94=0</formula>
    </cfRule>
  </conditionalFormatting>
  <conditionalFormatting sqref="A16">
    <cfRule type="expression" dxfId="5559" priority="226">
      <formula>$AH16=0</formula>
    </cfRule>
  </conditionalFormatting>
  <conditionalFormatting sqref="A192:A197">
    <cfRule type="expression" dxfId="5558" priority="225">
      <formula>$AH192=0</formula>
    </cfRule>
  </conditionalFormatting>
  <conditionalFormatting sqref="A186:A191">
    <cfRule type="expression" dxfId="5557" priority="224">
      <formula>$AH186=0</formula>
    </cfRule>
  </conditionalFormatting>
  <conditionalFormatting sqref="A54">
    <cfRule type="expression" dxfId="5556" priority="223">
      <formula>$AH54=0</formula>
    </cfRule>
  </conditionalFormatting>
  <conditionalFormatting sqref="A90">
    <cfRule type="expression" dxfId="5555" priority="222">
      <formula>$AH90=0</formula>
    </cfRule>
  </conditionalFormatting>
  <conditionalFormatting sqref="AD95:AF95 E95:X95">
    <cfRule type="expression" dxfId="5554" priority="218">
      <formula>E$9&gt;=20/24</formula>
    </cfRule>
    <cfRule type="expression" dxfId="5553" priority="219">
      <formula>AND(E$9&gt;=14/24,E$9&lt;20/24)</formula>
    </cfRule>
    <cfRule type="expression" dxfId="5552" priority="220">
      <formula>AND(E$9&gt;=8/24,E$9&lt;14/24)</formula>
    </cfRule>
    <cfRule type="expression" dxfId="5551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550" priority="240">
      <formula>C$9&gt;=20/24</formula>
    </cfRule>
    <cfRule type="expression" dxfId="5549" priority="241">
      <formula>AND(C$9&gt;=14/24,C$9&lt;20/24)</formula>
    </cfRule>
    <cfRule type="expression" dxfId="5548" priority="242">
      <formula>AND(C$9&gt;=8/24,C$9&lt;14/24)</formula>
    </cfRule>
    <cfRule type="expression" dxfId="5547" priority="243">
      <formula>C$9&lt;8/24</formula>
    </cfRule>
  </conditionalFormatting>
  <conditionalFormatting sqref="A229">
    <cfRule type="expression" dxfId="5546" priority="244">
      <formula>$AH229=0</formula>
    </cfRule>
  </conditionalFormatting>
  <conditionalFormatting sqref="AG241">
    <cfRule type="expression" dxfId="5545" priority="245">
      <formula>B$9&gt;=20/24</formula>
    </cfRule>
    <cfRule type="expression" dxfId="5544" priority="246">
      <formula>AND(B$9&gt;=14/24,B$9&lt;20/24)</formula>
    </cfRule>
    <cfRule type="expression" dxfId="5543" priority="247">
      <formula>AND(B$9&gt;=8/24,B$9&lt;14/24)</formula>
    </cfRule>
    <cfRule type="expression" dxfId="5542" priority="248">
      <formula>B$9&lt;8/24</formula>
    </cfRule>
  </conditionalFormatting>
  <conditionalFormatting sqref="S8">
    <cfRule type="expression" dxfId="5541" priority="213">
      <formula>U$9&gt;=20/24</formula>
    </cfRule>
    <cfRule type="expression" dxfId="5540" priority="214">
      <formula>AND(U$9&gt;=14/24,U$9&lt;20/24)</formula>
    </cfRule>
    <cfRule type="expression" dxfId="5539" priority="215">
      <formula>AND(U$9&gt;=8/24,U$9&lt;14/24)</formula>
    </cfRule>
    <cfRule type="expression" dxfId="5538" priority="216">
      <formula>U$9&lt;8/24</formula>
    </cfRule>
  </conditionalFormatting>
  <conditionalFormatting sqref="AB8">
    <cfRule type="expression" dxfId="5537" priority="209">
      <formula>AD$9&gt;=20/24</formula>
    </cfRule>
    <cfRule type="expression" dxfId="5536" priority="210">
      <formula>AND(AD$9&gt;=14/24,AD$9&lt;20/24)</formula>
    </cfRule>
    <cfRule type="expression" dxfId="5535" priority="211">
      <formula>AND(AD$9&gt;=8/24,AD$9&lt;14/24)</formula>
    </cfRule>
    <cfRule type="expression" dxfId="5534" priority="212">
      <formula>AD$9&lt;8/24</formula>
    </cfRule>
  </conditionalFormatting>
  <conditionalFormatting sqref="AH241:AX241">
    <cfRule type="expression" dxfId="5533" priority="249">
      <formula>AG$9&gt;=20/24</formula>
    </cfRule>
    <cfRule type="expression" dxfId="5532" priority="250">
      <formula>AND(AG$9&gt;=14/24,AG$9&lt;20/24)</formula>
    </cfRule>
    <cfRule type="expression" dxfId="5531" priority="251">
      <formula>AND(AG$9&gt;=8/24,AG$9&lt;14/24)</formula>
    </cfRule>
    <cfRule type="expression" dxfId="5530" priority="252">
      <formula>AG$9&lt;8/24</formula>
    </cfRule>
  </conditionalFormatting>
  <conditionalFormatting sqref="T241">
    <cfRule type="expression" dxfId="5529" priority="253">
      <formula>AX$9&gt;=20/24</formula>
    </cfRule>
    <cfRule type="expression" dxfId="5528" priority="254">
      <formula>AND(AX$9&gt;=14/24,AX$9&lt;20/24)</formula>
    </cfRule>
    <cfRule type="expression" dxfId="5527" priority="255">
      <formula>AND(AX$9&gt;=8/24,AX$9&lt;14/24)</formula>
    </cfRule>
    <cfRule type="expression" dxfId="5526" priority="256">
      <formula>AX$9&lt;8/24</formula>
    </cfRule>
  </conditionalFormatting>
  <conditionalFormatting sqref="A111:A112">
    <cfRule type="expression" dxfId="5525" priority="208">
      <formula>$AH111=0</formula>
    </cfRule>
  </conditionalFormatting>
  <conditionalFormatting sqref="M50:Q56 E67:AF67 AB50:AF51 V52:AF53">
    <cfRule type="expression" dxfId="5524" priority="204">
      <formula>E$9&gt;=20/24</formula>
    </cfRule>
    <cfRule type="expression" dxfId="5523" priority="205">
      <formula>AND(E$9&gt;=14/24,E$9&lt;20/24)</formula>
    </cfRule>
    <cfRule type="expression" dxfId="5522" priority="206">
      <formula>AND(E$9&gt;=8/24,E$9&lt;14/24)</formula>
    </cfRule>
    <cfRule type="expression" dxfId="5521" priority="207">
      <formula>E$9&lt;8/24</formula>
    </cfRule>
  </conditionalFormatting>
  <conditionalFormatting sqref="M49:Q49 AB49:AF49">
    <cfRule type="expression" dxfId="5520" priority="200">
      <formula>M$9&gt;=20/24</formula>
    </cfRule>
    <cfRule type="expression" dxfId="5519" priority="201">
      <formula>AND(M$9&gt;=14/24,M$9&lt;20/24)</formula>
    </cfRule>
    <cfRule type="expression" dxfId="5518" priority="202">
      <formula>AND(M$9&gt;=8/24,M$9&lt;14/24)</formula>
    </cfRule>
    <cfRule type="expression" dxfId="5517" priority="203">
      <formula>M$9&lt;8/24</formula>
    </cfRule>
  </conditionalFormatting>
  <conditionalFormatting sqref="M49:Q56 AB49:AF51 V52:AF53">
    <cfRule type="expression" dxfId="5516" priority="199">
      <formula>M49&gt;$AG49</formula>
    </cfRule>
  </conditionalFormatting>
  <conditionalFormatting sqref="D82:AF82 X43:AF43 X92:AF92 AD96:AF102 M96:X102 E68:W69 X68:AF70 AC63:AF65">
    <cfRule type="expression" dxfId="5515" priority="195">
      <formula>D$9&gt;=20/24</formula>
    </cfRule>
    <cfRule type="expression" dxfId="5514" priority="196">
      <formula>AND(D$9&gt;=14/24,D$9&lt;20/24)</formula>
    </cfRule>
    <cfRule type="expression" dxfId="5513" priority="197">
      <formula>AND(D$9&gt;=8/24,D$9&lt;14/24)</formula>
    </cfRule>
    <cfRule type="expression" dxfId="5512" priority="198">
      <formula>D$9&lt;8/24</formula>
    </cfRule>
  </conditionalFormatting>
  <conditionalFormatting sqref="X43:AF43 AC63:AF65">
    <cfRule type="expression" dxfId="5511" priority="194">
      <formula>X43&gt;$AG43</formula>
    </cfRule>
  </conditionalFormatting>
  <conditionalFormatting sqref="U52:U53 R49:T53 R54:V56 W55:W56 U49:AA51">
    <cfRule type="expression" dxfId="5510" priority="190">
      <formula>R$9&gt;=20/24</formula>
    </cfRule>
    <cfRule type="expression" dxfId="5509" priority="191">
      <formula>AND(R$9&gt;=14/24,R$9&lt;20/24)</formula>
    </cfRule>
    <cfRule type="expression" dxfId="5508" priority="192">
      <formula>AND(R$9&gt;=8/24,R$9&lt;14/24)</formula>
    </cfRule>
    <cfRule type="expression" dxfId="5507" priority="193">
      <formula>R$9&lt;8/24</formula>
    </cfRule>
  </conditionalFormatting>
  <conditionalFormatting sqref="U52:U53 R49:T53 R54:V56 W55:W56 U49:AA51">
    <cfRule type="expression" dxfId="5506" priority="189">
      <formula>R49&gt;$AG49</formula>
    </cfRule>
  </conditionalFormatting>
  <conditionalFormatting sqref="C93:AF93 C84:AF84">
    <cfRule type="expression" dxfId="5505" priority="185">
      <formula>C$9&gt;=20/24</formula>
    </cfRule>
    <cfRule type="expression" dxfId="5504" priority="186">
      <formula>AND(C$9&gt;=14/24,C$9&lt;20/24)</formula>
    </cfRule>
    <cfRule type="expression" dxfId="5503" priority="187">
      <formula>AND(C$9&gt;=8/24,C$9&lt;14/24)</formula>
    </cfRule>
    <cfRule type="expression" dxfId="5502" priority="188">
      <formula>C$9&lt;8/24</formula>
    </cfRule>
  </conditionalFormatting>
  <conditionalFormatting sqref="T43:W43">
    <cfRule type="expression" dxfId="5501" priority="181">
      <formula>T$9&gt;=20/24</formula>
    </cfRule>
    <cfRule type="expression" dxfId="5500" priority="182">
      <formula>AND(T$9&gt;=14/24,T$9&lt;20/24)</formula>
    </cfRule>
    <cfRule type="expression" dxfId="5499" priority="183">
      <formula>AND(T$9&gt;=8/24,T$9&lt;14/24)</formula>
    </cfRule>
    <cfRule type="expression" dxfId="5498" priority="184">
      <formula>T$9&lt;8/24</formula>
    </cfRule>
  </conditionalFormatting>
  <conditionalFormatting sqref="T43:W43">
    <cfRule type="expression" dxfId="5497" priority="180">
      <formula>T43&gt;$AG43</formula>
    </cfRule>
  </conditionalFormatting>
  <conditionalFormatting sqref="E50:L51 X42:AF42">
    <cfRule type="expression" dxfId="5496" priority="176">
      <formula>E$9&gt;=20/24</formula>
    </cfRule>
    <cfRule type="expression" dxfId="5495" priority="177">
      <formula>AND(E$9&gt;=14/24,E$9&lt;20/24)</formula>
    </cfRule>
    <cfRule type="expression" dxfId="5494" priority="178">
      <formula>AND(E$9&gt;=8/24,E$9&lt;14/24)</formula>
    </cfRule>
    <cfRule type="expression" dxfId="5493" priority="179">
      <formula>E$9&lt;8/24</formula>
    </cfRule>
  </conditionalFormatting>
  <conditionalFormatting sqref="E49:L49">
    <cfRule type="expression" dxfId="5492" priority="172">
      <formula>E$9&gt;=20/24</formula>
    </cfRule>
    <cfRule type="expression" dxfId="5491" priority="173">
      <formula>AND(E$9&gt;=14/24,E$9&lt;20/24)</formula>
    </cfRule>
    <cfRule type="expression" dxfId="5490" priority="174">
      <formula>AND(E$9&gt;=8/24,E$9&lt;14/24)</formula>
    </cfRule>
    <cfRule type="expression" dxfId="5489" priority="175">
      <formula>E$9&lt;8/24</formula>
    </cfRule>
  </conditionalFormatting>
  <conditionalFormatting sqref="E49:L51 X42:AF42">
    <cfRule type="expression" dxfId="5488" priority="171">
      <formula>E42&gt;$AG42</formula>
    </cfRule>
  </conditionalFormatting>
  <conditionalFormatting sqref="AG66 AG83 E96:L102 R63:AB65">
    <cfRule type="expression" dxfId="5487" priority="167">
      <formula>E$9&gt;=20/24</formula>
    </cfRule>
    <cfRule type="expression" dxfId="5486" priority="168">
      <formula>AND(E$9&gt;=14/24,E$9&lt;20/24)</formula>
    </cfRule>
    <cfRule type="expression" dxfId="5485" priority="169">
      <formula>AND(E$9&gt;=8/24,E$9&lt;14/24)</formula>
    </cfRule>
    <cfRule type="expression" dxfId="5484" priority="170">
      <formula>E$9&lt;8/24</formula>
    </cfRule>
  </conditionalFormatting>
  <conditionalFormatting sqref="AG44 AG62 AG66 R63:AB65">
    <cfRule type="expression" dxfId="5483" priority="166">
      <formula>R44&gt;$AG44</formula>
    </cfRule>
  </conditionalFormatting>
  <conditionalFormatting sqref="X54:AF54">
    <cfRule type="expression" dxfId="5482" priority="162">
      <formula>X$9&gt;=20/24</formula>
    </cfRule>
    <cfRule type="expression" dxfId="5481" priority="163">
      <formula>AND(X$9&gt;=14/24,X$9&lt;20/24)</formula>
    </cfRule>
    <cfRule type="expression" dxfId="5480" priority="164">
      <formula>AND(X$9&gt;=8/24,X$9&lt;14/24)</formula>
    </cfRule>
    <cfRule type="expression" dxfId="5479" priority="165">
      <formula>X$9&lt;8/24</formula>
    </cfRule>
  </conditionalFormatting>
  <conditionalFormatting sqref="X54:AF54">
    <cfRule type="expression" dxfId="5478" priority="161">
      <formula>X54&gt;$AG54</formula>
    </cfRule>
  </conditionalFormatting>
  <conditionalFormatting sqref="A40">
    <cfRule type="expression" dxfId="5477" priority="160">
      <formula>$AH40=0</formula>
    </cfRule>
  </conditionalFormatting>
  <conditionalFormatting sqref="X87:AF91">
    <cfRule type="expression" dxfId="5476" priority="156">
      <formula>X$9&gt;=20/24</formula>
    </cfRule>
    <cfRule type="expression" dxfId="5475" priority="157">
      <formula>AND(X$9&gt;=14/24,X$9&lt;20/24)</formula>
    </cfRule>
    <cfRule type="expression" dxfId="5474" priority="158">
      <formula>AND(X$9&gt;=8/24,X$9&lt;14/24)</formula>
    </cfRule>
    <cfRule type="expression" dxfId="5473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5472" priority="152">
      <formula>E$9&gt;=20/24</formula>
    </cfRule>
    <cfRule type="expression" dxfId="5471" priority="153">
      <formula>AND(E$9&gt;=14/24,E$9&lt;20/24)</formula>
    </cfRule>
    <cfRule type="expression" dxfId="5470" priority="154">
      <formula>AND(E$9&gt;=8/24,E$9&lt;14/24)</formula>
    </cfRule>
    <cfRule type="expression" dxfId="5469" priority="155">
      <formula>E$9&lt;8/24</formula>
    </cfRule>
  </conditionalFormatting>
  <conditionalFormatting sqref="E45:AF47">
    <cfRule type="expression" dxfId="5468" priority="151">
      <formula>E45&gt;$AG45</formula>
    </cfRule>
  </conditionalFormatting>
  <conditionalFormatting sqref="AG48">
    <cfRule type="expression" dxfId="5467" priority="147">
      <formula>AG$9&gt;=20/24</formula>
    </cfRule>
    <cfRule type="expression" dxfId="5466" priority="148">
      <formula>AND(AG$9&gt;=14/24,AG$9&lt;20/24)</formula>
    </cfRule>
    <cfRule type="expression" dxfId="5465" priority="149">
      <formula>AND(AG$9&gt;=8/24,AG$9&lt;14/24)</formula>
    </cfRule>
    <cfRule type="expression" dxfId="5464" priority="150">
      <formula>AG$9&lt;8/24</formula>
    </cfRule>
  </conditionalFormatting>
  <conditionalFormatting sqref="AG48">
    <cfRule type="expression" dxfId="5463" priority="146">
      <formula>AG48&gt;$AG48</formula>
    </cfRule>
  </conditionalFormatting>
  <conditionalFormatting sqref="C103:AF103">
    <cfRule type="expression" dxfId="5462" priority="142">
      <formula>C$9&gt;=20/24</formula>
    </cfRule>
    <cfRule type="expression" dxfId="5461" priority="143">
      <formula>AND(C$9&gt;=14/24,C$9&lt;20/24)</formula>
    </cfRule>
    <cfRule type="expression" dxfId="5460" priority="144">
      <formula>AND(C$9&gt;=8/24,C$9&lt;14/24)</formula>
    </cfRule>
    <cfRule type="expression" dxfId="5459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458" priority="140">
      <formula>$AH37=0</formula>
    </cfRule>
  </conditionalFormatting>
  <conditionalFormatting sqref="A86">
    <cfRule type="expression" dxfId="5457" priority="138">
      <formula>$AH86=0</formula>
    </cfRule>
  </conditionalFormatting>
  <conditionalFormatting sqref="A83">
    <cfRule type="expression" dxfId="5456" priority="139">
      <formula>$AH83=0</formula>
    </cfRule>
  </conditionalFormatting>
  <conditionalFormatting sqref="A113">
    <cfRule type="expression" dxfId="5455" priority="129">
      <formula>$AH113=0</formula>
    </cfRule>
  </conditionalFormatting>
  <conditionalFormatting sqref="D106:AF106">
    <cfRule type="expression" dxfId="5454" priority="125">
      <formula>D$9&gt;=20/24</formula>
    </cfRule>
    <cfRule type="expression" dxfId="5453" priority="126">
      <formula>AND(D$9&gt;=14/24,D$9&lt;20/24)</formula>
    </cfRule>
    <cfRule type="expression" dxfId="5452" priority="127">
      <formula>AND(D$9&gt;=8/24,D$9&lt;14/24)</formula>
    </cfRule>
    <cfRule type="expression" dxfId="5451" priority="128">
      <formula>D$9&lt;8/24</formula>
    </cfRule>
  </conditionalFormatting>
  <conditionalFormatting sqref="A106">
    <cfRule type="expression" dxfId="5450" priority="124">
      <formula>$AH106=0</formula>
    </cfRule>
  </conditionalFormatting>
  <conditionalFormatting sqref="A19">
    <cfRule type="expression" dxfId="5449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448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5447" priority="116">
      <formula>Y$9&gt;=20/24</formula>
    </cfRule>
    <cfRule type="expression" dxfId="5446" priority="117">
      <formula>AND(Y$9&gt;=14/24,Y$9&lt;20/24)</formula>
    </cfRule>
    <cfRule type="expression" dxfId="5445" priority="118">
      <formula>AND(Y$9&gt;=8/24,Y$9&lt;14/24)</formula>
    </cfRule>
    <cfRule type="expression" dxfId="5444" priority="119">
      <formula>Y$9&lt;8/24</formula>
    </cfRule>
  </conditionalFormatting>
  <conditionalFormatting sqref="Y96:AC102">
    <cfRule type="expression" dxfId="5443" priority="112">
      <formula>Y$9&gt;=20/24</formula>
    </cfRule>
    <cfRule type="expression" dxfId="5442" priority="113">
      <formula>AND(Y$9&gt;=14/24,Y$9&lt;20/24)</formula>
    </cfRule>
    <cfRule type="expression" dxfId="5441" priority="114">
      <formula>AND(Y$9&gt;=8/24,Y$9&lt;14/24)</formula>
    </cfRule>
    <cfRule type="expression" dxfId="5440" priority="115">
      <formula>Y$9&lt;8/24</formula>
    </cfRule>
  </conditionalFormatting>
  <conditionalFormatting sqref="B105:C105 B107:C112 B15:W40">
    <cfRule type="expression" dxfId="5439" priority="108">
      <formula>B$9&gt;=20/24</formula>
    </cfRule>
    <cfRule type="expression" dxfId="5438" priority="109">
      <formula>AND(B$9&gt;=14/24,B$9&lt;20/24)</formula>
    </cfRule>
    <cfRule type="expression" dxfId="5437" priority="110">
      <formula>AND(B$9&gt;=8/24,B$9&lt;14/24)</formula>
    </cfRule>
    <cfRule type="expression" dxfId="5436" priority="111">
      <formula>B$9&lt;8/24</formula>
    </cfRule>
  </conditionalFormatting>
  <conditionalFormatting sqref="B43:S43">
    <cfRule type="expression" dxfId="5435" priority="104">
      <formula>B$9&gt;=20/24</formula>
    </cfRule>
    <cfRule type="expression" dxfId="5434" priority="105">
      <formula>AND(B$9&gt;=14/24,B$9&lt;20/24)</formula>
    </cfRule>
    <cfRule type="expression" dxfId="5433" priority="106">
      <formula>AND(B$9&gt;=8/24,B$9&lt;14/24)</formula>
    </cfRule>
    <cfRule type="expression" dxfId="5432" priority="107">
      <formula>B$9&lt;8/24</formula>
    </cfRule>
  </conditionalFormatting>
  <conditionalFormatting sqref="B43:S43 B15:W40">
    <cfRule type="expression" dxfId="5431" priority="103">
      <formula>B15&gt;$AG15</formula>
    </cfRule>
  </conditionalFormatting>
  <conditionalFormatting sqref="B95:D95">
    <cfRule type="expression" dxfId="5430" priority="99">
      <formula>B$9&gt;=20/24</formula>
    </cfRule>
    <cfRule type="expression" dxfId="5429" priority="100">
      <formula>AND(B$9&gt;=14/24,B$9&lt;20/24)</formula>
    </cfRule>
    <cfRule type="expression" dxfId="5428" priority="101">
      <formula>AND(B$9&gt;=8/24,B$9&lt;14/24)</formula>
    </cfRule>
    <cfRule type="expression" dxfId="5427" priority="102">
      <formula>B$9&lt;8/24</formula>
    </cfRule>
  </conditionalFormatting>
  <conditionalFormatting sqref="B67:D67 B50:D51">
    <cfRule type="expression" dxfId="5426" priority="95">
      <formula>B$9&gt;=20/24</formula>
    </cfRule>
    <cfRule type="expression" dxfId="5425" priority="96">
      <formula>AND(B$9&gt;=14/24,B$9&lt;20/24)</formula>
    </cfRule>
    <cfRule type="expression" dxfId="5424" priority="97">
      <formula>AND(B$9&gt;=8/24,B$9&lt;14/24)</formula>
    </cfRule>
    <cfRule type="expression" dxfId="5423" priority="98">
      <formula>B$9&lt;8/24</formula>
    </cfRule>
  </conditionalFormatting>
  <conditionalFormatting sqref="B49:D49">
    <cfRule type="expression" dxfId="5422" priority="91">
      <formula>B$9&gt;=20/24</formula>
    </cfRule>
    <cfRule type="expression" dxfId="5421" priority="92">
      <formula>AND(B$9&gt;=14/24,B$9&lt;20/24)</formula>
    </cfRule>
    <cfRule type="expression" dxfId="5420" priority="93">
      <formula>AND(B$9&gt;=8/24,B$9&lt;14/24)</formula>
    </cfRule>
    <cfRule type="expression" dxfId="5419" priority="94">
      <formula>B$9&lt;8/24</formula>
    </cfRule>
  </conditionalFormatting>
  <conditionalFormatting sqref="B49:D51">
    <cfRule type="expression" dxfId="5418" priority="90">
      <formula>B49&gt;$AG49</formula>
    </cfRule>
  </conditionalFormatting>
  <conditionalFormatting sqref="B82:C82 B96:D102 B92:W92 B79:AF81 B68:D72 B63:Q65 E70:W72 X71:AF72">
    <cfRule type="expression" dxfId="5417" priority="86">
      <formula>B$9&gt;=20/24</formula>
    </cfRule>
    <cfRule type="expression" dxfId="5416" priority="87">
      <formula>AND(B$9&gt;=14/24,B$9&lt;20/24)</formula>
    </cfRule>
    <cfRule type="expression" dxfId="5415" priority="88">
      <formula>AND(B$9&gt;=8/24,B$9&lt;14/24)</formula>
    </cfRule>
    <cfRule type="expression" dxfId="5414" priority="89">
      <formula>B$9&lt;8/24</formula>
    </cfRule>
  </conditionalFormatting>
  <conditionalFormatting sqref="B52:L53 B63:Q65">
    <cfRule type="expression" dxfId="5413" priority="85">
      <formula>B52&gt;$AG52</formula>
    </cfRule>
  </conditionalFormatting>
  <conditionalFormatting sqref="B54:L54 W54">
    <cfRule type="expression" dxfId="5412" priority="81">
      <formula>B$9&gt;=20/24</formula>
    </cfRule>
    <cfRule type="expression" dxfId="5411" priority="82">
      <formula>AND(B$9&gt;=14/24,B$9&lt;20/24)</formula>
    </cfRule>
    <cfRule type="expression" dxfId="5410" priority="83">
      <formula>AND(B$9&gt;=8/24,B$9&lt;14/24)</formula>
    </cfRule>
    <cfRule type="expression" dxfId="5409" priority="84">
      <formula>B$9&lt;8/24</formula>
    </cfRule>
  </conditionalFormatting>
  <conditionalFormatting sqref="B54:L54 W54">
    <cfRule type="expression" dxfId="5408" priority="80">
      <formula>B54&gt;$AG54</formula>
    </cfRule>
  </conditionalFormatting>
  <conditionalFormatting sqref="B84 B93">
    <cfRule type="expression" dxfId="5407" priority="76">
      <formula>B$9&gt;=20/24</formula>
    </cfRule>
    <cfRule type="expression" dxfId="5406" priority="77">
      <formula>AND(B$9&gt;=14/24,B$9&lt;20/24)</formula>
    </cfRule>
    <cfRule type="expression" dxfId="5405" priority="78">
      <formula>AND(B$9&gt;=8/24,B$9&lt;14/24)</formula>
    </cfRule>
    <cfRule type="expression" dxfId="5404" priority="79">
      <formula>B$9&lt;8/24</formula>
    </cfRule>
  </conditionalFormatting>
  <conditionalFormatting sqref="B42:W42">
    <cfRule type="expression" dxfId="5403" priority="72">
      <formula>B$9&gt;=20/24</formula>
    </cfRule>
    <cfRule type="expression" dxfId="5402" priority="73">
      <formula>AND(B$9&gt;=14/24,B$9&lt;20/24)</formula>
    </cfRule>
    <cfRule type="expression" dxfId="5401" priority="74">
      <formula>AND(B$9&gt;=8/24,B$9&lt;14/24)</formula>
    </cfRule>
    <cfRule type="expression" dxfId="5400" priority="75">
      <formula>B$9&lt;8/24</formula>
    </cfRule>
  </conditionalFormatting>
  <conditionalFormatting sqref="B42:W42">
    <cfRule type="expression" dxfId="5399" priority="71">
      <formula>B42&gt;$AG42</formula>
    </cfRule>
  </conditionalFormatting>
  <conditionalFormatting sqref="B94:AF94 B66:AF66 B83:AF83 B85:AF85">
    <cfRule type="expression" dxfId="5398" priority="67">
      <formula>B$9&gt;=20/24</formula>
    </cfRule>
    <cfRule type="expression" dxfId="5397" priority="68">
      <formula>AND(B$9&gt;=14/24,B$9&lt;20/24)</formula>
    </cfRule>
    <cfRule type="expression" dxfId="5396" priority="69">
      <formula>AND(B$9&gt;=8/24,B$9&lt;14/24)</formula>
    </cfRule>
    <cfRule type="expression" dxfId="5395" priority="70">
      <formula>B$9&lt;8/24</formula>
    </cfRule>
  </conditionalFormatting>
  <conditionalFormatting sqref="B44:AF44 B61:AF62 B66:AF66">
    <cfRule type="expression" dxfId="5394" priority="66">
      <formula>B44&gt;$AG44</formula>
    </cfRule>
  </conditionalFormatting>
  <conditionalFormatting sqref="B78:AF78">
    <cfRule type="expression" dxfId="5393" priority="62">
      <formula>B$9&gt;=20/24</formula>
    </cfRule>
    <cfRule type="expression" dxfId="5392" priority="63">
      <formula>AND(B$9&gt;=14/24,B$9&lt;20/24)</formula>
    </cfRule>
    <cfRule type="expression" dxfId="5391" priority="64">
      <formula>AND(B$9&gt;=8/24,B$9&lt;14/24)</formula>
    </cfRule>
    <cfRule type="expression" dxfId="5390" priority="65">
      <formula>B$9&lt;8/24</formula>
    </cfRule>
  </conditionalFormatting>
  <conditionalFormatting sqref="B87:W91">
    <cfRule type="expression" dxfId="5389" priority="58">
      <formula>B$9&gt;=20/24</formula>
    </cfRule>
    <cfRule type="expression" dxfId="5388" priority="59">
      <formula>AND(B$9&gt;=14/24,B$9&lt;20/24)</formula>
    </cfRule>
    <cfRule type="expression" dxfId="5387" priority="60">
      <formula>AND(B$9&gt;=8/24,B$9&lt;14/24)</formula>
    </cfRule>
    <cfRule type="expression" dxfId="5386" priority="61">
      <formula>B$9&lt;8/24</formula>
    </cfRule>
  </conditionalFormatting>
  <conditionalFormatting sqref="B45:D47">
    <cfRule type="expression" dxfId="5385" priority="54">
      <formula>B$9&gt;=20/24</formula>
    </cfRule>
    <cfRule type="expression" dxfId="5384" priority="55">
      <formula>AND(B$9&gt;=14/24,B$9&lt;20/24)</formula>
    </cfRule>
    <cfRule type="expression" dxfId="5383" priority="56">
      <formula>AND(B$9&gt;=8/24,B$9&lt;14/24)</formula>
    </cfRule>
    <cfRule type="expression" dxfId="5382" priority="57">
      <formula>B$9&lt;8/24</formula>
    </cfRule>
  </conditionalFormatting>
  <conditionalFormatting sqref="B45:D47">
    <cfRule type="expression" dxfId="5381" priority="53">
      <formula>B45&gt;$AG45</formula>
    </cfRule>
  </conditionalFormatting>
  <conditionalFormatting sqref="B48:AF48">
    <cfRule type="expression" dxfId="5380" priority="49">
      <formula>B$9&gt;=20/24</formula>
    </cfRule>
    <cfRule type="expression" dxfId="5379" priority="50">
      <formula>AND(B$9&gt;=14/24,B$9&lt;20/24)</formula>
    </cfRule>
    <cfRule type="expression" dxfId="5378" priority="51">
      <formula>AND(B$9&gt;=8/24,B$9&lt;14/24)</formula>
    </cfRule>
    <cfRule type="expression" dxfId="5377" priority="52">
      <formula>B$9&lt;8/24</formula>
    </cfRule>
  </conditionalFormatting>
  <conditionalFormatting sqref="B48:AF48">
    <cfRule type="expression" dxfId="5376" priority="48">
      <formula>B48&gt;$AG48</formula>
    </cfRule>
  </conditionalFormatting>
  <conditionalFormatting sqref="B103">
    <cfRule type="expression" dxfId="5375" priority="44">
      <formula>B$9&gt;=20/24</formula>
    </cfRule>
    <cfRule type="expression" dxfId="5374" priority="45">
      <formula>AND(B$9&gt;=14/24,B$9&lt;20/24)</formula>
    </cfRule>
    <cfRule type="expression" dxfId="5373" priority="46">
      <formula>AND(B$9&gt;=8/24,B$9&lt;14/24)</formula>
    </cfRule>
    <cfRule type="expression" dxfId="5372" priority="47">
      <formula>B$9&lt;8/24</formula>
    </cfRule>
  </conditionalFormatting>
  <conditionalFormatting sqref="B106:C106">
    <cfRule type="expression" dxfId="5371" priority="32">
      <formula>B$9&gt;=20/24</formula>
    </cfRule>
    <cfRule type="expression" dxfId="5370" priority="33">
      <formula>AND(B$9&gt;=14/24,B$9&lt;20/24)</formula>
    </cfRule>
    <cfRule type="expression" dxfId="5369" priority="34">
      <formula>AND(B$9&gt;=8/24,B$9&lt;14/24)</formula>
    </cfRule>
    <cfRule type="expression" dxfId="5368" priority="35">
      <formula>B$9&lt;8/24</formula>
    </cfRule>
  </conditionalFormatting>
  <conditionalFormatting sqref="B55:L56 B57:W60 X55:AF60">
    <cfRule type="expression" dxfId="5367" priority="28">
      <formula>B$9&gt;=20/24</formula>
    </cfRule>
    <cfRule type="expression" dxfId="5366" priority="29">
      <formula>AND(B$9&gt;=14/24,B$9&lt;20/24)</formula>
    </cfRule>
    <cfRule type="expression" dxfId="5365" priority="30">
      <formula>AND(B$9&gt;=8/24,B$9&lt;14/24)</formula>
    </cfRule>
    <cfRule type="expression" dxfId="5364" priority="31">
      <formula>B$9&lt;8/24</formula>
    </cfRule>
  </conditionalFormatting>
  <conditionalFormatting sqref="B55:L56 B57:W60 X55:AF60">
    <cfRule type="expression" dxfId="5363" priority="27">
      <formula>B55&gt;$AG55</formula>
    </cfRule>
  </conditionalFormatting>
  <conditionalFormatting sqref="B12:W14 B41:W41">
    <cfRule type="expression" dxfId="5362" priority="26">
      <formula>B12&gt;$AG12</formula>
    </cfRule>
  </conditionalFormatting>
  <conditionalFormatting sqref="B11:W11">
    <cfRule type="expression" dxfId="5361" priority="22">
      <formula>B$9&gt;=20/24</formula>
    </cfRule>
    <cfRule type="expression" dxfId="5360" priority="23">
      <formula>AND(B$9&gt;=14/24,B$9&lt;20/24)</formula>
    </cfRule>
    <cfRule type="expression" dxfId="5359" priority="24">
      <formula>AND(B$9&gt;=8/24,B$9&lt;14/24)</formula>
    </cfRule>
    <cfRule type="expression" dxfId="5358" priority="25">
      <formula>B$9&lt;8/24</formula>
    </cfRule>
  </conditionalFormatting>
  <conditionalFormatting sqref="B11:W11">
    <cfRule type="expression" dxfId="5357" priority="21">
      <formula>B11&gt;$AG11</formula>
    </cfRule>
  </conditionalFormatting>
  <conditionalFormatting sqref="B12:W14">
    <cfRule type="expression" dxfId="5356" priority="17">
      <formula>B$9&gt;=20/24</formula>
    </cfRule>
    <cfRule type="expression" dxfId="5355" priority="18">
      <formula>AND(B$9&gt;=14/24,B$9&lt;20/24)</formula>
    </cfRule>
    <cfRule type="expression" dxfId="5354" priority="19">
      <formula>AND(B$9&gt;=8/24,B$9&lt;14/24)</formula>
    </cfRule>
    <cfRule type="expression" dxfId="5353" priority="20">
      <formula>B$9&lt;8/24</formula>
    </cfRule>
  </conditionalFormatting>
  <conditionalFormatting sqref="B41:W41">
    <cfRule type="expression" dxfId="5352" priority="13">
      <formula>B$9&gt;=20/24</formula>
    </cfRule>
    <cfRule type="expression" dxfId="5351" priority="14">
      <formula>AND(B$9&gt;=14/24,B$9&lt;20/24)</formula>
    </cfRule>
    <cfRule type="expression" dxfId="5350" priority="15">
      <formula>AND(B$9&gt;=8/24,B$9&lt;14/24)</formula>
    </cfRule>
    <cfRule type="expression" dxfId="5349" priority="16">
      <formula>B$9&lt;8/24</formula>
    </cfRule>
  </conditionalFormatting>
  <conditionalFormatting sqref="B73:AF77">
    <cfRule type="expression" dxfId="5348" priority="9">
      <formula>B$9&gt;=20/24</formula>
    </cfRule>
    <cfRule type="expression" dxfId="5347" priority="10">
      <formula>AND(B$9&gt;=14/24,B$9&lt;20/24)</formula>
    </cfRule>
    <cfRule type="expression" dxfId="5346" priority="11">
      <formula>AND(B$9&gt;=8/24,B$9&lt;14/24)</formula>
    </cfRule>
    <cfRule type="expression" dxfId="5345" priority="12">
      <formula>B$9&lt;8/24</formula>
    </cfRule>
  </conditionalFormatting>
  <conditionalFormatting sqref="AL74:AN74 AL80:AN80 AN75:AN76">
    <cfRule type="expression" dxfId="5344" priority="5">
      <formula>AL$9&gt;=20/24</formula>
    </cfRule>
    <cfRule type="expression" dxfId="5343" priority="6">
      <formula>AND(AL$9&gt;=14/24,AL$9&lt;20/24)</formula>
    </cfRule>
    <cfRule type="expression" dxfId="5342" priority="7">
      <formula>AND(AL$9&gt;=8/24,AL$9&lt;14/24)</formula>
    </cfRule>
    <cfRule type="expression" dxfId="5341" priority="8">
      <formula>AL$9&lt;8/24</formula>
    </cfRule>
  </conditionalFormatting>
  <conditionalFormatting sqref="AN77:AN78">
    <cfRule type="expression" dxfId="5340" priority="1">
      <formula>AN$9&gt;=20/24</formula>
    </cfRule>
    <cfRule type="expression" dxfId="5339" priority="2">
      <formula>AND(AN$9&gt;=14/24,AN$9&lt;20/24)</formula>
    </cfRule>
    <cfRule type="expression" dxfId="5338" priority="3">
      <formula>AND(AN$9&gt;=8/24,AN$9&lt;14/24)</formula>
    </cfRule>
    <cfRule type="expression" dxfId="5337" priority="4">
      <formula>AN$9&lt;8/24</formula>
    </cfRule>
  </conditionalFormatting>
  <conditionalFormatting sqref="AL75:AM79">
    <cfRule type="expression" dxfId="5336" priority="258">
      <formula>AJ$9&gt;=20/24</formula>
    </cfRule>
    <cfRule type="expression" dxfId="5335" priority="259">
      <formula>AND(AJ$9&gt;=14/24,AJ$9&lt;20/24)</formula>
    </cfRule>
    <cfRule type="expression" dxfId="5334" priority="260">
      <formula>AND(AJ$9&gt;=8/24,AJ$9&lt;14/24)</formula>
    </cfRule>
    <cfRule type="expression" dxfId="5333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5F104656-EDAC-466F-BB7A-697116EC0D4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1880A879-8C1D-4971-BB32-B7979930C40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AB1D2D06-416F-423D-8FA9-C9067F1C336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C933B266-0080-42DD-8D50-F2BAA104A50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A9DC8176-7E86-404D-9055-11A5E33805F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388EA4C8-3DCE-4878-89A3-2045E1484D1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F6C15A77-D553-414B-A71B-25244589E8F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C9A436D1-F39C-4856-BDDD-EADAA36CE2A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9D675A5D-5F2A-40A7-9264-6F44D7C44BF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A4830619-2831-44F3-BC45-34DD693CBCA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7358852E-0DE1-4FC7-A49E-2806E7A0E9B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98F92146-8259-46DD-AE97-5AA8AA97717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83CF0E8E-8437-4FB7-9FB5-5BE9A71D9B6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AB19E65A-46BD-4ECD-AB5D-11492103C1A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45A6A2CA-41D2-48ED-A370-E25CFADA55A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B09FCF31-2DA4-4FA3-A2F3-BB6C660A04E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J274"/>
  <sheetViews>
    <sheetView zoomScaleNormal="100" workbookViewId="0">
      <pane ySplit="10" topLeftCell="A11" activePane="bottomLeft" state="frozen"/>
      <selection pane="bottomLeft" activeCell="G22" sqref="G2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2079/09/21</v>
      </c>
      <c r="C4" s="197"/>
      <c r="D4" s="197"/>
      <c r="E4" s="198" t="str">
        <f ca="1">"2079/"&amp;"09/"&amp;INT(MID(CELL("filename",G6),FIND("]",CELL("filename",G6))+1,200))</f>
        <v>2079/09/21</v>
      </c>
      <c r="F4" s="198"/>
      <c r="G4" s="198"/>
      <c r="H4" s="198" t="str">
        <f ca="1">TEXT(E4,"dddd")</f>
        <v>Thursday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376</v>
      </c>
      <c r="C5" s="30">
        <f t="shared" si="0"/>
        <v>366</v>
      </c>
      <c r="D5" s="30">
        <f t="shared" si="0"/>
        <v>356</v>
      </c>
      <c r="E5" s="30">
        <f t="shared" si="0"/>
        <v>352</v>
      </c>
      <c r="F5" s="30">
        <f t="shared" si="0"/>
        <v>428</v>
      </c>
      <c r="G5" s="30">
        <f t="shared" si="0"/>
        <v>482</v>
      </c>
      <c r="H5" s="30">
        <f t="shared" si="0"/>
        <v>444.8</v>
      </c>
      <c r="I5" s="30">
        <f t="shared" si="0"/>
        <v>413</v>
      </c>
      <c r="J5" s="30">
        <f t="shared" si="0"/>
        <v>247</v>
      </c>
      <c r="K5" s="30">
        <f t="shared" si="0"/>
        <v>153</v>
      </c>
      <c r="L5" s="30">
        <f t="shared" si="0"/>
        <v>158.30000000000001</v>
      </c>
      <c r="M5" s="30">
        <f t="shared" si="0"/>
        <v>169.1</v>
      </c>
      <c r="N5" s="30">
        <f t="shared" si="0"/>
        <v>175.4</v>
      </c>
      <c r="O5" s="30">
        <f t="shared" si="0"/>
        <v>279.2</v>
      </c>
      <c r="P5" s="30">
        <f t="shared" si="0"/>
        <v>489.3</v>
      </c>
      <c r="Q5" s="30">
        <f t="shared" si="0"/>
        <v>477.59999999999997</v>
      </c>
      <c r="R5" s="30">
        <f t="shared" si="0"/>
        <v>527.19999999999993</v>
      </c>
      <c r="S5" s="30">
        <f t="shared" si="0"/>
        <v>516.20000000000005</v>
      </c>
      <c r="T5" s="30">
        <f t="shared" si="0"/>
        <v>499.3</v>
      </c>
      <c r="U5" s="30">
        <f t="shared" si="0"/>
        <v>174.5</v>
      </c>
      <c r="V5" s="30">
        <f t="shared" si="0"/>
        <v>193.8</v>
      </c>
      <c r="W5" s="30">
        <f t="shared" si="0"/>
        <v>200.3</v>
      </c>
      <c r="X5" s="30">
        <f t="shared" si="0"/>
        <v>210.3</v>
      </c>
      <c r="Y5" s="30">
        <f t="shared" si="0"/>
        <v>243.8</v>
      </c>
      <c r="Z5" s="30">
        <f t="shared" si="0"/>
        <v>257.10000000000002</v>
      </c>
      <c r="AA5" s="30">
        <f t="shared" si="0"/>
        <v>293.60000000000002</v>
      </c>
      <c r="AB5" s="30">
        <f t="shared" si="0"/>
        <v>430.7</v>
      </c>
      <c r="AC5" s="30">
        <f t="shared" si="0"/>
        <v>483.3</v>
      </c>
      <c r="AD5" s="30">
        <f t="shared" si="0"/>
        <v>385.7</v>
      </c>
      <c r="AE5" s="30">
        <f t="shared" si="0"/>
        <v>409.7</v>
      </c>
      <c r="AF5" s="30">
        <f>B78</f>
        <v>425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1671MW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Load=1006</v>
      </c>
      <c r="B7" s="35">
        <f t="shared" ref="B7:AF7" si="1">B85</f>
        <v>1097.94</v>
      </c>
      <c r="C7" s="35">
        <f t="shared" si="1"/>
        <v>1048.94</v>
      </c>
      <c r="D7" s="35">
        <f t="shared" si="1"/>
        <v>1019.9399999999999</v>
      </c>
      <c r="E7" s="35">
        <f t="shared" si="1"/>
        <v>1009.9399999999999</v>
      </c>
      <c r="F7" s="35">
        <f t="shared" si="1"/>
        <v>1005.9399999999999</v>
      </c>
      <c r="G7" s="35">
        <f t="shared" si="1"/>
        <v>1105.94</v>
      </c>
      <c r="H7" s="35">
        <f t="shared" si="1"/>
        <v>1177.94</v>
      </c>
      <c r="I7" s="35">
        <f t="shared" si="1"/>
        <v>1238.74</v>
      </c>
      <c r="J7" s="35">
        <f t="shared" si="1"/>
        <v>1256.94</v>
      </c>
      <c r="K7" s="35">
        <f t="shared" si="1"/>
        <v>1256.94</v>
      </c>
      <c r="L7" s="35">
        <f t="shared" si="1"/>
        <v>1497.1399999999999</v>
      </c>
      <c r="M7" s="35">
        <f t="shared" si="1"/>
        <v>1671.44</v>
      </c>
      <c r="N7" s="35">
        <f>N85</f>
        <v>1621.6399999999999</v>
      </c>
      <c r="O7" s="35">
        <f t="shared" si="1"/>
        <v>1604.44</v>
      </c>
      <c r="P7" s="35">
        <f t="shared" si="1"/>
        <v>1407.84</v>
      </c>
      <c r="Q7" s="35">
        <f t="shared" si="1"/>
        <v>1426.04</v>
      </c>
      <c r="R7" s="35">
        <f t="shared" si="1"/>
        <v>1399.04</v>
      </c>
      <c r="S7" s="35">
        <f t="shared" si="1"/>
        <v>1431.3399999999997</v>
      </c>
      <c r="T7" s="35">
        <f t="shared" si="1"/>
        <v>1421.04</v>
      </c>
      <c r="U7" s="35">
        <f t="shared" si="1"/>
        <v>1407.24</v>
      </c>
      <c r="V7" s="35">
        <f t="shared" si="1"/>
        <v>1548.44</v>
      </c>
      <c r="W7" s="35">
        <f t="shared" si="1"/>
        <v>1599.54</v>
      </c>
      <c r="X7" s="35">
        <f t="shared" si="1"/>
        <v>1739.9399999999998</v>
      </c>
      <c r="Y7" s="35">
        <f t="shared" si="1"/>
        <v>1712.34</v>
      </c>
      <c r="Z7" s="35">
        <f t="shared" si="1"/>
        <v>1731.74</v>
      </c>
      <c r="AA7" s="35">
        <f t="shared" si="1"/>
        <v>1634.54</v>
      </c>
      <c r="AB7" s="35">
        <f t="shared" si="1"/>
        <v>1656.65</v>
      </c>
      <c r="AC7" s="35">
        <f t="shared" si="1"/>
        <v>1532.94</v>
      </c>
      <c r="AD7" s="35">
        <f t="shared" si="1"/>
        <v>1320.1399999999999</v>
      </c>
      <c r="AE7" s="35">
        <f t="shared" si="1"/>
        <v>1194.6399999999999</v>
      </c>
      <c r="AF7" s="35">
        <f t="shared" si="1"/>
        <v>1102.04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22</v>
      </c>
      <c r="C11" s="45">
        <v>22</v>
      </c>
      <c r="D11" s="45">
        <v>22</v>
      </c>
      <c r="E11" s="45">
        <v>22</v>
      </c>
      <c r="F11" s="45">
        <v>22</v>
      </c>
      <c r="G11" s="45">
        <v>22</v>
      </c>
      <c r="H11" s="45">
        <v>22</v>
      </c>
      <c r="I11" s="45">
        <v>22</v>
      </c>
      <c r="J11" s="45">
        <v>22</v>
      </c>
      <c r="K11" s="45">
        <v>22</v>
      </c>
      <c r="L11" s="45">
        <v>22</v>
      </c>
      <c r="M11" s="45">
        <v>22</v>
      </c>
      <c r="N11" s="45">
        <v>22</v>
      </c>
      <c r="O11" s="45">
        <v>22</v>
      </c>
      <c r="P11" s="45">
        <v>21.1</v>
      </c>
      <c r="Q11" s="45">
        <v>21.1</v>
      </c>
      <c r="R11" s="45">
        <v>21.1</v>
      </c>
      <c r="S11" s="45">
        <v>21.1</v>
      </c>
      <c r="T11" s="45">
        <v>21.1</v>
      </c>
      <c r="U11" s="45">
        <v>21.1</v>
      </c>
      <c r="V11" s="45">
        <v>19.7</v>
      </c>
      <c r="W11" s="45">
        <v>19.7</v>
      </c>
      <c r="X11" s="45">
        <v>19.7</v>
      </c>
      <c r="Y11" s="45">
        <v>19.7</v>
      </c>
      <c r="Z11" s="45">
        <v>19.7</v>
      </c>
      <c r="AA11" s="45">
        <v>19.7</v>
      </c>
      <c r="AB11" s="45">
        <v>19.7</v>
      </c>
      <c r="AC11" s="45">
        <v>19.7</v>
      </c>
      <c r="AD11" s="45">
        <v>19.7</v>
      </c>
      <c r="AE11" s="45">
        <v>19.7</v>
      </c>
      <c r="AF11" s="45">
        <v>19.7</v>
      </c>
      <c r="AG11" s="47">
        <v>52.4</v>
      </c>
      <c r="AH11" s="48">
        <f t="shared" ref="AH11:AH74" si="2">MAX(B11:AF11)</f>
        <v>22</v>
      </c>
      <c r="AI11" s="49">
        <f t="shared" ref="AI11:AI74" si="3">MIN(B11:AF11)</f>
        <v>19.7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42.1</v>
      </c>
      <c r="C12" s="45">
        <v>42.1</v>
      </c>
      <c r="D12" s="45">
        <v>42.1</v>
      </c>
      <c r="E12" s="45">
        <v>42.1</v>
      </c>
      <c r="F12" s="45">
        <v>42.1</v>
      </c>
      <c r="G12" s="45">
        <v>42.1</v>
      </c>
      <c r="H12" s="45">
        <v>42.1</v>
      </c>
      <c r="I12" s="45">
        <v>42.1</v>
      </c>
      <c r="J12" s="45">
        <v>42.1</v>
      </c>
      <c r="K12" s="45">
        <v>42.1</v>
      </c>
      <c r="L12" s="45">
        <v>42.1</v>
      </c>
      <c r="M12" s="45">
        <v>42.1</v>
      </c>
      <c r="N12" s="45">
        <v>42.1</v>
      </c>
      <c r="O12" s="45">
        <v>42.1</v>
      </c>
      <c r="P12" s="45">
        <v>40.299999999999997</v>
      </c>
      <c r="Q12" s="45">
        <v>40.299999999999997</v>
      </c>
      <c r="R12" s="45">
        <v>40.299999999999997</v>
      </c>
      <c r="S12" s="45">
        <v>40.299999999999997</v>
      </c>
      <c r="T12" s="45">
        <v>40.299999999999997</v>
      </c>
      <c r="U12" s="45">
        <v>40.1</v>
      </c>
      <c r="V12" s="45">
        <v>40.1</v>
      </c>
      <c r="W12" s="45">
        <v>40.1</v>
      </c>
      <c r="X12" s="45">
        <v>40.1</v>
      </c>
      <c r="Y12" s="45">
        <v>40.1</v>
      </c>
      <c r="Z12" s="45">
        <v>40.1</v>
      </c>
      <c r="AA12" s="45">
        <v>40.1</v>
      </c>
      <c r="AB12" s="45">
        <v>40.1</v>
      </c>
      <c r="AC12" s="45">
        <v>40.1</v>
      </c>
      <c r="AD12" s="45">
        <v>40.1</v>
      </c>
      <c r="AE12" s="45">
        <v>40.1</v>
      </c>
      <c r="AF12" s="45">
        <v>40.1</v>
      </c>
      <c r="AG12" s="51">
        <v>50</v>
      </c>
      <c r="AH12" s="48">
        <f t="shared" si="2"/>
        <v>42.1</v>
      </c>
      <c r="AI12" s="49">
        <f t="shared" si="3"/>
        <v>40.1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21.9</v>
      </c>
      <c r="C13" s="45">
        <v>21.9</v>
      </c>
      <c r="D13" s="45">
        <v>21.9</v>
      </c>
      <c r="E13" s="45">
        <v>21.9</v>
      </c>
      <c r="F13" s="45">
        <v>21.9</v>
      </c>
      <c r="G13" s="45">
        <v>21.9</v>
      </c>
      <c r="H13" s="45">
        <v>21.9</v>
      </c>
      <c r="I13" s="45">
        <v>21.9</v>
      </c>
      <c r="J13" s="45">
        <v>21.9</v>
      </c>
      <c r="K13" s="45">
        <v>21.9</v>
      </c>
      <c r="L13" s="45">
        <v>21.9</v>
      </c>
      <c r="M13" s="45">
        <v>21.9</v>
      </c>
      <c r="N13" s="45">
        <v>21.9</v>
      </c>
      <c r="O13" s="45">
        <v>21.9</v>
      </c>
      <c r="P13" s="45">
        <v>19.8</v>
      </c>
      <c r="Q13" s="45">
        <v>19.8</v>
      </c>
      <c r="R13" s="45">
        <v>19.8</v>
      </c>
      <c r="S13" s="45">
        <v>19.8</v>
      </c>
      <c r="T13" s="45">
        <v>19.8</v>
      </c>
      <c r="U13" s="45">
        <v>20.2</v>
      </c>
      <c r="V13" s="45">
        <v>23.8</v>
      </c>
      <c r="W13" s="45">
        <v>23.8</v>
      </c>
      <c r="X13" s="45">
        <v>23.8</v>
      </c>
      <c r="Y13" s="45">
        <v>23.8</v>
      </c>
      <c r="Z13" s="45">
        <v>23.8</v>
      </c>
      <c r="AA13" s="45">
        <v>23.8</v>
      </c>
      <c r="AB13" s="45">
        <v>23.8</v>
      </c>
      <c r="AC13" s="45">
        <v>23.8</v>
      </c>
      <c r="AD13" s="45">
        <v>23.8</v>
      </c>
      <c r="AE13" s="45">
        <v>23.8</v>
      </c>
      <c r="AF13" s="45">
        <v>23.8</v>
      </c>
      <c r="AG13" s="51">
        <v>45</v>
      </c>
      <c r="AH13" s="48">
        <f t="shared" si="2"/>
        <v>23.8</v>
      </c>
      <c r="AI13" s="49">
        <f t="shared" si="3"/>
        <v>19.8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11</v>
      </c>
      <c r="C14" s="45">
        <v>11</v>
      </c>
      <c r="D14" s="45">
        <v>11</v>
      </c>
      <c r="E14" s="45">
        <v>11</v>
      </c>
      <c r="F14" s="45">
        <v>11</v>
      </c>
      <c r="G14" s="45">
        <v>11</v>
      </c>
      <c r="H14" s="45">
        <v>11</v>
      </c>
      <c r="I14" s="45">
        <v>11</v>
      </c>
      <c r="J14" s="45">
        <v>11</v>
      </c>
      <c r="K14" s="45">
        <v>11</v>
      </c>
      <c r="L14" s="45">
        <v>11</v>
      </c>
      <c r="M14" s="45">
        <v>11</v>
      </c>
      <c r="N14" s="45">
        <v>11</v>
      </c>
      <c r="O14" s="45">
        <v>11</v>
      </c>
      <c r="P14" s="45">
        <v>10.5</v>
      </c>
      <c r="Q14" s="45">
        <v>10.5</v>
      </c>
      <c r="R14" s="45">
        <v>10.5</v>
      </c>
      <c r="S14" s="45">
        <v>10.5</v>
      </c>
      <c r="T14" s="45">
        <v>10.5</v>
      </c>
      <c r="U14" s="45">
        <v>10.5</v>
      </c>
      <c r="V14" s="45">
        <v>10.5</v>
      </c>
      <c r="W14" s="45">
        <v>10.5</v>
      </c>
      <c r="X14" s="45">
        <v>10.5</v>
      </c>
      <c r="Y14" s="45">
        <v>10.5</v>
      </c>
      <c r="Z14" s="45">
        <v>10.5</v>
      </c>
      <c r="AA14" s="45">
        <v>10.5</v>
      </c>
      <c r="AB14" s="45">
        <v>10.5</v>
      </c>
      <c r="AC14" s="45">
        <v>10.5</v>
      </c>
      <c r="AD14" s="45">
        <v>10.5</v>
      </c>
      <c r="AE14" s="45">
        <v>10.5</v>
      </c>
      <c r="AF14" s="45">
        <v>10.5</v>
      </c>
      <c r="AG14" s="51">
        <v>42</v>
      </c>
      <c r="AH14" s="48">
        <f t="shared" si="2"/>
        <v>11</v>
      </c>
      <c r="AI14" s="49">
        <f t="shared" si="3"/>
        <v>10.5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17.2</v>
      </c>
      <c r="C15" s="45">
        <v>17.2</v>
      </c>
      <c r="D15" s="45">
        <v>17.2</v>
      </c>
      <c r="E15" s="45">
        <v>17.2</v>
      </c>
      <c r="F15" s="45">
        <v>17.2</v>
      </c>
      <c r="G15" s="45">
        <v>17.2</v>
      </c>
      <c r="H15" s="45">
        <v>17.2</v>
      </c>
      <c r="I15" s="45">
        <v>17.2</v>
      </c>
      <c r="J15" s="45">
        <v>17.2</v>
      </c>
      <c r="K15" s="45">
        <v>17.2</v>
      </c>
      <c r="L15" s="45">
        <v>17.2</v>
      </c>
      <c r="M15" s="45">
        <v>17.2</v>
      </c>
      <c r="N15" s="45">
        <v>17.2</v>
      </c>
      <c r="O15" s="45">
        <v>17.2</v>
      </c>
      <c r="P15" s="45">
        <v>17</v>
      </c>
      <c r="Q15" s="45">
        <v>17</v>
      </c>
      <c r="R15" s="45">
        <v>17</v>
      </c>
      <c r="S15" s="45">
        <v>17</v>
      </c>
      <c r="T15" s="45">
        <v>17</v>
      </c>
      <c r="U15" s="45">
        <v>17</v>
      </c>
      <c r="V15" s="45">
        <v>17</v>
      </c>
      <c r="W15" s="45">
        <v>17</v>
      </c>
      <c r="X15" s="45">
        <v>17</v>
      </c>
      <c r="Y15" s="45">
        <v>17</v>
      </c>
      <c r="Z15" s="45">
        <v>17</v>
      </c>
      <c r="AA15" s="45">
        <v>17</v>
      </c>
      <c r="AB15" s="45">
        <v>17</v>
      </c>
      <c r="AC15" s="45">
        <v>17</v>
      </c>
      <c r="AD15" s="45">
        <v>17</v>
      </c>
      <c r="AE15" s="45">
        <v>17</v>
      </c>
      <c r="AF15" s="45">
        <v>17</v>
      </c>
      <c r="AG15" s="51">
        <v>36</v>
      </c>
      <c r="AH15" s="48">
        <f t="shared" si="2"/>
        <v>17.2</v>
      </c>
      <c r="AI15" s="49">
        <f t="shared" si="3"/>
        <v>17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9.8000000000000007</v>
      </c>
      <c r="C16" s="45">
        <v>9.8000000000000007</v>
      </c>
      <c r="D16" s="45">
        <v>9.8000000000000007</v>
      </c>
      <c r="E16" s="45">
        <v>9.8000000000000007</v>
      </c>
      <c r="F16" s="45">
        <v>9.8000000000000007</v>
      </c>
      <c r="G16" s="45">
        <v>9.8000000000000007</v>
      </c>
      <c r="H16" s="45">
        <v>9.8000000000000007</v>
      </c>
      <c r="I16" s="45">
        <v>9.8000000000000007</v>
      </c>
      <c r="J16" s="45">
        <v>9.8000000000000007</v>
      </c>
      <c r="K16" s="45">
        <v>9.8000000000000007</v>
      </c>
      <c r="L16" s="45">
        <v>9.8000000000000007</v>
      </c>
      <c r="M16" s="45">
        <v>9.8000000000000007</v>
      </c>
      <c r="N16" s="45">
        <v>9.8000000000000007</v>
      </c>
      <c r="O16" s="45">
        <v>9.8000000000000007</v>
      </c>
      <c r="P16" s="45">
        <v>10.5</v>
      </c>
      <c r="Q16" s="45">
        <v>10.5</v>
      </c>
      <c r="R16" s="45">
        <v>10.5</v>
      </c>
      <c r="S16" s="45">
        <v>10.5</v>
      </c>
      <c r="T16" s="45">
        <v>10.5</v>
      </c>
      <c r="U16" s="45">
        <v>10.5</v>
      </c>
      <c r="V16" s="45">
        <v>10</v>
      </c>
      <c r="W16" s="45">
        <v>10</v>
      </c>
      <c r="X16" s="45">
        <v>10</v>
      </c>
      <c r="Y16" s="45">
        <v>10</v>
      </c>
      <c r="Z16" s="45">
        <v>10</v>
      </c>
      <c r="AA16" s="45">
        <v>10</v>
      </c>
      <c r="AB16" s="45">
        <v>10</v>
      </c>
      <c r="AC16" s="45">
        <v>10</v>
      </c>
      <c r="AD16" s="45">
        <v>10</v>
      </c>
      <c r="AE16" s="45">
        <v>10</v>
      </c>
      <c r="AF16" s="45">
        <v>10</v>
      </c>
      <c r="AG16" s="52">
        <v>30</v>
      </c>
      <c r="AH16" s="48">
        <f t="shared" si="2"/>
        <v>10.5</v>
      </c>
      <c r="AI16" s="49">
        <f t="shared" si="3"/>
        <v>9.8000000000000007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9.6999999999999993</v>
      </c>
      <c r="C17" s="45">
        <v>9.6999999999999993</v>
      </c>
      <c r="D17" s="45">
        <v>9.6999999999999993</v>
      </c>
      <c r="E17" s="45">
        <v>9.6999999999999993</v>
      </c>
      <c r="F17" s="45">
        <v>9.6999999999999993</v>
      </c>
      <c r="G17" s="45">
        <v>9.6999999999999993</v>
      </c>
      <c r="H17" s="45">
        <v>9.6999999999999993</v>
      </c>
      <c r="I17" s="45">
        <v>9.6999999999999993</v>
      </c>
      <c r="J17" s="45">
        <v>9.6999999999999993</v>
      </c>
      <c r="K17" s="45">
        <v>9.6999999999999993</v>
      </c>
      <c r="L17" s="45">
        <v>9.6999999999999993</v>
      </c>
      <c r="M17" s="45">
        <v>9.6999999999999993</v>
      </c>
      <c r="N17" s="45">
        <v>9.6999999999999993</v>
      </c>
      <c r="O17" s="45">
        <v>9.6999999999999993</v>
      </c>
      <c r="P17" s="45">
        <v>9.1</v>
      </c>
      <c r="Q17" s="45">
        <v>9.1</v>
      </c>
      <c r="R17" s="45">
        <v>9.1</v>
      </c>
      <c r="S17" s="45">
        <v>9.1</v>
      </c>
      <c r="T17" s="45">
        <v>9.1</v>
      </c>
      <c r="U17" s="45">
        <v>9.1</v>
      </c>
      <c r="V17" s="45">
        <v>8.6999999999999993</v>
      </c>
      <c r="W17" s="45">
        <v>8.6999999999999993</v>
      </c>
      <c r="X17" s="45">
        <v>8.6999999999999993</v>
      </c>
      <c r="Y17" s="45">
        <v>8.6999999999999993</v>
      </c>
      <c r="Z17" s="45">
        <v>8.6999999999999993</v>
      </c>
      <c r="AA17" s="45">
        <v>8.6999999999999993</v>
      </c>
      <c r="AB17" s="45">
        <v>8.6999999999999993</v>
      </c>
      <c r="AC17" s="45">
        <v>8.6999999999999993</v>
      </c>
      <c r="AD17" s="45">
        <v>8.6999999999999993</v>
      </c>
      <c r="AE17" s="45">
        <v>8.6999999999999993</v>
      </c>
      <c r="AF17" s="45">
        <v>8.6999999999999993</v>
      </c>
      <c r="AG17" s="51">
        <v>24.2</v>
      </c>
      <c r="AH17" s="48">
        <f t="shared" si="2"/>
        <v>9.6999999999999993</v>
      </c>
      <c r="AI17" s="49">
        <f t="shared" si="3"/>
        <v>8.6999999999999993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12</v>
      </c>
      <c r="C20" s="45">
        <v>12</v>
      </c>
      <c r="D20" s="45">
        <v>12</v>
      </c>
      <c r="E20" s="45">
        <v>12</v>
      </c>
      <c r="F20" s="45">
        <v>12</v>
      </c>
      <c r="G20" s="45">
        <v>12</v>
      </c>
      <c r="H20" s="45">
        <v>12</v>
      </c>
      <c r="I20" s="45">
        <v>12</v>
      </c>
      <c r="J20" s="45">
        <v>12</v>
      </c>
      <c r="K20" s="45">
        <v>12</v>
      </c>
      <c r="L20" s="45">
        <v>12</v>
      </c>
      <c r="M20" s="45">
        <v>12</v>
      </c>
      <c r="N20" s="45">
        <v>12</v>
      </c>
      <c r="O20" s="45">
        <v>12</v>
      </c>
      <c r="P20" s="45">
        <v>12</v>
      </c>
      <c r="Q20" s="45">
        <v>12</v>
      </c>
      <c r="R20" s="45">
        <v>12</v>
      </c>
      <c r="S20" s="45">
        <v>12</v>
      </c>
      <c r="T20" s="45">
        <v>12</v>
      </c>
      <c r="U20" s="45">
        <v>12</v>
      </c>
      <c r="V20" s="45">
        <v>10.8</v>
      </c>
      <c r="W20" s="45">
        <v>10.8</v>
      </c>
      <c r="X20" s="45">
        <v>10.8</v>
      </c>
      <c r="Y20" s="45">
        <v>10.8</v>
      </c>
      <c r="Z20" s="45">
        <v>10.8</v>
      </c>
      <c r="AA20" s="45">
        <v>10.8</v>
      </c>
      <c r="AB20" s="45">
        <v>10.8</v>
      </c>
      <c r="AC20" s="45">
        <v>10.8</v>
      </c>
      <c r="AD20" s="45">
        <v>10.8</v>
      </c>
      <c r="AE20" s="45">
        <v>10.8</v>
      </c>
      <c r="AF20" s="45">
        <v>10.8</v>
      </c>
      <c r="AG20" s="51">
        <v>25</v>
      </c>
      <c r="AH20" s="48">
        <f t="shared" si="2"/>
        <v>12</v>
      </c>
      <c r="AI20" s="49">
        <f t="shared" si="3"/>
        <v>10.8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10.199999999999999</v>
      </c>
      <c r="C24" s="45">
        <v>10.199999999999999</v>
      </c>
      <c r="D24" s="45">
        <v>10.199999999999999</v>
      </c>
      <c r="E24" s="45">
        <v>10.199999999999999</v>
      </c>
      <c r="F24" s="45">
        <v>10.199999999999999</v>
      </c>
      <c r="G24" s="45">
        <v>10.199999999999999</v>
      </c>
      <c r="H24" s="45">
        <v>10.199999999999999</v>
      </c>
      <c r="I24" s="45">
        <v>10.199999999999999</v>
      </c>
      <c r="J24" s="45">
        <v>10.199999999999999</v>
      </c>
      <c r="K24" s="45">
        <v>10.199999999999999</v>
      </c>
      <c r="L24" s="45">
        <v>10.199999999999999</v>
      </c>
      <c r="M24" s="45">
        <v>10.199999999999999</v>
      </c>
      <c r="N24" s="45">
        <v>10.199999999999999</v>
      </c>
      <c r="O24" s="45">
        <v>10.199999999999999</v>
      </c>
      <c r="P24" s="45">
        <v>10.199999999999999</v>
      </c>
      <c r="Q24" s="45">
        <v>10.199999999999999</v>
      </c>
      <c r="R24" s="45">
        <v>10.199999999999999</v>
      </c>
      <c r="S24" s="45">
        <v>10.199999999999999</v>
      </c>
      <c r="T24" s="45">
        <v>10.199999999999999</v>
      </c>
      <c r="U24" s="45">
        <v>10.199999999999999</v>
      </c>
      <c r="V24" s="45">
        <v>10.199999999999999</v>
      </c>
      <c r="W24" s="45">
        <v>10.199999999999999</v>
      </c>
      <c r="X24" s="45">
        <v>10.199999999999999</v>
      </c>
      <c r="Y24" s="45">
        <v>10.199999999999999</v>
      </c>
      <c r="Z24" s="45">
        <v>10.199999999999999</v>
      </c>
      <c r="AA24" s="45">
        <v>10.199999999999999</v>
      </c>
      <c r="AB24" s="45">
        <v>10.199999999999999</v>
      </c>
      <c r="AC24" s="45">
        <v>10.199999999999999</v>
      </c>
      <c r="AD24" s="45">
        <v>10.199999999999999</v>
      </c>
      <c r="AE24" s="45">
        <v>10.199999999999999</v>
      </c>
      <c r="AF24" s="45">
        <v>10.199999999999999</v>
      </c>
      <c r="AG24" s="51">
        <v>23.5</v>
      </c>
      <c r="AH24" s="48">
        <f t="shared" si="2"/>
        <v>10.199999999999999</v>
      </c>
      <c r="AI24" s="49">
        <f t="shared" si="3"/>
        <v>10.199999999999999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>
        <v>1.2</v>
      </c>
      <c r="S32" s="45">
        <v>1.2</v>
      </c>
      <c r="T32" s="45">
        <v>1.2</v>
      </c>
      <c r="U32" s="45">
        <v>1.2</v>
      </c>
      <c r="V32" s="45">
        <v>1.2</v>
      </c>
      <c r="W32" s="45">
        <v>1.2</v>
      </c>
      <c r="X32" s="45">
        <v>1.2</v>
      </c>
      <c r="Y32" s="45">
        <v>1.2</v>
      </c>
      <c r="Z32" s="45">
        <v>1.2</v>
      </c>
      <c r="AA32" s="45">
        <v>1.2</v>
      </c>
      <c r="AB32" s="45">
        <v>1.2</v>
      </c>
      <c r="AC32" s="45">
        <v>1.2</v>
      </c>
      <c r="AD32" s="45">
        <v>1.2</v>
      </c>
      <c r="AE32" s="45">
        <v>1.2</v>
      </c>
      <c r="AF32" s="45">
        <v>1.2</v>
      </c>
      <c r="AG32" s="51">
        <v>13.6</v>
      </c>
      <c r="AH32" s="48">
        <f t="shared" si="2"/>
        <v>1.2</v>
      </c>
      <c r="AI32" s="49">
        <f t="shared" si="3"/>
        <v>1.2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1</v>
      </c>
      <c r="T41" s="45">
        <v>1</v>
      </c>
      <c r="U41" s="45">
        <v>1</v>
      </c>
      <c r="V41" s="45">
        <v>1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1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150</v>
      </c>
      <c r="C42" s="57">
        <v>150</v>
      </c>
      <c r="D42" s="57">
        <v>150</v>
      </c>
      <c r="E42" s="57">
        <v>150</v>
      </c>
      <c r="F42" s="57">
        <v>150</v>
      </c>
      <c r="G42" s="57">
        <v>150</v>
      </c>
      <c r="H42" s="57">
        <v>150</v>
      </c>
      <c r="I42" s="57">
        <v>150</v>
      </c>
      <c r="J42" s="57">
        <v>150</v>
      </c>
      <c r="K42" s="57">
        <v>150</v>
      </c>
      <c r="L42" s="57">
        <v>150</v>
      </c>
      <c r="M42" s="57">
        <v>150</v>
      </c>
      <c r="N42" s="57">
        <v>150</v>
      </c>
      <c r="O42" s="57">
        <v>150</v>
      </c>
      <c r="P42" s="57">
        <v>150</v>
      </c>
      <c r="Q42" s="57">
        <v>150</v>
      </c>
      <c r="R42" s="57">
        <v>150</v>
      </c>
      <c r="S42" s="57">
        <v>150</v>
      </c>
      <c r="T42" s="57">
        <v>150</v>
      </c>
      <c r="U42" s="57">
        <v>150</v>
      </c>
      <c r="V42" s="57">
        <v>150</v>
      </c>
      <c r="W42" s="57">
        <v>150</v>
      </c>
      <c r="X42" s="57">
        <v>150</v>
      </c>
      <c r="Y42" s="57">
        <v>150</v>
      </c>
      <c r="Z42" s="57">
        <v>150</v>
      </c>
      <c r="AA42" s="57">
        <v>150</v>
      </c>
      <c r="AB42" s="57">
        <v>150</v>
      </c>
      <c r="AC42" s="57">
        <v>150</v>
      </c>
      <c r="AD42" s="57">
        <v>150</v>
      </c>
      <c r="AE42" s="57">
        <v>150</v>
      </c>
      <c r="AF42" s="57">
        <v>150</v>
      </c>
      <c r="AG42" s="55">
        <v>85</v>
      </c>
      <c r="AH42" s="48">
        <f t="shared" si="2"/>
        <v>150</v>
      </c>
      <c r="AI42" s="49">
        <f t="shared" si="3"/>
        <v>150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479.69999999999993</v>
      </c>
      <c r="C44" s="61">
        <f t="shared" ref="C44" si="5">SUM(C11:C42)</f>
        <v>479.69999999999993</v>
      </c>
      <c r="D44" s="61">
        <f t="shared" si="4"/>
        <v>479.69999999999993</v>
      </c>
      <c r="E44" s="61">
        <f t="shared" si="4"/>
        <v>479.69999999999993</v>
      </c>
      <c r="F44" s="61">
        <f t="shared" si="4"/>
        <v>479.69999999999993</v>
      </c>
      <c r="G44" s="61">
        <f t="shared" si="4"/>
        <v>479.69999999999993</v>
      </c>
      <c r="H44" s="61">
        <f t="shared" si="4"/>
        <v>479.69999999999993</v>
      </c>
      <c r="I44" s="61">
        <f t="shared" si="4"/>
        <v>479.69999999999993</v>
      </c>
      <c r="J44" s="61">
        <f t="shared" si="4"/>
        <v>479.69999999999993</v>
      </c>
      <c r="K44" s="61">
        <f t="shared" si="4"/>
        <v>479.69999999999993</v>
      </c>
      <c r="L44" s="61">
        <f t="shared" si="4"/>
        <v>479.69999999999993</v>
      </c>
      <c r="M44" s="61">
        <f t="shared" si="4"/>
        <v>479.69999999999993</v>
      </c>
      <c r="N44" s="61">
        <f t="shared" si="4"/>
        <v>479.69999999999993</v>
      </c>
      <c r="O44" s="61">
        <f t="shared" si="4"/>
        <v>479.69999999999993</v>
      </c>
      <c r="P44" s="61">
        <f t="shared" si="4"/>
        <v>474.29999999999995</v>
      </c>
      <c r="Q44" s="61">
        <f t="shared" si="4"/>
        <v>474.29999999999995</v>
      </c>
      <c r="R44" s="61">
        <f t="shared" si="4"/>
        <v>474.29999999999995</v>
      </c>
      <c r="S44" s="61">
        <f t="shared" si="4"/>
        <v>475.29999999999995</v>
      </c>
      <c r="T44" s="61">
        <f t="shared" si="4"/>
        <v>475.29999999999995</v>
      </c>
      <c r="U44" s="61">
        <f t="shared" si="4"/>
        <v>475.49999999999994</v>
      </c>
      <c r="V44" s="61">
        <f>SUM(V11:V42)</f>
        <v>475.59999999999997</v>
      </c>
      <c r="W44" s="61">
        <f t="shared" si="4"/>
        <v>474.59999999999997</v>
      </c>
      <c r="X44" s="61">
        <f t="shared" si="4"/>
        <v>474.59999999999997</v>
      </c>
      <c r="Y44" s="61">
        <f t="shared" si="4"/>
        <v>474.59999999999997</v>
      </c>
      <c r="Z44" s="61">
        <f t="shared" si="4"/>
        <v>474.59999999999997</v>
      </c>
      <c r="AA44" s="61">
        <f t="shared" si="4"/>
        <v>474.59999999999997</v>
      </c>
      <c r="AB44" s="61">
        <f t="shared" si="4"/>
        <v>474.59999999999997</v>
      </c>
      <c r="AC44" s="61">
        <f t="shared" si="4"/>
        <v>474.59999999999997</v>
      </c>
      <c r="AD44" s="61">
        <f t="shared" si="4"/>
        <v>474.59999999999997</v>
      </c>
      <c r="AE44" s="61">
        <f t="shared" si="4"/>
        <v>474.59999999999997</v>
      </c>
      <c r="AF44" s="61">
        <f t="shared" si="4"/>
        <v>474.59999999999997</v>
      </c>
      <c r="AG44" s="62">
        <f t="shared" si="4"/>
        <v>814.78000000000009</v>
      </c>
      <c r="AH44" s="48">
        <f t="shared" si="2"/>
        <v>479.69999999999993</v>
      </c>
      <c r="AI44" s="49">
        <f t="shared" si="3"/>
        <v>474.29999999999995</v>
      </c>
      <c r="AK44" s="50"/>
    </row>
    <row r="45" spans="1:88" x14ac:dyDescent="0.25">
      <c r="A45" s="6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40</v>
      </c>
      <c r="J45" s="45">
        <v>0</v>
      </c>
      <c r="K45" s="45">
        <v>146</v>
      </c>
      <c r="L45" s="45">
        <v>380</v>
      </c>
      <c r="M45" s="164">
        <v>456</v>
      </c>
      <c r="N45" s="164">
        <v>400</v>
      </c>
      <c r="O45" s="45">
        <v>380</v>
      </c>
      <c r="P45" s="45">
        <v>110</v>
      </c>
      <c r="Q45" s="45">
        <v>0</v>
      </c>
      <c r="R45" s="45">
        <v>0</v>
      </c>
      <c r="S45" s="45">
        <v>0</v>
      </c>
      <c r="T45" s="45">
        <v>15</v>
      </c>
      <c r="U45" s="45">
        <v>15</v>
      </c>
      <c r="V45" s="45">
        <v>260</v>
      </c>
      <c r="W45" s="45">
        <v>260</v>
      </c>
      <c r="X45" s="45">
        <v>370</v>
      </c>
      <c r="Y45" s="45">
        <v>310</v>
      </c>
      <c r="Z45" s="45">
        <v>210</v>
      </c>
      <c r="AA45" s="45">
        <v>120</v>
      </c>
      <c r="AB45" s="45">
        <v>150</v>
      </c>
      <c r="AC45" s="45">
        <v>50</v>
      </c>
      <c r="AD45" s="45">
        <v>15</v>
      </c>
      <c r="AE45" s="45">
        <v>0</v>
      </c>
      <c r="AF45" s="45">
        <v>0</v>
      </c>
      <c r="AG45" s="52">
        <v>456</v>
      </c>
      <c r="AH45" s="48">
        <f t="shared" si="2"/>
        <v>456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41</v>
      </c>
      <c r="AK46" s="50"/>
    </row>
    <row r="47" spans="1:88" ht="15.75" thickBot="1" x14ac:dyDescent="0.3">
      <c r="A47" s="66" t="s">
        <v>55</v>
      </c>
      <c r="B47" s="67">
        <v>21</v>
      </c>
      <c r="C47" s="67">
        <v>21</v>
      </c>
      <c r="D47" s="67">
        <v>21</v>
      </c>
      <c r="E47" s="67">
        <v>21</v>
      </c>
      <c r="F47" s="67">
        <v>21</v>
      </c>
      <c r="G47" s="67">
        <v>21</v>
      </c>
      <c r="H47" s="67">
        <v>21</v>
      </c>
      <c r="I47" s="67">
        <v>21</v>
      </c>
      <c r="J47" s="67">
        <v>21</v>
      </c>
      <c r="K47" s="67">
        <v>21</v>
      </c>
      <c r="L47" s="67">
        <v>21</v>
      </c>
      <c r="M47" s="67">
        <v>15.2</v>
      </c>
      <c r="N47" s="67">
        <v>10.199999999999999</v>
      </c>
      <c r="O47" s="67">
        <v>10.199999999999999</v>
      </c>
      <c r="P47" s="67">
        <v>10</v>
      </c>
      <c r="Q47" s="67">
        <v>10.199999999999999</v>
      </c>
      <c r="R47" s="67">
        <v>10.3</v>
      </c>
      <c r="S47" s="67">
        <v>10.3</v>
      </c>
      <c r="T47" s="67">
        <v>13.2</v>
      </c>
      <c r="U47" s="67">
        <v>13.2</v>
      </c>
      <c r="V47" s="67">
        <v>13.2</v>
      </c>
      <c r="W47" s="67">
        <v>13.2</v>
      </c>
      <c r="X47" s="67">
        <v>21</v>
      </c>
      <c r="Y47" s="67">
        <v>21</v>
      </c>
      <c r="Z47" s="67">
        <v>21</v>
      </c>
      <c r="AA47" s="67">
        <v>21</v>
      </c>
      <c r="AB47" s="67">
        <v>16.98</v>
      </c>
      <c r="AC47" s="67">
        <v>13.2</v>
      </c>
      <c r="AD47" s="67">
        <v>13</v>
      </c>
      <c r="AE47" s="67">
        <v>13</v>
      </c>
      <c r="AF47" s="67">
        <v>13</v>
      </c>
      <c r="AG47" s="68">
        <v>22.1</v>
      </c>
      <c r="AH47" s="48">
        <f t="shared" si="2"/>
        <v>21</v>
      </c>
      <c r="AI47" s="49">
        <f t="shared" si="3"/>
        <v>10</v>
      </c>
      <c r="AK47" s="50"/>
    </row>
    <row r="48" spans="1:88" ht="15.75" thickBot="1" x14ac:dyDescent="0.3">
      <c r="A48" s="69" t="s">
        <v>56</v>
      </c>
      <c r="B48" s="61">
        <f t="shared" ref="B48:AG48" si="6">SUM(B45:B47)</f>
        <v>62</v>
      </c>
      <c r="C48" s="61">
        <f t="shared" ref="C48" si="7">SUM(C45:C47)</f>
        <v>62</v>
      </c>
      <c r="D48" s="61">
        <f t="shared" si="6"/>
        <v>62</v>
      </c>
      <c r="E48" s="61">
        <f t="shared" si="6"/>
        <v>62</v>
      </c>
      <c r="F48" s="61">
        <f t="shared" si="6"/>
        <v>62</v>
      </c>
      <c r="G48" s="61">
        <f t="shared" si="6"/>
        <v>62</v>
      </c>
      <c r="H48" s="61">
        <f t="shared" si="6"/>
        <v>62</v>
      </c>
      <c r="I48" s="61">
        <f t="shared" si="6"/>
        <v>102</v>
      </c>
      <c r="J48" s="61">
        <f t="shared" si="6"/>
        <v>62</v>
      </c>
      <c r="K48" s="61">
        <f t="shared" si="6"/>
        <v>208</v>
      </c>
      <c r="L48" s="61">
        <f t="shared" si="6"/>
        <v>442</v>
      </c>
      <c r="M48" s="61">
        <f t="shared" si="6"/>
        <v>512.20000000000005</v>
      </c>
      <c r="N48" s="61">
        <f t="shared" si="6"/>
        <v>451.2</v>
      </c>
      <c r="O48" s="61">
        <f t="shared" si="6"/>
        <v>431.2</v>
      </c>
      <c r="P48" s="61">
        <f t="shared" si="6"/>
        <v>161</v>
      </c>
      <c r="Q48" s="61">
        <f t="shared" si="6"/>
        <v>51.2</v>
      </c>
      <c r="R48" s="61">
        <f t="shared" si="6"/>
        <v>51.3</v>
      </c>
      <c r="S48" s="61">
        <f t="shared" si="6"/>
        <v>51.3</v>
      </c>
      <c r="T48" s="61">
        <f t="shared" si="6"/>
        <v>69.2</v>
      </c>
      <c r="U48" s="61">
        <f t="shared" si="6"/>
        <v>69.2</v>
      </c>
      <c r="V48" s="61">
        <f>SUM(V45:V47)</f>
        <v>314.2</v>
      </c>
      <c r="W48" s="61">
        <f t="shared" si="6"/>
        <v>314.2</v>
      </c>
      <c r="X48" s="61">
        <f t="shared" si="6"/>
        <v>432</v>
      </c>
      <c r="Y48" s="61">
        <f t="shared" si="6"/>
        <v>372</v>
      </c>
      <c r="Z48" s="61">
        <f t="shared" si="6"/>
        <v>272</v>
      </c>
      <c r="AA48" s="61">
        <f t="shared" si="6"/>
        <v>182</v>
      </c>
      <c r="AB48" s="61">
        <f t="shared" si="6"/>
        <v>207.98</v>
      </c>
      <c r="AC48" s="61">
        <f t="shared" si="6"/>
        <v>104.2</v>
      </c>
      <c r="AD48" s="61">
        <f t="shared" si="6"/>
        <v>69</v>
      </c>
      <c r="AE48" s="61">
        <f t="shared" si="6"/>
        <v>54</v>
      </c>
      <c r="AF48" s="61">
        <f t="shared" si="6"/>
        <v>54</v>
      </c>
      <c r="AG48" s="62">
        <f t="shared" si="6"/>
        <v>538.1</v>
      </c>
      <c r="AH48" s="48">
        <f t="shared" si="2"/>
        <v>512.20000000000005</v>
      </c>
      <c r="AI48" s="49">
        <f t="shared" si="3"/>
        <v>51.2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40</v>
      </c>
      <c r="J49" s="45">
        <v>120</v>
      </c>
      <c r="K49" s="45">
        <v>140</v>
      </c>
      <c r="L49" s="45">
        <v>140</v>
      </c>
      <c r="M49" s="45">
        <v>141.9</v>
      </c>
      <c r="N49" s="45">
        <v>141.9</v>
      </c>
      <c r="O49" s="45">
        <v>141.9</v>
      </c>
      <c r="P49" s="45">
        <v>139.9</v>
      </c>
      <c r="Q49" s="45">
        <v>122</v>
      </c>
      <c r="R49" s="45">
        <v>121.9</v>
      </c>
      <c r="S49" s="45">
        <v>112</v>
      </c>
      <c r="T49" s="45">
        <v>71</v>
      </c>
      <c r="U49" s="45">
        <v>61</v>
      </c>
      <c r="V49" s="45">
        <v>70.8</v>
      </c>
      <c r="W49" s="45">
        <v>91</v>
      </c>
      <c r="X49" s="45">
        <v>91</v>
      </c>
      <c r="Y49" s="45">
        <v>112</v>
      </c>
      <c r="Z49" s="45">
        <v>100</v>
      </c>
      <c r="AA49" s="45">
        <v>100</v>
      </c>
      <c r="AB49" s="45">
        <v>83.23</v>
      </c>
      <c r="AC49" s="45">
        <v>82.3</v>
      </c>
      <c r="AD49" s="45">
        <v>66</v>
      </c>
      <c r="AE49" s="45">
        <v>40</v>
      </c>
      <c r="AF49" s="45">
        <v>0</v>
      </c>
      <c r="AG49" s="52">
        <v>144</v>
      </c>
      <c r="AH49" s="48">
        <f t="shared" si="2"/>
        <v>141.9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24</v>
      </c>
      <c r="H50" s="65">
        <v>42</v>
      </c>
      <c r="I50" s="65">
        <v>60</v>
      </c>
      <c r="J50" s="65">
        <v>70</v>
      </c>
      <c r="K50" s="65">
        <v>70</v>
      </c>
      <c r="L50" s="65">
        <v>70</v>
      </c>
      <c r="M50" s="65">
        <v>70.8</v>
      </c>
      <c r="N50" s="65">
        <v>70.8</v>
      </c>
      <c r="O50" s="65">
        <v>70.8</v>
      </c>
      <c r="P50" s="65">
        <v>70</v>
      </c>
      <c r="Q50" s="65">
        <v>34.299999999999997</v>
      </c>
      <c r="R50" s="45">
        <v>34.299999999999997</v>
      </c>
      <c r="S50" s="45">
        <v>25.2</v>
      </c>
      <c r="T50" s="45">
        <v>35.9</v>
      </c>
      <c r="U50" s="45">
        <v>35.4</v>
      </c>
      <c r="V50" s="45">
        <v>71.8</v>
      </c>
      <c r="W50" s="45">
        <v>71.599999999999994</v>
      </c>
      <c r="X50" s="45">
        <v>71.599999999999994</v>
      </c>
      <c r="Y50" s="45">
        <v>71.599999999999994</v>
      </c>
      <c r="Z50" s="45">
        <v>71.599999999999994</v>
      </c>
      <c r="AA50" s="45">
        <v>61.1</v>
      </c>
      <c r="AB50" s="65">
        <v>34.700000000000003</v>
      </c>
      <c r="AC50" s="65">
        <v>34.9</v>
      </c>
      <c r="AD50" s="65">
        <v>24</v>
      </c>
      <c r="AE50" s="65">
        <v>0</v>
      </c>
      <c r="AF50" s="65">
        <v>0</v>
      </c>
      <c r="AG50" s="55">
        <v>70</v>
      </c>
      <c r="AH50" s="48">
        <f t="shared" si="2"/>
        <v>71.8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19</v>
      </c>
      <c r="C51" s="65">
        <v>19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68.5</v>
      </c>
      <c r="N51" s="65">
        <v>68.5</v>
      </c>
      <c r="O51" s="65">
        <v>68.5</v>
      </c>
      <c r="P51" s="65">
        <v>64.5</v>
      </c>
      <c r="Q51" s="65">
        <v>45.8</v>
      </c>
      <c r="R51" s="45">
        <v>30.5</v>
      </c>
      <c r="S51" s="45">
        <v>35</v>
      </c>
      <c r="T51" s="45">
        <v>47.3</v>
      </c>
      <c r="U51" s="45">
        <v>62.7</v>
      </c>
      <c r="V51" s="45">
        <v>67.2</v>
      </c>
      <c r="W51" s="45">
        <v>69</v>
      </c>
      <c r="X51" s="45">
        <v>69</v>
      </c>
      <c r="Y51" s="45">
        <v>66</v>
      </c>
      <c r="Z51" s="45">
        <v>68</v>
      </c>
      <c r="AA51" s="45">
        <v>67</v>
      </c>
      <c r="AB51" s="65">
        <v>67.599999999999994</v>
      </c>
      <c r="AC51" s="65">
        <v>54.3</v>
      </c>
      <c r="AD51" s="65">
        <v>32</v>
      </c>
      <c r="AE51" s="65">
        <v>32</v>
      </c>
      <c r="AF51" s="65">
        <v>32</v>
      </c>
      <c r="AG51" s="55">
        <v>69</v>
      </c>
      <c r="AH51" s="48">
        <f t="shared" si="2"/>
        <v>69</v>
      </c>
      <c r="AI51" s="49">
        <f t="shared" si="3"/>
        <v>0</v>
      </c>
      <c r="AK51" s="50"/>
    </row>
    <row r="52" spans="1:41" x14ac:dyDescent="0.25">
      <c r="A52" s="54" t="s">
        <v>60</v>
      </c>
      <c r="B52" s="57">
        <v>59.5</v>
      </c>
      <c r="C52" s="57">
        <v>59.5</v>
      </c>
      <c r="D52" s="57">
        <v>59.5</v>
      </c>
      <c r="E52" s="57">
        <v>59.5</v>
      </c>
      <c r="F52" s="57">
        <v>59.5</v>
      </c>
      <c r="G52" s="57">
        <v>59.5</v>
      </c>
      <c r="H52" s="57">
        <v>59.5</v>
      </c>
      <c r="I52" s="57">
        <v>59.5</v>
      </c>
      <c r="J52" s="57">
        <v>59.5</v>
      </c>
      <c r="K52" s="57">
        <v>59.5</v>
      </c>
      <c r="L52" s="57">
        <v>59.5</v>
      </c>
      <c r="M52" s="65">
        <v>59.5</v>
      </c>
      <c r="N52" s="65">
        <v>59.5</v>
      </c>
      <c r="O52" s="65">
        <v>59</v>
      </c>
      <c r="P52" s="65">
        <v>56.4</v>
      </c>
      <c r="Q52" s="65">
        <v>56.2</v>
      </c>
      <c r="R52" s="65">
        <v>56.2</v>
      </c>
      <c r="S52" s="65">
        <v>52.4</v>
      </c>
      <c r="T52" s="65">
        <v>53.2</v>
      </c>
      <c r="U52" s="65">
        <v>51.4</v>
      </c>
      <c r="V52" s="65">
        <v>51.6</v>
      </c>
      <c r="W52" s="65">
        <v>51.6</v>
      </c>
      <c r="X52" s="65">
        <v>51.6</v>
      </c>
      <c r="Y52" s="65">
        <v>56</v>
      </c>
      <c r="Z52" s="65">
        <v>56</v>
      </c>
      <c r="AA52" s="65">
        <v>57</v>
      </c>
      <c r="AB52" s="65">
        <v>58</v>
      </c>
      <c r="AC52" s="65">
        <v>60</v>
      </c>
      <c r="AD52" s="65">
        <v>60</v>
      </c>
      <c r="AE52" s="65">
        <v>60</v>
      </c>
      <c r="AF52" s="65">
        <v>60</v>
      </c>
      <c r="AG52" s="55">
        <v>60</v>
      </c>
      <c r="AH52" s="48">
        <f t="shared" si="2"/>
        <v>60</v>
      </c>
      <c r="AI52" s="49">
        <f t="shared" si="3"/>
        <v>51.4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65">
        <v>28</v>
      </c>
      <c r="N53" s="65">
        <v>28</v>
      </c>
      <c r="O53" s="65">
        <v>25</v>
      </c>
      <c r="P53" s="65">
        <v>9.6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13</v>
      </c>
      <c r="X53" s="65">
        <v>29.1</v>
      </c>
      <c r="Y53" s="65">
        <v>29.1</v>
      </c>
      <c r="Z53" s="65">
        <v>25</v>
      </c>
      <c r="AA53" s="65">
        <v>15</v>
      </c>
      <c r="AB53" s="65">
        <v>15</v>
      </c>
      <c r="AC53" s="65">
        <v>0</v>
      </c>
      <c r="AD53" s="65">
        <v>0</v>
      </c>
      <c r="AE53" s="65">
        <v>0</v>
      </c>
      <c r="AF53" s="65">
        <v>0</v>
      </c>
      <c r="AG53" s="55">
        <v>30</v>
      </c>
      <c r="AH53" s="48">
        <f t="shared" si="2"/>
        <v>29.1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2</v>
      </c>
      <c r="N54" s="45">
        <v>2</v>
      </c>
      <c r="O54" s="45">
        <v>2</v>
      </c>
      <c r="P54" s="45">
        <v>2</v>
      </c>
      <c r="Q54" s="45">
        <v>2</v>
      </c>
      <c r="R54" s="45">
        <v>2</v>
      </c>
      <c r="S54" s="45">
        <v>2</v>
      </c>
      <c r="T54" s="45">
        <v>2</v>
      </c>
      <c r="U54" s="45">
        <v>2</v>
      </c>
      <c r="V54" s="45">
        <v>2</v>
      </c>
      <c r="W54" s="4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2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17.2</v>
      </c>
      <c r="C55" s="65">
        <v>17.2</v>
      </c>
      <c r="D55" s="65">
        <v>17.2</v>
      </c>
      <c r="E55" s="65">
        <v>17.2</v>
      </c>
      <c r="F55" s="65">
        <v>17.2</v>
      </c>
      <c r="G55" s="65">
        <v>17.2</v>
      </c>
      <c r="H55" s="65">
        <v>17.2</v>
      </c>
      <c r="I55" s="65">
        <v>17.2</v>
      </c>
      <c r="J55" s="65">
        <v>17.2</v>
      </c>
      <c r="K55" s="65">
        <v>17.2</v>
      </c>
      <c r="L55" s="65">
        <v>17.2</v>
      </c>
      <c r="M55" s="65">
        <v>17.2</v>
      </c>
      <c r="N55" s="65">
        <v>17.2</v>
      </c>
      <c r="O55" s="65">
        <v>17.2</v>
      </c>
      <c r="P55" s="65">
        <v>17.2</v>
      </c>
      <c r="Q55" s="65">
        <v>17.2</v>
      </c>
      <c r="R55" s="65">
        <v>17.2</v>
      </c>
      <c r="S55" s="65">
        <v>17.2</v>
      </c>
      <c r="T55" s="65">
        <v>17.2</v>
      </c>
      <c r="U55" s="65">
        <v>17.2</v>
      </c>
      <c r="V55" s="65">
        <v>17.2</v>
      </c>
      <c r="W55" s="65">
        <v>17.2</v>
      </c>
      <c r="X55" s="65">
        <v>17.2</v>
      </c>
      <c r="Y55" s="65">
        <v>17.2</v>
      </c>
      <c r="Z55" s="65">
        <v>17.2</v>
      </c>
      <c r="AA55" s="65">
        <v>17.2</v>
      </c>
      <c r="AB55" s="65">
        <v>17.2</v>
      </c>
      <c r="AC55" s="65">
        <v>17.2</v>
      </c>
      <c r="AD55" s="65">
        <v>17.2</v>
      </c>
      <c r="AE55" s="65">
        <v>17.2</v>
      </c>
      <c r="AF55" s="65">
        <v>17.2</v>
      </c>
      <c r="AG55" s="55">
        <v>24</v>
      </c>
      <c r="AH55" s="48">
        <f t="shared" si="2"/>
        <v>17.2</v>
      </c>
      <c r="AI55" s="49">
        <f t="shared" si="3"/>
        <v>17.2</v>
      </c>
      <c r="AK55" s="50"/>
    </row>
    <row r="56" spans="1:41" x14ac:dyDescent="0.25">
      <c r="A56" s="54" t="s">
        <v>64</v>
      </c>
      <c r="B56" s="65">
        <v>2.6</v>
      </c>
      <c r="C56" s="65">
        <v>2.6</v>
      </c>
      <c r="D56" s="65">
        <v>2.6</v>
      </c>
      <c r="E56" s="65">
        <v>2.6</v>
      </c>
      <c r="F56" s="65">
        <v>2.6</v>
      </c>
      <c r="G56" s="65">
        <v>2.6</v>
      </c>
      <c r="H56" s="65">
        <v>2.6</v>
      </c>
      <c r="I56" s="65">
        <v>2.6</v>
      </c>
      <c r="J56" s="65">
        <v>2.6</v>
      </c>
      <c r="K56" s="65">
        <v>2.6</v>
      </c>
      <c r="L56" s="65">
        <v>2.6</v>
      </c>
      <c r="M56" s="65">
        <v>2.6</v>
      </c>
      <c r="N56" s="65">
        <v>2.6</v>
      </c>
      <c r="O56" s="65">
        <v>2.6</v>
      </c>
      <c r="P56" s="65">
        <v>2.6</v>
      </c>
      <c r="Q56" s="65">
        <v>2.6</v>
      </c>
      <c r="R56" s="65">
        <v>2.6</v>
      </c>
      <c r="S56" s="65">
        <v>2.6</v>
      </c>
      <c r="T56" s="65">
        <v>2.6</v>
      </c>
      <c r="U56" s="65">
        <v>2.6</v>
      </c>
      <c r="V56" s="65">
        <v>2.6</v>
      </c>
      <c r="W56" s="65">
        <v>2.6</v>
      </c>
      <c r="X56" s="65">
        <v>2.6</v>
      </c>
      <c r="Y56" s="65">
        <v>2.6</v>
      </c>
      <c r="Z56" s="65">
        <v>2.6</v>
      </c>
      <c r="AA56" s="65">
        <v>2.6</v>
      </c>
      <c r="AB56" s="65">
        <v>2.6</v>
      </c>
      <c r="AC56" s="65">
        <v>2.6</v>
      </c>
      <c r="AD56" s="65">
        <v>2.6</v>
      </c>
      <c r="AE56" s="65">
        <v>2.6</v>
      </c>
      <c r="AF56" s="65">
        <v>2.6</v>
      </c>
      <c r="AG56" s="55">
        <v>15</v>
      </c>
      <c r="AH56" s="48">
        <f t="shared" si="2"/>
        <v>2.6</v>
      </c>
      <c r="AI56" s="49">
        <f t="shared" si="3"/>
        <v>2.6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12.9</v>
      </c>
      <c r="C57" s="65">
        <v>12.9</v>
      </c>
      <c r="D57" s="65">
        <v>12.9</v>
      </c>
      <c r="E57" s="65">
        <v>12.9</v>
      </c>
      <c r="F57" s="65">
        <v>12.9</v>
      </c>
      <c r="G57" s="65">
        <v>12.9</v>
      </c>
      <c r="H57" s="65">
        <v>12.9</v>
      </c>
      <c r="I57" s="65">
        <v>12.9</v>
      </c>
      <c r="J57" s="65">
        <v>12.9</v>
      </c>
      <c r="K57" s="65">
        <v>12.9</v>
      </c>
      <c r="L57" s="65">
        <v>12.9</v>
      </c>
      <c r="M57" s="65">
        <v>12.9</v>
      </c>
      <c r="N57" s="65">
        <v>12.9</v>
      </c>
      <c r="O57" s="65">
        <v>12.9</v>
      </c>
      <c r="P57" s="65">
        <v>12.9</v>
      </c>
      <c r="Q57" s="65">
        <v>12.9</v>
      </c>
      <c r="R57" s="65">
        <v>12.9</v>
      </c>
      <c r="S57" s="65">
        <v>12.9</v>
      </c>
      <c r="T57" s="65">
        <v>12.9</v>
      </c>
      <c r="U57" s="65">
        <v>12.9</v>
      </c>
      <c r="V57" s="65">
        <v>12.9</v>
      </c>
      <c r="W57" s="65">
        <v>12.9</v>
      </c>
      <c r="X57" s="65">
        <v>12.9</v>
      </c>
      <c r="Y57" s="65">
        <v>12.9</v>
      </c>
      <c r="Z57" s="65">
        <v>12.9</v>
      </c>
      <c r="AA57" s="65">
        <v>12.9</v>
      </c>
      <c r="AB57" s="65">
        <v>12.9</v>
      </c>
      <c r="AC57" s="65">
        <v>12.9</v>
      </c>
      <c r="AD57" s="65">
        <v>12.9</v>
      </c>
      <c r="AE57" s="65">
        <v>12.9</v>
      </c>
      <c r="AF57" s="65">
        <v>12.9</v>
      </c>
      <c r="AG57" s="55">
        <v>14.1</v>
      </c>
      <c r="AH57" s="48">
        <f t="shared" si="2"/>
        <v>12.9</v>
      </c>
      <c r="AI57" s="49">
        <f t="shared" si="3"/>
        <v>12.9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6.8</v>
      </c>
      <c r="C58" s="65">
        <v>6.8</v>
      </c>
      <c r="D58" s="65">
        <v>6.8</v>
      </c>
      <c r="E58" s="65">
        <v>6.8</v>
      </c>
      <c r="F58" s="65">
        <v>6.8</v>
      </c>
      <c r="G58" s="65">
        <v>6.8</v>
      </c>
      <c r="H58" s="65">
        <v>6.8</v>
      </c>
      <c r="I58" s="65">
        <v>6.8</v>
      </c>
      <c r="J58" s="65">
        <v>6.8</v>
      </c>
      <c r="K58" s="65">
        <v>6.8</v>
      </c>
      <c r="L58" s="65">
        <v>6.8</v>
      </c>
      <c r="M58" s="65">
        <v>6.8</v>
      </c>
      <c r="N58" s="65">
        <v>6.8</v>
      </c>
      <c r="O58" s="65">
        <v>6.8</v>
      </c>
      <c r="P58" s="65">
        <v>6.8</v>
      </c>
      <c r="Q58" s="65">
        <v>6.8</v>
      </c>
      <c r="R58" s="65">
        <v>6.8</v>
      </c>
      <c r="S58" s="65">
        <v>6.8</v>
      </c>
      <c r="T58" s="65">
        <v>6.8</v>
      </c>
      <c r="U58" s="65">
        <v>6.8</v>
      </c>
      <c r="V58" s="65">
        <v>6.8</v>
      </c>
      <c r="W58" s="65">
        <v>6.8</v>
      </c>
      <c r="X58" s="65">
        <v>6.8</v>
      </c>
      <c r="Y58" s="65">
        <v>6.8</v>
      </c>
      <c r="Z58" s="65">
        <v>6.8</v>
      </c>
      <c r="AA58" s="65">
        <v>6.8</v>
      </c>
      <c r="AB58" s="65">
        <v>6.8</v>
      </c>
      <c r="AC58" s="65">
        <v>6.8</v>
      </c>
      <c r="AD58" s="65">
        <v>6.8</v>
      </c>
      <c r="AE58" s="65">
        <v>6.8</v>
      </c>
      <c r="AF58" s="65">
        <v>6.8</v>
      </c>
      <c r="AG58" s="55">
        <v>14</v>
      </c>
      <c r="AH58" s="48">
        <f t="shared" si="2"/>
        <v>6.8</v>
      </c>
      <c r="AI58" s="49">
        <f t="shared" si="3"/>
        <v>6.8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5">
        <v>6.2</v>
      </c>
      <c r="AH60" s="48">
        <f t="shared" si="2"/>
        <v>3.2</v>
      </c>
      <c r="AI60" s="49">
        <f t="shared" si="3"/>
        <v>3.2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8">SUM(B49:B61)</f>
        <v>131.24</v>
      </c>
      <c r="C62" s="61">
        <f t="shared" si="8"/>
        <v>131.24</v>
      </c>
      <c r="D62" s="61">
        <f t="shared" si="8"/>
        <v>112.24000000000001</v>
      </c>
      <c r="E62" s="61">
        <f t="shared" si="8"/>
        <v>112.24000000000001</v>
      </c>
      <c r="F62" s="61">
        <f t="shared" si="8"/>
        <v>112.24000000000001</v>
      </c>
      <c r="G62" s="61">
        <f t="shared" si="8"/>
        <v>136.23999999999998</v>
      </c>
      <c r="H62" s="61">
        <f t="shared" si="8"/>
        <v>154.23999999999998</v>
      </c>
      <c r="I62" s="61">
        <f t="shared" si="8"/>
        <v>212.23999999999998</v>
      </c>
      <c r="J62" s="61">
        <f t="shared" si="8"/>
        <v>302.24</v>
      </c>
      <c r="K62" s="61">
        <f t="shared" si="8"/>
        <v>322.24</v>
      </c>
      <c r="L62" s="61">
        <f t="shared" si="8"/>
        <v>322.24</v>
      </c>
      <c r="M62" s="61">
        <f t="shared" si="8"/>
        <v>423.44</v>
      </c>
      <c r="N62" s="61">
        <f t="shared" si="8"/>
        <v>423.44</v>
      </c>
      <c r="O62" s="61">
        <f t="shared" si="8"/>
        <v>419.94</v>
      </c>
      <c r="P62" s="61">
        <f t="shared" si="8"/>
        <v>395.14</v>
      </c>
      <c r="Q62" s="61">
        <f t="shared" si="8"/>
        <v>313.04000000000002</v>
      </c>
      <c r="R62" s="61">
        <f t="shared" si="8"/>
        <v>297.64</v>
      </c>
      <c r="S62" s="61">
        <f t="shared" si="8"/>
        <v>279.33999999999997</v>
      </c>
      <c r="T62" s="61">
        <f t="shared" si="8"/>
        <v>262.14</v>
      </c>
      <c r="U62" s="61">
        <f t="shared" si="8"/>
        <v>265.24</v>
      </c>
      <c r="V62" s="61">
        <f>SUM(V49:V61)</f>
        <v>316.14000000000004</v>
      </c>
      <c r="W62" s="61">
        <f t="shared" si="8"/>
        <v>348.94</v>
      </c>
      <c r="X62" s="61">
        <f t="shared" si="8"/>
        <v>365.04</v>
      </c>
      <c r="Y62" s="61">
        <f t="shared" si="8"/>
        <v>387.44000000000005</v>
      </c>
      <c r="Z62" s="61">
        <f t="shared" si="8"/>
        <v>373.34000000000003</v>
      </c>
      <c r="AA62" s="61">
        <f t="shared" si="8"/>
        <v>352.84000000000003</v>
      </c>
      <c r="AB62" s="61">
        <f t="shared" si="8"/>
        <v>311.27</v>
      </c>
      <c r="AC62" s="61">
        <f t="shared" si="8"/>
        <v>284.24</v>
      </c>
      <c r="AD62" s="61">
        <f t="shared" si="8"/>
        <v>234.73999999999998</v>
      </c>
      <c r="AE62" s="61">
        <f t="shared" si="8"/>
        <v>184.73999999999998</v>
      </c>
      <c r="AF62" s="61">
        <f t="shared" si="8"/>
        <v>144.73999999999998</v>
      </c>
      <c r="AG62" s="62">
        <f t="shared" si="8"/>
        <v>489.91</v>
      </c>
      <c r="AH62" s="48">
        <f t="shared" si="2"/>
        <v>423.44</v>
      </c>
      <c r="AI62" s="49">
        <f t="shared" si="3"/>
        <v>112.24000000000001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30</v>
      </c>
      <c r="L63" s="45">
        <v>60</v>
      </c>
      <c r="M63" s="45">
        <v>60</v>
      </c>
      <c r="N63" s="45">
        <v>60</v>
      </c>
      <c r="O63" s="45">
        <v>60</v>
      </c>
      <c r="P63" s="45">
        <v>60</v>
      </c>
      <c r="Q63" s="45">
        <v>60</v>
      </c>
      <c r="R63" s="45">
        <v>60</v>
      </c>
      <c r="S63" s="45">
        <v>60</v>
      </c>
      <c r="T63" s="45">
        <v>60</v>
      </c>
      <c r="U63" s="45">
        <v>60</v>
      </c>
      <c r="V63" s="45">
        <v>60</v>
      </c>
      <c r="W63" s="45">
        <v>60</v>
      </c>
      <c r="X63" s="45">
        <v>60</v>
      </c>
      <c r="Y63" s="45">
        <v>60</v>
      </c>
      <c r="Z63" s="45">
        <v>60</v>
      </c>
      <c r="AA63" s="45">
        <v>60</v>
      </c>
      <c r="AB63" s="45">
        <v>60</v>
      </c>
      <c r="AC63" s="45">
        <v>60</v>
      </c>
      <c r="AD63" s="45">
        <v>35</v>
      </c>
      <c r="AE63" s="45">
        <v>60</v>
      </c>
      <c r="AF63" s="45">
        <v>10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14</v>
      </c>
      <c r="L64" s="65">
        <v>30</v>
      </c>
      <c r="M64" s="65">
        <v>27.7</v>
      </c>
      <c r="N64" s="65">
        <v>28</v>
      </c>
      <c r="O64" s="65">
        <v>28</v>
      </c>
      <c r="P64" s="65">
        <v>28</v>
      </c>
      <c r="Q64" s="65">
        <v>28</v>
      </c>
      <c r="R64" s="65">
        <v>28</v>
      </c>
      <c r="S64" s="65">
        <v>28</v>
      </c>
      <c r="T64" s="65">
        <v>28</v>
      </c>
      <c r="U64" s="65">
        <v>27.8</v>
      </c>
      <c r="V64" s="65">
        <v>27.8</v>
      </c>
      <c r="W64" s="65">
        <v>27.8</v>
      </c>
      <c r="X64" s="65">
        <v>27.8</v>
      </c>
      <c r="Y64" s="65">
        <v>27.8</v>
      </c>
      <c r="Z64" s="65">
        <v>27.8</v>
      </c>
      <c r="AA64" s="65">
        <v>27.8</v>
      </c>
      <c r="AB64" s="65">
        <v>28.9</v>
      </c>
      <c r="AC64" s="65">
        <v>28.9</v>
      </c>
      <c r="AD64" s="65">
        <v>17</v>
      </c>
      <c r="AE64" s="65">
        <v>26</v>
      </c>
      <c r="AF64" s="45">
        <v>7</v>
      </c>
      <c r="AG64" s="55">
        <v>32</v>
      </c>
      <c r="AH64" s="48">
        <f t="shared" si="2"/>
        <v>30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7.8</v>
      </c>
      <c r="L65" s="67">
        <v>10.199999999999999</v>
      </c>
      <c r="M65" s="67">
        <v>10.1</v>
      </c>
      <c r="N65" s="67">
        <v>10.199999999999999</v>
      </c>
      <c r="O65" s="67">
        <v>10.199999999999999</v>
      </c>
      <c r="P65" s="67">
        <v>10.199999999999999</v>
      </c>
      <c r="Q65" s="67">
        <v>10.199999999999999</v>
      </c>
      <c r="R65" s="67">
        <v>10.199999999999999</v>
      </c>
      <c r="S65" s="67">
        <v>10.199999999999999</v>
      </c>
      <c r="T65" s="67">
        <v>10.199999999999999</v>
      </c>
      <c r="U65" s="67">
        <v>10.199999999999999</v>
      </c>
      <c r="V65" s="67">
        <v>10.199999999999999</v>
      </c>
      <c r="W65" s="67">
        <v>10.199999999999999</v>
      </c>
      <c r="X65" s="67">
        <v>10.199999999999999</v>
      </c>
      <c r="Y65" s="67">
        <v>10.199999999999999</v>
      </c>
      <c r="Z65" s="67">
        <v>10.199999999999999</v>
      </c>
      <c r="AA65" s="67">
        <v>10.199999999999999</v>
      </c>
      <c r="AB65" s="67">
        <v>10.3</v>
      </c>
      <c r="AC65" s="67">
        <v>10.3</v>
      </c>
      <c r="AD65" s="67">
        <v>6.5</v>
      </c>
      <c r="AE65" s="67">
        <v>9.6</v>
      </c>
      <c r="AF65" s="45">
        <v>2</v>
      </c>
      <c r="AG65" s="68">
        <v>14</v>
      </c>
      <c r="AH65" s="48">
        <f t="shared" si="2"/>
        <v>10.3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100.2</v>
      </c>
      <c r="M66" s="61">
        <f t="shared" ref="M66:AF66" si="9">M63+M64+M65</f>
        <v>97.8</v>
      </c>
      <c r="N66" s="61">
        <f t="shared" si="9"/>
        <v>98.2</v>
      </c>
      <c r="O66" s="61">
        <f t="shared" si="9"/>
        <v>98.2</v>
      </c>
      <c r="P66" s="61">
        <f t="shared" si="9"/>
        <v>98.2</v>
      </c>
      <c r="Q66" s="61">
        <f t="shared" si="9"/>
        <v>98.2</v>
      </c>
      <c r="R66" s="61">
        <f t="shared" si="9"/>
        <v>98.2</v>
      </c>
      <c r="S66" s="61">
        <f t="shared" si="9"/>
        <v>98.2</v>
      </c>
      <c r="T66" s="61">
        <f t="shared" si="9"/>
        <v>98.2</v>
      </c>
      <c r="U66" s="61">
        <f t="shared" si="9"/>
        <v>98</v>
      </c>
      <c r="V66" s="61">
        <f>V63+V64+V65</f>
        <v>98</v>
      </c>
      <c r="W66" s="61">
        <f t="shared" si="9"/>
        <v>98</v>
      </c>
      <c r="X66" s="61">
        <f t="shared" si="9"/>
        <v>98</v>
      </c>
      <c r="Y66" s="61">
        <f t="shared" si="9"/>
        <v>98</v>
      </c>
      <c r="Z66" s="61">
        <f t="shared" si="9"/>
        <v>98</v>
      </c>
      <c r="AA66" s="61">
        <f t="shared" si="9"/>
        <v>98</v>
      </c>
      <c r="AB66" s="61">
        <f t="shared" si="9"/>
        <v>99.2</v>
      </c>
      <c r="AC66" s="61">
        <f t="shared" si="9"/>
        <v>99.2</v>
      </c>
      <c r="AD66" s="61">
        <f t="shared" si="9"/>
        <v>58.5</v>
      </c>
      <c r="AE66" s="61">
        <f t="shared" si="9"/>
        <v>95.6</v>
      </c>
      <c r="AF66" s="61">
        <f t="shared" si="9"/>
        <v>19</v>
      </c>
      <c r="AG66" s="62">
        <f t="shared" ref="AG66" si="10">SUM(AG63:AG65)</f>
        <v>106</v>
      </c>
      <c r="AH66" s="48">
        <f t="shared" si="2"/>
        <v>100.2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69</v>
      </c>
      <c r="C67" s="45">
        <v>65</v>
      </c>
      <c r="D67" s="45">
        <v>70</v>
      </c>
      <c r="E67" s="45">
        <v>63</v>
      </c>
      <c r="F67" s="45">
        <v>64</v>
      </c>
      <c r="G67" s="45">
        <v>64</v>
      </c>
      <c r="H67" s="45">
        <v>64</v>
      </c>
      <c r="I67" s="45">
        <v>62.8</v>
      </c>
      <c r="J67" s="45">
        <v>65</v>
      </c>
      <c r="K67" s="45">
        <v>74</v>
      </c>
      <c r="L67" s="45">
        <v>75</v>
      </c>
      <c r="M67" s="45">
        <v>45</v>
      </c>
      <c r="N67" s="45">
        <v>44.7</v>
      </c>
      <c r="O67" s="45">
        <v>48.4</v>
      </c>
      <c r="P67" s="45">
        <v>62</v>
      </c>
      <c r="Q67" s="45">
        <v>76</v>
      </c>
      <c r="R67" s="45">
        <v>63</v>
      </c>
      <c r="S67" s="45">
        <v>66.900000000000006</v>
      </c>
      <c r="T67" s="45">
        <v>68</v>
      </c>
      <c r="U67" s="45">
        <v>63.5</v>
      </c>
      <c r="V67" s="45">
        <v>73</v>
      </c>
      <c r="W67" s="45">
        <v>62.7</v>
      </c>
      <c r="X67" s="45">
        <v>67</v>
      </c>
      <c r="Y67" s="45">
        <v>53.3</v>
      </c>
      <c r="Z67" s="45">
        <v>55.3</v>
      </c>
      <c r="AA67" s="45">
        <v>65</v>
      </c>
      <c r="AB67" s="45">
        <v>66.099999999999994</v>
      </c>
      <c r="AC67" s="45">
        <v>71</v>
      </c>
      <c r="AD67" s="45">
        <v>62.5</v>
      </c>
      <c r="AE67" s="45">
        <v>55</v>
      </c>
      <c r="AF67" s="45">
        <v>78</v>
      </c>
      <c r="AG67" s="52"/>
      <c r="AH67" s="48">
        <f t="shared" si="2"/>
        <v>78</v>
      </c>
      <c r="AI67" s="49">
        <f t="shared" si="3"/>
        <v>44.7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273</v>
      </c>
      <c r="C69" s="65">
        <v>230</v>
      </c>
      <c r="D69" s="65">
        <v>218</v>
      </c>
      <c r="E69" s="65">
        <v>215</v>
      </c>
      <c r="F69" s="65">
        <v>210</v>
      </c>
      <c r="G69" s="65">
        <v>286</v>
      </c>
      <c r="H69" s="65">
        <v>340</v>
      </c>
      <c r="I69" s="65">
        <v>304</v>
      </c>
      <c r="J69" s="65">
        <v>270</v>
      </c>
      <c r="K69" s="65">
        <v>95</v>
      </c>
      <c r="L69" s="65">
        <v>0</v>
      </c>
      <c r="M69" s="65">
        <v>5.4</v>
      </c>
      <c r="N69" s="65">
        <v>19.3</v>
      </c>
      <c r="O69" s="65">
        <v>20.100000000000001</v>
      </c>
      <c r="P69" s="65">
        <v>108.5</v>
      </c>
      <c r="Q69" s="65">
        <v>311</v>
      </c>
      <c r="R69" s="65">
        <v>327</v>
      </c>
      <c r="S69" s="65">
        <v>374</v>
      </c>
      <c r="T69" s="65">
        <v>364</v>
      </c>
      <c r="U69" s="65">
        <v>352</v>
      </c>
      <c r="V69" s="65">
        <v>25</v>
      </c>
      <c r="W69" s="65">
        <v>53.6</v>
      </c>
      <c r="X69" s="65">
        <v>47.6</v>
      </c>
      <c r="Y69" s="65">
        <v>71.2</v>
      </c>
      <c r="Z69" s="65">
        <v>106</v>
      </c>
      <c r="AA69" s="65">
        <v>107</v>
      </c>
      <c r="AB69" s="65">
        <v>145</v>
      </c>
      <c r="AC69" s="65">
        <v>278</v>
      </c>
      <c r="AD69" s="65">
        <v>346</v>
      </c>
      <c r="AE69" s="65">
        <v>262</v>
      </c>
      <c r="AF69" s="65">
        <v>263</v>
      </c>
      <c r="AG69" s="75"/>
      <c r="AH69" s="48">
        <f t="shared" si="2"/>
        <v>374</v>
      </c>
      <c r="AI69" s="49">
        <f t="shared" si="3"/>
        <v>0</v>
      </c>
      <c r="AK69" s="50"/>
    </row>
    <row r="70" spans="1:40" x14ac:dyDescent="0.25">
      <c r="A70" s="54" t="s">
        <v>78</v>
      </c>
      <c r="B70" s="76">
        <v>53</v>
      </c>
      <c r="C70" s="76">
        <v>53</v>
      </c>
      <c r="D70" s="76">
        <v>51</v>
      </c>
      <c r="E70" s="76">
        <v>51</v>
      </c>
      <c r="F70" s="76">
        <v>51</v>
      </c>
      <c r="G70" s="76">
        <v>51</v>
      </c>
      <c r="H70" s="76">
        <v>51</v>
      </c>
      <c r="I70" s="76">
        <v>51</v>
      </c>
      <c r="J70" s="76">
        <v>51</v>
      </c>
      <c r="K70" s="76">
        <v>51</v>
      </c>
      <c r="L70" s="76">
        <v>51</v>
      </c>
      <c r="M70" s="76">
        <v>65</v>
      </c>
      <c r="N70" s="76">
        <v>60.6</v>
      </c>
      <c r="O70" s="76">
        <v>61</v>
      </c>
      <c r="P70" s="76">
        <v>61.7</v>
      </c>
      <c r="Q70" s="76">
        <v>57.7</v>
      </c>
      <c r="R70" s="76">
        <v>49.7</v>
      </c>
      <c r="S70" s="76">
        <v>48.4</v>
      </c>
      <c r="T70" s="76">
        <v>47</v>
      </c>
      <c r="U70" s="76">
        <v>46</v>
      </c>
      <c r="V70" s="76">
        <v>46.3</v>
      </c>
      <c r="W70" s="76">
        <v>49.3</v>
      </c>
      <c r="X70" s="65">
        <v>53.7</v>
      </c>
      <c r="Y70" s="65">
        <v>54.5</v>
      </c>
      <c r="Z70" s="65">
        <v>52.5</v>
      </c>
      <c r="AA70" s="65">
        <v>55.8</v>
      </c>
      <c r="AB70" s="65">
        <v>53.4</v>
      </c>
      <c r="AC70" s="65">
        <v>52.4</v>
      </c>
      <c r="AD70" s="65">
        <v>47</v>
      </c>
      <c r="AE70" s="65">
        <v>43</v>
      </c>
      <c r="AF70" s="65">
        <v>43</v>
      </c>
      <c r="AG70" s="75"/>
      <c r="AH70" s="48">
        <f t="shared" si="2"/>
        <v>65</v>
      </c>
      <c r="AI70" s="49">
        <f t="shared" si="3"/>
        <v>43</v>
      </c>
      <c r="AK70" s="50"/>
    </row>
    <row r="71" spans="1:40" x14ac:dyDescent="0.25">
      <c r="A71" s="54" t="s">
        <v>79</v>
      </c>
      <c r="B71" s="45">
        <v>25</v>
      </c>
      <c r="C71" s="45">
        <v>23</v>
      </c>
      <c r="D71" s="45">
        <v>22</v>
      </c>
      <c r="E71" s="45">
        <v>22</v>
      </c>
      <c r="F71" s="45">
        <v>22</v>
      </c>
      <c r="G71" s="45">
        <v>22</v>
      </c>
      <c r="H71" s="45">
        <v>22</v>
      </c>
      <c r="I71" s="45">
        <v>22</v>
      </c>
      <c r="J71" s="45">
        <v>22</v>
      </c>
      <c r="K71" s="45">
        <v>22</v>
      </c>
      <c r="L71" s="45">
        <v>22</v>
      </c>
      <c r="M71" s="45">
        <v>37.9</v>
      </c>
      <c r="N71" s="45">
        <v>39.5</v>
      </c>
      <c r="O71" s="45">
        <v>40.9</v>
      </c>
      <c r="P71" s="45">
        <v>42</v>
      </c>
      <c r="Q71" s="45">
        <v>39.6</v>
      </c>
      <c r="R71" s="45">
        <v>37.9</v>
      </c>
      <c r="S71" s="45">
        <v>37.9</v>
      </c>
      <c r="T71" s="45">
        <v>37.200000000000003</v>
      </c>
      <c r="U71" s="45">
        <v>37.799999999999997</v>
      </c>
      <c r="V71" s="45">
        <v>30.2</v>
      </c>
      <c r="W71" s="45">
        <v>28.2</v>
      </c>
      <c r="X71" s="45">
        <v>27</v>
      </c>
      <c r="Y71" s="45">
        <v>26.3</v>
      </c>
      <c r="Z71" s="45">
        <v>25</v>
      </c>
      <c r="AA71" s="45">
        <v>24.3</v>
      </c>
      <c r="AB71" s="45">
        <v>24.1</v>
      </c>
      <c r="AC71" s="45">
        <v>24.3</v>
      </c>
      <c r="AD71" s="45">
        <v>22.8</v>
      </c>
      <c r="AE71" s="45">
        <v>20.7</v>
      </c>
      <c r="AF71" s="45">
        <v>20.7</v>
      </c>
      <c r="AG71" s="75"/>
      <c r="AH71" s="48">
        <f t="shared" si="2"/>
        <v>42</v>
      </c>
      <c r="AI71" s="49">
        <f t="shared" si="3"/>
        <v>20.7</v>
      </c>
      <c r="AK71" s="50"/>
    </row>
    <row r="72" spans="1:40" x14ac:dyDescent="0.25">
      <c r="A72" s="54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5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11">MAX(B75:AF75)</f>
        <v>0</v>
      </c>
      <c r="AI75" s="49">
        <f t="shared" ref="AI75:AI113" si="12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11"/>
        <v>0</v>
      </c>
      <c r="AI76" s="49">
        <f t="shared" si="12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11"/>
        <v>0</v>
      </c>
      <c r="AI77" s="49">
        <f t="shared" si="12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3">SUMIF(B67:B77,"&gt;0")</f>
        <v>425</v>
      </c>
      <c r="C78" s="61">
        <f t="shared" si="13"/>
        <v>376</v>
      </c>
      <c r="D78" s="61">
        <f t="shared" si="13"/>
        <v>366</v>
      </c>
      <c r="E78" s="61">
        <f t="shared" si="13"/>
        <v>356</v>
      </c>
      <c r="F78" s="61">
        <f t="shared" si="13"/>
        <v>352</v>
      </c>
      <c r="G78" s="61">
        <f t="shared" si="13"/>
        <v>428</v>
      </c>
      <c r="H78" s="61">
        <f t="shared" si="13"/>
        <v>482</v>
      </c>
      <c r="I78" s="61">
        <f t="shared" si="13"/>
        <v>444.8</v>
      </c>
      <c r="J78" s="61">
        <f t="shared" si="13"/>
        <v>413</v>
      </c>
      <c r="K78" s="61">
        <f t="shared" si="13"/>
        <v>247</v>
      </c>
      <c r="L78" s="61">
        <f t="shared" si="13"/>
        <v>153</v>
      </c>
      <c r="M78" s="61">
        <f t="shared" si="13"/>
        <v>158.30000000000001</v>
      </c>
      <c r="N78" s="61">
        <f t="shared" si="13"/>
        <v>169.1</v>
      </c>
      <c r="O78" s="61">
        <f t="shared" si="13"/>
        <v>175.4</v>
      </c>
      <c r="P78" s="61">
        <f t="shared" si="13"/>
        <v>279.2</v>
      </c>
      <c r="Q78" s="61">
        <f t="shared" si="13"/>
        <v>489.3</v>
      </c>
      <c r="R78" s="61">
        <f t="shared" si="13"/>
        <v>477.59999999999997</v>
      </c>
      <c r="S78" s="61">
        <f t="shared" si="13"/>
        <v>527.19999999999993</v>
      </c>
      <c r="T78" s="61">
        <f t="shared" si="13"/>
        <v>516.20000000000005</v>
      </c>
      <c r="U78" s="61">
        <f t="shared" si="13"/>
        <v>499.3</v>
      </c>
      <c r="V78" s="61">
        <f t="shared" si="13"/>
        <v>174.5</v>
      </c>
      <c r="W78" s="61">
        <f t="shared" si="13"/>
        <v>193.8</v>
      </c>
      <c r="X78" s="61">
        <f t="shared" si="13"/>
        <v>200.3</v>
      </c>
      <c r="Y78" s="61">
        <f t="shared" si="13"/>
        <v>210.3</v>
      </c>
      <c r="Z78" s="61">
        <f t="shared" si="13"/>
        <v>243.8</v>
      </c>
      <c r="AA78" s="61">
        <f t="shared" si="13"/>
        <v>257.10000000000002</v>
      </c>
      <c r="AB78" s="61">
        <f t="shared" si="13"/>
        <v>293.60000000000002</v>
      </c>
      <c r="AC78" s="61">
        <f t="shared" si="13"/>
        <v>430.7</v>
      </c>
      <c r="AD78" s="61">
        <f t="shared" si="13"/>
        <v>483.3</v>
      </c>
      <c r="AE78" s="61">
        <f t="shared" si="13"/>
        <v>385.7</v>
      </c>
      <c r="AF78" s="61">
        <f t="shared" si="13"/>
        <v>409.7</v>
      </c>
      <c r="AG78" s="81">
        <f>SUM(AG67:AG77)</f>
        <v>0</v>
      </c>
      <c r="AH78" s="48">
        <f t="shared" si="11"/>
        <v>527.19999999999993</v>
      </c>
      <c r="AI78" s="49">
        <f t="shared" si="12"/>
        <v>153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11"/>
        <v>0</v>
      </c>
      <c r="AI79" s="49">
        <f t="shared" si="12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11"/>
        <v>0</v>
      </c>
      <c r="AI80" s="49">
        <f t="shared" si="12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1"/>
        <v>0</v>
      </c>
      <c r="AI81" s="49">
        <f t="shared" si="12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11"/>
        <v>0</v>
      </c>
      <c r="AI82" s="49">
        <f t="shared" si="12"/>
        <v>0</v>
      </c>
    </row>
    <row r="83" spans="1:37" ht="15.75" thickBot="1" x14ac:dyDescent="0.3">
      <c r="A83" s="74" t="s">
        <v>91</v>
      </c>
      <c r="B83" s="83">
        <f>B44+B48+B66+B62+B78+B82</f>
        <v>1097.94</v>
      </c>
      <c r="C83" s="83">
        <f t="shared" ref="C83:AG83" si="14">C44+C48+C66+C62+C78+C82</f>
        <v>1048.94</v>
      </c>
      <c r="D83" s="83">
        <f t="shared" si="14"/>
        <v>1019.9399999999999</v>
      </c>
      <c r="E83" s="83">
        <f t="shared" si="14"/>
        <v>1009.9399999999999</v>
      </c>
      <c r="F83" s="83">
        <f t="shared" si="14"/>
        <v>1005.9399999999999</v>
      </c>
      <c r="G83" s="83">
        <f t="shared" si="14"/>
        <v>1105.94</v>
      </c>
      <c r="H83" s="83">
        <f t="shared" si="14"/>
        <v>1177.94</v>
      </c>
      <c r="I83" s="83">
        <f t="shared" si="14"/>
        <v>1238.74</v>
      </c>
      <c r="J83" s="83">
        <f t="shared" si="14"/>
        <v>1256.94</v>
      </c>
      <c r="K83" s="83">
        <f t="shared" si="14"/>
        <v>1256.94</v>
      </c>
      <c r="L83" s="83">
        <f t="shared" si="14"/>
        <v>1497.1399999999999</v>
      </c>
      <c r="M83" s="83">
        <f t="shared" si="14"/>
        <v>1671.44</v>
      </c>
      <c r="N83" s="83">
        <f t="shared" si="14"/>
        <v>1621.6399999999999</v>
      </c>
      <c r="O83" s="83">
        <f t="shared" si="14"/>
        <v>1604.44</v>
      </c>
      <c r="P83" s="83">
        <f t="shared" si="14"/>
        <v>1407.84</v>
      </c>
      <c r="Q83" s="83">
        <f t="shared" si="14"/>
        <v>1426.04</v>
      </c>
      <c r="R83" s="83">
        <f t="shared" si="14"/>
        <v>1399.04</v>
      </c>
      <c r="S83" s="83">
        <f t="shared" si="14"/>
        <v>1431.3399999999997</v>
      </c>
      <c r="T83" s="83">
        <f t="shared" si="14"/>
        <v>1421.04</v>
      </c>
      <c r="U83" s="83">
        <f t="shared" si="14"/>
        <v>1407.24</v>
      </c>
      <c r="V83" s="83">
        <f t="shared" si="14"/>
        <v>1378.44</v>
      </c>
      <c r="W83" s="83">
        <f t="shared" si="14"/>
        <v>1429.54</v>
      </c>
      <c r="X83" s="83">
        <f t="shared" si="14"/>
        <v>1569.9399999999998</v>
      </c>
      <c r="Y83" s="83">
        <f t="shared" si="14"/>
        <v>1542.34</v>
      </c>
      <c r="Z83" s="83">
        <f t="shared" si="14"/>
        <v>1461.74</v>
      </c>
      <c r="AA83" s="83">
        <f t="shared" si="14"/>
        <v>1364.54</v>
      </c>
      <c r="AB83" s="83">
        <f t="shared" si="14"/>
        <v>1386.65</v>
      </c>
      <c r="AC83" s="83">
        <f t="shared" si="14"/>
        <v>1392.94</v>
      </c>
      <c r="AD83" s="83">
        <f t="shared" si="14"/>
        <v>1320.1399999999999</v>
      </c>
      <c r="AE83" s="83">
        <f t="shared" si="14"/>
        <v>1194.6399999999999</v>
      </c>
      <c r="AF83" s="83">
        <f t="shared" si="14"/>
        <v>1102.04</v>
      </c>
      <c r="AG83" s="62">
        <f t="shared" si="14"/>
        <v>2004.1900000000003</v>
      </c>
      <c r="AH83" s="48">
        <f>MAX(B83:AF83)</f>
        <v>1671.44</v>
      </c>
      <c r="AI83" s="49">
        <f>MIN(B83:AF83)</f>
        <v>1005.9399999999999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>
        <v>170</v>
      </c>
      <c r="W84" s="85">
        <v>170</v>
      </c>
      <c r="X84" s="85">
        <v>170</v>
      </c>
      <c r="Y84" s="85">
        <v>170</v>
      </c>
      <c r="Z84" s="85">
        <v>270</v>
      </c>
      <c r="AA84" s="85">
        <v>270</v>
      </c>
      <c r="AB84" s="85">
        <v>270</v>
      </c>
      <c r="AC84" s="85">
        <v>140</v>
      </c>
      <c r="AD84" s="85"/>
      <c r="AE84" s="85"/>
      <c r="AF84" s="85"/>
      <c r="AG84" s="81"/>
      <c r="AH84" s="48">
        <f t="shared" si="11"/>
        <v>270</v>
      </c>
      <c r="AI84" s="49">
        <f t="shared" si="12"/>
        <v>140</v>
      </c>
    </row>
    <row r="85" spans="1:37" ht="15.75" thickBot="1" x14ac:dyDescent="0.3">
      <c r="A85" s="74" t="s">
        <v>93</v>
      </c>
      <c r="B85" s="83">
        <f>B83+B84</f>
        <v>1097.94</v>
      </c>
      <c r="C85" s="83">
        <f t="shared" ref="C85:AF85" si="15">C83+C84</f>
        <v>1048.94</v>
      </c>
      <c r="D85" s="83">
        <f t="shared" si="15"/>
        <v>1019.9399999999999</v>
      </c>
      <c r="E85" s="83">
        <f t="shared" si="15"/>
        <v>1009.9399999999999</v>
      </c>
      <c r="F85" s="83">
        <f t="shared" si="15"/>
        <v>1005.9399999999999</v>
      </c>
      <c r="G85" s="83">
        <f t="shared" si="15"/>
        <v>1105.94</v>
      </c>
      <c r="H85" s="83">
        <f t="shared" si="15"/>
        <v>1177.94</v>
      </c>
      <c r="I85" s="83">
        <f t="shared" si="15"/>
        <v>1238.74</v>
      </c>
      <c r="J85" s="83">
        <f t="shared" si="15"/>
        <v>1256.94</v>
      </c>
      <c r="K85" s="83">
        <f t="shared" si="15"/>
        <v>1256.94</v>
      </c>
      <c r="L85" s="83">
        <f t="shared" si="15"/>
        <v>1497.1399999999999</v>
      </c>
      <c r="M85" s="83">
        <f t="shared" si="15"/>
        <v>1671.44</v>
      </c>
      <c r="N85" s="83">
        <f t="shared" si="15"/>
        <v>1621.6399999999999</v>
      </c>
      <c r="O85" s="83">
        <f t="shared" si="15"/>
        <v>1604.44</v>
      </c>
      <c r="P85" s="83">
        <f t="shared" si="15"/>
        <v>1407.84</v>
      </c>
      <c r="Q85" s="83">
        <f t="shared" si="15"/>
        <v>1426.04</v>
      </c>
      <c r="R85" s="83">
        <f t="shared" si="15"/>
        <v>1399.04</v>
      </c>
      <c r="S85" s="83">
        <f t="shared" si="15"/>
        <v>1431.3399999999997</v>
      </c>
      <c r="T85" s="83">
        <f t="shared" si="15"/>
        <v>1421.04</v>
      </c>
      <c r="U85" s="83">
        <f t="shared" si="15"/>
        <v>1407.24</v>
      </c>
      <c r="V85" s="83">
        <f t="shared" si="15"/>
        <v>1548.44</v>
      </c>
      <c r="W85" s="83">
        <f t="shared" si="15"/>
        <v>1599.54</v>
      </c>
      <c r="X85" s="83">
        <f t="shared" si="15"/>
        <v>1739.9399999999998</v>
      </c>
      <c r="Y85" s="83">
        <f t="shared" si="15"/>
        <v>1712.34</v>
      </c>
      <c r="Z85" s="83">
        <f t="shared" si="15"/>
        <v>1731.74</v>
      </c>
      <c r="AA85" s="83">
        <f t="shared" si="15"/>
        <v>1634.54</v>
      </c>
      <c r="AB85" s="83">
        <f t="shared" si="15"/>
        <v>1656.65</v>
      </c>
      <c r="AC85" s="83">
        <f t="shared" si="15"/>
        <v>1532.94</v>
      </c>
      <c r="AD85" s="83">
        <f t="shared" si="15"/>
        <v>1320.1399999999999</v>
      </c>
      <c r="AE85" s="83">
        <f t="shared" si="15"/>
        <v>1194.6399999999999</v>
      </c>
      <c r="AF85" s="83">
        <f t="shared" si="15"/>
        <v>1102.04</v>
      </c>
      <c r="AG85" s="81">
        <f>AG82+AG78+AG66+AG62+AG44+AG84</f>
        <v>1466.0900000000001</v>
      </c>
      <c r="AH85" s="48">
        <f t="shared" si="11"/>
        <v>1739.9399999999998</v>
      </c>
      <c r="AI85" s="49">
        <f t="shared" si="12"/>
        <v>1005.9399999999999</v>
      </c>
    </row>
    <row r="86" spans="1:37" ht="15.75" thickBot="1" x14ac:dyDescent="0.3">
      <c r="A86" s="74" t="s">
        <v>94</v>
      </c>
      <c r="B86" s="83">
        <f t="shared" ref="B86:AF86" si="16">B85-B93</f>
        <v>1097.94</v>
      </c>
      <c r="C86" s="83">
        <f t="shared" si="16"/>
        <v>1048.94</v>
      </c>
      <c r="D86" s="83">
        <f t="shared" si="16"/>
        <v>1019.9399999999999</v>
      </c>
      <c r="E86" s="83">
        <f t="shared" si="16"/>
        <v>1009.9399999999999</v>
      </c>
      <c r="F86" s="83">
        <f t="shared" si="16"/>
        <v>1005.9399999999999</v>
      </c>
      <c r="G86" s="83">
        <f t="shared" si="16"/>
        <v>1105.94</v>
      </c>
      <c r="H86" s="83">
        <f t="shared" si="16"/>
        <v>1177.94</v>
      </c>
      <c r="I86" s="83">
        <f t="shared" si="16"/>
        <v>1238.74</v>
      </c>
      <c r="J86" s="83">
        <f t="shared" si="16"/>
        <v>1256.94</v>
      </c>
      <c r="K86" s="83">
        <f t="shared" si="16"/>
        <v>1256.94</v>
      </c>
      <c r="L86" s="83">
        <f t="shared" si="16"/>
        <v>1497.1399999999999</v>
      </c>
      <c r="M86" s="83">
        <f t="shared" si="16"/>
        <v>1671.44</v>
      </c>
      <c r="N86" s="83">
        <f t="shared" si="16"/>
        <v>1621.6399999999999</v>
      </c>
      <c r="O86" s="83">
        <f t="shared" si="16"/>
        <v>1604.44</v>
      </c>
      <c r="P86" s="83">
        <f t="shared" si="16"/>
        <v>1407.84</v>
      </c>
      <c r="Q86" s="83">
        <f t="shared" si="16"/>
        <v>1426.04</v>
      </c>
      <c r="R86" s="83">
        <f t="shared" si="16"/>
        <v>1399.04</v>
      </c>
      <c r="S86" s="83">
        <f t="shared" si="16"/>
        <v>1431.3399999999997</v>
      </c>
      <c r="T86" s="83">
        <f t="shared" si="16"/>
        <v>1421.04</v>
      </c>
      <c r="U86" s="83">
        <f t="shared" si="16"/>
        <v>1407.24</v>
      </c>
      <c r="V86" s="83">
        <f t="shared" si="16"/>
        <v>1548.44</v>
      </c>
      <c r="W86" s="83">
        <f t="shared" si="16"/>
        <v>1599.54</v>
      </c>
      <c r="X86" s="83">
        <f t="shared" si="16"/>
        <v>1739.9399999999998</v>
      </c>
      <c r="Y86" s="83">
        <f t="shared" si="16"/>
        <v>1712.34</v>
      </c>
      <c r="Z86" s="83">
        <f t="shared" si="16"/>
        <v>1731.74</v>
      </c>
      <c r="AA86" s="83">
        <f t="shared" si="16"/>
        <v>1634.54</v>
      </c>
      <c r="AB86" s="83">
        <f t="shared" si="16"/>
        <v>1656.65</v>
      </c>
      <c r="AC86" s="83">
        <f t="shared" si="16"/>
        <v>1532.94</v>
      </c>
      <c r="AD86" s="83">
        <f t="shared" si="16"/>
        <v>1320.1399999999999</v>
      </c>
      <c r="AE86" s="83">
        <f t="shared" si="16"/>
        <v>1194.6399999999999</v>
      </c>
      <c r="AF86" s="83">
        <f t="shared" si="16"/>
        <v>1102.04</v>
      </c>
      <c r="AG86" s="81"/>
      <c r="AH86" s="48">
        <f t="shared" si="11"/>
        <v>1739.9399999999998</v>
      </c>
      <c r="AI86" s="49">
        <f t="shared" si="12"/>
        <v>1005.9399999999999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11"/>
        <v>0</v>
      </c>
      <c r="AI87" s="49">
        <f t="shared" si="12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11"/>
        <v>0</v>
      </c>
      <c r="AI88" s="49">
        <f t="shared" si="12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11"/>
        <v>0</v>
      </c>
      <c r="AI89" s="49">
        <f t="shared" si="12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11"/>
        <v>0</v>
      </c>
      <c r="AI90" s="49">
        <f t="shared" si="12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11"/>
        <v>0</v>
      </c>
      <c r="AI91" s="49">
        <f t="shared" si="12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11"/>
        <v>0</v>
      </c>
      <c r="AI92" s="49">
        <f t="shared" si="12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81"/>
      <c r="AH93" s="48">
        <f t="shared" si="11"/>
        <v>0</v>
      </c>
      <c r="AI93" s="49">
        <f t="shared" si="12"/>
        <v>0</v>
      </c>
      <c r="AK93" s="50"/>
    </row>
    <row r="94" spans="1:37" ht="15.75" thickBot="1" x14ac:dyDescent="0.3">
      <c r="A94" s="74" t="s">
        <v>99</v>
      </c>
      <c r="B94" s="61">
        <f t="shared" ref="B94:AF94" si="17">B78-B93</f>
        <v>425</v>
      </c>
      <c r="C94" s="61">
        <f t="shared" si="17"/>
        <v>376</v>
      </c>
      <c r="D94" s="61">
        <f t="shared" si="17"/>
        <v>366</v>
      </c>
      <c r="E94" s="61">
        <f t="shared" si="17"/>
        <v>356</v>
      </c>
      <c r="F94" s="61">
        <f t="shared" si="17"/>
        <v>352</v>
      </c>
      <c r="G94" s="61">
        <f t="shared" si="17"/>
        <v>428</v>
      </c>
      <c r="H94" s="61">
        <f t="shared" si="17"/>
        <v>482</v>
      </c>
      <c r="I94" s="61">
        <f t="shared" si="17"/>
        <v>444.8</v>
      </c>
      <c r="J94" s="61">
        <f t="shared" si="17"/>
        <v>413</v>
      </c>
      <c r="K94" s="61">
        <f t="shared" si="17"/>
        <v>247</v>
      </c>
      <c r="L94" s="61">
        <f t="shared" si="17"/>
        <v>153</v>
      </c>
      <c r="M94" s="61">
        <f t="shared" si="17"/>
        <v>158.30000000000001</v>
      </c>
      <c r="N94" s="61">
        <f t="shared" si="17"/>
        <v>169.1</v>
      </c>
      <c r="O94" s="61">
        <f t="shared" si="17"/>
        <v>175.4</v>
      </c>
      <c r="P94" s="61">
        <f t="shared" si="17"/>
        <v>279.2</v>
      </c>
      <c r="Q94" s="61">
        <f t="shared" si="17"/>
        <v>489.3</v>
      </c>
      <c r="R94" s="61">
        <f t="shared" si="17"/>
        <v>477.59999999999997</v>
      </c>
      <c r="S94" s="61">
        <f t="shared" si="17"/>
        <v>527.19999999999993</v>
      </c>
      <c r="T94" s="61">
        <f t="shared" si="17"/>
        <v>516.20000000000005</v>
      </c>
      <c r="U94" s="61">
        <f t="shared" si="17"/>
        <v>499.3</v>
      </c>
      <c r="V94" s="61">
        <f t="shared" si="17"/>
        <v>174.5</v>
      </c>
      <c r="W94" s="61">
        <f t="shared" si="17"/>
        <v>193.8</v>
      </c>
      <c r="X94" s="61">
        <v>151.6</v>
      </c>
      <c r="Y94" s="61">
        <f t="shared" si="17"/>
        <v>210.3</v>
      </c>
      <c r="Z94" s="61">
        <f t="shared" si="17"/>
        <v>243.8</v>
      </c>
      <c r="AA94" s="61">
        <f t="shared" si="17"/>
        <v>257.10000000000002</v>
      </c>
      <c r="AB94" s="61">
        <f t="shared" si="17"/>
        <v>293.60000000000002</v>
      </c>
      <c r="AC94" s="61">
        <f t="shared" si="17"/>
        <v>430.7</v>
      </c>
      <c r="AD94" s="61">
        <f t="shared" si="17"/>
        <v>483.3</v>
      </c>
      <c r="AE94" s="61">
        <f t="shared" si="17"/>
        <v>385.7</v>
      </c>
      <c r="AF94" s="61">
        <f t="shared" si="17"/>
        <v>409.7</v>
      </c>
      <c r="AG94" s="81"/>
      <c r="AH94" s="48">
        <f t="shared" si="11"/>
        <v>527.19999999999993</v>
      </c>
      <c r="AI94" s="49">
        <f t="shared" si="12"/>
        <v>151.6</v>
      </c>
    </row>
    <row r="95" spans="1:37" x14ac:dyDescent="0.25">
      <c r="A95" s="88" t="s">
        <v>100</v>
      </c>
      <c r="B95" s="89">
        <v>50</v>
      </c>
      <c r="C95" s="89">
        <v>49.96</v>
      </c>
      <c r="D95" s="89">
        <v>49.96</v>
      </c>
      <c r="E95" s="89">
        <v>49.96</v>
      </c>
      <c r="F95" s="89">
        <v>49.96</v>
      </c>
      <c r="G95" s="89">
        <v>49.8</v>
      </c>
      <c r="H95" s="89">
        <v>49.6</v>
      </c>
      <c r="I95" s="89">
        <v>49.9</v>
      </c>
      <c r="J95" s="89">
        <v>50.01</v>
      </c>
      <c r="K95" s="89">
        <v>49.92</v>
      </c>
      <c r="L95" s="89">
        <v>49.92</v>
      </c>
      <c r="M95" s="89">
        <v>49.881</v>
      </c>
      <c r="N95" s="89">
        <v>49.841999999999999</v>
      </c>
      <c r="O95" s="89">
        <v>50.014000000000003</v>
      </c>
      <c r="P95" s="89">
        <v>49.982999999999997</v>
      </c>
      <c r="Q95" s="89">
        <v>49.984000000000002</v>
      </c>
      <c r="R95" s="89">
        <v>49.854999999999997</v>
      </c>
      <c r="S95" s="89">
        <v>49.959000000000003</v>
      </c>
      <c r="T95" s="89">
        <v>49.771000000000001</v>
      </c>
      <c r="U95" s="89">
        <v>49.923000000000002</v>
      </c>
      <c r="V95" s="89">
        <v>49.917000000000002</v>
      </c>
      <c r="W95" s="89">
        <v>49.912999999999997</v>
      </c>
      <c r="X95" s="89">
        <v>49.664999999999999</v>
      </c>
      <c r="Y95" s="89">
        <v>49.917999999999999</v>
      </c>
      <c r="Z95" s="89">
        <v>49.942999999999998</v>
      </c>
      <c r="AA95" s="89">
        <v>49.98</v>
      </c>
      <c r="AB95" s="89">
        <v>50.094000000000001</v>
      </c>
      <c r="AC95" s="89">
        <v>49.984000000000002</v>
      </c>
      <c r="AD95" s="89">
        <v>49.948</v>
      </c>
      <c r="AE95" s="89">
        <v>49.917999999999999</v>
      </c>
      <c r="AF95" s="89">
        <v>50.006999999999998</v>
      </c>
      <c r="AG95" s="90"/>
      <c r="AH95" s="48">
        <f t="shared" si="11"/>
        <v>50.094000000000001</v>
      </c>
      <c r="AI95" s="49">
        <f t="shared" si="12"/>
        <v>49.6</v>
      </c>
    </row>
    <row r="96" spans="1:37" x14ac:dyDescent="0.25">
      <c r="A96" s="91" t="s">
        <v>101</v>
      </c>
      <c r="B96" s="65">
        <v>127</v>
      </c>
      <c r="C96" s="65">
        <v>128</v>
      </c>
      <c r="D96" s="65">
        <v>128</v>
      </c>
      <c r="E96" s="65">
        <v>128</v>
      </c>
      <c r="F96" s="65">
        <v>128</v>
      </c>
      <c r="G96" s="65">
        <v>128</v>
      </c>
      <c r="H96" s="65">
        <v>128</v>
      </c>
      <c r="I96" s="65">
        <v>128</v>
      </c>
      <c r="J96" s="65">
        <v>128</v>
      </c>
      <c r="K96" s="65">
        <v>128</v>
      </c>
      <c r="L96" s="65">
        <v>128</v>
      </c>
      <c r="M96" s="65">
        <v>123.4</v>
      </c>
      <c r="N96" s="65">
        <v>123.7</v>
      </c>
      <c r="O96" s="65">
        <v>125.1</v>
      </c>
      <c r="P96" s="65">
        <v>128</v>
      </c>
      <c r="Q96" s="65">
        <v>126.6</v>
      </c>
      <c r="R96" s="65">
        <v>127</v>
      </c>
      <c r="S96" s="65">
        <v>124.5</v>
      </c>
      <c r="T96" s="65">
        <v>125.9</v>
      </c>
      <c r="U96" s="65">
        <v>128</v>
      </c>
      <c r="V96" s="65">
        <v>128.4</v>
      </c>
      <c r="W96" s="65">
        <v>127.6</v>
      </c>
      <c r="X96" s="65">
        <v>126</v>
      </c>
      <c r="Y96" s="65">
        <v>128.30000000000001</v>
      </c>
      <c r="Z96" s="65">
        <v>129.6</v>
      </c>
      <c r="AA96" s="65">
        <v>131.5</v>
      </c>
      <c r="AB96" s="65">
        <v>129.4</v>
      </c>
      <c r="AC96" s="65">
        <v>128.30000000000001</v>
      </c>
      <c r="AD96" s="65">
        <v>127.4</v>
      </c>
      <c r="AE96" s="65">
        <v>129.19999999999999</v>
      </c>
      <c r="AF96" s="65">
        <v>129.5</v>
      </c>
      <c r="AG96" s="92"/>
      <c r="AH96" s="48">
        <f t="shared" si="11"/>
        <v>131.5</v>
      </c>
      <c r="AI96" s="49">
        <f t="shared" si="12"/>
        <v>123.4</v>
      </c>
    </row>
    <row r="97" spans="1:35" x14ac:dyDescent="0.25">
      <c r="A97" s="91" t="s">
        <v>102</v>
      </c>
      <c r="B97" s="65">
        <v>131</v>
      </c>
      <c r="C97" s="65">
        <v>132</v>
      </c>
      <c r="D97" s="65">
        <v>132</v>
      </c>
      <c r="E97" s="65">
        <v>132</v>
      </c>
      <c r="F97" s="65">
        <v>132</v>
      </c>
      <c r="G97" s="65">
        <v>132</v>
      </c>
      <c r="H97" s="65">
        <v>132</v>
      </c>
      <c r="I97" s="65">
        <v>132</v>
      </c>
      <c r="J97" s="65">
        <v>132</v>
      </c>
      <c r="K97" s="65">
        <v>132</v>
      </c>
      <c r="L97" s="65">
        <v>132</v>
      </c>
      <c r="M97" s="65">
        <v>125.9</v>
      </c>
      <c r="N97" s="65">
        <v>123.1</v>
      </c>
      <c r="O97" s="65">
        <v>127.4</v>
      </c>
      <c r="P97" s="65">
        <v>129.4</v>
      </c>
      <c r="Q97" s="65">
        <v>128.96</v>
      </c>
      <c r="R97" s="65">
        <v>128.69999999999999</v>
      </c>
      <c r="S97" s="65">
        <v>127.6</v>
      </c>
      <c r="T97" s="65">
        <v>128.30000000000001</v>
      </c>
      <c r="U97" s="65">
        <v>129.6</v>
      </c>
      <c r="V97" s="65">
        <v>129.5</v>
      </c>
      <c r="W97" s="65">
        <v>128.5</v>
      </c>
      <c r="X97" s="65">
        <v>126.8</v>
      </c>
      <c r="Y97" s="65">
        <v>128.4</v>
      </c>
      <c r="Z97" s="65">
        <v>129.69999999999999</v>
      </c>
      <c r="AA97" s="65">
        <v>131.1</v>
      </c>
      <c r="AB97" s="65">
        <v>129.69999999999999</v>
      </c>
      <c r="AC97" s="65">
        <v>129.19999999999999</v>
      </c>
      <c r="AD97" s="65">
        <v>129</v>
      </c>
      <c r="AE97" s="65">
        <v>131.30000000000001</v>
      </c>
      <c r="AF97" s="65">
        <v>132.69999999999999</v>
      </c>
      <c r="AG97" s="92"/>
      <c r="AH97" s="48">
        <f t="shared" si="11"/>
        <v>132.69999999999999</v>
      </c>
      <c r="AI97" s="49">
        <f t="shared" si="12"/>
        <v>123.1</v>
      </c>
    </row>
    <row r="98" spans="1:35" x14ac:dyDescent="0.25">
      <c r="A98" s="91" t="s">
        <v>103</v>
      </c>
      <c r="B98" s="65">
        <v>129</v>
      </c>
      <c r="C98" s="65">
        <v>130</v>
      </c>
      <c r="D98" s="65">
        <v>130</v>
      </c>
      <c r="E98" s="65">
        <v>130</v>
      </c>
      <c r="F98" s="65">
        <v>130</v>
      </c>
      <c r="G98" s="65">
        <v>130</v>
      </c>
      <c r="H98" s="65">
        <v>130</v>
      </c>
      <c r="I98" s="65">
        <v>130</v>
      </c>
      <c r="J98" s="65">
        <v>130</v>
      </c>
      <c r="K98" s="65">
        <v>130</v>
      </c>
      <c r="L98" s="65">
        <v>130</v>
      </c>
      <c r="M98" s="65">
        <v>127.5</v>
      </c>
      <c r="N98" s="65">
        <v>126.9</v>
      </c>
      <c r="O98" s="65">
        <v>130.19999999999999</v>
      </c>
      <c r="P98" s="65">
        <v>131.6</v>
      </c>
      <c r="Q98" s="65">
        <v>130</v>
      </c>
      <c r="R98" s="65">
        <v>132</v>
      </c>
      <c r="S98" s="65">
        <v>130</v>
      </c>
      <c r="T98" s="65">
        <v>130.1</v>
      </c>
      <c r="U98" s="65">
        <v>130.69999999999999</v>
      </c>
      <c r="V98" s="65">
        <v>131</v>
      </c>
      <c r="W98" s="65">
        <v>130.4</v>
      </c>
      <c r="X98" s="65">
        <v>131.4</v>
      </c>
      <c r="Y98" s="65">
        <v>133.1</v>
      </c>
      <c r="Z98" s="65">
        <v>131.1</v>
      </c>
      <c r="AA98" s="65">
        <v>131.1</v>
      </c>
      <c r="AB98" s="65">
        <v>131.5</v>
      </c>
      <c r="AC98" s="65">
        <v>130</v>
      </c>
      <c r="AD98" s="65">
        <v>128.5</v>
      </c>
      <c r="AE98" s="65">
        <v>132</v>
      </c>
      <c r="AF98" s="65">
        <v>132.1</v>
      </c>
      <c r="AG98" s="92"/>
      <c r="AH98" s="48">
        <f t="shared" si="11"/>
        <v>133.1</v>
      </c>
      <c r="AI98" s="49">
        <f t="shared" si="12"/>
        <v>126.9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1"/>
        <v>0</v>
      </c>
      <c r="AI99" s="49">
        <f t="shared" si="12"/>
        <v>0</v>
      </c>
    </row>
    <row r="100" spans="1:35" x14ac:dyDescent="0.25">
      <c r="A100" s="93" t="s">
        <v>105</v>
      </c>
      <c r="B100" s="94">
        <v>134</v>
      </c>
      <c r="C100" s="94">
        <v>133.6</v>
      </c>
      <c r="D100" s="94">
        <v>133.6</v>
      </c>
      <c r="E100" s="94">
        <v>133.6</v>
      </c>
      <c r="F100" s="94">
        <v>133.6</v>
      </c>
      <c r="G100" s="94">
        <v>133.6</v>
      </c>
      <c r="H100" s="94">
        <v>133.6</v>
      </c>
      <c r="I100" s="94">
        <v>133.6</v>
      </c>
      <c r="J100" s="94">
        <v>133.6</v>
      </c>
      <c r="K100" s="94">
        <v>133.6</v>
      </c>
      <c r="L100" s="94">
        <v>133.6</v>
      </c>
      <c r="M100" s="94">
        <v>130.9</v>
      </c>
      <c r="N100" s="94">
        <v>131</v>
      </c>
      <c r="O100" s="94">
        <v>134.6</v>
      </c>
      <c r="P100" s="94">
        <v>135</v>
      </c>
      <c r="Q100" s="94">
        <v>135.69999999999999</v>
      </c>
      <c r="R100" s="94">
        <v>131.69999999999999</v>
      </c>
      <c r="S100" s="94">
        <v>130.5</v>
      </c>
      <c r="T100" s="94">
        <v>132.5</v>
      </c>
      <c r="U100" s="94">
        <v>133.5</v>
      </c>
      <c r="V100" s="94">
        <v>133.9</v>
      </c>
      <c r="W100" s="94">
        <v>129.6</v>
      </c>
      <c r="X100" s="94">
        <v>131.6</v>
      </c>
      <c r="Y100" s="94">
        <v>133.80000000000001</v>
      </c>
      <c r="Z100" s="94">
        <v>135.4</v>
      </c>
      <c r="AA100" s="94">
        <v>136.30000000000001</v>
      </c>
      <c r="AB100" s="94">
        <v>133.80000000000001</v>
      </c>
      <c r="AC100" s="94">
        <v>133.4</v>
      </c>
      <c r="AD100" s="94">
        <v>132.5</v>
      </c>
      <c r="AE100" s="94">
        <v>132.6</v>
      </c>
      <c r="AF100" s="94">
        <v>134.1</v>
      </c>
      <c r="AG100" s="95"/>
      <c r="AH100" s="48">
        <f t="shared" si="11"/>
        <v>136.30000000000001</v>
      </c>
      <c r="AI100" s="49">
        <f t="shared" si="12"/>
        <v>129.6</v>
      </c>
    </row>
    <row r="101" spans="1:35" x14ac:dyDescent="0.25">
      <c r="A101" s="91" t="s">
        <v>106</v>
      </c>
      <c r="B101" s="65">
        <v>129</v>
      </c>
      <c r="C101" s="65">
        <v>1337</v>
      </c>
      <c r="D101" s="65">
        <v>1337</v>
      </c>
      <c r="E101" s="65">
        <v>1337</v>
      </c>
      <c r="F101" s="65">
        <v>134.5</v>
      </c>
      <c r="G101" s="65">
        <v>134.5</v>
      </c>
      <c r="H101" s="65">
        <v>134.5</v>
      </c>
      <c r="I101" s="65">
        <v>134.5</v>
      </c>
      <c r="J101" s="65">
        <v>134.5</v>
      </c>
      <c r="K101" s="65">
        <v>134.5</v>
      </c>
      <c r="L101" s="65">
        <v>134.5</v>
      </c>
      <c r="M101" s="65">
        <v>128.19999999999999</v>
      </c>
      <c r="N101" s="65">
        <v>129.30000000000001</v>
      </c>
      <c r="O101" s="65">
        <v>135.4</v>
      </c>
      <c r="P101" s="65">
        <v>127.8</v>
      </c>
      <c r="Q101" s="65">
        <v>128</v>
      </c>
      <c r="R101" s="65">
        <v>129</v>
      </c>
      <c r="S101" s="65">
        <v>122.6</v>
      </c>
      <c r="T101" s="65">
        <v>126.4</v>
      </c>
      <c r="U101" s="65">
        <v>127.7</v>
      </c>
      <c r="V101" s="65">
        <v>131.9</v>
      </c>
      <c r="W101" s="65">
        <v>127.5</v>
      </c>
      <c r="X101" s="65">
        <v>132.4</v>
      </c>
      <c r="Y101" s="65">
        <v>132.80000000000001</v>
      </c>
      <c r="Z101" s="65">
        <v>134.6</v>
      </c>
      <c r="AA101" s="65">
        <v>135.5</v>
      </c>
      <c r="AB101" s="65">
        <v>131.4</v>
      </c>
      <c r="AC101" s="65">
        <v>130.19999999999999</v>
      </c>
      <c r="AD101" s="65">
        <v>131.4</v>
      </c>
      <c r="AE101" s="65">
        <v>133.9</v>
      </c>
      <c r="AF101" s="65">
        <v>128.19999999999999</v>
      </c>
      <c r="AG101" s="92"/>
      <c r="AH101" s="48">
        <f t="shared" si="11"/>
        <v>1337</v>
      </c>
      <c r="AI101" s="49">
        <f t="shared" si="12"/>
        <v>122.6</v>
      </c>
    </row>
    <row r="102" spans="1:35" ht="15.75" thickBot="1" x14ac:dyDescent="0.3">
      <c r="A102" s="91" t="s">
        <v>107</v>
      </c>
      <c r="B102" s="96">
        <v>65.400000000000006</v>
      </c>
      <c r="C102" s="96">
        <v>66</v>
      </c>
      <c r="D102" s="96">
        <v>66</v>
      </c>
      <c r="E102" s="96">
        <v>66</v>
      </c>
      <c r="F102" s="96">
        <v>66.2</v>
      </c>
      <c r="G102" s="96">
        <v>66.2</v>
      </c>
      <c r="H102" s="96">
        <v>66.2</v>
      </c>
      <c r="I102" s="96">
        <v>66.2</v>
      </c>
      <c r="J102" s="96">
        <v>66.2</v>
      </c>
      <c r="K102" s="96">
        <v>66.2</v>
      </c>
      <c r="L102" s="96">
        <v>66.2</v>
      </c>
      <c r="M102" s="96">
        <v>62.6</v>
      </c>
      <c r="N102" s="96">
        <v>62.6</v>
      </c>
      <c r="O102" s="96">
        <v>63.1</v>
      </c>
      <c r="P102" s="96">
        <v>64</v>
      </c>
      <c r="Q102" s="96">
        <v>63.7</v>
      </c>
      <c r="R102" s="96">
        <v>63.7</v>
      </c>
      <c r="S102" s="96">
        <v>63.3</v>
      </c>
      <c r="T102" s="96">
        <v>63.8</v>
      </c>
      <c r="U102" s="96">
        <v>64.2</v>
      </c>
      <c r="V102" s="96">
        <v>64.2</v>
      </c>
      <c r="W102" s="96">
        <v>64</v>
      </c>
      <c r="X102" s="96">
        <v>63.1</v>
      </c>
      <c r="Y102" s="96">
        <v>64</v>
      </c>
      <c r="Z102" s="96">
        <v>64.599999999999994</v>
      </c>
      <c r="AA102" s="96">
        <v>64.900000000000006</v>
      </c>
      <c r="AB102" s="96">
        <v>64.5</v>
      </c>
      <c r="AC102" s="96">
        <v>64.400000000000006</v>
      </c>
      <c r="AD102" s="96">
        <v>64.400000000000006</v>
      </c>
      <c r="AE102" s="96">
        <v>65.5</v>
      </c>
      <c r="AF102" s="96">
        <v>66.5</v>
      </c>
      <c r="AG102" s="97"/>
      <c r="AH102" s="48">
        <f t="shared" si="11"/>
        <v>66.5</v>
      </c>
      <c r="AI102" s="49">
        <f t="shared" si="12"/>
        <v>62.6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1"/>
        <v>0</v>
      </c>
      <c r="AI103" s="49">
        <f t="shared" si="12"/>
        <v>0</v>
      </c>
    </row>
    <row r="104" spans="1:35" ht="15.75" thickBot="1" x14ac:dyDescent="0.3">
      <c r="A104" s="99" t="s">
        <v>108</v>
      </c>
      <c r="B104" s="100">
        <f t="shared" ref="B104:AF104" si="18">SUM(B16,B22,B25:B26,B52,B54:B55,B57,B59,B105:B109,B131,B137,B143,B152,B154,B166,B173,B176:B177,B184,B186,B188,B192:B194,B196:B198,B203,B209:B210,B212:B214,B222,B227)</f>
        <v>149.20000000000002</v>
      </c>
      <c r="C104" s="100">
        <f t="shared" si="18"/>
        <v>247.84</v>
      </c>
      <c r="D104" s="100">
        <f t="shared" si="18"/>
        <v>259.83999999999997</v>
      </c>
      <c r="E104" s="100">
        <f t="shared" si="18"/>
        <v>259.83999999999997</v>
      </c>
      <c r="F104" s="100">
        <f t="shared" si="18"/>
        <v>123.54000000000002</v>
      </c>
      <c r="G104" s="100">
        <f t="shared" si="18"/>
        <v>124.54000000000002</v>
      </c>
      <c r="H104" s="100">
        <f t="shared" si="18"/>
        <v>125.54000000000002</v>
      </c>
      <c r="I104" s="100">
        <f t="shared" si="18"/>
        <v>126.54000000000002</v>
      </c>
      <c r="J104" s="100">
        <f t="shared" si="18"/>
        <v>127.54000000000002</v>
      </c>
      <c r="K104" s="100">
        <f t="shared" si="18"/>
        <v>128.54000000000002</v>
      </c>
      <c r="L104" s="100">
        <f t="shared" si="18"/>
        <v>129.54000000000002</v>
      </c>
      <c r="M104" s="100"/>
      <c r="N104" s="100">
        <f t="shared" si="18"/>
        <v>357.23999999999995</v>
      </c>
      <c r="O104" s="100">
        <f t="shared" si="18"/>
        <v>352.34000000000003</v>
      </c>
      <c r="P104" s="100">
        <v>42</v>
      </c>
      <c r="Q104" s="100">
        <f t="shared" si="18"/>
        <v>333.3</v>
      </c>
      <c r="R104" s="100">
        <f t="shared" si="18"/>
        <v>324.20000000000005</v>
      </c>
      <c r="S104" s="100">
        <f t="shared" si="18"/>
        <v>310.8</v>
      </c>
      <c r="T104" s="100">
        <f t="shared" si="18"/>
        <v>319.89999999999998</v>
      </c>
      <c r="U104" s="100">
        <f t="shared" si="18"/>
        <v>337.1</v>
      </c>
      <c r="V104" s="100">
        <f t="shared" si="18"/>
        <v>354.8</v>
      </c>
      <c r="W104" s="100">
        <f t="shared" si="18"/>
        <v>409</v>
      </c>
      <c r="X104" s="100">
        <v>390.59708333333339</v>
      </c>
      <c r="Y104" s="100">
        <f t="shared" si="18"/>
        <v>473.2</v>
      </c>
      <c r="Z104" s="100">
        <f t="shared" si="18"/>
        <v>458.80000000000007</v>
      </c>
      <c r="AA104" s="100">
        <f t="shared" si="18"/>
        <v>450</v>
      </c>
      <c r="AB104" s="100">
        <f t="shared" si="18"/>
        <v>387.80000000000007</v>
      </c>
      <c r="AC104" s="100">
        <f t="shared" si="18"/>
        <v>405.90000000000003</v>
      </c>
      <c r="AD104" s="100">
        <f t="shared" si="18"/>
        <v>364.7</v>
      </c>
      <c r="AE104" s="100">
        <f t="shared" si="18"/>
        <v>266.60000000000002</v>
      </c>
      <c r="AF104" s="100">
        <f t="shared" si="18"/>
        <v>188.80000000000004</v>
      </c>
      <c r="AG104" s="101"/>
      <c r="AH104" s="48">
        <f t="shared" si="11"/>
        <v>473.2</v>
      </c>
      <c r="AI104" s="49">
        <f t="shared" si="12"/>
        <v>42</v>
      </c>
    </row>
    <row r="105" spans="1:35" x14ac:dyDescent="0.25">
      <c r="A105" s="88" t="s">
        <v>109</v>
      </c>
      <c r="B105" s="102">
        <v>-1</v>
      </c>
      <c r="C105" s="102">
        <v>0</v>
      </c>
      <c r="D105" s="102">
        <v>4</v>
      </c>
      <c r="E105" s="102">
        <v>4</v>
      </c>
      <c r="F105" s="102">
        <v>-6.1</v>
      </c>
      <c r="G105" s="102">
        <v>-5.0999999999999996</v>
      </c>
      <c r="H105" s="102">
        <v>-4.0999999999999996</v>
      </c>
      <c r="I105" s="102">
        <v>-3.1</v>
      </c>
      <c r="J105" s="102">
        <v>-2.1</v>
      </c>
      <c r="K105" s="102">
        <v>-1.1000000000000001</v>
      </c>
      <c r="L105" s="102">
        <v>-9.9999999999999603E-2</v>
      </c>
      <c r="M105" s="102">
        <v>39.200000000000003</v>
      </c>
      <c r="N105" s="102">
        <v>36.799999999999997</v>
      </c>
      <c r="O105" s="102">
        <v>42.6</v>
      </c>
      <c r="P105" s="102">
        <v>47.3</v>
      </c>
      <c r="Q105" s="102">
        <v>29.9</v>
      </c>
      <c r="R105" s="102">
        <v>15.5</v>
      </c>
      <c r="S105" s="102">
        <v>9.9</v>
      </c>
      <c r="T105" s="102">
        <v>5.6</v>
      </c>
      <c r="U105" s="102">
        <v>9.6999999999999993</v>
      </c>
      <c r="V105" s="102">
        <v>29</v>
      </c>
      <c r="W105" s="102">
        <v>39.1</v>
      </c>
      <c r="X105" s="102">
        <v>36.1</v>
      </c>
      <c r="Y105" s="102">
        <v>38</v>
      </c>
      <c r="Z105" s="102">
        <v>40</v>
      </c>
      <c r="AA105" s="102">
        <v>43</v>
      </c>
      <c r="AB105" s="102">
        <v>31.3</v>
      </c>
      <c r="AC105" s="102">
        <v>28.2</v>
      </c>
      <c r="AD105" s="102">
        <v>13.2</v>
      </c>
      <c r="AE105" s="102">
        <v>2.1</v>
      </c>
      <c r="AF105" s="102">
        <v>-3.5</v>
      </c>
      <c r="AG105" s="103">
        <v>75</v>
      </c>
      <c r="AH105" s="48">
        <f t="shared" si="11"/>
        <v>47.3</v>
      </c>
      <c r="AI105" s="49">
        <f t="shared" si="12"/>
        <v>-6.1</v>
      </c>
    </row>
    <row r="106" spans="1:35" x14ac:dyDescent="0.25">
      <c r="A106" s="91" t="s">
        <v>110</v>
      </c>
      <c r="B106" s="104">
        <v>3.3</v>
      </c>
      <c r="C106" s="104">
        <v>6</v>
      </c>
      <c r="D106" s="104">
        <v>2</v>
      </c>
      <c r="E106" s="104">
        <v>2</v>
      </c>
      <c r="F106" s="104">
        <f>---1</f>
        <v>-1</v>
      </c>
      <c r="G106" s="104">
        <f t="shared" ref="G106:L106" si="19">---1</f>
        <v>-1</v>
      </c>
      <c r="H106" s="104">
        <f t="shared" si="19"/>
        <v>-1</v>
      </c>
      <c r="I106" s="104">
        <f t="shared" si="19"/>
        <v>-1</v>
      </c>
      <c r="J106" s="104">
        <f t="shared" si="19"/>
        <v>-1</v>
      </c>
      <c r="K106" s="104">
        <f t="shared" si="19"/>
        <v>-1</v>
      </c>
      <c r="L106" s="104">
        <f t="shared" si="19"/>
        <v>-1</v>
      </c>
      <c r="M106" s="104">
        <v>54.2</v>
      </c>
      <c r="N106" s="104">
        <v>52.2</v>
      </c>
      <c r="O106" s="104">
        <v>60.8</v>
      </c>
      <c r="P106" s="104">
        <v>68</v>
      </c>
      <c r="Q106" s="104">
        <v>42.9</v>
      </c>
      <c r="R106" s="104">
        <v>26.5</v>
      </c>
      <c r="S106" s="104">
        <v>17.600000000000001</v>
      </c>
      <c r="T106" s="104">
        <v>8.9</v>
      </c>
      <c r="U106" s="104">
        <v>11.6</v>
      </c>
      <c r="V106" s="104">
        <v>38.299999999999997</v>
      </c>
      <c r="W106" s="104">
        <v>49.7</v>
      </c>
      <c r="X106" s="104">
        <v>43.7</v>
      </c>
      <c r="Y106" s="104">
        <v>46.2</v>
      </c>
      <c r="Z106" s="104">
        <v>49.6</v>
      </c>
      <c r="AA106" s="104">
        <v>54.4</v>
      </c>
      <c r="AB106" s="104">
        <v>35.700000000000003</v>
      </c>
      <c r="AC106" s="104">
        <v>32.4</v>
      </c>
      <c r="AD106" s="104">
        <v>15.1</v>
      </c>
      <c r="AE106" s="104">
        <v>2.6</v>
      </c>
      <c r="AF106" s="104">
        <v>-1.8</v>
      </c>
      <c r="AG106" s="103">
        <v>240</v>
      </c>
      <c r="AH106" s="48">
        <f t="shared" si="11"/>
        <v>68</v>
      </c>
      <c r="AI106" s="49">
        <f t="shared" si="12"/>
        <v>-1.8</v>
      </c>
    </row>
    <row r="107" spans="1:35" x14ac:dyDescent="0.25">
      <c r="A107" s="91" t="s">
        <v>111</v>
      </c>
      <c r="B107" s="104">
        <v>-52</v>
      </c>
      <c r="C107" s="104">
        <f>--60</f>
        <v>60</v>
      </c>
      <c r="D107" s="104">
        <f>--58</f>
        <v>58</v>
      </c>
      <c r="E107" s="104">
        <f t="shared" ref="E107" si="20">--58</f>
        <v>58</v>
      </c>
      <c r="F107" s="104">
        <f>-27.6-29.5</f>
        <v>-57.1</v>
      </c>
      <c r="G107" s="104">
        <f t="shared" ref="G107:L107" si="21">-27.6-29.5</f>
        <v>-57.1</v>
      </c>
      <c r="H107" s="104">
        <f t="shared" si="21"/>
        <v>-57.1</v>
      </c>
      <c r="I107" s="104">
        <f t="shared" si="21"/>
        <v>-57.1</v>
      </c>
      <c r="J107" s="104">
        <f t="shared" si="21"/>
        <v>-57.1</v>
      </c>
      <c r="K107" s="104">
        <f t="shared" si="21"/>
        <v>-57.1</v>
      </c>
      <c r="L107" s="104">
        <f t="shared" si="21"/>
        <v>-57.1</v>
      </c>
      <c r="M107" s="104">
        <v>-3.4</v>
      </c>
      <c r="N107" s="104">
        <v>-33.4</v>
      </c>
      <c r="O107" s="104">
        <v>-42</v>
      </c>
      <c r="P107" s="104">
        <v>10.8</v>
      </c>
      <c r="Q107" s="104">
        <v>1</v>
      </c>
      <c r="R107" s="104">
        <v>11.4</v>
      </c>
      <c r="S107" s="104">
        <v>8</v>
      </c>
      <c r="T107" s="104">
        <v>19</v>
      </c>
      <c r="U107" s="104">
        <v>33</v>
      </c>
      <c r="V107" s="104">
        <v>18</v>
      </c>
      <c r="W107" s="104">
        <v>52</v>
      </c>
      <c r="X107" s="104">
        <v>82</v>
      </c>
      <c r="Y107" s="104">
        <v>83</v>
      </c>
      <c r="Z107" s="104">
        <v>72</v>
      </c>
      <c r="AA107" s="104">
        <v>54</v>
      </c>
      <c r="AB107" s="104">
        <v>33.1</v>
      </c>
      <c r="AC107" s="104">
        <v>70</v>
      </c>
      <c r="AD107" s="104">
        <v>43</v>
      </c>
      <c r="AE107" s="104">
        <v>-12</v>
      </c>
      <c r="AF107" s="104">
        <v>-38</v>
      </c>
      <c r="AG107" s="103">
        <v>240</v>
      </c>
      <c r="AH107" s="48">
        <f t="shared" si="11"/>
        <v>83</v>
      </c>
      <c r="AI107" s="49">
        <f t="shared" si="12"/>
        <v>-57.1</v>
      </c>
    </row>
    <row r="108" spans="1:35" x14ac:dyDescent="0.25">
      <c r="A108" s="91" t="s">
        <v>112</v>
      </c>
      <c r="B108" s="104">
        <v>-5</v>
      </c>
      <c r="C108" s="104">
        <f>---6</f>
        <v>-6</v>
      </c>
      <c r="D108" s="104">
        <f>----6</f>
        <v>6</v>
      </c>
      <c r="E108" s="104">
        <f t="shared" ref="E108" si="22">----6</f>
        <v>6</v>
      </c>
      <c r="F108" s="104">
        <v>-2</v>
      </c>
      <c r="G108" s="104">
        <v>-2</v>
      </c>
      <c r="H108" s="104">
        <v>-2</v>
      </c>
      <c r="I108" s="104">
        <v>-2</v>
      </c>
      <c r="J108" s="104">
        <v>-2</v>
      </c>
      <c r="K108" s="104">
        <v>-2</v>
      </c>
      <c r="L108" s="104">
        <v>-2</v>
      </c>
      <c r="M108" s="104">
        <v>53.4</v>
      </c>
      <c r="N108" s="104">
        <v>51.9</v>
      </c>
      <c r="O108" s="104">
        <v>51.8</v>
      </c>
      <c r="P108" s="104">
        <v>51.6</v>
      </c>
      <c r="Q108" s="104">
        <v>49.6</v>
      </c>
      <c r="R108" s="104">
        <v>47.9</v>
      </c>
      <c r="S108" s="104">
        <v>45.9</v>
      </c>
      <c r="T108" s="104">
        <v>49</v>
      </c>
      <c r="U108" s="104">
        <v>53.3</v>
      </c>
      <c r="V108" s="104">
        <v>57</v>
      </c>
      <c r="W108" s="104">
        <v>63.3</v>
      </c>
      <c r="X108" s="104">
        <v>67</v>
      </c>
      <c r="Y108" s="104">
        <v>68.099999999999994</v>
      </c>
      <c r="Z108" s="104">
        <v>67.599999999999994</v>
      </c>
      <c r="AA108" s="104">
        <v>70</v>
      </c>
      <c r="AB108" s="104">
        <v>68.5</v>
      </c>
      <c r="AC108" s="104">
        <v>60.2</v>
      </c>
      <c r="AD108" s="104">
        <v>46.8</v>
      </c>
      <c r="AE108" s="104">
        <v>68.2</v>
      </c>
      <c r="AF108" s="104">
        <v>23.1</v>
      </c>
      <c r="AG108" s="103">
        <v>60</v>
      </c>
      <c r="AH108" s="48">
        <f t="shared" si="11"/>
        <v>70</v>
      </c>
      <c r="AI108" s="49">
        <f t="shared" si="12"/>
        <v>-6</v>
      </c>
    </row>
    <row r="109" spans="1:35" x14ac:dyDescent="0.25">
      <c r="A109" s="105" t="s">
        <v>113</v>
      </c>
      <c r="B109" s="106">
        <v>73</v>
      </c>
      <c r="C109" s="106">
        <v>56</v>
      </c>
      <c r="D109" s="106">
        <v>58</v>
      </c>
      <c r="E109" s="106">
        <v>58</v>
      </c>
      <c r="F109" s="106">
        <v>57.9</v>
      </c>
      <c r="G109" s="106">
        <v>57.9</v>
      </c>
      <c r="H109" s="106">
        <v>57.9</v>
      </c>
      <c r="I109" s="106">
        <v>57.9</v>
      </c>
      <c r="J109" s="106">
        <v>57.9</v>
      </c>
      <c r="K109" s="106">
        <v>57.9</v>
      </c>
      <c r="L109" s="106">
        <v>57.9</v>
      </c>
      <c r="M109" s="106">
        <v>85.9</v>
      </c>
      <c r="N109" s="106">
        <v>115.9</v>
      </c>
      <c r="O109" s="106">
        <v>105.8</v>
      </c>
      <c r="P109" s="106">
        <v>60.6</v>
      </c>
      <c r="Q109" s="106">
        <v>79.599999999999994</v>
      </c>
      <c r="R109" s="106">
        <v>92.6</v>
      </c>
      <c r="S109" s="106">
        <v>102.9</v>
      </c>
      <c r="T109" s="106">
        <v>110.1</v>
      </c>
      <c r="U109" s="106">
        <v>104</v>
      </c>
      <c r="V109" s="106">
        <v>87.3</v>
      </c>
      <c r="W109" s="106">
        <v>81.7</v>
      </c>
      <c r="X109" s="106">
        <v>101.1</v>
      </c>
      <c r="Y109" s="106">
        <v>110.3</v>
      </c>
      <c r="Z109" s="106">
        <v>102</v>
      </c>
      <c r="AA109" s="106">
        <v>100</v>
      </c>
      <c r="AB109" s="106">
        <v>89.6</v>
      </c>
      <c r="AC109" s="106">
        <v>83.5</v>
      </c>
      <c r="AD109" s="106">
        <v>115</v>
      </c>
      <c r="AE109" s="106">
        <v>74.099999999999994</v>
      </c>
      <c r="AF109" s="106">
        <v>77.400000000000006</v>
      </c>
      <c r="AG109" s="107">
        <v>120</v>
      </c>
      <c r="AH109" s="48">
        <f t="shared" si="11"/>
        <v>115.9</v>
      </c>
      <c r="AI109" s="49">
        <f t="shared" si="12"/>
        <v>56</v>
      </c>
    </row>
    <row r="110" spans="1:35" x14ac:dyDescent="0.25">
      <c r="A110" s="105" t="s">
        <v>115</v>
      </c>
      <c r="B110" s="106">
        <v>80</v>
      </c>
      <c r="C110" s="106">
        <v>65</v>
      </c>
      <c r="D110" s="106">
        <v>64</v>
      </c>
      <c r="E110" s="106">
        <v>64</v>
      </c>
      <c r="F110" s="106">
        <v>69.2</v>
      </c>
      <c r="G110" s="106">
        <v>65</v>
      </c>
      <c r="H110" s="106">
        <v>60</v>
      </c>
      <c r="I110" s="106">
        <v>69.2</v>
      </c>
      <c r="J110" s="106">
        <v>70</v>
      </c>
      <c r="K110" s="106">
        <v>78</v>
      </c>
      <c r="L110" s="106">
        <v>88</v>
      </c>
      <c r="M110" s="106">
        <v>99.8</v>
      </c>
      <c r="N110" s="106">
        <v>77.400000000000006</v>
      </c>
      <c r="O110" s="106">
        <v>79.099999999999994</v>
      </c>
      <c r="P110" s="106">
        <v>38.5</v>
      </c>
      <c r="Q110" s="106">
        <v>73.7</v>
      </c>
      <c r="R110" s="106">
        <v>88.5</v>
      </c>
      <c r="S110" s="106">
        <v>97.4</v>
      </c>
      <c r="T110" s="106">
        <v>101.5</v>
      </c>
      <c r="U110" s="106">
        <v>88.8</v>
      </c>
      <c r="V110" s="106">
        <v>54</v>
      </c>
      <c r="W110" s="106">
        <v>70</v>
      </c>
      <c r="X110" s="106">
        <v>97.5</v>
      </c>
      <c r="Y110" s="106">
        <v>81.8</v>
      </c>
      <c r="Z110" s="106">
        <v>71</v>
      </c>
      <c r="AA110" s="106">
        <v>30.1</v>
      </c>
      <c r="AB110" s="106">
        <v>75.7</v>
      </c>
      <c r="AC110" s="106">
        <v>92</v>
      </c>
      <c r="AD110" s="106">
        <v>90.7</v>
      </c>
      <c r="AE110" s="106">
        <v>68.2</v>
      </c>
      <c r="AF110" s="106">
        <v>80.400000000000006</v>
      </c>
      <c r="AG110" s="107"/>
      <c r="AH110" s="48">
        <f t="shared" si="11"/>
        <v>101.5</v>
      </c>
      <c r="AI110" s="49">
        <f t="shared" si="12"/>
        <v>30.1</v>
      </c>
    </row>
    <row r="111" spans="1:35" x14ac:dyDescent="0.25">
      <c r="A111" s="105" t="s">
        <v>116</v>
      </c>
      <c r="B111" s="106">
        <v>30</v>
      </c>
      <c r="C111" s="106">
        <v>28</v>
      </c>
      <c r="D111" s="106">
        <v>27</v>
      </c>
      <c r="E111" s="106">
        <v>27</v>
      </c>
      <c r="F111" s="106">
        <v>25.4</v>
      </c>
      <c r="G111" s="106">
        <v>25.4</v>
      </c>
      <c r="H111" s="106">
        <v>25.4</v>
      </c>
      <c r="I111" s="106">
        <v>25.4</v>
      </c>
      <c r="J111" s="106">
        <v>25.4</v>
      </c>
      <c r="K111" s="106">
        <v>25.4</v>
      </c>
      <c r="L111" s="106">
        <v>25.4</v>
      </c>
      <c r="M111" s="106">
        <v>17.600000000000001</v>
      </c>
      <c r="N111" s="106">
        <v>16.7</v>
      </c>
      <c r="O111" s="106">
        <v>12</v>
      </c>
      <c r="P111" s="106">
        <v>8</v>
      </c>
      <c r="Q111" s="106">
        <v>10.4</v>
      </c>
      <c r="R111" s="106">
        <v>25.2</v>
      </c>
      <c r="S111" s="106">
        <v>28.3</v>
      </c>
      <c r="T111" s="106">
        <v>41</v>
      </c>
      <c r="U111" s="106">
        <v>42.1</v>
      </c>
      <c r="V111" s="106">
        <v>36</v>
      </c>
      <c r="W111" s="106">
        <v>20</v>
      </c>
      <c r="X111" s="106">
        <v>21.8</v>
      </c>
      <c r="Y111" s="106">
        <v>20.3</v>
      </c>
      <c r="Z111" s="106">
        <v>18.2</v>
      </c>
      <c r="AA111" s="106">
        <v>12.7</v>
      </c>
      <c r="AB111" s="106">
        <v>22.4</v>
      </c>
      <c r="AC111" s="106">
        <v>22.4</v>
      </c>
      <c r="AD111" s="106">
        <v>30.4</v>
      </c>
      <c r="AE111" s="106">
        <v>35.200000000000003</v>
      </c>
      <c r="AF111" s="106">
        <v>37.9</v>
      </c>
      <c r="AG111" s="108"/>
      <c r="AH111" s="48">
        <f t="shared" si="11"/>
        <v>42.1</v>
      </c>
      <c r="AI111" s="49">
        <f t="shared" si="12"/>
        <v>8</v>
      </c>
    </row>
    <row r="112" spans="1:35" x14ac:dyDescent="0.25">
      <c r="A112" s="109" t="s">
        <v>117</v>
      </c>
      <c r="B112" s="94">
        <v>51</v>
      </c>
      <c r="C112" s="94">
        <v>52</v>
      </c>
      <c r="D112" s="94">
        <v>55</v>
      </c>
      <c r="E112" s="94">
        <v>55</v>
      </c>
      <c r="F112" s="94">
        <v>58.3</v>
      </c>
      <c r="G112" s="94">
        <v>58.3</v>
      </c>
      <c r="H112" s="94">
        <v>58.3</v>
      </c>
      <c r="I112" s="94">
        <v>58.3</v>
      </c>
      <c r="J112" s="94">
        <v>58.3</v>
      </c>
      <c r="K112" s="94">
        <v>58.3</v>
      </c>
      <c r="L112" s="94">
        <v>58.3</v>
      </c>
      <c r="M112" s="94">
        <v>-11.6</v>
      </c>
      <c r="N112" s="94">
        <v>-2.8</v>
      </c>
      <c r="O112" s="94">
        <v>7.4</v>
      </c>
      <c r="P112" s="94">
        <v>12.6</v>
      </c>
      <c r="Q112" s="94">
        <v>24.63</v>
      </c>
      <c r="R112" s="94">
        <v>27.2</v>
      </c>
      <c r="S112" s="94">
        <v>26.6</v>
      </c>
      <c r="T112" s="94">
        <v>25.7</v>
      </c>
      <c r="U112" s="94">
        <v>24.4</v>
      </c>
      <c r="V112" s="94">
        <v>11</v>
      </c>
      <c r="W112" s="94">
        <v>27.5</v>
      </c>
      <c r="X112" s="94">
        <v>-40</v>
      </c>
      <c r="Y112" s="94">
        <v>-30</v>
      </c>
      <c r="Z112" s="94">
        <v>-3.9</v>
      </c>
      <c r="AA112" s="94">
        <v>1.3</v>
      </c>
      <c r="AB112" s="94">
        <v>0</v>
      </c>
      <c r="AC112" s="94">
        <v>9</v>
      </c>
      <c r="AD112" s="94">
        <v>21</v>
      </c>
      <c r="AE112" s="94">
        <v>38.5</v>
      </c>
      <c r="AF112" s="94">
        <v>47.9</v>
      </c>
      <c r="AG112" s="108"/>
      <c r="AH112" s="48">
        <f t="shared" si="11"/>
        <v>58.3</v>
      </c>
      <c r="AI112" s="49">
        <f t="shared" si="12"/>
        <v>-40</v>
      </c>
    </row>
    <row r="113" spans="1:37" ht="15.75" thickBot="1" x14ac:dyDescent="0.3">
      <c r="A113" s="109" t="s">
        <v>118</v>
      </c>
      <c r="B113" s="94">
        <v>25</v>
      </c>
      <c r="C113" s="94">
        <v>32</v>
      </c>
      <c r="D113" s="94">
        <v>27</v>
      </c>
      <c r="E113" s="94">
        <v>27</v>
      </c>
      <c r="F113" s="94">
        <v>29.5</v>
      </c>
      <c r="G113" s="94">
        <v>29.5</v>
      </c>
      <c r="H113" s="94">
        <v>27</v>
      </c>
      <c r="I113" s="94">
        <v>14.2</v>
      </c>
      <c r="J113" s="94">
        <v>3.2</v>
      </c>
      <c r="K113" s="94">
        <v>-10</v>
      </c>
      <c r="L113" s="94">
        <v>-24</v>
      </c>
      <c r="M113" s="94">
        <v>-1.4</v>
      </c>
      <c r="N113" s="94">
        <v>21.3</v>
      </c>
      <c r="O113" s="94">
        <v>31.3</v>
      </c>
      <c r="P113" s="94">
        <v>18.2</v>
      </c>
      <c r="Q113" s="94">
        <v>20.3</v>
      </c>
      <c r="R113" s="94">
        <v>10.7</v>
      </c>
      <c r="S113" s="94">
        <v>15.2</v>
      </c>
      <c r="T113" s="94">
        <v>1.4</v>
      </c>
      <c r="U113" s="94">
        <v>-10.7</v>
      </c>
      <c r="V113" s="94">
        <v>5.0999999999999996</v>
      </c>
      <c r="W113" s="94">
        <v>-10.3</v>
      </c>
      <c r="X113" s="94">
        <v>-31.3</v>
      </c>
      <c r="Y113" s="94">
        <v>-30</v>
      </c>
      <c r="Z113" s="94">
        <v>-23.5</v>
      </c>
      <c r="AA113" s="94">
        <v>-11</v>
      </c>
      <c r="AB113" s="94">
        <v>-27</v>
      </c>
      <c r="AC113" s="94">
        <v>-34.299999999999997</v>
      </c>
      <c r="AD113" s="94">
        <v>-25.9</v>
      </c>
      <c r="AE113" s="94">
        <v>10.5</v>
      </c>
      <c r="AF113" s="94">
        <v>10.6</v>
      </c>
      <c r="AG113" s="108"/>
      <c r="AH113" s="48">
        <f t="shared" si="11"/>
        <v>32</v>
      </c>
      <c r="AI113" s="49">
        <f t="shared" si="12"/>
        <v>-34.299999999999997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23">SUM(B115:B219)</f>
        <v>0</v>
      </c>
      <c r="C220" s="125">
        <f t="shared" si="23"/>
        <v>0</v>
      </c>
      <c r="D220" s="125">
        <f t="shared" si="23"/>
        <v>0</v>
      </c>
      <c r="E220" s="125">
        <f t="shared" si="23"/>
        <v>0</v>
      </c>
      <c r="F220" s="125">
        <f t="shared" si="23"/>
        <v>0</v>
      </c>
      <c r="G220" s="125">
        <f t="shared" si="23"/>
        <v>0</v>
      </c>
      <c r="H220" s="125">
        <f t="shared" si="23"/>
        <v>0</v>
      </c>
      <c r="I220" s="125">
        <f t="shared" si="23"/>
        <v>0</v>
      </c>
      <c r="J220" s="125">
        <f t="shared" si="23"/>
        <v>0</v>
      </c>
      <c r="K220" s="125">
        <f t="shared" si="23"/>
        <v>0</v>
      </c>
      <c r="L220" s="125">
        <f t="shared" si="23"/>
        <v>0</v>
      </c>
      <c r="M220" s="125">
        <f t="shared" si="23"/>
        <v>0</v>
      </c>
      <c r="N220" s="125">
        <f t="shared" si="23"/>
        <v>0</v>
      </c>
      <c r="O220" s="125">
        <f t="shared" si="23"/>
        <v>0</v>
      </c>
      <c r="P220" s="125">
        <f t="shared" si="23"/>
        <v>0</v>
      </c>
      <c r="Q220" s="125">
        <f t="shared" si="23"/>
        <v>0</v>
      </c>
      <c r="R220" s="125">
        <f t="shared" si="23"/>
        <v>0</v>
      </c>
      <c r="S220" s="125">
        <f t="shared" si="23"/>
        <v>0</v>
      </c>
      <c r="T220" s="125">
        <f t="shared" si="23"/>
        <v>0</v>
      </c>
      <c r="U220" s="125">
        <f t="shared" si="23"/>
        <v>0</v>
      </c>
      <c r="V220" s="125">
        <f t="shared" si="23"/>
        <v>0</v>
      </c>
      <c r="W220" s="125">
        <f t="shared" si="23"/>
        <v>0</v>
      </c>
      <c r="X220" s="125">
        <f t="shared" si="23"/>
        <v>0</v>
      </c>
      <c r="Y220" s="125">
        <f t="shared" si="23"/>
        <v>0</v>
      </c>
      <c r="Z220" s="125">
        <f t="shared" si="23"/>
        <v>0</v>
      </c>
      <c r="AA220" s="125">
        <f t="shared" si="23"/>
        <v>0</v>
      </c>
      <c r="AB220" s="125">
        <f t="shared" si="23"/>
        <v>0</v>
      </c>
      <c r="AC220" s="125">
        <f t="shared" si="23"/>
        <v>0</v>
      </c>
      <c r="AD220" s="125">
        <f t="shared" si="23"/>
        <v>0</v>
      </c>
      <c r="AE220" s="125">
        <f t="shared" si="23"/>
        <v>0</v>
      </c>
      <c r="AF220" s="126">
        <f t="shared" si="23"/>
        <v>0</v>
      </c>
      <c r="AG220" s="127">
        <f t="shared" si="23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24">AF222</f>
        <v>0</v>
      </c>
      <c r="C222" s="129">
        <v>0.3</v>
      </c>
      <c r="D222" s="129">
        <f t="shared" ref="D222:P227" si="25">C222</f>
        <v>0.3</v>
      </c>
      <c r="E222" s="129">
        <f t="shared" si="25"/>
        <v>0.3</v>
      </c>
      <c r="F222" s="129">
        <f t="shared" si="25"/>
        <v>0.3</v>
      </c>
      <c r="G222" s="129">
        <f t="shared" si="25"/>
        <v>0.3</v>
      </c>
      <c r="H222" s="129">
        <f t="shared" si="25"/>
        <v>0.3</v>
      </c>
      <c r="I222" s="129">
        <f t="shared" si="25"/>
        <v>0.3</v>
      </c>
      <c r="J222" s="129">
        <f t="shared" si="25"/>
        <v>0.3</v>
      </c>
      <c r="K222" s="129">
        <f t="shared" si="25"/>
        <v>0.3</v>
      </c>
      <c r="L222" s="129">
        <f t="shared" si="25"/>
        <v>0.3</v>
      </c>
      <c r="M222" s="129">
        <f t="shared" si="25"/>
        <v>0.3</v>
      </c>
      <c r="N222" s="129">
        <f t="shared" si="25"/>
        <v>0.3</v>
      </c>
      <c r="O222" s="129">
        <f t="shared" si="25"/>
        <v>0.3</v>
      </c>
      <c r="P222" s="129">
        <f t="shared" si="25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24"/>
        <v>0</v>
      </c>
      <c r="C223" s="117">
        <v>0.4</v>
      </c>
      <c r="D223" s="117">
        <f t="shared" si="25"/>
        <v>0.4</v>
      </c>
      <c r="E223" s="117">
        <f t="shared" si="25"/>
        <v>0.4</v>
      </c>
      <c r="F223" s="117">
        <f t="shared" si="25"/>
        <v>0.4</v>
      </c>
      <c r="G223" s="117">
        <f t="shared" si="25"/>
        <v>0.4</v>
      </c>
      <c r="H223" s="117">
        <f t="shared" si="25"/>
        <v>0.4</v>
      </c>
      <c r="I223" s="117">
        <f t="shared" si="25"/>
        <v>0.4</v>
      </c>
      <c r="J223" s="117">
        <f t="shared" si="25"/>
        <v>0.4</v>
      </c>
      <c r="K223" s="117">
        <f t="shared" si="25"/>
        <v>0.4</v>
      </c>
      <c r="L223" s="117">
        <f t="shared" si="25"/>
        <v>0.4</v>
      </c>
      <c r="M223" s="117">
        <f t="shared" si="25"/>
        <v>0.4</v>
      </c>
      <c r="N223" s="117">
        <f t="shared" si="25"/>
        <v>0.4</v>
      </c>
      <c r="O223" s="117">
        <f t="shared" si="25"/>
        <v>0.4</v>
      </c>
      <c r="P223" s="117">
        <f t="shared" si="25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24"/>
        <v>0</v>
      </c>
      <c r="C224" s="117">
        <v>1.5</v>
      </c>
      <c r="D224" s="117">
        <f t="shared" si="25"/>
        <v>1.5</v>
      </c>
      <c r="E224" s="117">
        <f t="shared" si="25"/>
        <v>1.5</v>
      </c>
      <c r="F224" s="117">
        <f t="shared" si="25"/>
        <v>1.5</v>
      </c>
      <c r="G224" s="117">
        <f t="shared" si="25"/>
        <v>1.5</v>
      </c>
      <c r="H224" s="117">
        <f t="shared" si="25"/>
        <v>1.5</v>
      </c>
      <c r="I224" s="100">
        <f t="shared" ref="I224" ca="1" si="26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25"/>
        <v>1.5</v>
      </c>
      <c r="K224" s="117">
        <f t="shared" ca="1" si="25"/>
        <v>1.5</v>
      </c>
      <c r="L224" s="117">
        <f t="shared" ca="1" si="25"/>
        <v>1.5</v>
      </c>
      <c r="M224" s="117">
        <f t="shared" ca="1" si="25"/>
        <v>1.5</v>
      </c>
      <c r="N224" s="117">
        <f t="shared" ca="1" si="25"/>
        <v>1.5</v>
      </c>
      <c r="O224" s="117">
        <f t="shared" ca="1" si="25"/>
        <v>1.5</v>
      </c>
      <c r="P224" s="117">
        <f t="shared" ca="1" si="25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24"/>
        <v>0</v>
      </c>
      <c r="C225" s="117">
        <v>0.3</v>
      </c>
      <c r="D225" s="117">
        <f t="shared" si="25"/>
        <v>0.3</v>
      </c>
      <c r="E225" s="117">
        <f t="shared" si="25"/>
        <v>0.3</v>
      </c>
      <c r="F225" s="117">
        <f t="shared" si="25"/>
        <v>0.3</v>
      </c>
      <c r="G225" s="117">
        <f t="shared" si="25"/>
        <v>0.3</v>
      </c>
      <c r="H225" s="117">
        <f t="shared" si="25"/>
        <v>0.3</v>
      </c>
      <c r="I225" s="117">
        <f t="shared" si="25"/>
        <v>0.3</v>
      </c>
      <c r="J225" s="117">
        <f t="shared" si="25"/>
        <v>0.3</v>
      </c>
      <c r="K225" s="117">
        <f t="shared" si="25"/>
        <v>0.3</v>
      </c>
      <c r="L225" s="117">
        <f t="shared" si="25"/>
        <v>0.3</v>
      </c>
      <c r="M225" s="117">
        <f t="shared" si="25"/>
        <v>0.3</v>
      </c>
      <c r="N225" s="117">
        <f t="shared" si="25"/>
        <v>0.3</v>
      </c>
      <c r="O225" s="117">
        <f t="shared" si="25"/>
        <v>0.3</v>
      </c>
      <c r="P225" s="117">
        <f t="shared" si="25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24"/>
        <v>0</v>
      </c>
      <c r="C226" s="117">
        <v>0.4</v>
      </c>
      <c r="D226" s="117">
        <f t="shared" si="25"/>
        <v>0.4</v>
      </c>
      <c r="E226" s="117">
        <f t="shared" si="25"/>
        <v>0.4</v>
      </c>
      <c r="F226" s="117">
        <f t="shared" si="25"/>
        <v>0.4</v>
      </c>
      <c r="G226" s="117">
        <f t="shared" si="25"/>
        <v>0.4</v>
      </c>
      <c r="H226" s="117">
        <f t="shared" si="25"/>
        <v>0.4</v>
      </c>
      <c r="I226" s="117">
        <f t="shared" si="25"/>
        <v>0.4</v>
      </c>
      <c r="J226" s="117">
        <f t="shared" si="25"/>
        <v>0.4</v>
      </c>
      <c r="K226" s="117">
        <f t="shared" si="25"/>
        <v>0.4</v>
      </c>
      <c r="L226" s="117">
        <f t="shared" si="25"/>
        <v>0.4</v>
      </c>
      <c r="M226" s="117">
        <f t="shared" si="25"/>
        <v>0.4</v>
      </c>
      <c r="N226" s="117">
        <f t="shared" si="25"/>
        <v>0.4</v>
      </c>
      <c r="O226" s="117">
        <f t="shared" si="25"/>
        <v>0.4</v>
      </c>
      <c r="P226" s="117">
        <f t="shared" si="25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24"/>
        <v>0</v>
      </c>
      <c r="C227" s="121">
        <v>0.64</v>
      </c>
      <c r="D227" s="121">
        <f t="shared" si="25"/>
        <v>0.64</v>
      </c>
      <c r="E227" s="121">
        <f t="shared" si="25"/>
        <v>0.64</v>
      </c>
      <c r="F227" s="121">
        <f t="shared" si="25"/>
        <v>0.64</v>
      </c>
      <c r="G227" s="121">
        <f t="shared" si="25"/>
        <v>0.64</v>
      </c>
      <c r="H227" s="121">
        <f t="shared" si="25"/>
        <v>0.64</v>
      </c>
      <c r="I227" s="121">
        <f t="shared" si="25"/>
        <v>0.64</v>
      </c>
      <c r="J227" s="121">
        <f t="shared" si="25"/>
        <v>0.64</v>
      </c>
      <c r="K227" s="121">
        <f t="shared" si="25"/>
        <v>0.64</v>
      </c>
      <c r="L227" s="121">
        <f t="shared" si="25"/>
        <v>0.64</v>
      </c>
      <c r="M227" s="121">
        <f t="shared" si="25"/>
        <v>0.64</v>
      </c>
      <c r="N227" s="121">
        <f t="shared" si="25"/>
        <v>0.64</v>
      </c>
      <c r="O227" s="121">
        <f t="shared" si="25"/>
        <v>0.64</v>
      </c>
      <c r="P227" s="121">
        <f t="shared" si="25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7">SUM(B222:B227)</f>
        <v>0</v>
      </c>
      <c r="C228" s="125">
        <f t="shared" si="27"/>
        <v>3.54</v>
      </c>
      <c r="D228" s="125">
        <f t="shared" si="27"/>
        <v>3.54</v>
      </c>
      <c r="E228" s="125">
        <f t="shared" si="27"/>
        <v>3.54</v>
      </c>
      <c r="F228" s="125">
        <f t="shared" si="27"/>
        <v>3.54</v>
      </c>
      <c r="G228" s="125">
        <f t="shared" si="27"/>
        <v>3.54</v>
      </c>
      <c r="H228" s="125">
        <f t="shared" si="27"/>
        <v>3.54</v>
      </c>
      <c r="I228" s="125">
        <f t="shared" ca="1" si="27"/>
        <v>3.54</v>
      </c>
      <c r="J228" s="125">
        <f t="shared" ca="1" si="27"/>
        <v>3.54</v>
      </c>
      <c r="K228" s="125">
        <f t="shared" ca="1" si="27"/>
        <v>3.54</v>
      </c>
      <c r="L228" s="125">
        <f t="shared" ca="1" si="27"/>
        <v>3.54</v>
      </c>
      <c r="M228" s="125">
        <f t="shared" ca="1" si="27"/>
        <v>3.54</v>
      </c>
      <c r="N228" s="125">
        <f t="shared" ca="1" si="27"/>
        <v>3.54</v>
      </c>
      <c r="O228" s="125">
        <f t="shared" ca="1" si="27"/>
        <v>3.54</v>
      </c>
      <c r="P228" s="125">
        <f t="shared" ca="1" si="27"/>
        <v>3.54</v>
      </c>
      <c r="Q228" s="125">
        <f t="shared" si="27"/>
        <v>0</v>
      </c>
      <c r="R228" s="125">
        <f t="shared" si="27"/>
        <v>0</v>
      </c>
      <c r="S228" s="125">
        <f t="shared" si="27"/>
        <v>0</v>
      </c>
      <c r="T228" s="125">
        <f t="shared" si="27"/>
        <v>0</v>
      </c>
      <c r="U228" s="125">
        <f t="shared" si="27"/>
        <v>0</v>
      </c>
      <c r="V228" s="125">
        <f t="shared" si="27"/>
        <v>0</v>
      </c>
      <c r="W228" s="125">
        <f t="shared" si="27"/>
        <v>0</v>
      </c>
      <c r="X228" s="125">
        <f t="shared" si="27"/>
        <v>0</v>
      </c>
      <c r="Y228" s="125">
        <f t="shared" si="27"/>
        <v>0</v>
      </c>
      <c r="Z228" s="125">
        <f t="shared" si="27"/>
        <v>0</v>
      </c>
      <c r="AA228" s="125">
        <f t="shared" si="27"/>
        <v>0</v>
      </c>
      <c r="AB228" s="125">
        <f t="shared" si="27"/>
        <v>0</v>
      </c>
      <c r="AC228" s="125">
        <f t="shared" si="27"/>
        <v>0</v>
      </c>
      <c r="AD228" s="125">
        <f t="shared" si="27"/>
        <v>0</v>
      </c>
      <c r="AE228" s="125">
        <f t="shared" si="27"/>
        <v>0</v>
      </c>
      <c r="AF228" s="125">
        <f t="shared" si="27"/>
        <v>0</v>
      </c>
      <c r="AG228" s="134">
        <f t="shared" si="27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1671.44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21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2079/09/21)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2079/09/21)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8">B85</f>
        <v>1097.94</v>
      </c>
      <c r="U242" s="159">
        <f t="shared" si="28"/>
        <v>1048.94</v>
      </c>
      <c r="V242" s="159">
        <f t="shared" si="28"/>
        <v>1019.9399999999999</v>
      </c>
      <c r="W242" s="159">
        <f t="shared" si="28"/>
        <v>1009.9399999999999</v>
      </c>
      <c r="X242" s="159">
        <f t="shared" si="28"/>
        <v>1005.9399999999999</v>
      </c>
      <c r="Y242" s="159">
        <f t="shared" si="28"/>
        <v>1105.94</v>
      </c>
      <c r="Z242" s="159">
        <f t="shared" si="28"/>
        <v>1177.94</v>
      </c>
      <c r="AA242" s="159">
        <f t="shared" si="28"/>
        <v>1238.74</v>
      </c>
      <c r="AB242" s="159">
        <f t="shared" si="28"/>
        <v>1256.94</v>
      </c>
      <c r="AC242" s="159">
        <f t="shared" si="28"/>
        <v>1256.94</v>
      </c>
      <c r="AD242" s="159">
        <f t="shared" si="28"/>
        <v>1497.1399999999999</v>
      </c>
      <c r="AE242" s="159">
        <f t="shared" si="28"/>
        <v>1671.44</v>
      </c>
      <c r="AF242" s="159">
        <f t="shared" si="28"/>
        <v>1621.6399999999999</v>
      </c>
      <c r="AG242" s="159">
        <f t="shared" si="28"/>
        <v>1604.44</v>
      </c>
      <c r="AH242" s="159">
        <f t="shared" si="28"/>
        <v>1407.84</v>
      </c>
      <c r="AI242" s="159">
        <f t="shared" si="28"/>
        <v>1426.04</v>
      </c>
      <c r="AJ242" s="159">
        <f t="shared" si="28"/>
        <v>1399.04</v>
      </c>
      <c r="AK242" s="159">
        <f t="shared" si="28"/>
        <v>1431.3399999999997</v>
      </c>
      <c r="AL242" s="159">
        <f t="shared" si="28"/>
        <v>1421.04</v>
      </c>
      <c r="AM242" s="159">
        <f t="shared" si="28"/>
        <v>1407.24</v>
      </c>
      <c r="AN242" s="159">
        <f t="shared" si="28"/>
        <v>1548.44</v>
      </c>
      <c r="AO242" s="159">
        <f t="shared" si="28"/>
        <v>1599.54</v>
      </c>
      <c r="AP242" s="159">
        <f t="shared" si="28"/>
        <v>1739.9399999999998</v>
      </c>
      <c r="AQ242" s="159">
        <f t="shared" si="28"/>
        <v>1712.34</v>
      </c>
      <c r="AR242" s="159">
        <f t="shared" si="28"/>
        <v>1731.74</v>
      </c>
      <c r="AS242" s="159">
        <f t="shared" si="28"/>
        <v>1634.54</v>
      </c>
      <c r="AT242" s="159">
        <f t="shared" si="28"/>
        <v>1656.65</v>
      </c>
      <c r="AU242" s="159">
        <f t="shared" si="28"/>
        <v>1532.94</v>
      </c>
      <c r="AV242" s="159">
        <f t="shared" si="28"/>
        <v>1320.1399999999999</v>
      </c>
      <c r="AW242" s="159">
        <f t="shared" si="28"/>
        <v>1194.6399999999999</v>
      </c>
      <c r="AX242" s="159">
        <f t="shared" si="28"/>
        <v>1102.04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9">C227</f>
        <v>0.64</v>
      </c>
      <c r="C263" s="162">
        <f t="shared" si="29"/>
        <v>0.64</v>
      </c>
      <c r="D263" s="162">
        <f t="shared" si="29"/>
        <v>0.64</v>
      </c>
      <c r="E263" s="162">
        <f t="shared" si="29"/>
        <v>0.64</v>
      </c>
      <c r="F263" s="162">
        <f t="shared" si="29"/>
        <v>0.64</v>
      </c>
      <c r="G263" s="162">
        <f t="shared" si="29"/>
        <v>0.64</v>
      </c>
      <c r="H263" s="162">
        <f t="shared" si="29"/>
        <v>0.64</v>
      </c>
      <c r="I263" s="162">
        <f t="shared" si="29"/>
        <v>0.64</v>
      </c>
      <c r="J263" s="162">
        <f t="shared" si="29"/>
        <v>0.64</v>
      </c>
      <c r="K263" s="162">
        <f t="shared" si="29"/>
        <v>0.64</v>
      </c>
      <c r="L263" s="162">
        <f t="shared" si="29"/>
        <v>0.64</v>
      </c>
      <c r="M263" s="162">
        <f t="shared" si="29"/>
        <v>0.64</v>
      </c>
      <c r="N263" s="162">
        <f t="shared" si="29"/>
        <v>0.64</v>
      </c>
      <c r="O263" s="162">
        <f t="shared" si="29"/>
        <v>0.64</v>
      </c>
      <c r="P263" s="162">
        <f t="shared" si="29"/>
        <v>0</v>
      </c>
      <c r="Q263" s="162">
        <f t="shared" si="29"/>
        <v>0</v>
      </c>
      <c r="R263" s="162">
        <f t="shared" si="29"/>
        <v>0</v>
      </c>
      <c r="S263" s="162">
        <f t="shared" si="29"/>
        <v>0</v>
      </c>
      <c r="T263" s="162">
        <f t="shared" si="29"/>
        <v>0</v>
      </c>
      <c r="U263" s="162">
        <f t="shared" si="29"/>
        <v>0</v>
      </c>
      <c r="V263" s="162">
        <f t="shared" si="29"/>
        <v>0</v>
      </c>
      <c r="W263" s="162">
        <f t="shared" si="29"/>
        <v>0</v>
      </c>
      <c r="X263" s="162">
        <f t="shared" si="29"/>
        <v>0</v>
      </c>
      <c r="Y263" s="162">
        <f t="shared" si="29"/>
        <v>0</v>
      </c>
      <c r="Z263" s="162">
        <f t="shared" si="29"/>
        <v>0</v>
      </c>
      <c r="AA263" s="162">
        <f t="shared" si="29"/>
        <v>0</v>
      </c>
      <c r="AB263" s="162">
        <f t="shared" si="29"/>
        <v>0</v>
      </c>
      <c r="AC263" s="162">
        <f t="shared" si="29"/>
        <v>0</v>
      </c>
      <c r="AD263" s="162">
        <f t="shared" si="29"/>
        <v>0</v>
      </c>
      <c r="AE263" s="162">
        <f t="shared" si="29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30">IF(B231&lt;100,"",B231-520)</f>
        <v/>
      </c>
      <c r="C264" s="163" t="str">
        <f t="shared" si="30"/>
        <v/>
      </c>
      <c r="D264" s="163" t="str">
        <f t="shared" si="30"/>
        <v/>
      </c>
      <c r="E264" s="163" t="str">
        <f t="shared" si="30"/>
        <v/>
      </c>
      <c r="F264" s="163" t="str">
        <f t="shared" si="30"/>
        <v/>
      </c>
      <c r="G264" s="163" t="str">
        <f t="shared" si="30"/>
        <v/>
      </c>
      <c r="H264" s="163" t="str">
        <f t="shared" si="30"/>
        <v/>
      </c>
      <c r="I264" s="163" t="str">
        <f t="shared" si="30"/>
        <v/>
      </c>
      <c r="J264" s="163" t="str">
        <f t="shared" si="30"/>
        <v/>
      </c>
      <c r="K264" s="163" t="str">
        <f t="shared" si="30"/>
        <v/>
      </c>
      <c r="L264" s="163" t="str">
        <f t="shared" si="30"/>
        <v/>
      </c>
      <c r="M264" s="163" t="str">
        <f t="shared" si="30"/>
        <v/>
      </c>
      <c r="N264" s="163" t="str">
        <f t="shared" si="30"/>
        <v/>
      </c>
      <c r="O264" s="163" t="str">
        <f t="shared" si="30"/>
        <v/>
      </c>
      <c r="P264" s="163" t="str">
        <f t="shared" si="30"/>
        <v/>
      </c>
      <c r="Q264" s="163" t="str">
        <f t="shared" si="30"/>
        <v/>
      </c>
      <c r="R264" s="163" t="str">
        <f t="shared" si="30"/>
        <v/>
      </c>
      <c r="S264" s="163" t="str">
        <f t="shared" si="30"/>
        <v/>
      </c>
      <c r="T264" s="163" t="str">
        <f t="shared" si="30"/>
        <v/>
      </c>
      <c r="U264" s="163" t="str">
        <f t="shared" si="30"/>
        <v/>
      </c>
      <c r="V264" s="163" t="str">
        <f t="shared" si="30"/>
        <v/>
      </c>
      <c r="W264" s="163" t="str">
        <f t="shared" si="30"/>
        <v/>
      </c>
      <c r="X264" s="163" t="str">
        <f t="shared" si="30"/>
        <v/>
      </c>
      <c r="Y264" s="163" t="str">
        <f t="shared" si="30"/>
        <v/>
      </c>
      <c r="Z264" s="163" t="str">
        <f t="shared" si="30"/>
        <v/>
      </c>
      <c r="AA264" s="163" t="str">
        <f t="shared" si="30"/>
        <v/>
      </c>
      <c r="AB264" s="163" t="str">
        <f t="shared" si="30"/>
        <v/>
      </c>
      <c r="AC264" s="163" t="str">
        <f t="shared" si="30"/>
        <v/>
      </c>
      <c r="AD264" s="163" t="str">
        <f t="shared" si="30"/>
        <v/>
      </c>
      <c r="AE264" s="163" t="str">
        <f t="shared" si="30"/>
        <v/>
      </c>
      <c r="AF264" s="163" t="str">
        <f t="shared" si="30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1">IF(B232&lt;100,"",B232-620)</f>
        <v/>
      </c>
      <c r="C265" s="163" t="str">
        <f t="shared" si="31"/>
        <v/>
      </c>
      <c r="D265" s="163" t="str">
        <f t="shared" si="31"/>
        <v/>
      </c>
      <c r="E265" s="163" t="str">
        <f t="shared" si="31"/>
        <v/>
      </c>
      <c r="F265" s="163" t="str">
        <f t="shared" si="31"/>
        <v/>
      </c>
      <c r="G265" s="163" t="str">
        <f t="shared" si="31"/>
        <v/>
      </c>
      <c r="H265" s="163" t="str">
        <f t="shared" si="31"/>
        <v/>
      </c>
      <c r="I265" s="163" t="str">
        <f t="shared" si="31"/>
        <v/>
      </c>
      <c r="J265" s="163" t="str">
        <f t="shared" si="31"/>
        <v/>
      </c>
      <c r="K265" s="163" t="str">
        <f t="shared" si="31"/>
        <v/>
      </c>
      <c r="L265" s="163" t="str">
        <f t="shared" si="31"/>
        <v/>
      </c>
      <c r="M265" s="163" t="str">
        <f t="shared" si="31"/>
        <v/>
      </c>
      <c r="N265" s="163" t="str">
        <f t="shared" si="31"/>
        <v/>
      </c>
      <c r="O265" s="163" t="str">
        <f t="shared" si="31"/>
        <v/>
      </c>
      <c r="P265" s="163" t="str">
        <f t="shared" si="31"/>
        <v/>
      </c>
      <c r="Q265" s="163" t="str">
        <f t="shared" si="31"/>
        <v/>
      </c>
      <c r="R265" s="163" t="str">
        <f t="shared" si="31"/>
        <v/>
      </c>
      <c r="S265" s="163" t="str">
        <f t="shared" si="31"/>
        <v/>
      </c>
      <c r="T265" s="163" t="str">
        <f t="shared" si="31"/>
        <v/>
      </c>
      <c r="U265" s="163" t="str">
        <f t="shared" si="31"/>
        <v/>
      </c>
      <c r="V265" s="163" t="str">
        <f t="shared" si="31"/>
        <v/>
      </c>
      <c r="W265" s="163" t="str">
        <f t="shared" si="31"/>
        <v/>
      </c>
      <c r="X265" s="163" t="str">
        <f t="shared" si="31"/>
        <v/>
      </c>
      <c r="Y265" s="163" t="str">
        <f t="shared" si="31"/>
        <v/>
      </c>
      <c r="Z265" s="163" t="str">
        <f t="shared" si="31"/>
        <v/>
      </c>
      <c r="AA265" s="163" t="str">
        <f t="shared" si="31"/>
        <v/>
      </c>
      <c r="AB265" s="163" t="str">
        <f t="shared" si="31"/>
        <v/>
      </c>
      <c r="AC265" s="163" t="str">
        <f t="shared" si="31"/>
        <v/>
      </c>
      <c r="AD265" s="163" t="str">
        <f t="shared" si="31"/>
        <v/>
      </c>
      <c r="AE265" s="163" t="str">
        <f t="shared" si="31"/>
        <v/>
      </c>
      <c r="AF265" s="163" t="str">
        <f t="shared" si="31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2">IF(B233&lt;100,"",B233-330)</f>
        <v/>
      </c>
      <c r="C266" s="163" t="str">
        <f t="shared" si="32"/>
        <v/>
      </c>
      <c r="D266" s="163" t="str">
        <f t="shared" si="32"/>
        <v/>
      </c>
      <c r="E266" s="163" t="str">
        <f t="shared" si="32"/>
        <v/>
      </c>
      <c r="F266" s="163" t="str">
        <f t="shared" si="32"/>
        <v/>
      </c>
      <c r="G266" s="163" t="str">
        <f t="shared" si="32"/>
        <v/>
      </c>
      <c r="H266" s="163" t="str">
        <f t="shared" si="32"/>
        <v/>
      </c>
      <c r="I266" s="163" t="str">
        <f t="shared" si="32"/>
        <v/>
      </c>
      <c r="J266" s="163" t="str">
        <f t="shared" si="32"/>
        <v/>
      </c>
      <c r="K266" s="163" t="str">
        <f t="shared" si="32"/>
        <v/>
      </c>
      <c r="L266" s="163" t="str">
        <f t="shared" si="32"/>
        <v/>
      </c>
      <c r="M266" s="163" t="str">
        <f t="shared" si="32"/>
        <v/>
      </c>
      <c r="N266" s="163" t="str">
        <f t="shared" si="32"/>
        <v/>
      </c>
      <c r="O266" s="163" t="str">
        <f t="shared" si="32"/>
        <v/>
      </c>
      <c r="P266" s="163" t="str">
        <f t="shared" si="32"/>
        <v/>
      </c>
      <c r="Q266" s="163" t="str">
        <f t="shared" si="32"/>
        <v/>
      </c>
      <c r="R266" s="163" t="str">
        <f t="shared" si="32"/>
        <v/>
      </c>
      <c r="S266" s="163" t="str">
        <f t="shared" si="32"/>
        <v/>
      </c>
      <c r="T266" s="163" t="str">
        <f t="shared" si="32"/>
        <v/>
      </c>
      <c r="U266" s="163" t="str">
        <f t="shared" si="32"/>
        <v/>
      </c>
      <c r="V266" s="163" t="str">
        <f t="shared" si="32"/>
        <v/>
      </c>
      <c r="W266" s="163" t="str">
        <f t="shared" si="32"/>
        <v/>
      </c>
      <c r="X266" s="163" t="str">
        <f t="shared" si="32"/>
        <v/>
      </c>
      <c r="Y266" s="163" t="str">
        <f t="shared" si="32"/>
        <v/>
      </c>
      <c r="Z266" s="163" t="str">
        <f t="shared" si="32"/>
        <v/>
      </c>
      <c r="AA266" s="163" t="str">
        <f t="shared" si="32"/>
        <v/>
      </c>
      <c r="AB266" s="163" t="str">
        <f t="shared" si="32"/>
        <v/>
      </c>
      <c r="AC266" s="163" t="str">
        <f t="shared" si="32"/>
        <v/>
      </c>
      <c r="AD266" s="163" t="str">
        <f t="shared" si="32"/>
        <v/>
      </c>
      <c r="AE266" s="163" t="str">
        <f t="shared" si="32"/>
        <v/>
      </c>
      <c r="AF266" s="163" t="str">
        <f t="shared" si="32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3">IF(B234&lt;100,"",B234-1500)</f>
        <v/>
      </c>
      <c r="C267" s="163" t="str">
        <f t="shared" si="33"/>
        <v/>
      </c>
      <c r="D267" s="163" t="str">
        <f t="shared" si="33"/>
        <v/>
      </c>
      <c r="E267" s="163" t="str">
        <f t="shared" si="33"/>
        <v/>
      </c>
      <c r="F267" s="163" t="str">
        <f t="shared" si="33"/>
        <v/>
      </c>
      <c r="G267" s="163" t="str">
        <f t="shared" si="33"/>
        <v/>
      </c>
      <c r="H267" s="163" t="str">
        <f t="shared" si="33"/>
        <v/>
      </c>
      <c r="I267" s="163" t="str">
        <f t="shared" si="33"/>
        <v/>
      </c>
      <c r="J267" s="163" t="str">
        <f t="shared" si="33"/>
        <v/>
      </c>
      <c r="K267" s="163" t="str">
        <f t="shared" si="33"/>
        <v/>
      </c>
      <c r="L267" s="163" t="str">
        <f t="shared" si="33"/>
        <v/>
      </c>
      <c r="M267" s="163" t="str">
        <f t="shared" si="33"/>
        <v/>
      </c>
      <c r="N267" s="163" t="str">
        <f t="shared" si="33"/>
        <v/>
      </c>
      <c r="O267" s="163" t="str">
        <f t="shared" si="33"/>
        <v/>
      </c>
      <c r="P267" s="163" t="str">
        <f t="shared" si="33"/>
        <v/>
      </c>
      <c r="Q267" s="163" t="str">
        <f t="shared" si="33"/>
        <v/>
      </c>
      <c r="R267" s="163" t="str">
        <f t="shared" si="33"/>
        <v/>
      </c>
      <c r="S267" s="163" t="str">
        <f t="shared" si="33"/>
        <v/>
      </c>
      <c r="T267" s="163" t="str">
        <f t="shared" si="33"/>
        <v/>
      </c>
      <c r="U267" s="163" t="str">
        <f t="shared" si="33"/>
        <v/>
      </c>
      <c r="V267" s="163" t="str">
        <f t="shared" si="33"/>
        <v/>
      </c>
      <c r="W267" s="163" t="str">
        <f t="shared" si="33"/>
        <v/>
      </c>
      <c r="X267" s="163" t="str">
        <f t="shared" si="33"/>
        <v/>
      </c>
      <c r="Y267" s="163" t="str">
        <f t="shared" si="33"/>
        <v/>
      </c>
      <c r="Z267" s="163" t="str">
        <f t="shared" si="33"/>
        <v/>
      </c>
      <c r="AA267" s="163" t="str">
        <f t="shared" si="33"/>
        <v/>
      </c>
      <c r="AB267" s="163" t="str">
        <f t="shared" si="33"/>
        <v/>
      </c>
      <c r="AC267" s="163" t="str">
        <f t="shared" si="33"/>
        <v/>
      </c>
      <c r="AD267" s="163" t="str">
        <f t="shared" si="33"/>
        <v/>
      </c>
      <c r="AE267" s="163" t="str">
        <f t="shared" si="33"/>
        <v/>
      </c>
      <c r="AF267" s="163" t="str">
        <f t="shared" si="33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X11:AF41 D105:AF105 D107:AF112">
    <cfRule type="expression" dxfId="5316" priority="244">
      <formula>B$9&gt;=20/24</formula>
    </cfRule>
    <cfRule type="expression" dxfId="5315" priority="245">
      <formula>AND(B$9&gt;=14/24,B$9&lt;20/24)</formula>
    </cfRule>
    <cfRule type="expression" dxfId="5314" priority="246">
      <formula>AND(B$9&gt;=8/24,B$9&lt;14/24)</formula>
    </cfRule>
    <cfRule type="expression" dxfId="5313" priority="247">
      <formula>B$9&lt;8/24</formula>
    </cfRule>
  </conditionalFormatting>
  <conditionalFormatting sqref="AL4:AL6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AG61 X11:AF41">
    <cfRule type="expression" dxfId="5312" priority="242">
      <formula>X11&gt;$AG11</formula>
    </cfRule>
  </conditionalFormatting>
  <conditionalFormatting sqref="A95:A105 A55:A82 A91:A93 A198:A228 A42:A53 A114:A185 A38:A39 A87:A89 A84:A85 A107:A109 A35:A36 A17:A18 A11:A15 A20:A33">
    <cfRule type="expression" dxfId="5311" priority="241">
      <formula>$AH11=0</formula>
    </cfRule>
  </conditionalFormatting>
  <conditionalFormatting sqref="A110">
    <cfRule type="expression" dxfId="5310" priority="240">
      <formula>$AH110=0</formula>
    </cfRule>
  </conditionalFormatting>
  <conditionalFormatting sqref="AL39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5309" priority="238">
      <formula>$AH41=0</formula>
    </cfRule>
  </conditionalFormatting>
  <conditionalFormatting sqref="A94">
    <cfRule type="expression" dxfId="5308" priority="237">
      <formula>$AH94=0</formula>
    </cfRule>
  </conditionalFormatting>
  <conditionalFormatting sqref="A16">
    <cfRule type="expression" dxfId="5307" priority="236">
      <formula>$AH16=0</formula>
    </cfRule>
  </conditionalFormatting>
  <conditionalFormatting sqref="A192:A197">
    <cfRule type="expression" dxfId="5306" priority="235">
      <formula>$AH192=0</formula>
    </cfRule>
  </conditionalFormatting>
  <conditionalFormatting sqref="A186:A191">
    <cfRule type="expression" dxfId="5305" priority="234">
      <formula>$AH186=0</formula>
    </cfRule>
  </conditionalFormatting>
  <conditionalFormatting sqref="A54">
    <cfRule type="expression" dxfId="5304" priority="233">
      <formula>$AH54=0</formula>
    </cfRule>
  </conditionalFormatting>
  <conditionalFormatting sqref="A90">
    <cfRule type="expression" dxfId="5303" priority="232">
      <formula>$AH90=0</formula>
    </cfRule>
  </conditionalFormatting>
  <conditionalFormatting sqref="M95:X95 AE95:AF95">
    <cfRule type="expression" dxfId="5302" priority="228">
      <formula>M$9&gt;=20/24</formula>
    </cfRule>
    <cfRule type="expression" dxfId="5301" priority="229">
      <formula>AND(M$9&gt;=14/24,M$9&lt;20/24)</formula>
    </cfRule>
    <cfRule type="expression" dxfId="5300" priority="230">
      <formula>AND(M$9&gt;=8/24,M$9&lt;14/24)</formula>
    </cfRule>
    <cfRule type="expression" dxfId="5299" priority="231">
      <formula>M$9&lt;8/24</formula>
    </cfRule>
  </conditionalFormatting>
  <conditionalFormatting sqref="AL40">
    <cfRule type="iconSet" priority="22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298" priority="250">
      <formula>C$9&gt;=20/24</formula>
    </cfRule>
    <cfRule type="expression" dxfId="5297" priority="251">
      <formula>AND(C$9&gt;=14/24,C$9&lt;20/24)</formula>
    </cfRule>
    <cfRule type="expression" dxfId="5296" priority="252">
      <formula>AND(C$9&gt;=8/24,C$9&lt;14/24)</formula>
    </cfRule>
    <cfRule type="expression" dxfId="5295" priority="253">
      <formula>C$9&lt;8/24</formula>
    </cfRule>
  </conditionalFormatting>
  <conditionalFormatting sqref="A229">
    <cfRule type="expression" dxfId="5294" priority="254">
      <formula>$AH229=0</formula>
    </cfRule>
  </conditionalFormatting>
  <conditionalFormatting sqref="AG241">
    <cfRule type="expression" dxfId="5293" priority="255">
      <formula>B$9&gt;=20/24</formula>
    </cfRule>
    <cfRule type="expression" dxfId="5292" priority="256">
      <formula>AND(B$9&gt;=14/24,B$9&lt;20/24)</formula>
    </cfRule>
    <cfRule type="expression" dxfId="5291" priority="257">
      <formula>AND(B$9&gt;=8/24,B$9&lt;14/24)</formula>
    </cfRule>
    <cfRule type="expression" dxfId="5290" priority="258">
      <formula>B$9&lt;8/24</formula>
    </cfRule>
  </conditionalFormatting>
  <conditionalFormatting sqref="S8">
    <cfRule type="expression" dxfId="5289" priority="223">
      <formula>U$9&gt;=20/24</formula>
    </cfRule>
    <cfRule type="expression" dxfId="5288" priority="224">
      <formula>AND(U$9&gt;=14/24,U$9&lt;20/24)</formula>
    </cfRule>
    <cfRule type="expression" dxfId="5287" priority="225">
      <formula>AND(U$9&gt;=8/24,U$9&lt;14/24)</formula>
    </cfRule>
    <cfRule type="expression" dxfId="5286" priority="226">
      <formula>U$9&lt;8/24</formula>
    </cfRule>
  </conditionalFormatting>
  <conditionalFormatting sqref="AB8">
    <cfRule type="expression" dxfId="5285" priority="219">
      <formula>AD$9&gt;=20/24</formula>
    </cfRule>
    <cfRule type="expression" dxfId="5284" priority="220">
      <formula>AND(AD$9&gt;=14/24,AD$9&lt;20/24)</formula>
    </cfRule>
    <cfRule type="expression" dxfId="5283" priority="221">
      <formula>AND(AD$9&gt;=8/24,AD$9&lt;14/24)</formula>
    </cfRule>
    <cfRule type="expression" dxfId="5282" priority="222">
      <formula>AD$9&lt;8/24</formula>
    </cfRule>
  </conditionalFormatting>
  <conditionalFormatting sqref="AH241:AX241">
    <cfRule type="expression" dxfId="5281" priority="259">
      <formula>AG$9&gt;=20/24</formula>
    </cfRule>
    <cfRule type="expression" dxfId="5280" priority="260">
      <formula>AND(AG$9&gt;=14/24,AG$9&lt;20/24)</formula>
    </cfRule>
    <cfRule type="expression" dxfId="5279" priority="261">
      <formula>AND(AG$9&gt;=8/24,AG$9&lt;14/24)</formula>
    </cfRule>
    <cfRule type="expression" dxfId="5278" priority="262">
      <formula>AG$9&lt;8/24</formula>
    </cfRule>
  </conditionalFormatting>
  <conditionalFormatting sqref="T241">
    <cfRule type="expression" dxfId="5277" priority="263">
      <formula>AX$9&gt;=20/24</formula>
    </cfRule>
    <cfRule type="expression" dxfId="5276" priority="264">
      <formula>AND(AX$9&gt;=14/24,AX$9&lt;20/24)</formula>
    </cfRule>
    <cfRule type="expression" dxfId="5275" priority="265">
      <formula>AND(AX$9&gt;=8/24,AX$9&lt;14/24)</formula>
    </cfRule>
    <cfRule type="expression" dxfId="5274" priority="266">
      <formula>AX$9&lt;8/24</formula>
    </cfRule>
  </conditionalFormatting>
  <conditionalFormatting sqref="A111:A112">
    <cfRule type="expression" dxfId="5273" priority="218">
      <formula>$AH111=0</formula>
    </cfRule>
  </conditionalFormatting>
  <conditionalFormatting sqref="M50:Q51 AB50:AD51 P52:AD53 AE50:AF53 M67:AF67">
    <cfRule type="expression" dxfId="5272" priority="214">
      <formula>M$9&gt;=20/24</formula>
    </cfRule>
    <cfRule type="expression" dxfId="5271" priority="215">
      <formula>AND(M$9&gt;=14/24,M$9&lt;20/24)</formula>
    </cfRule>
    <cfRule type="expression" dxfId="5270" priority="216">
      <formula>AND(M$9&gt;=8/24,M$9&lt;14/24)</formula>
    </cfRule>
    <cfRule type="expression" dxfId="5269" priority="217">
      <formula>M$9&lt;8/24</formula>
    </cfRule>
  </conditionalFormatting>
  <conditionalFormatting sqref="M49:Q49 AB49:AF49">
    <cfRule type="expression" dxfId="5268" priority="210">
      <formula>M$9&gt;=20/24</formula>
    </cfRule>
    <cfRule type="expression" dxfId="5267" priority="211">
      <formula>AND(M$9&gt;=14/24,M$9&lt;20/24)</formula>
    </cfRule>
    <cfRule type="expression" dxfId="5266" priority="212">
      <formula>AND(M$9&gt;=8/24,M$9&lt;14/24)</formula>
    </cfRule>
    <cfRule type="expression" dxfId="5265" priority="213">
      <formula>M$9&lt;8/24</formula>
    </cfRule>
  </conditionalFormatting>
  <conditionalFormatting sqref="M49:Q51 AB49:AD51 P52:AD53 AE49:AF53">
    <cfRule type="expression" dxfId="5264" priority="209">
      <formula>M49&gt;$AG49</formula>
    </cfRule>
  </conditionalFormatting>
  <conditionalFormatting sqref="D82:AF82 M96:X102 X70:Z70 X92:AF92 AE96:AF102 M68:Z69 X43:AF43 AB63:AF65 AA68:AF70">
    <cfRule type="expression" dxfId="5263" priority="205">
      <formula>D$9&gt;=20/24</formula>
    </cfRule>
    <cfRule type="expression" dxfId="5262" priority="206">
      <formula>AND(D$9&gt;=14/24,D$9&lt;20/24)</formula>
    </cfRule>
    <cfRule type="expression" dxfId="5261" priority="207">
      <formula>AND(D$9&gt;=8/24,D$9&lt;14/24)</formula>
    </cfRule>
    <cfRule type="expression" dxfId="5260" priority="208">
      <formula>D$9&lt;8/24</formula>
    </cfRule>
  </conditionalFormatting>
  <conditionalFormatting sqref="X43:AF43 AB63:AF65">
    <cfRule type="expression" dxfId="5259" priority="204">
      <formula>X43&gt;$AG43</formula>
    </cfRule>
  </conditionalFormatting>
  <conditionalFormatting sqref="R49:AA51">
    <cfRule type="expression" dxfId="5258" priority="200">
      <formula>R$9&gt;=20/24</formula>
    </cfRule>
    <cfRule type="expression" dxfId="5257" priority="201">
      <formula>AND(R$9&gt;=14/24,R$9&lt;20/24)</formula>
    </cfRule>
    <cfRule type="expression" dxfId="5256" priority="202">
      <formula>AND(R$9&gt;=8/24,R$9&lt;14/24)</formula>
    </cfRule>
    <cfRule type="expression" dxfId="5255" priority="203">
      <formula>R$9&lt;8/24</formula>
    </cfRule>
  </conditionalFormatting>
  <conditionalFormatting sqref="R49:AA51">
    <cfRule type="expression" dxfId="5254" priority="199">
      <formula>R49&gt;$AG49</formula>
    </cfRule>
  </conditionalFormatting>
  <conditionalFormatting sqref="C93:AF93 C84:AF84">
    <cfRule type="expression" dxfId="5253" priority="195">
      <formula>C$9&gt;=20/24</formula>
    </cfRule>
    <cfRule type="expression" dxfId="5252" priority="196">
      <formula>AND(C$9&gt;=14/24,C$9&lt;20/24)</formula>
    </cfRule>
    <cfRule type="expression" dxfId="5251" priority="197">
      <formula>AND(C$9&gt;=8/24,C$9&lt;14/24)</formula>
    </cfRule>
    <cfRule type="expression" dxfId="5250" priority="198">
      <formula>C$9&lt;8/24</formula>
    </cfRule>
  </conditionalFormatting>
  <conditionalFormatting sqref="T43:W43">
    <cfRule type="expression" dxfId="5249" priority="191">
      <formula>T$9&gt;=20/24</formula>
    </cfRule>
    <cfRule type="expression" dxfId="5248" priority="192">
      <formula>AND(T$9&gt;=14/24,T$9&lt;20/24)</formula>
    </cfRule>
    <cfRule type="expression" dxfId="5247" priority="193">
      <formula>AND(T$9&gt;=8/24,T$9&lt;14/24)</formula>
    </cfRule>
    <cfRule type="expression" dxfId="5246" priority="194">
      <formula>T$9&lt;8/24</formula>
    </cfRule>
  </conditionalFormatting>
  <conditionalFormatting sqref="T43:W43">
    <cfRule type="expression" dxfId="5245" priority="190">
      <formula>T43&gt;$AG43</formula>
    </cfRule>
  </conditionalFormatting>
  <conditionalFormatting sqref="X42:AF42">
    <cfRule type="expression" dxfId="5244" priority="186">
      <formula>X$9&gt;=20/24</formula>
    </cfRule>
    <cfRule type="expression" dxfId="5243" priority="187">
      <formula>AND(X$9&gt;=14/24,X$9&lt;20/24)</formula>
    </cfRule>
    <cfRule type="expression" dxfId="5242" priority="188">
      <formula>AND(X$9&gt;=8/24,X$9&lt;14/24)</formula>
    </cfRule>
    <cfRule type="expression" dxfId="5241" priority="189">
      <formula>X$9&lt;8/24</formula>
    </cfRule>
  </conditionalFormatting>
  <conditionalFormatting sqref="X42:AF42">
    <cfRule type="expression" dxfId="5240" priority="181">
      <formula>X42&gt;$AG42</formula>
    </cfRule>
  </conditionalFormatting>
  <conditionalFormatting sqref="AG66 AG83 U63:AA65">
    <cfRule type="expression" dxfId="5239" priority="177">
      <formula>U$9&gt;=20/24</formula>
    </cfRule>
    <cfRule type="expression" dxfId="5238" priority="178">
      <formula>AND(U$9&gt;=14/24,U$9&lt;20/24)</formula>
    </cfRule>
    <cfRule type="expression" dxfId="5237" priority="179">
      <formula>AND(U$9&gt;=8/24,U$9&lt;14/24)</formula>
    </cfRule>
    <cfRule type="expression" dxfId="5236" priority="180">
      <formula>U$9&lt;8/24</formula>
    </cfRule>
  </conditionalFormatting>
  <conditionalFormatting sqref="AG44 AG62 AG66 U63:AA65">
    <cfRule type="expression" dxfId="5235" priority="176">
      <formula>U44&gt;$AG44</formula>
    </cfRule>
  </conditionalFormatting>
  <conditionalFormatting sqref="X54:AF54">
    <cfRule type="expression" dxfId="5234" priority="172">
      <formula>X$9&gt;=20/24</formula>
    </cfRule>
    <cfRule type="expression" dxfId="5233" priority="173">
      <formula>AND(X$9&gt;=14/24,X$9&lt;20/24)</formula>
    </cfRule>
    <cfRule type="expression" dxfId="5232" priority="174">
      <formula>AND(X$9&gt;=8/24,X$9&lt;14/24)</formula>
    </cfRule>
    <cfRule type="expression" dxfId="5231" priority="175">
      <formula>X$9&lt;8/24</formula>
    </cfRule>
  </conditionalFormatting>
  <conditionalFormatting sqref="X54:AF54">
    <cfRule type="expression" dxfId="5230" priority="171">
      <formula>X54&gt;$AG54</formula>
    </cfRule>
  </conditionalFormatting>
  <conditionalFormatting sqref="A40">
    <cfRule type="expression" dxfId="5229" priority="170">
      <formula>$AH40=0</formula>
    </cfRule>
  </conditionalFormatting>
  <conditionalFormatting sqref="X87:AF91">
    <cfRule type="expression" dxfId="5228" priority="166">
      <formula>X$9&gt;=20/24</formula>
    </cfRule>
    <cfRule type="expression" dxfId="5227" priority="167">
      <formula>AND(X$9&gt;=14/24,X$9&lt;20/24)</formula>
    </cfRule>
    <cfRule type="expression" dxfId="5226" priority="168">
      <formula>AND(X$9&gt;=8/24,X$9&lt;14/24)</formula>
    </cfRule>
    <cfRule type="expression" dxfId="5225" priority="169">
      <formula>X$9&lt;8/24</formula>
    </cfRule>
  </conditionalFormatting>
  <conditionalFormatting sqref="AL41 AL38 AL20:AL33 AL35:AL36 AL7:AL18">
    <cfRule type="iconSet" priority="267">
      <iconSet iconSet="3TrafficLights2" reverse="1">
        <cfvo type="percent" val="0"/>
        <cfvo type="num" val="1"/>
        <cfvo type="num" val="1"/>
      </iconSet>
    </cfRule>
  </conditionalFormatting>
  <conditionalFormatting sqref="M45:AF47">
    <cfRule type="expression" dxfId="5224" priority="162">
      <formula>M$9&gt;=20/24</formula>
    </cfRule>
    <cfRule type="expression" dxfId="5223" priority="163">
      <formula>AND(M$9&gt;=14/24,M$9&lt;20/24)</formula>
    </cfRule>
    <cfRule type="expression" dxfId="5222" priority="164">
      <formula>AND(M$9&gt;=8/24,M$9&lt;14/24)</formula>
    </cfRule>
    <cfRule type="expression" dxfId="5221" priority="165">
      <formula>M$9&lt;8/24</formula>
    </cfRule>
  </conditionalFormatting>
  <conditionalFormatting sqref="M45:AF47">
    <cfRule type="expression" dxfId="5220" priority="161">
      <formula>M45&gt;$AG45</formula>
    </cfRule>
  </conditionalFormatting>
  <conditionalFormatting sqref="AG48">
    <cfRule type="expression" dxfId="5219" priority="157">
      <formula>AG$9&gt;=20/24</formula>
    </cfRule>
    <cfRule type="expression" dxfId="5218" priority="158">
      <formula>AND(AG$9&gt;=14/24,AG$9&lt;20/24)</formula>
    </cfRule>
    <cfRule type="expression" dxfId="5217" priority="159">
      <formula>AND(AG$9&gt;=8/24,AG$9&lt;14/24)</formula>
    </cfRule>
    <cfRule type="expression" dxfId="5216" priority="160">
      <formula>AG$9&lt;8/24</formula>
    </cfRule>
  </conditionalFormatting>
  <conditionalFormatting sqref="AG48">
    <cfRule type="expression" dxfId="5215" priority="156">
      <formula>AG48&gt;$AG48</formula>
    </cfRule>
  </conditionalFormatting>
  <conditionalFormatting sqref="C103:AF103">
    <cfRule type="expression" dxfId="5214" priority="152">
      <formula>C$9&gt;=20/24</formula>
    </cfRule>
    <cfRule type="expression" dxfId="5213" priority="153">
      <formula>AND(C$9&gt;=14/24,C$9&lt;20/24)</formula>
    </cfRule>
    <cfRule type="expression" dxfId="5212" priority="154">
      <formula>AND(C$9&gt;=8/24,C$9&lt;14/24)</formula>
    </cfRule>
    <cfRule type="expression" dxfId="5211" priority="155">
      <formula>C$9&lt;8/24</formula>
    </cfRule>
  </conditionalFormatting>
  <conditionalFormatting sqref="AL3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210" priority="150">
      <formula>$AH37=0</formula>
    </cfRule>
  </conditionalFormatting>
  <conditionalFormatting sqref="A86">
    <cfRule type="expression" dxfId="5209" priority="148">
      <formula>$AH86=0</formula>
    </cfRule>
  </conditionalFormatting>
  <conditionalFormatting sqref="A83">
    <cfRule type="expression" dxfId="5208" priority="149">
      <formula>$AH83=0</formula>
    </cfRule>
  </conditionalFormatting>
  <conditionalFormatting sqref="A113">
    <cfRule type="expression" dxfId="5207" priority="139">
      <formula>$AH113=0</formula>
    </cfRule>
  </conditionalFormatting>
  <conditionalFormatting sqref="D106:AF106">
    <cfRule type="expression" dxfId="5206" priority="135">
      <formula>D$9&gt;=20/24</formula>
    </cfRule>
    <cfRule type="expression" dxfId="5205" priority="136">
      <formula>AND(D$9&gt;=14/24,D$9&lt;20/24)</formula>
    </cfRule>
    <cfRule type="expression" dxfId="5204" priority="137">
      <formula>AND(D$9&gt;=8/24,D$9&lt;14/24)</formula>
    </cfRule>
    <cfRule type="expression" dxfId="5203" priority="138">
      <formula>D$9&lt;8/24</formula>
    </cfRule>
  </conditionalFormatting>
  <conditionalFormatting sqref="A106">
    <cfRule type="expression" dxfId="5202" priority="134">
      <formula>$AH106=0</formula>
    </cfRule>
  </conditionalFormatting>
  <conditionalFormatting sqref="A19">
    <cfRule type="expression" dxfId="5201" priority="132">
      <formula>$AH19=0</formula>
    </cfRule>
  </conditionalFormatting>
  <conditionalFormatting sqref="AL19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200" priority="130">
      <formula>$AH34=0</formula>
    </cfRule>
  </conditionalFormatting>
  <conditionalFormatting sqref="AL34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Y95:AD95">
    <cfRule type="expression" dxfId="5199" priority="126">
      <formula>Y$9&gt;=20/24</formula>
    </cfRule>
    <cfRule type="expression" dxfId="5198" priority="127">
      <formula>AND(Y$9&gt;=14/24,Y$9&lt;20/24)</formula>
    </cfRule>
    <cfRule type="expression" dxfId="5197" priority="128">
      <formula>AND(Y$9&gt;=8/24,Y$9&lt;14/24)</formula>
    </cfRule>
    <cfRule type="expression" dxfId="5196" priority="129">
      <formula>Y$9&lt;8/24</formula>
    </cfRule>
  </conditionalFormatting>
  <conditionalFormatting sqref="Y96:AD102">
    <cfRule type="expression" dxfId="5195" priority="122">
      <formula>Y$9&gt;=20/24</formula>
    </cfRule>
    <cfRule type="expression" dxfId="5194" priority="123">
      <formula>AND(Y$9&gt;=14/24,Y$9&lt;20/24)</formula>
    </cfRule>
    <cfRule type="expression" dxfId="5193" priority="124">
      <formula>AND(Y$9&gt;=8/24,Y$9&lt;14/24)</formula>
    </cfRule>
    <cfRule type="expression" dxfId="5192" priority="125">
      <formula>Y$9&lt;8/24</formula>
    </cfRule>
  </conditionalFormatting>
  <conditionalFormatting sqref="B105:C105 B107:C112 B15:W40">
    <cfRule type="expression" dxfId="5191" priority="118">
      <formula>B$9&gt;=20/24</formula>
    </cfRule>
    <cfRule type="expression" dxfId="5190" priority="119">
      <formula>AND(B$9&gt;=14/24,B$9&lt;20/24)</formula>
    </cfRule>
    <cfRule type="expression" dxfId="5189" priority="120">
      <formula>AND(B$9&gt;=8/24,B$9&lt;14/24)</formula>
    </cfRule>
    <cfRule type="expression" dxfId="5188" priority="121">
      <formula>B$9&lt;8/24</formula>
    </cfRule>
  </conditionalFormatting>
  <conditionalFormatting sqref="B43:S43">
    <cfRule type="expression" dxfId="5187" priority="114">
      <formula>B$9&gt;=20/24</formula>
    </cfRule>
    <cfRule type="expression" dxfId="5186" priority="115">
      <formula>AND(B$9&gt;=14/24,B$9&lt;20/24)</formula>
    </cfRule>
    <cfRule type="expression" dxfId="5185" priority="116">
      <formula>AND(B$9&gt;=8/24,B$9&lt;14/24)</formula>
    </cfRule>
    <cfRule type="expression" dxfId="5184" priority="117">
      <formula>B$9&lt;8/24</formula>
    </cfRule>
  </conditionalFormatting>
  <conditionalFormatting sqref="B43:S43 B15:W40">
    <cfRule type="expression" dxfId="5183" priority="113">
      <formula>B15&gt;$AG15</formula>
    </cfRule>
  </conditionalFormatting>
  <conditionalFormatting sqref="B95:L95">
    <cfRule type="expression" dxfId="5182" priority="109">
      <formula>B$9&gt;=20/24</formula>
    </cfRule>
    <cfRule type="expression" dxfId="5181" priority="110">
      <formula>AND(B$9&gt;=14/24,B$9&lt;20/24)</formula>
    </cfRule>
    <cfRule type="expression" dxfId="5180" priority="111">
      <formula>AND(B$9&gt;=8/24,B$9&lt;14/24)</formula>
    </cfRule>
    <cfRule type="expression" dxfId="5179" priority="112">
      <formula>B$9&lt;8/24</formula>
    </cfRule>
  </conditionalFormatting>
  <conditionalFormatting sqref="B50:L51 B67:L67">
    <cfRule type="expression" dxfId="5178" priority="105">
      <formula>B$9&gt;=20/24</formula>
    </cfRule>
    <cfRule type="expression" dxfId="5177" priority="106">
      <formula>AND(B$9&gt;=14/24,B$9&lt;20/24)</formula>
    </cfRule>
    <cfRule type="expression" dxfId="5176" priority="107">
      <formula>AND(B$9&gt;=8/24,B$9&lt;14/24)</formula>
    </cfRule>
    <cfRule type="expression" dxfId="5175" priority="108">
      <formula>B$9&lt;8/24</formula>
    </cfRule>
  </conditionalFormatting>
  <conditionalFormatting sqref="B49:L49">
    <cfRule type="expression" dxfId="5174" priority="101">
      <formula>B$9&gt;=20/24</formula>
    </cfRule>
    <cfRule type="expression" dxfId="5173" priority="102">
      <formula>AND(B$9&gt;=14/24,B$9&lt;20/24)</formula>
    </cfRule>
    <cfRule type="expression" dxfId="5172" priority="103">
      <formula>AND(B$9&gt;=8/24,B$9&lt;14/24)</formula>
    </cfRule>
    <cfRule type="expression" dxfId="5171" priority="104">
      <formula>B$9&lt;8/24</formula>
    </cfRule>
  </conditionalFormatting>
  <conditionalFormatting sqref="B49:L51">
    <cfRule type="expression" dxfId="5170" priority="100">
      <formula>B49&gt;$AG49</formula>
    </cfRule>
  </conditionalFormatting>
  <conditionalFormatting sqref="B82:C82 B92:W92 B79:AF81 M70:W72 X71:AF72 B63:T65 B68:L72 B96:L102">
    <cfRule type="expression" dxfId="5169" priority="96">
      <formula>B$9&gt;=20/24</formula>
    </cfRule>
    <cfRule type="expression" dxfId="5168" priority="97">
      <formula>AND(B$9&gt;=14/24,B$9&lt;20/24)</formula>
    </cfRule>
    <cfRule type="expression" dxfId="5167" priority="98">
      <formula>AND(B$9&gt;=8/24,B$9&lt;14/24)</formula>
    </cfRule>
    <cfRule type="expression" dxfId="5166" priority="99">
      <formula>B$9&lt;8/24</formula>
    </cfRule>
  </conditionalFormatting>
  <conditionalFormatting sqref="B52:L53 B63:T65">
    <cfRule type="expression" dxfId="5165" priority="95">
      <formula>B52&gt;$AG52</formula>
    </cfRule>
  </conditionalFormatting>
  <conditionalFormatting sqref="B54:W54">
    <cfRule type="expression" dxfId="5164" priority="91">
      <formula>B$9&gt;=20/24</formula>
    </cfRule>
    <cfRule type="expression" dxfId="5163" priority="92">
      <formula>AND(B$9&gt;=14/24,B$9&lt;20/24)</formula>
    </cfRule>
    <cfRule type="expression" dxfId="5162" priority="93">
      <formula>AND(B$9&gt;=8/24,B$9&lt;14/24)</formula>
    </cfRule>
    <cfRule type="expression" dxfId="5161" priority="94">
      <formula>B$9&lt;8/24</formula>
    </cfRule>
  </conditionalFormatting>
  <conditionalFormatting sqref="B54:W54">
    <cfRule type="expression" dxfId="5160" priority="90">
      <formula>B54&gt;$AG54</formula>
    </cfRule>
  </conditionalFormatting>
  <conditionalFormatting sqref="B84 B93">
    <cfRule type="expression" dxfId="5159" priority="86">
      <formula>B$9&gt;=20/24</formula>
    </cfRule>
    <cfRule type="expression" dxfId="5158" priority="87">
      <formula>AND(B$9&gt;=14/24,B$9&lt;20/24)</formula>
    </cfRule>
    <cfRule type="expression" dxfId="5157" priority="88">
      <formula>AND(B$9&gt;=8/24,B$9&lt;14/24)</formula>
    </cfRule>
    <cfRule type="expression" dxfId="5156" priority="89">
      <formula>B$9&lt;8/24</formula>
    </cfRule>
  </conditionalFormatting>
  <conditionalFormatting sqref="B42:W42">
    <cfRule type="expression" dxfId="5155" priority="82">
      <formula>B$9&gt;=20/24</formula>
    </cfRule>
    <cfRule type="expression" dxfId="5154" priority="83">
      <formula>AND(B$9&gt;=14/24,B$9&lt;20/24)</formula>
    </cfRule>
    <cfRule type="expression" dxfId="5153" priority="84">
      <formula>AND(B$9&gt;=8/24,B$9&lt;14/24)</formula>
    </cfRule>
    <cfRule type="expression" dxfId="5152" priority="85">
      <formula>B$9&lt;8/24</formula>
    </cfRule>
  </conditionalFormatting>
  <conditionalFormatting sqref="B42:W42">
    <cfRule type="expression" dxfId="5151" priority="81">
      <formula>B42&gt;$AG42</formula>
    </cfRule>
  </conditionalFormatting>
  <conditionalFormatting sqref="B94:AF94 B83:AF83 B66:AF66 B85:AF85">
    <cfRule type="expression" dxfId="5150" priority="77">
      <formula>B$9&gt;=20/24</formula>
    </cfRule>
    <cfRule type="expression" dxfId="5149" priority="78">
      <formula>AND(B$9&gt;=14/24,B$9&lt;20/24)</formula>
    </cfRule>
    <cfRule type="expression" dxfId="5148" priority="79">
      <formula>AND(B$9&gt;=8/24,B$9&lt;14/24)</formula>
    </cfRule>
    <cfRule type="expression" dxfId="5147" priority="80">
      <formula>B$9&lt;8/24</formula>
    </cfRule>
  </conditionalFormatting>
  <conditionalFormatting sqref="B44:AF44 B61:AF62 B66:AF66">
    <cfRule type="expression" dxfId="5146" priority="76">
      <formula>B44&gt;$AG44</formula>
    </cfRule>
  </conditionalFormatting>
  <conditionalFormatting sqref="B78:AF78">
    <cfRule type="expression" dxfId="5145" priority="72">
      <formula>B$9&gt;=20/24</formula>
    </cfRule>
    <cfRule type="expression" dxfId="5144" priority="73">
      <formula>AND(B$9&gt;=14/24,B$9&lt;20/24)</formula>
    </cfRule>
    <cfRule type="expression" dxfId="5143" priority="74">
      <formula>AND(B$9&gt;=8/24,B$9&lt;14/24)</formula>
    </cfRule>
    <cfRule type="expression" dxfId="5142" priority="75">
      <formula>B$9&lt;8/24</formula>
    </cfRule>
  </conditionalFormatting>
  <conditionalFormatting sqref="B87:W91">
    <cfRule type="expression" dxfId="5141" priority="68">
      <formula>B$9&gt;=20/24</formula>
    </cfRule>
    <cfRule type="expression" dxfId="5140" priority="69">
      <formula>AND(B$9&gt;=14/24,B$9&lt;20/24)</formula>
    </cfRule>
    <cfRule type="expression" dxfId="5139" priority="70">
      <formula>AND(B$9&gt;=8/24,B$9&lt;14/24)</formula>
    </cfRule>
    <cfRule type="expression" dxfId="5138" priority="71">
      <formula>B$9&lt;8/24</formula>
    </cfRule>
  </conditionalFormatting>
  <conditionalFormatting sqref="B45:L47">
    <cfRule type="expression" dxfId="5137" priority="64">
      <formula>B$9&gt;=20/24</formula>
    </cfRule>
    <cfRule type="expression" dxfId="5136" priority="65">
      <formula>AND(B$9&gt;=14/24,B$9&lt;20/24)</formula>
    </cfRule>
    <cfRule type="expression" dxfId="5135" priority="66">
      <formula>AND(B$9&gt;=8/24,B$9&lt;14/24)</formula>
    </cfRule>
    <cfRule type="expression" dxfId="5134" priority="67">
      <formula>B$9&lt;8/24</formula>
    </cfRule>
  </conditionalFormatting>
  <conditionalFormatting sqref="B45:L47">
    <cfRule type="expression" dxfId="5133" priority="63">
      <formula>B45&gt;$AG45</formula>
    </cfRule>
  </conditionalFormatting>
  <conditionalFormatting sqref="B48:AF48">
    <cfRule type="expression" dxfId="5132" priority="59">
      <formula>B$9&gt;=20/24</formula>
    </cfRule>
    <cfRule type="expression" dxfId="5131" priority="60">
      <formula>AND(B$9&gt;=14/24,B$9&lt;20/24)</formula>
    </cfRule>
    <cfRule type="expression" dxfId="5130" priority="61">
      <formula>AND(B$9&gt;=8/24,B$9&lt;14/24)</formula>
    </cfRule>
    <cfRule type="expression" dxfId="5129" priority="62">
      <formula>B$9&lt;8/24</formula>
    </cfRule>
  </conditionalFormatting>
  <conditionalFormatting sqref="B48:AF48">
    <cfRule type="expression" dxfId="5128" priority="58">
      <formula>B48&gt;$AG48</formula>
    </cfRule>
  </conditionalFormatting>
  <conditionalFormatting sqref="B103">
    <cfRule type="expression" dxfId="5127" priority="54">
      <formula>B$9&gt;=20/24</formula>
    </cfRule>
    <cfRule type="expression" dxfId="5126" priority="55">
      <formula>AND(B$9&gt;=14/24,B$9&lt;20/24)</formula>
    </cfRule>
    <cfRule type="expression" dxfId="5125" priority="56">
      <formula>AND(B$9&gt;=8/24,B$9&lt;14/24)</formula>
    </cfRule>
    <cfRule type="expression" dxfId="5124" priority="57">
      <formula>B$9&lt;8/24</formula>
    </cfRule>
  </conditionalFormatting>
  <conditionalFormatting sqref="B106:C106">
    <cfRule type="expression" dxfId="5123" priority="42">
      <formula>B$9&gt;=20/24</formula>
    </cfRule>
    <cfRule type="expression" dxfId="5122" priority="43">
      <formula>AND(B$9&gt;=14/24,B$9&lt;20/24)</formula>
    </cfRule>
    <cfRule type="expression" dxfId="5121" priority="44">
      <formula>AND(B$9&gt;=8/24,B$9&lt;14/24)</formula>
    </cfRule>
    <cfRule type="expression" dxfId="5120" priority="45">
      <formula>B$9&lt;8/24</formula>
    </cfRule>
  </conditionalFormatting>
  <conditionalFormatting sqref="B55:AF60">
    <cfRule type="expression" dxfId="5119" priority="38">
      <formula>B$9&gt;=20/24</formula>
    </cfRule>
    <cfRule type="expression" dxfId="5118" priority="39">
      <formula>AND(B$9&gt;=14/24,B$9&lt;20/24)</formula>
    </cfRule>
    <cfRule type="expression" dxfId="5117" priority="40">
      <formula>AND(B$9&gt;=8/24,B$9&lt;14/24)</formula>
    </cfRule>
    <cfRule type="expression" dxfId="5116" priority="41">
      <formula>B$9&lt;8/24</formula>
    </cfRule>
  </conditionalFormatting>
  <conditionalFormatting sqref="B55:AF60">
    <cfRule type="expression" dxfId="5115" priority="37">
      <formula>B55&gt;$AG55</formula>
    </cfRule>
  </conditionalFormatting>
  <conditionalFormatting sqref="B41:W41 B12:W14">
    <cfRule type="expression" dxfId="5114" priority="36">
      <formula>B12&gt;$AG12</formula>
    </cfRule>
  </conditionalFormatting>
  <conditionalFormatting sqref="B11:W11">
    <cfRule type="expression" dxfId="5113" priority="32">
      <formula>B$9&gt;=20/24</formula>
    </cfRule>
    <cfRule type="expression" dxfId="5112" priority="33">
      <formula>AND(B$9&gt;=14/24,B$9&lt;20/24)</formula>
    </cfRule>
    <cfRule type="expression" dxfId="5111" priority="34">
      <formula>AND(B$9&gt;=8/24,B$9&lt;14/24)</formula>
    </cfRule>
    <cfRule type="expression" dxfId="5110" priority="35">
      <formula>B$9&lt;8/24</formula>
    </cfRule>
  </conditionalFormatting>
  <conditionalFormatting sqref="B11:W11">
    <cfRule type="expression" dxfId="5109" priority="31">
      <formula>B11&gt;$AG11</formula>
    </cfRule>
  </conditionalFormatting>
  <conditionalFormatting sqref="B12:W14">
    <cfRule type="expression" dxfId="5108" priority="27">
      <formula>B$9&gt;=20/24</formula>
    </cfRule>
    <cfRule type="expression" dxfId="5107" priority="28">
      <formula>AND(B$9&gt;=14/24,B$9&lt;20/24)</formula>
    </cfRule>
    <cfRule type="expression" dxfId="5106" priority="29">
      <formula>AND(B$9&gt;=8/24,B$9&lt;14/24)</formula>
    </cfRule>
    <cfRule type="expression" dxfId="5105" priority="30">
      <formula>B$9&lt;8/24</formula>
    </cfRule>
  </conditionalFormatting>
  <conditionalFormatting sqref="B41:W41">
    <cfRule type="expression" dxfId="5104" priority="23">
      <formula>B$9&gt;=20/24</formula>
    </cfRule>
    <cfRule type="expression" dxfId="5103" priority="24">
      <formula>AND(B$9&gt;=14/24,B$9&lt;20/24)</formula>
    </cfRule>
    <cfRule type="expression" dxfId="5102" priority="25">
      <formula>AND(B$9&gt;=8/24,B$9&lt;14/24)</formula>
    </cfRule>
    <cfRule type="expression" dxfId="5101" priority="26">
      <formula>B$9&lt;8/24</formula>
    </cfRule>
  </conditionalFormatting>
  <conditionalFormatting sqref="B73:AF77">
    <cfRule type="expression" dxfId="5100" priority="19">
      <formula>B$9&gt;=20/24</formula>
    </cfRule>
    <cfRule type="expression" dxfId="5099" priority="20">
      <formula>AND(B$9&gt;=14/24,B$9&lt;20/24)</formula>
    </cfRule>
    <cfRule type="expression" dxfId="5098" priority="21">
      <formula>AND(B$9&gt;=8/24,B$9&lt;14/24)</formula>
    </cfRule>
    <cfRule type="expression" dxfId="5097" priority="22">
      <formula>B$9&lt;8/24</formula>
    </cfRule>
  </conditionalFormatting>
  <conditionalFormatting sqref="AL74:AN74 AL80:AN80 AN75:AN76">
    <cfRule type="expression" dxfId="5096" priority="15">
      <formula>AL$9&gt;=20/24</formula>
    </cfRule>
    <cfRule type="expression" dxfId="5095" priority="16">
      <formula>AND(AL$9&gt;=14/24,AL$9&lt;20/24)</formula>
    </cfRule>
    <cfRule type="expression" dxfId="5094" priority="17">
      <formula>AND(AL$9&gt;=8/24,AL$9&lt;14/24)</formula>
    </cfRule>
    <cfRule type="expression" dxfId="5093" priority="18">
      <formula>AL$9&lt;8/24</formula>
    </cfRule>
  </conditionalFormatting>
  <conditionalFormatting sqref="AN77:AN78">
    <cfRule type="expression" dxfId="5092" priority="11">
      <formula>AN$9&gt;=20/24</formula>
    </cfRule>
    <cfRule type="expression" dxfId="5091" priority="12">
      <formula>AND(AN$9&gt;=14/24,AN$9&lt;20/24)</formula>
    </cfRule>
    <cfRule type="expression" dxfId="5090" priority="13">
      <formula>AND(AN$9&gt;=8/24,AN$9&lt;14/24)</formula>
    </cfRule>
    <cfRule type="expression" dxfId="5089" priority="14">
      <formula>AN$9&lt;8/24</formula>
    </cfRule>
  </conditionalFormatting>
  <conditionalFormatting sqref="AL75:AM79">
    <cfRule type="expression" dxfId="5088" priority="268">
      <formula>AJ$9&gt;=20/24</formula>
    </cfRule>
    <cfRule type="expression" dxfId="5087" priority="269">
      <formula>AND(AJ$9&gt;=14/24,AJ$9&lt;20/24)</formula>
    </cfRule>
    <cfRule type="expression" dxfId="5086" priority="270">
      <formula>AND(AJ$9&gt;=8/24,AJ$9&lt;14/24)</formula>
    </cfRule>
    <cfRule type="expression" dxfId="5085" priority="271">
      <formula>AJ$9&lt;8/24</formula>
    </cfRule>
  </conditionalFormatting>
  <conditionalFormatting sqref="M52:O52 M53:N53">
    <cfRule type="expression" dxfId="5084" priority="7">
      <formula>M$9&gt;=20/24</formula>
    </cfRule>
    <cfRule type="expression" dxfId="5083" priority="8">
      <formula>AND(M$9&gt;=14/24,M$9&lt;20/24)</formula>
    </cfRule>
    <cfRule type="expression" dxfId="5082" priority="9">
      <formula>AND(M$9&gt;=8/24,M$9&lt;14/24)</formula>
    </cfRule>
    <cfRule type="expression" dxfId="5081" priority="10">
      <formula>M$9&lt;8/24</formula>
    </cfRule>
  </conditionalFormatting>
  <conditionalFormatting sqref="M52:O52 M53:N53">
    <cfRule type="expression" dxfId="5080" priority="6">
      <formula>M52&gt;$AG52</formula>
    </cfRule>
  </conditionalFormatting>
  <conditionalFormatting sqref="O53">
    <cfRule type="expression" dxfId="5079" priority="2">
      <formula>O$9&gt;=20/24</formula>
    </cfRule>
    <cfRule type="expression" dxfId="5078" priority="3">
      <formula>AND(O$9&gt;=14/24,O$9&lt;20/24)</formula>
    </cfRule>
    <cfRule type="expression" dxfId="5077" priority="4">
      <formula>AND(O$9&gt;=8/24,O$9&lt;14/24)</formula>
    </cfRule>
    <cfRule type="expression" dxfId="5076" priority="5">
      <formula>O$9&lt;8/24</formula>
    </cfRule>
  </conditionalFormatting>
  <conditionalFormatting sqref="O53">
    <cfRule type="expression" dxfId="5075" priority="1">
      <formula>O53&gt;$AG53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4" id="{1418CADC-DB31-44B6-8859-4EC5D7C7BE4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5" id="{D8F5CA1C-5923-43D2-921E-E4A51A634CC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6" id="{8BEE1C20-BD01-43CF-BDA5-6D204695A0B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7" id="{FCAAD47D-3090-4595-AE2A-BD4AF90B679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40" id="{D6A1C9D8-264C-4173-ABA2-45DC5452F82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1" id="{9E8BEB44-2C40-442F-8A1C-C65106BFA2D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2" id="{54892A96-7DFE-45B9-965C-5F2937694C0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3" id="{EE0F7DE7-F3AE-4700-91A1-60C4056B43C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50" id="{258F49A1-B29E-47DF-874C-E4CFEEBC0F6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1" id="{A3830747-D75E-49C5-8B08-79EFB208BD0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2" id="{95995160-B114-4F72-B1A4-CA4549C4A7F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3" id="{7024EB06-AC2E-4194-865A-EDB5EB321E2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46" id="{A7A1108A-7D16-4858-B3FF-2383C9D665A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7" id="{9A9FBBEA-F9AA-4E06-B52A-FDB288B863B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8" id="{8D234180-AD17-4556-B531-0F319E28036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9" id="{9A2BC3F4-A230-46FC-BB15-A986CF58CEF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J274"/>
  <sheetViews>
    <sheetView zoomScaleNormal="100" workbookViewId="0">
      <pane ySplit="10" topLeftCell="A89" activePane="bottomLeft" state="frozen"/>
      <selection pane="bottomLeft" activeCell="AH11" sqref="AH11:AI11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2079/09/22</v>
      </c>
      <c r="C4" s="197"/>
      <c r="D4" s="197"/>
      <c r="E4" s="198" t="str">
        <f ca="1">"2079/"&amp;"09/"&amp;INT(MID(CELL("filename",G6),FIND("]",CELL("filename",G6))+1,200))</f>
        <v>2079/09/22</v>
      </c>
      <c r="F4" s="198"/>
      <c r="G4" s="198"/>
      <c r="H4" s="198" t="str">
        <f ca="1">TEXT(E4,"dddd")</f>
        <v>Friday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350.2</v>
      </c>
      <c r="C5" s="30">
        <f t="shared" si="0"/>
        <v>342</v>
      </c>
      <c r="D5" s="30">
        <f t="shared" si="0"/>
        <v>341.5</v>
      </c>
      <c r="E5" s="30">
        <f t="shared" si="0"/>
        <v>379</v>
      </c>
      <c r="F5" s="30">
        <f t="shared" si="0"/>
        <v>385</v>
      </c>
      <c r="G5" s="30">
        <f t="shared" si="0"/>
        <v>409</v>
      </c>
      <c r="H5" s="30">
        <f t="shared" si="0"/>
        <v>477</v>
      </c>
      <c r="I5" s="30">
        <f t="shared" si="0"/>
        <v>502.2</v>
      </c>
      <c r="J5" s="30">
        <f t="shared" si="0"/>
        <v>234.3</v>
      </c>
      <c r="K5" s="30">
        <f t="shared" si="0"/>
        <v>171.6</v>
      </c>
      <c r="L5" s="30">
        <f t="shared" si="0"/>
        <v>172.2</v>
      </c>
      <c r="M5" s="30">
        <f t="shared" si="0"/>
        <v>168.8</v>
      </c>
      <c r="N5" s="30">
        <f t="shared" si="0"/>
        <v>201.9</v>
      </c>
      <c r="O5" s="30">
        <f t="shared" si="0"/>
        <v>315.3</v>
      </c>
      <c r="P5" s="30">
        <f t="shared" si="0"/>
        <v>439.2</v>
      </c>
      <c r="Q5" s="30">
        <f t="shared" si="0"/>
        <v>471.8</v>
      </c>
      <c r="R5" s="30">
        <f t="shared" si="0"/>
        <v>501.7</v>
      </c>
      <c r="S5" s="30">
        <f t="shared" si="0"/>
        <v>481.3</v>
      </c>
      <c r="T5" s="30">
        <f t="shared" si="0"/>
        <v>444.09999999999997</v>
      </c>
      <c r="U5" s="30">
        <f t="shared" si="0"/>
        <v>254.1</v>
      </c>
      <c r="V5" s="30">
        <f t="shared" si="0"/>
        <v>256.10000000000002</v>
      </c>
      <c r="W5" s="30">
        <f t="shared" si="0"/>
        <v>232.6</v>
      </c>
      <c r="X5" s="30">
        <f t="shared" si="0"/>
        <v>239.39999999999998</v>
      </c>
      <c r="Y5" s="30">
        <f t="shared" si="0"/>
        <v>237.2</v>
      </c>
      <c r="Z5" s="30">
        <f t="shared" si="0"/>
        <v>323.8</v>
      </c>
      <c r="AA5" s="30">
        <f t="shared" si="0"/>
        <v>348.6</v>
      </c>
      <c r="AB5" s="30">
        <f t="shared" si="0"/>
        <v>417.09999999999997</v>
      </c>
      <c r="AC5" s="30">
        <f t="shared" si="0"/>
        <v>424.8</v>
      </c>
      <c r="AD5" s="30">
        <f t="shared" si="0"/>
        <v>473</v>
      </c>
      <c r="AE5" s="30">
        <f t="shared" si="0"/>
        <v>470.7</v>
      </c>
      <c r="AF5" s="30">
        <f>B78</f>
        <v>373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1674MW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Load=994</v>
      </c>
      <c r="B7" s="35">
        <f t="shared" ref="B7:AF7" si="1">B85</f>
        <v>1041.3399999999999</v>
      </c>
      <c r="C7" s="35">
        <f t="shared" si="1"/>
        <v>1002.4399999999998</v>
      </c>
      <c r="D7" s="35">
        <f t="shared" si="1"/>
        <v>994.2399999999999</v>
      </c>
      <c r="E7" s="35">
        <f t="shared" si="1"/>
        <v>1003.54</v>
      </c>
      <c r="F7" s="35">
        <f t="shared" si="1"/>
        <v>1018.9399999999999</v>
      </c>
      <c r="G7" s="35">
        <f t="shared" si="1"/>
        <v>1060.6399999999999</v>
      </c>
      <c r="H7" s="35">
        <f t="shared" si="1"/>
        <v>1151.74</v>
      </c>
      <c r="I7" s="35">
        <f t="shared" si="1"/>
        <v>1258.44</v>
      </c>
      <c r="J7" s="35">
        <f t="shared" si="1"/>
        <v>1411.3899999999999</v>
      </c>
      <c r="K7" s="35">
        <f t="shared" si="1"/>
        <v>1471.79</v>
      </c>
      <c r="L7" s="35">
        <f t="shared" si="1"/>
        <v>1640.31</v>
      </c>
      <c r="M7" s="35">
        <f t="shared" si="1"/>
        <v>1673.86</v>
      </c>
      <c r="N7" s="35">
        <f>N85</f>
        <v>1624.26</v>
      </c>
      <c r="O7" s="35">
        <f t="shared" si="1"/>
        <v>1606.76</v>
      </c>
      <c r="P7" s="35">
        <f t="shared" si="1"/>
        <v>1501.62</v>
      </c>
      <c r="Q7" s="35">
        <f t="shared" si="1"/>
        <v>1413.1599999999999</v>
      </c>
      <c r="R7" s="35">
        <f t="shared" si="1"/>
        <v>1369.76</v>
      </c>
      <c r="S7" s="35">
        <f t="shared" si="1"/>
        <v>1386.3600000000001</v>
      </c>
      <c r="T7" s="35">
        <f t="shared" si="1"/>
        <v>1357.96</v>
      </c>
      <c r="U7" s="35">
        <f t="shared" si="1"/>
        <v>1344.16</v>
      </c>
      <c r="V7" s="35">
        <f t="shared" si="1"/>
        <v>1426.26</v>
      </c>
      <c r="W7" s="35">
        <f t="shared" si="1"/>
        <v>1637.6599999999999</v>
      </c>
      <c r="X7" s="35">
        <f t="shared" si="1"/>
        <v>1788.76</v>
      </c>
      <c r="Y7" s="35">
        <f t="shared" si="1"/>
        <v>1780.8600000000001</v>
      </c>
      <c r="Z7" s="35">
        <f t="shared" si="1"/>
        <v>1758.66</v>
      </c>
      <c r="AA7" s="35">
        <f t="shared" si="1"/>
        <v>1715.26</v>
      </c>
      <c r="AB7" s="35">
        <f t="shared" si="1"/>
        <v>1604.3600000000001</v>
      </c>
      <c r="AC7" s="35">
        <f t="shared" si="1"/>
        <v>1450.84</v>
      </c>
      <c r="AD7" s="35">
        <f t="shared" si="1"/>
        <v>1422.34</v>
      </c>
      <c r="AE7" s="35">
        <f t="shared" si="1"/>
        <v>1247.74</v>
      </c>
      <c r="AF7" s="35">
        <f t="shared" si="1"/>
        <v>1137.94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19.7</v>
      </c>
      <c r="C11" s="45">
        <v>19.7</v>
      </c>
      <c r="D11" s="45">
        <v>19.7</v>
      </c>
      <c r="E11" s="45">
        <v>22.3</v>
      </c>
      <c r="F11" s="45">
        <v>22.3</v>
      </c>
      <c r="G11" s="45">
        <v>22.8</v>
      </c>
      <c r="H11" s="45">
        <v>22.7</v>
      </c>
      <c r="I11" s="45">
        <v>22.7</v>
      </c>
      <c r="J11" s="45">
        <v>21.2</v>
      </c>
      <c r="K11" s="45">
        <v>21.2</v>
      </c>
      <c r="L11" s="45">
        <v>21.2</v>
      </c>
      <c r="M11" s="45">
        <v>21.7</v>
      </c>
      <c r="N11" s="45">
        <v>21.7</v>
      </c>
      <c r="O11" s="45">
        <v>21.7</v>
      </c>
      <c r="P11" s="45">
        <v>21.7</v>
      </c>
      <c r="Q11" s="45">
        <v>21.7</v>
      </c>
      <c r="R11" s="45">
        <v>21.7</v>
      </c>
      <c r="S11" s="45">
        <v>20.399999999999999</v>
      </c>
      <c r="T11" s="45">
        <v>20.399999999999999</v>
      </c>
      <c r="U11" s="45">
        <v>20.399999999999999</v>
      </c>
      <c r="V11" s="45">
        <v>20.399999999999999</v>
      </c>
      <c r="W11" s="45">
        <v>20.399999999999999</v>
      </c>
      <c r="X11" s="45">
        <v>20.399999999999999</v>
      </c>
      <c r="Y11" s="45">
        <v>20.399999999999999</v>
      </c>
      <c r="Z11" s="45">
        <v>20.399999999999999</v>
      </c>
      <c r="AA11" s="45">
        <v>20.399999999999999</v>
      </c>
      <c r="AB11" s="45">
        <v>20.399999999999999</v>
      </c>
      <c r="AC11" s="45">
        <v>20.399999999999999</v>
      </c>
      <c r="AD11" s="45">
        <v>20.399999999999999</v>
      </c>
      <c r="AE11" s="45">
        <v>20.399999999999999</v>
      </c>
      <c r="AF11" s="45">
        <v>20.399999999999999</v>
      </c>
      <c r="AG11" s="47">
        <v>52.4</v>
      </c>
      <c r="AH11" s="48">
        <f t="shared" ref="AH11:AH74" si="2">MAX(B11:AF11)</f>
        <v>22.8</v>
      </c>
      <c r="AI11" s="49">
        <f t="shared" ref="AI11:AI74" si="3">MIN(B11:AF11)</f>
        <v>19.7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40.1</v>
      </c>
      <c r="C12" s="45">
        <v>40.1</v>
      </c>
      <c r="D12" s="45">
        <v>40.1</v>
      </c>
      <c r="E12" s="45">
        <v>41.7</v>
      </c>
      <c r="F12" s="45">
        <v>41.7</v>
      </c>
      <c r="G12" s="45">
        <v>41.7</v>
      </c>
      <c r="H12" s="45">
        <v>41.7</v>
      </c>
      <c r="I12" s="45">
        <v>41.7</v>
      </c>
      <c r="J12" s="45">
        <v>41.85</v>
      </c>
      <c r="K12" s="45">
        <v>41.85</v>
      </c>
      <c r="L12" s="45">
        <v>41.85</v>
      </c>
      <c r="M12" s="45">
        <v>40.200000000000003</v>
      </c>
      <c r="N12" s="45">
        <v>40.200000000000003</v>
      </c>
      <c r="O12" s="45">
        <v>40.200000000000003</v>
      </c>
      <c r="P12" s="45">
        <v>40.200000000000003</v>
      </c>
      <c r="Q12" s="45">
        <v>40.200000000000003</v>
      </c>
      <c r="R12" s="45">
        <v>40.200000000000003</v>
      </c>
      <c r="S12" s="45">
        <v>40.5</v>
      </c>
      <c r="T12" s="45">
        <v>40.5</v>
      </c>
      <c r="U12" s="45">
        <v>40.5</v>
      </c>
      <c r="V12" s="45">
        <v>40.5</v>
      </c>
      <c r="W12" s="45">
        <v>40.5</v>
      </c>
      <c r="X12" s="45">
        <v>40.1</v>
      </c>
      <c r="Y12" s="45">
        <v>40.1</v>
      </c>
      <c r="Z12" s="45">
        <v>40.1</v>
      </c>
      <c r="AA12" s="45">
        <v>40.1</v>
      </c>
      <c r="AB12" s="45">
        <v>40.1</v>
      </c>
      <c r="AC12" s="45">
        <v>40.1</v>
      </c>
      <c r="AD12" s="45">
        <v>40.1</v>
      </c>
      <c r="AE12" s="45">
        <v>40.1</v>
      </c>
      <c r="AF12" s="45">
        <v>40.1</v>
      </c>
      <c r="AG12" s="51">
        <v>50</v>
      </c>
      <c r="AH12" s="48">
        <f t="shared" si="2"/>
        <v>41.85</v>
      </c>
      <c r="AI12" s="49">
        <f t="shared" si="3"/>
        <v>40.1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23.8</v>
      </c>
      <c r="C13" s="45">
        <v>23.8</v>
      </c>
      <c r="D13" s="45">
        <v>23.8</v>
      </c>
      <c r="E13" s="45">
        <v>21.9</v>
      </c>
      <c r="F13" s="45">
        <v>21.9</v>
      </c>
      <c r="G13" s="45">
        <v>21.9</v>
      </c>
      <c r="H13" s="45">
        <v>21.9</v>
      </c>
      <c r="I13" s="45">
        <v>21.9</v>
      </c>
      <c r="J13" s="45">
        <v>20</v>
      </c>
      <c r="K13" s="45">
        <v>20</v>
      </c>
      <c r="L13" s="45">
        <v>20</v>
      </c>
      <c r="M13" s="45">
        <v>20.6</v>
      </c>
      <c r="N13" s="45">
        <v>20.6</v>
      </c>
      <c r="O13" s="45">
        <v>20.6</v>
      </c>
      <c r="P13" s="45">
        <v>20.6</v>
      </c>
      <c r="Q13" s="45">
        <v>20.6</v>
      </c>
      <c r="R13" s="45">
        <v>20.6</v>
      </c>
      <c r="S13" s="45">
        <v>19.899999999999999</v>
      </c>
      <c r="T13" s="45">
        <v>19.899999999999999</v>
      </c>
      <c r="U13" s="45">
        <v>19.899999999999999</v>
      </c>
      <c r="V13" s="45">
        <v>19.899999999999999</v>
      </c>
      <c r="W13" s="45">
        <v>19.899999999999999</v>
      </c>
      <c r="X13" s="45">
        <v>19.899999999999999</v>
      </c>
      <c r="Y13" s="45">
        <v>19.899999999999999</v>
      </c>
      <c r="Z13" s="45">
        <v>19.899999999999999</v>
      </c>
      <c r="AA13" s="45">
        <v>19.899999999999999</v>
      </c>
      <c r="AB13" s="45">
        <v>19.899999999999999</v>
      </c>
      <c r="AC13" s="45">
        <v>19.899999999999999</v>
      </c>
      <c r="AD13" s="45">
        <v>19.899999999999999</v>
      </c>
      <c r="AE13" s="45">
        <v>19.899999999999999</v>
      </c>
      <c r="AF13" s="45">
        <v>19.899999999999999</v>
      </c>
      <c r="AG13" s="51">
        <v>45</v>
      </c>
      <c r="AH13" s="48">
        <f t="shared" si="2"/>
        <v>23.8</v>
      </c>
      <c r="AI13" s="49">
        <f t="shared" si="3"/>
        <v>19.899999999999999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10.5</v>
      </c>
      <c r="C14" s="45">
        <v>10.5</v>
      </c>
      <c r="D14" s="45">
        <v>10.5</v>
      </c>
      <c r="E14" s="45">
        <v>10.5</v>
      </c>
      <c r="F14" s="45">
        <v>10.5</v>
      </c>
      <c r="G14" s="45">
        <v>10.5</v>
      </c>
      <c r="H14" s="45">
        <v>10.5</v>
      </c>
      <c r="I14" s="45">
        <v>10.5</v>
      </c>
      <c r="J14" s="45">
        <v>10.5</v>
      </c>
      <c r="K14" s="45">
        <v>10.5</v>
      </c>
      <c r="L14" s="45">
        <v>10.5</v>
      </c>
      <c r="M14" s="45">
        <v>10.5</v>
      </c>
      <c r="N14" s="45">
        <v>10.5</v>
      </c>
      <c r="O14" s="45">
        <v>10.5</v>
      </c>
      <c r="P14" s="45">
        <v>10.5</v>
      </c>
      <c r="Q14" s="45">
        <v>10.5</v>
      </c>
      <c r="R14" s="45">
        <v>10.5</v>
      </c>
      <c r="S14" s="45">
        <v>10</v>
      </c>
      <c r="T14" s="45">
        <v>10</v>
      </c>
      <c r="U14" s="45">
        <v>10</v>
      </c>
      <c r="V14" s="45">
        <v>10</v>
      </c>
      <c r="W14" s="45">
        <v>10</v>
      </c>
      <c r="X14" s="45">
        <v>10</v>
      </c>
      <c r="Y14" s="45">
        <v>10</v>
      </c>
      <c r="Z14" s="45">
        <v>10</v>
      </c>
      <c r="AA14" s="45">
        <v>10</v>
      </c>
      <c r="AB14" s="45">
        <v>10</v>
      </c>
      <c r="AC14" s="45">
        <v>10</v>
      </c>
      <c r="AD14" s="45">
        <v>10</v>
      </c>
      <c r="AE14" s="45">
        <v>10</v>
      </c>
      <c r="AF14" s="45">
        <v>10</v>
      </c>
      <c r="AG14" s="51">
        <v>42</v>
      </c>
      <c r="AH14" s="48">
        <f t="shared" si="2"/>
        <v>10.5</v>
      </c>
      <c r="AI14" s="49">
        <f t="shared" si="3"/>
        <v>10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</v>
      </c>
      <c r="C15" s="45">
        <v>17</v>
      </c>
      <c r="D15" s="45">
        <v>17</v>
      </c>
      <c r="E15" s="45">
        <v>17</v>
      </c>
      <c r="F15" s="45">
        <v>17</v>
      </c>
      <c r="G15" s="45">
        <v>17</v>
      </c>
      <c r="H15" s="45">
        <v>17</v>
      </c>
      <c r="I15" s="45">
        <v>17</v>
      </c>
      <c r="J15" s="45">
        <v>17</v>
      </c>
      <c r="K15" s="45">
        <v>17</v>
      </c>
      <c r="L15" s="45">
        <v>17</v>
      </c>
      <c r="M15" s="45">
        <v>17</v>
      </c>
      <c r="N15" s="45">
        <v>17</v>
      </c>
      <c r="O15" s="45">
        <v>17</v>
      </c>
      <c r="P15" s="45">
        <v>17</v>
      </c>
      <c r="Q15" s="45">
        <v>17</v>
      </c>
      <c r="R15" s="45">
        <v>17</v>
      </c>
      <c r="S15" s="45">
        <v>17</v>
      </c>
      <c r="T15" s="45">
        <v>17</v>
      </c>
      <c r="U15" s="45">
        <v>17</v>
      </c>
      <c r="V15" s="45">
        <v>17</v>
      </c>
      <c r="W15" s="45">
        <v>17</v>
      </c>
      <c r="X15" s="45">
        <v>17</v>
      </c>
      <c r="Y15" s="45">
        <v>17</v>
      </c>
      <c r="Z15" s="45">
        <v>17</v>
      </c>
      <c r="AA15" s="45">
        <v>17</v>
      </c>
      <c r="AB15" s="45">
        <v>17</v>
      </c>
      <c r="AC15" s="45">
        <v>17</v>
      </c>
      <c r="AD15" s="45">
        <v>17</v>
      </c>
      <c r="AE15" s="45">
        <v>17</v>
      </c>
      <c r="AF15" s="45">
        <v>17</v>
      </c>
      <c r="AG15" s="51">
        <v>36</v>
      </c>
      <c r="AH15" s="48">
        <f t="shared" si="2"/>
        <v>17</v>
      </c>
      <c r="AI15" s="49">
        <f t="shared" si="3"/>
        <v>17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10</v>
      </c>
      <c r="C16" s="45">
        <v>10</v>
      </c>
      <c r="D16" s="45">
        <v>10</v>
      </c>
      <c r="E16" s="45">
        <v>11.1</v>
      </c>
      <c r="F16" s="45">
        <v>11.1</v>
      </c>
      <c r="G16" s="45">
        <v>11.1</v>
      </c>
      <c r="H16" s="45">
        <v>11.1</v>
      </c>
      <c r="I16" s="45">
        <v>11.1</v>
      </c>
      <c r="J16" s="45">
        <v>10.9</v>
      </c>
      <c r="K16" s="45">
        <v>10.9</v>
      </c>
      <c r="L16" s="45">
        <v>10.9</v>
      </c>
      <c r="M16" s="45">
        <v>10.9</v>
      </c>
      <c r="N16" s="45">
        <v>10.9</v>
      </c>
      <c r="O16" s="45">
        <v>10.9</v>
      </c>
      <c r="P16" s="45">
        <v>10.9</v>
      </c>
      <c r="Q16" s="45">
        <v>10.9</v>
      </c>
      <c r="R16" s="45">
        <v>10.9</v>
      </c>
      <c r="S16" s="45">
        <v>10.6</v>
      </c>
      <c r="T16" s="45">
        <v>10.6</v>
      </c>
      <c r="U16" s="45">
        <v>10.6</v>
      </c>
      <c r="V16" s="45">
        <v>10.6</v>
      </c>
      <c r="W16" s="45">
        <v>10.6</v>
      </c>
      <c r="X16" s="45">
        <v>10.6</v>
      </c>
      <c r="Y16" s="45">
        <v>10.6</v>
      </c>
      <c r="Z16" s="45">
        <v>10.6</v>
      </c>
      <c r="AA16" s="45">
        <v>10.6</v>
      </c>
      <c r="AB16" s="45">
        <v>10.6</v>
      </c>
      <c r="AC16" s="45">
        <v>10.6</v>
      </c>
      <c r="AD16" s="45">
        <v>10.6</v>
      </c>
      <c r="AE16" s="45">
        <v>10.6</v>
      </c>
      <c r="AF16" s="45">
        <v>10.6</v>
      </c>
      <c r="AG16" s="52">
        <v>30</v>
      </c>
      <c r="AH16" s="48">
        <f t="shared" si="2"/>
        <v>11.1</v>
      </c>
      <c r="AI16" s="49">
        <f t="shared" si="3"/>
        <v>10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8.6999999999999993</v>
      </c>
      <c r="C17" s="45">
        <v>8.6999999999999993</v>
      </c>
      <c r="D17" s="45">
        <v>8.6999999999999993</v>
      </c>
      <c r="E17" s="45">
        <v>8.6999999999999993</v>
      </c>
      <c r="F17" s="45">
        <v>8.6999999999999993</v>
      </c>
      <c r="G17" s="45">
        <v>8.6999999999999993</v>
      </c>
      <c r="H17" s="45">
        <v>8.6999999999999993</v>
      </c>
      <c r="I17" s="45">
        <v>8.6999999999999993</v>
      </c>
      <c r="J17" s="45">
        <v>8.6999999999999993</v>
      </c>
      <c r="K17" s="45">
        <v>8.6999999999999993</v>
      </c>
      <c r="L17" s="45">
        <v>8.6999999999999993</v>
      </c>
      <c r="M17" s="45">
        <v>8.6999999999999993</v>
      </c>
      <c r="N17" s="45">
        <v>8.6999999999999993</v>
      </c>
      <c r="O17" s="45">
        <v>8.6999999999999993</v>
      </c>
      <c r="P17" s="45">
        <v>8.6999999999999993</v>
      </c>
      <c r="Q17" s="45">
        <v>8.6999999999999993</v>
      </c>
      <c r="R17" s="45">
        <v>8.6999999999999993</v>
      </c>
      <c r="S17" s="45">
        <v>9.3000000000000007</v>
      </c>
      <c r="T17" s="45">
        <v>9.3000000000000007</v>
      </c>
      <c r="U17" s="45">
        <v>9.3000000000000007</v>
      </c>
      <c r="V17" s="45">
        <v>9.3000000000000007</v>
      </c>
      <c r="W17" s="45">
        <v>9.3000000000000007</v>
      </c>
      <c r="X17" s="45">
        <v>9.3000000000000007</v>
      </c>
      <c r="Y17" s="45">
        <v>9.3000000000000007</v>
      </c>
      <c r="Z17" s="45">
        <v>9.3000000000000007</v>
      </c>
      <c r="AA17" s="45">
        <v>9.3000000000000007</v>
      </c>
      <c r="AB17" s="45">
        <v>9.3000000000000007</v>
      </c>
      <c r="AC17" s="45">
        <v>9.3000000000000007</v>
      </c>
      <c r="AD17" s="45">
        <v>9.3000000000000007</v>
      </c>
      <c r="AE17" s="45">
        <v>9.3000000000000007</v>
      </c>
      <c r="AF17" s="45">
        <v>9.3000000000000007</v>
      </c>
      <c r="AG17" s="51">
        <v>24.2</v>
      </c>
      <c r="AH17" s="48">
        <f t="shared" si="2"/>
        <v>9.3000000000000007</v>
      </c>
      <c r="AI17" s="49">
        <f t="shared" si="3"/>
        <v>8.6999999999999993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10.8</v>
      </c>
      <c r="C20" s="45">
        <v>10.8</v>
      </c>
      <c r="D20" s="45">
        <v>10.8</v>
      </c>
      <c r="E20" s="45">
        <v>10.8</v>
      </c>
      <c r="F20" s="45">
        <v>10.8</v>
      </c>
      <c r="G20" s="45">
        <v>10.8</v>
      </c>
      <c r="H20" s="45">
        <v>10.8</v>
      </c>
      <c r="I20" s="45">
        <v>10.8</v>
      </c>
      <c r="J20" s="45">
        <v>10.8</v>
      </c>
      <c r="K20" s="45">
        <v>10.8</v>
      </c>
      <c r="L20" s="45">
        <v>10.8</v>
      </c>
      <c r="M20" s="45">
        <v>10.8</v>
      </c>
      <c r="N20" s="45">
        <v>10.8</v>
      </c>
      <c r="O20" s="45">
        <v>10.8</v>
      </c>
      <c r="P20" s="45">
        <v>10.8</v>
      </c>
      <c r="Q20" s="45">
        <v>10.8</v>
      </c>
      <c r="R20" s="45">
        <v>10.8</v>
      </c>
      <c r="S20" s="45">
        <v>10.5</v>
      </c>
      <c r="T20" s="45">
        <v>10.5</v>
      </c>
      <c r="U20" s="45">
        <v>10.5</v>
      </c>
      <c r="V20" s="45">
        <v>10.5</v>
      </c>
      <c r="W20" s="45">
        <v>10.5</v>
      </c>
      <c r="X20" s="45">
        <v>10.5</v>
      </c>
      <c r="Y20" s="45">
        <v>10.5</v>
      </c>
      <c r="Z20" s="45">
        <v>10.5</v>
      </c>
      <c r="AA20" s="45">
        <v>10.5</v>
      </c>
      <c r="AB20" s="45">
        <v>10.5</v>
      </c>
      <c r="AC20" s="45">
        <v>10.5</v>
      </c>
      <c r="AD20" s="45">
        <v>10.5</v>
      </c>
      <c r="AE20" s="45">
        <v>10.5</v>
      </c>
      <c r="AF20" s="45">
        <v>10.5</v>
      </c>
      <c r="AG20" s="51">
        <v>25</v>
      </c>
      <c r="AH20" s="48">
        <f t="shared" si="2"/>
        <v>10.8</v>
      </c>
      <c r="AI20" s="49">
        <f t="shared" si="3"/>
        <v>10.5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10.199999999999999</v>
      </c>
      <c r="C24" s="45">
        <v>10.199999999999999</v>
      </c>
      <c r="D24" s="45">
        <v>10.199999999999999</v>
      </c>
      <c r="E24" s="45">
        <v>10.199999999999999</v>
      </c>
      <c r="F24" s="45">
        <v>10.199999999999999</v>
      </c>
      <c r="G24" s="45">
        <v>10.199999999999999</v>
      </c>
      <c r="H24" s="45">
        <v>10.199999999999999</v>
      </c>
      <c r="I24" s="45">
        <v>10.199999999999999</v>
      </c>
      <c r="J24" s="45">
        <v>10.199999999999999</v>
      </c>
      <c r="K24" s="45">
        <v>10.199999999999999</v>
      </c>
      <c r="L24" s="45">
        <v>10.199999999999999</v>
      </c>
      <c r="M24" s="45">
        <v>10.199999999999999</v>
      </c>
      <c r="N24" s="45">
        <v>10.199999999999999</v>
      </c>
      <c r="O24" s="45">
        <v>10.199999999999999</v>
      </c>
      <c r="P24" s="45">
        <v>10.199999999999999</v>
      </c>
      <c r="Q24" s="45">
        <v>10.199999999999999</v>
      </c>
      <c r="R24" s="45">
        <v>10.199999999999999</v>
      </c>
      <c r="S24" s="45">
        <v>10</v>
      </c>
      <c r="T24" s="45">
        <v>10</v>
      </c>
      <c r="U24" s="45">
        <v>10</v>
      </c>
      <c r="V24" s="45">
        <v>10</v>
      </c>
      <c r="W24" s="45">
        <v>10</v>
      </c>
      <c r="X24" s="45">
        <v>10</v>
      </c>
      <c r="Y24" s="45">
        <v>10</v>
      </c>
      <c r="Z24" s="45">
        <v>10</v>
      </c>
      <c r="AA24" s="45">
        <v>10</v>
      </c>
      <c r="AB24" s="45">
        <v>10</v>
      </c>
      <c r="AC24" s="45">
        <v>10</v>
      </c>
      <c r="AD24" s="45">
        <v>10</v>
      </c>
      <c r="AE24" s="45">
        <v>10</v>
      </c>
      <c r="AF24" s="45">
        <v>10</v>
      </c>
      <c r="AG24" s="51">
        <v>23.5</v>
      </c>
      <c r="AH24" s="48">
        <f t="shared" si="2"/>
        <v>10.199999999999999</v>
      </c>
      <c r="AI24" s="49">
        <f t="shared" si="3"/>
        <v>10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9.4</v>
      </c>
      <c r="T28" s="45">
        <v>9.4</v>
      </c>
      <c r="U28" s="45">
        <v>9.4</v>
      </c>
      <c r="V28" s="45">
        <v>9.4</v>
      </c>
      <c r="W28" s="45">
        <v>9.4</v>
      </c>
      <c r="X28" s="45">
        <v>9.4</v>
      </c>
      <c r="Y28" s="45">
        <v>9.4</v>
      </c>
      <c r="Z28" s="45">
        <v>9.4</v>
      </c>
      <c r="AA28" s="45">
        <v>9.4</v>
      </c>
      <c r="AB28" s="45">
        <v>9.4</v>
      </c>
      <c r="AC28" s="45">
        <v>9.4</v>
      </c>
      <c r="AD28" s="45">
        <v>9.4</v>
      </c>
      <c r="AE28" s="45">
        <v>9.4</v>
      </c>
      <c r="AF28" s="45">
        <v>9.4</v>
      </c>
      <c r="AG28" s="51">
        <v>22</v>
      </c>
      <c r="AH28" s="48">
        <f t="shared" si="2"/>
        <v>12</v>
      </c>
      <c r="AI28" s="49">
        <f t="shared" si="3"/>
        <v>9.4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>
        <v>1.2</v>
      </c>
      <c r="S32" s="45">
        <v>1.2</v>
      </c>
      <c r="T32" s="45">
        <v>1.2</v>
      </c>
      <c r="U32" s="45">
        <v>1.2</v>
      </c>
      <c r="V32" s="45">
        <v>1.2</v>
      </c>
      <c r="W32" s="45">
        <v>1.2</v>
      </c>
      <c r="X32" s="45">
        <v>1.2</v>
      </c>
      <c r="Y32" s="45">
        <v>1.2</v>
      </c>
      <c r="Z32" s="45">
        <v>1.2</v>
      </c>
      <c r="AA32" s="45">
        <v>1.2</v>
      </c>
      <c r="AB32" s="45">
        <v>1.2</v>
      </c>
      <c r="AC32" s="45">
        <v>1.2</v>
      </c>
      <c r="AD32" s="45">
        <v>1.2</v>
      </c>
      <c r="AE32" s="45">
        <v>1.2</v>
      </c>
      <c r="AF32" s="45">
        <v>1.2</v>
      </c>
      <c r="AG32" s="51">
        <v>13.6</v>
      </c>
      <c r="AH32" s="48">
        <f t="shared" si="2"/>
        <v>1.2</v>
      </c>
      <c r="AI32" s="49">
        <f t="shared" si="3"/>
        <v>1.2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150</v>
      </c>
      <c r="C42" s="57">
        <v>150</v>
      </c>
      <c r="D42" s="57">
        <v>150</v>
      </c>
      <c r="E42" s="57">
        <v>150</v>
      </c>
      <c r="F42" s="57">
        <v>150</v>
      </c>
      <c r="G42" s="57">
        <v>150</v>
      </c>
      <c r="H42" s="57">
        <v>150</v>
      </c>
      <c r="I42" s="57">
        <v>150</v>
      </c>
      <c r="J42" s="57">
        <v>150</v>
      </c>
      <c r="K42" s="57">
        <v>150</v>
      </c>
      <c r="L42" s="57">
        <v>150</v>
      </c>
      <c r="M42" s="57">
        <v>150</v>
      </c>
      <c r="N42" s="57">
        <v>150</v>
      </c>
      <c r="O42" s="57">
        <v>150</v>
      </c>
      <c r="P42" s="57">
        <v>150</v>
      </c>
      <c r="Q42" s="57">
        <v>150</v>
      </c>
      <c r="R42" s="57">
        <v>150</v>
      </c>
      <c r="S42" s="57">
        <v>150</v>
      </c>
      <c r="T42" s="57">
        <v>150</v>
      </c>
      <c r="U42" s="57">
        <v>150</v>
      </c>
      <c r="V42" s="57">
        <v>150</v>
      </c>
      <c r="W42" s="57">
        <v>150</v>
      </c>
      <c r="X42" s="57">
        <v>150</v>
      </c>
      <c r="Y42" s="57">
        <v>150</v>
      </c>
      <c r="Z42" s="57">
        <v>150</v>
      </c>
      <c r="AA42" s="57">
        <v>150</v>
      </c>
      <c r="AB42" s="57">
        <v>150</v>
      </c>
      <c r="AC42" s="57">
        <v>150</v>
      </c>
      <c r="AD42" s="57">
        <v>150</v>
      </c>
      <c r="AE42" s="57">
        <v>150</v>
      </c>
      <c r="AF42" s="57">
        <v>150</v>
      </c>
      <c r="AG42" s="55">
        <v>85</v>
      </c>
      <c r="AH42" s="48">
        <f t="shared" si="2"/>
        <v>150</v>
      </c>
      <c r="AI42" s="49">
        <f t="shared" si="3"/>
        <v>150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474.59999999999997</v>
      </c>
      <c r="C44" s="61">
        <f t="shared" si="4"/>
        <v>474.59999999999997</v>
      </c>
      <c r="D44" s="61">
        <f t="shared" si="4"/>
        <v>474.59999999999997</v>
      </c>
      <c r="E44" s="61">
        <f>SUM(E11:E42)</f>
        <v>477.99999999999994</v>
      </c>
      <c r="F44" s="61">
        <f t="shared" si="4"/>
        <v>477.99999999999994</v>
      </c>
      <c r="G44" s="61">
        <f t="shared" si="4"/>
        <v>478.49999999999994</v>
      </c>
      <c r="H44" s="61">
        <f t="shared" si="4"/>
        <v>478.4</v>
      </c>
      <c r="I44" s="61">
        <f t="shared" si="4"/>
        <v>478.4</v>
      </c>
      <c r="J44" s="61">
        <f t="shared" si="4"/>
        <v>474.95</v>
      </c>
      <c r="K44" s="61">
        <f t="shared" si="4"/>
        <v>474.95</v>
      </c>
      <c r="L44" s="61">
        <f t="shared" si="4"/>
        <v>474.95</v>
      </c>
      <c r="M44" s="61">
        <f t="shared" si="4"/>
        <v>474.4</v>
      </c>
      <c r="N44" s="61">
        <f t="shared" si="4"/>
        <v>474.4</v>
      </c>
      <c r="O44" s="61">
        <f t="shared" si="4"/>
        <v>474.4</v>
      </c>
      <c r="P44" s="61">
        <f t="shared" si="4"/>
        <v>474.4</v>
      </c>
      <c r="Q44" s="61">
        <f t="shared" si="4"/>
        <v>474.4</v>
      </c>
      <c r="R44" s="61">
        <f t="shared" si="4"/>
        <v>474.4</v>
      </c>
      <c r="S44" s="61">
        <f t="shared" si="4"/>
        <v>469.4</v>
      </c>
      <c r="T44" s="61">
        <f t="shared" si="4"/>
        <v>469.4</v>
      </c>
      <c r="U44" s="61">
        <f t="shared" si="4"/>
        <v>469.4</v>
      </c>
      <c r="V44" s="61">
        <f t="shared" si="4"/>
        <v>469.4</v>
      </c>
      <c r="W44" s="61">
        <f t="shared" si="4"/>
        <v>469.4</v>
      </c>
      <c r="X44" s="61">
        <f t="shared" si="4"/>
        <v>469</v>
      </c>
      <c r="Y44" s="61">
        <f t="shared" si="4"/>
        <v>469</v>
      </c>
      <c r="Z44" s="61">
        <f t="shared" si="4"/>
        <v>469</v>
      </c>
      <c r="AA44" s="61">
        <f t="shared" si="4"/>
        <v>469</v>
      </c>
      <c r="AB44" s="61">
        <f t="shared" si="4"/>
        <v>469</v>
      </c>
      <c r="AC44" s="61">
        <f t="shared" si="4"/>
        <v>469</v>
      </c>
      <c r="AD44" s="61">
        <f t="shared" si="4"/>
        <v>469</v>
      </c>
      <c r="AE44" s="61">
        <f t="shared" ref="AE44" si="5">SUM(AE11:AE42)</f>
        <v>469</v>
      </c>
      <c r="AF44" s="61">
        <f t="shared" si="4"/>
        <v>469</v>
      </c>
      <c r="AG44" s="62">
        <f t="shared" si="4"/>
        <v>814.78000000000009</v>
      </c>
      <c r="AH44" s="48">
        <f t="shared" si="2"/>
        <v>478.49999999999994</v>
      </c>
      <c r="AI44" s="49">
        <f t="shared" si="3"/>
        <v>469</v>
      </c>
      <c r="AK44" s="50"/>
    </row>
    <row r="45" spans="1:88" x14ac:dyDescent="0.25">
      <c r="A45" s="6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45</v>
      </c>
      <c r="K45" s="45">
        <v>300</v>
      </c>
      <c r="L45" s="45">
        <v>420</v>
      </c>
      <c r="M45" s="164">
        <v>400</v>
      </c>
      <c r="N45" s="164">
        <v>395</v>
      </c>
      <c r="O45" s="45">
        <v>310</v>
      </c>
      <c r="P45" s="45">
        <v>100</v>
      </c>
      <c r="Q45" s="45">
        <v>30</v>
      </c>
      <c r="R45" s="45">
        <v>0</v>
      </c>
      <c r="S45" s="45">
        <v>0</v>
      </c>
      <c r="T45" s="45">
        <v>0</v>
      </c>
      <c r="U45" s="45">
        <v>0</v>
      </c>
      <c r="V45" s="45">
        <v>150</v>
      </c>
      <c r="W45" s="45">
        <v>190</v>
      </c>
      <c r="X45" s="45">
        <v>350</v>
      </c>
      <c r="Y45" s="45">
        <v>350</v>
      </c>
      <c r="Z45" s="45">
        <v>330</v>
      </c>
      <c r="AA45" s="45">
        <v>210</v>
      </c>
      <c r="AB45" s="45">
        <v>120</v>
      </c>
      <c r="AC45" s="45">
        <v>76</v>
      </c>
      <c r="AD45" s="45">
        <v>50</v>
      </c>
      <c r="AE45" s="45">
        <v>0</v>
      </c>
      <c r="AF45" s="45">
        <v>0</v>
      </c>
      <c r="AG45" s="52">
        <v>456</v>
      </c>
      <c r="AH45" s="48">
        <f t="shared" si="2"/>
        <v>420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41</v>
      </c>
      <c r="AK46" s="50"/>
    </row>
    <row r="47" spans="1:88" ht="15.75" thickBot="1" x14ac:dyDescent="0.3">
      <c r="A47" s="66" t="s">
        <v>55</v>
      </c>
      <c r="B47" s="67">
        <v>12</v>
      </c>
      <c r="C47" s="67">
        <v>12</v>
      </c>
      <c r="D47" s="67">
        <v>12</v>
      </c>
      <c r="E47" s="67">
        <v>12.2</v>
      </c>
      <c r="F47" s="67">
        <v>12.2</v>
      </c>
      <c r="G47" s="67">
        <v>12.2</v>
      </c>
      <c r="H47" s="67">
        <v>11.2</v>
      </c>
      <c r="I47" s="67">
        <v>11.2</v>
      </c>
      <c r="J47" s="67">
        <v>11.2</v>
      </c>
      <c r="K47" s="67">
        <v>11.2</v>
      </c>
      <c r="L47" s="67">
        <v>11.3</v>
      </c>
      <c r="M47" s="67">
        <v>12</v>
      </c>
      <c r="N47" s="67">
        <v>12</v>
      </c>
      <c r="O47" s="67">
        <v>12</v>
      </c>
      <c r="P47" s="67">
        <v>12</v>
      </c>
      <c r="Q47" s="67">
        <v>12</v>
      </c>
      <c r="R47" s="67">
        <v>12</v>
      </c>
      <c r="S47" s="67">
        <v>11.7</v>
      </c>
      <c r="T47" s="67">
        <v>11.7</v>
      </c>
      <c r="U47" s="67">
        <v>11.7</v>
      </c>
      <c r="V47" s="67">
        <v>13.3</v>
      </c>
      <c r="W47" s="67">
        <v>15.2</v>
      </c>
      <c r="X47" s="67">
        <v>15.2</v>
      </c>
      <c r="Y47" s="67">
        <v>20.5</v>
      </c>
      <c r="Z47" s="67">
        <v>20.5</v>
      </c>
      <c r="AA47" s="67">
        <v>20.5</v>
      </c>
      <c r="AB47" s="67">
        <v>20.5</v>
      </c>
      <c r="AC47" s="67">
        <v>20.5</v>
      </c>
      <c r="AD47" s="67">
        <v>20.5</v>
      </c>
      <c r="AE47" s="67">
        <v>20.5</v>
      </c>
      <c r="AF47" s="67">
        <v>20.5</v>
      </c>
      <c r="AG47" s="68">
        <v>22.1</v>
      </c>
      <c r="AH47" s="48">
        <f t="shared" si="2"/>
        <v>20.5</v>
      </c>
      <c r="AI47" s="49">
        <f t="shared" si="3"/>
        <v>11.2</v>
      </c>
      <c r="AK47" s="50"/>
    </row>
    <row r="48" spans="1:88" ht="15.75" thickBot="1" x14ac:dyDescent="0.3">
      <c r="A48" s="69" t="s">
        <v>56</v>
      </c>
      <c r="B48" s="61">
        <f t="shared" ref="B48:AG48" si="6">SUM(B45:B47)</f>
        <v>53</v>
      </c>
      <c r="C48" s="61">
        <f t="shared" si="6"/>
        <v>53</v>
      </c>
      <c r="D48" s="61">
        <f t="shared" si="6"/>
        <v>53</v>
      </c>
      <c r="E48" s="61">
        <f>SUM(E45:E47)</f>
        <v>53.2</v>
      </c>
      <c r="F48" s="61">
        <f t="shared" si="6"/>
        <v>53.2</v>
      </c>
      <c r="G48" s="61">
        <f t="shared" si="6"/>
        <v>53.2</v>
      </c>
      <c r="H48" s="61">
        <f t="shared" si="6"/>
        <v>52.2</v>
      </c>
      <c r="I48" s="61">
        <f t="shared" si="6"/>
        <v>52.2</v>
      </c>
      <c r="J48" s="61">
        <f t="shared" si="6"/>
        <v>97.2</v>
      </c>
      <c r="K48" s="61">
        <f t="shared" si="6"/>
        <v>352.2</v>
      </c>
      <c r="L48" s="61">
        <f t="shared" si="6"/>
        <v>472.3</v>
      </c>
      <c r="M48" s="61">
        <f t="shared" si="6"/>
        <v>453</v>
      </c>
      <c r="N48" s="61">
        <f t="shared" si="6"/>
        <v>448</v>
      </c>
      <c r="O48" s="61">
        <f t="shared" si="6"/>
        <v>363</v>
      </c>
      <c r="P48" s="61">
        <f t="shared" si="6"/>
        <v>153</v>
      </c>
      <c r="Q48" s="61">
        <f t="shared" si="6"/>
        <v>83</v>
      </c>
      <c r="R48" s="61">
        <f t="shared" si="6"/>
        <v>53</v>
      </c>
      <c r="S48" s="61">
        <f t="shared" si="6"/>
        <v>52.7</v>
      </c>
      <c r="T48" s="61">
        <f t="shared" si="6"/>
        <v>52.7</v>
      </c>
      <c r="U48" s="61">
        <f t="shared" si="6"/>
        <v>52.7</v>
      </c>
      <c r="V48" s="61">
        <f t="shared" si="6"/>
        <v>204.3</v>
      </c>
      <c r="W48" s="61">
        <f t="shared" si="6"/>
        <v>246.2</v>
      </c>
      <c r="X48" s="61">
        <f t="shared" si="6"/>
        <v>406.2</v>
      </c>
      <c r="Y48" s="61">
        <f t="shared" si="6"/>
        <v>411.5</v>
      </c>
      <c r="Z48" s="61">
        <f t="shared" si="6"/>
        <v>391.5</v>
      </c>
      <c r="AA48" s="61">
        <f t="shared" si="6"/>
        <v>271.5</v>
      </c>
      <c r="AB48" s="61">
        <f t="shared" si="6"/>
        <v>181.5</v>
      </c>
      <c r="AC48" s="61">
        <f t="shared" si="6"/>
        <v>137.5</v>
      </c>
      <c r="AD48" s="61">
        <f t="shared" si="6"/>
        <v>111.5</v>
      </c>
      <c r="AE48" s="61">
        <f t="shared" ref="AE48" si="7">SUM(AE45:AE47)</f>
        <v>61.5</v>
      </c>
      <c r="AF48" s="61">
        <f t="shared" si="6"/>
        <v>61.5</v>
      </c>
      <c r="AG48" s="62">
        <f t="shared" si="6"/>
        <v>538.1</v>
      </c>
      <c r="AH48" s="48">
        <f t="shared" si="2"/>
        <v>472.3</v>
      </c>
      <c r="AI48" s="49">
        <f t="shared" si="3"/>
        <v>52.2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35</v>
      </c>
      <c r="I49" s="45">
        <v>70</v>
      </c>
      <c r="J49" s="45">
        <v>110</v>
      </c>
      <c r="K49" s="45">
        <v>144</v>
      </c>
      <c r="L49" s="45">
        <v>144</v>
      </c>
      <c r="M49" s="45">
        <v>141.1</v>
      </c>
      <c r="N49" s="45">
        <v>116.9</v>
      </c>
      <c r="O49" s="45">
        <v>136.9</v>
      </c>
      <c r="P49" s="45">
        <v>140.96</v>
      </c>
      <c r="Q49" s="45">
        <v>105</v>
      </c>
      <c r="R49" s="45">
        <v>78</v>
      </c>
      <c r="S49" s="45">
        <v>77.400000000000006</v>
      </c>
      <c r="T49" s="45">
        <v>77.5</v>
      </c>
      <c r="U49" s="45">
        <v>91.6</v>
      </c>
      <c r="V49" s="45">
        <v>114</v>
      </c>
      <c r="W49" s="45">
        <v>140.5</v>
      </c>
      <c r="X49" s="45">
        <v>140.5</v>
      </c>
      <c r="Y49" s="45">
        <v>140.5</v>
      </c>
      <c r="Z49" s="45">
        <v>140.5</v>
      </c>
      <c r="AA49" s="45">
        <v>140.5</v>
      </c>
      <c r="AB49" s="45">
        <v>111.6</v>
      </c>
      <c r="AC49" s="45">
        <v>96</v>
      </c>
      <c r="AD49" s="45">
        <v>91.6</v>
      </c>
      <c r="AE49" s="45">
        <v>25</v>
      </c>
      <c r="AF49" s="45">
        <v>0</v>
      </c>
      <c r="AG49" s="52">
        <v>144</v>
      </c>
      <c r="AH49" s="48">
        <f t="shared" si="2"/>
        <v>144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35</v>
      </c>
      <c r="H50" s="65">
        <v>42</v>
      </c>
      <c r="I50" s="65">
        <v>42</v>
      </c>
      <c r="J50" s="65">
        <v>72</v>
      </c>
      <c r="K50" s="65">
        <v>60</v>
      </c>
      <c r="L50" s="65">
        <v>70</v>
      </c>
      <c r="M50" s="65">
        <v>68.3</v>
      </c>
      <c r="N50" s="65">
        <v>61.7</v>
      </c>
      <c r="O50" s="65">
        <v>67.599999999999994</v>
      </c>
      <c r="P50" s="65">
        <v>66.2</v>
      </c>
      <c r="Q50" s="65">
        <v>33</v>
      </c>
      <c r="R50" s="45">
        <v>34.5</v>
      </c>
      <c r="S50" s="45">
        <v>34.4</v>
      </c>
      <c r="T50" s="45">
        <v>26</v>
      </c>
      <c r="U50" s="45">
        <v>35.6</v>
      </c>
      <c r="V50" s="45">
        <v>45.3</v>
      </c>
      <c r="W50" s="45">
        <v>69.599999999999994</v>
      </c>
      <c r="X50" s="45">
        <v>69.599999999999994</v>
      </c>
      <c r="Y50" s="45">
        <v>69.599999999999994</v>
      </c>
      <c r="Z50" s="45">
        <v>69.599999999999994</v>
      </c>
      <c r="AA50" s="45">
        <v>69.599999999999994</v>
      </c>
      <c r="AB50" s="45">
        <v>68.2</v>
      </c>
      <c r="AC50" s="65">
        <v>68.900000000000006</v>
      </c>
      <c r="AD50" s="65">
        <v>35</v>
      </c>
      <c r="AE50" s="65">
        <v>30</v>
      </c>
      <c r="AF50" s="65">
        <v>0</v>
      </c>
      <c r="AG50" s="55">
        <v>70</v>
      </c>
      <c r="AH50" s="48">
        <f t="shared" si="2"/>
        <v>72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32</v>
      </c>
      <c r="C51" s="65">
        <v>15.9</v>
      </c>
      <c r="D51" s="65">
        <v>15.9</v>
      </c>
      <c r="E51" s="65">
        <v>22.1</v>
      </c>
      <c r="F51" s="65">
        <v>0</v>
      </c>
      <c r="G51" s="65">
        <v>0</v>
      </c>
      <c r="H51" s="65">
        <v>16</v>
      </c>
      <c r="I51" s="65">
        <v>16</v>
      </c>
      <c r="J51" s="65">
        <v>32</v>
      </c>
      <c r="K51" s="65">
        <v>69</v>
      </c>
      <c r="L51" s="65">
        <v>69</v>
      </c>
      <c r="M51" s="65">
        <v>69.099999999999994</v>
      </c>
      <c r="N51" s="65">
        <v>61.3</v>
      </c>
      <c r="O51" s="65">
        <v>67.599999999999994</v>
      </c>
      <c r="P51" s="65">
        <v>59</v>
      </c>
      <c r="Q51" s="65">
        <v>47</v>
      </c>
      <c r="R51" s="45">
        <v>41.5</v>
      </c>
      <c r="S51" s="45">
        <v>40.5</v>
      </c>
      <c r="T51" s="45">
        <v>41.1</v>
      </c>
      <c r="U51" s="45">
        <v>45.1</v>
      </c>
      <c r="V51" s="45">
        <v>33.200000000000003</v>
      </c>
      <c r="W51" s="45">
        <v>69.900000000000006</v>
      </c>
      <c r="X51" s="45">
        <v>69.900000000000006</v>
      </c>
      <c r="Y51" s="45">
        <v>69.900000000000006</v>
      </c>
      <c r="Z51" s="45">
        <v>69.900000000000006</v>
      </c>
      <c r="AA51" s="45">
        <v>69.900000000000006</v>
      </c>
      <c r="AB51" s="45">
        <v>68</v>
      </c>
      <c r="AC51" s="65">
        <v>67.400000000000006</v>
      </c>
      <c r="AD51" s="65">
        <v>66.599999999999994</v>
      </c>
      <c r="AE51" s="65">
        <v>65.3</v>
      </c>
      <c r="AF51" s="65">
        <v>23.2</v>
      </c>
      <c r="AG51" s="55">
        <v>69</v>
      </c>
      <c r="AH51" s="48">
        <f t="shared" si="2"/>
        <v>69.900000000000006</v>
      </c>
      <c r="AI51" s="49">
        <f t="shared" si="3"/>
        <v>0</v>
      </c>
      <c r="AK51" s="50"/>
    </row>
    <row r="52" spans="1:41" x14ac:dyDescent="0.25">
      <c r="A52" s="54" t="s">
        <v>60</v>
      </c>
      <c r="B52" s="57">
        <v>56</v>
      </c>
      <c r="C52" s="57">
        <v>56</v>
      </c>
      <c r="D52" s="57">
        <v>56</v>
      </c>
      <c r="E52" s="57">
        <v>56</v>
      </c>
      <c r="F52" s="57">
        <v>56</v>
      </c>
      <c r="G52" s="57">
        <v>56.2</v>
      </c>
      <c r="H52" s="57">
        <v>56.2</v>
      </c>
      <c r="I52" s="57">
        <v>56</v>
      </c>
      <c r="J52" s="57">
        <v>56.2</v>
      </c>
      <c r="K52" s="57">
        <v>56.3</v>
      </c>
      <c r="L52" s="57">
        <v>56.8</v>
      </c>
      <c r="M52" s="57">
        <v>54.4</v>
      </c>
      <c r="N52" s="57">
        <v>54.7</v>
      </c>
      <c r="O52" s="57">
        <v>54.9</v>
      </c>
      <c r="P52" s="65">
        <v>54.9</v>
      </c>
      <c r="Q52" s="65">
        <v>54.9</v>
      </c>
      <c r="R52" s="65">
        <v>54.9</v>
      </c>
      <c r="S52" s="65">
        <v>54.9</v>
      </c>
      <c r="T52" s="65">
        <v>54.7</v>
      </c>
      <c r="U52" s="65">
        <v>52.4</v>
      </c>
      <c r="V52" s="65">
        <v>52.7</v>
      </c>
      <c r="W52" s="65">
        <v>52.7</v>
      </c>
      <c r="X52" s="65">
        <v>52.7</v>
      </c>
      <c r="Y52" s="65">
        <v>52.7</v>
      </c>
      <c r="Z52" s="65">
        <v>52.7</v>
      </c>
      <c r="AA52" s="65">
        <v>52.7</v>
      </c>
      <c r="AB52" s="65">
        <v>54.4</v>
      </c>
      <c r="AC52" s="65">
        <v>55.9</v>
      </c>
      <c r="AD52" s="65">
        <v>60.7</v>
      </c>
      <c r="AE52" s="65">
        <v>58.5</v>
      </c>
      <c r="AF52" s="65">
        <v>58.5</v>
      </c>
      <c r="AG52" s="55">
        <v>60</v>
      </c>
      <c r="AH52" s="48">
        <f t="shared" si="2"/>
        <v>60.7</v>
      </c>
      <c r="AI52" s="49">
        <f t="shared" si="3"/>
        <v>52.4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10.199999999999999</v>
      </c>
      <c r="I53" s="57">
        <v>15</v>
      </c>
      <c r="J53" s="57">
        <v>15</v>
      </c>
      <c r="K53" s="57">
        <v>29</v>
      </c>
      <c r="L53" s="57">
        <v>29</v>
      </c>
      <c r="M53" s="57">
        <v>28.7</v>
      </c>
      <c r="N53" s="57">
        <v>28</v>
      </c>
      <c r="O53" s="57">
        <v>20</v>
      </c>
      <c r="P53" s="57">
        <v>9.3000000000000007</v>
      </c>
      <c r="Q53" s="57">
        <v>8.3000000000000007</v>
      </c>
      <c r="R53" s="57">
        <v>8.3000000000000007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10.4</v>
      </c>
      <c r="AE53" s="65">
        <v>10.4</v>
      </c>
      <c r="AF53" s="65">
        <v>0</v>
      </c>
      <c r="AG53" s="55">
        <v>30</v>
      </c>
      <c r="AH53" s="48">
        <f t="shared" si="2"/>
        <v>29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2</v>
      </c>
      <c r="T54" s="45">
        <v>2</v>
      </c>
      <c r="U54" s="45">
        <v>0</v>
      </c>
      <c r="V54" s="45">
        <v>0</v>
      </c>
      <c r="W54" s="45">
        <v>0</v>
      </c>
      <c r="X54" s="45">
        <v>15</v>
      </c>
      <c r="Y54" s="45">
        <v>15</v>
      </c>
      <c r="Z54" s="45">
        <v>15</v>
      </c>
      <c r="AA54" s="45">
        <v>15</v>
      </c>
      <c r="AB54" s="4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15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17.2</v>
      </c>
      <c r="C55" s="65">
        <v>17.2</v>
      </c>
      <c r="D55" s="65">
        <v>17.2</v>
      </c>
      <c r="E55" s="65">
        <v>17.2</v>
      </c>
      <c r="F55" s="65">
        <v>17.2</v>
      </c>
      <c r="G55" s="65">
        <v>17.2</v>
      </c>
      <c r="H55" s="65">
        <v>17.2</v>
      </c>
      <c r="I55" s="65">
        <v>17</v>
      </c>
      <c r="J55" s="65">
        <v>17</v>
      </c>
      <c r="K55" s="65">
        <v>17.100000000000001</v>
      </c>
      <c r="L55" s="65">
        <v>17.12</v>
      </c>
      <c r="M55" s="65">
        <v>17.12</v>
      </c>
      <c r="N55" s="65">
        <v>17.12</v>
      </c>
      <c r="O55" s="65">
        <v>17.12</v>
      </c>
      <c r="P55" s="65">
        <v>17.12</v>
      </c>
      <c r="Q55" s="65">
        <v>17.12</v>
      </c>
      <c r="R55" s="65">
        <v>17.12</v>
      </c>
      <c r="S55" s="65">
        <v>17.12</v>
      </c>
      <c r="T55" s="65">
        <v>17.12</v>
      </c>
      <c r="U55" s="65">
        <v>17.12</v>
      </c>
      <c r="V55" s="65">
        <v>17.12</v>
      </c>
      <c r="W55" s="65">
        <v>17.12</v>
      </c>
      <c r="X55" s="65">
        <v>17.12</v>
      </c>
      <c r="Y55" s="65">
        <v>17.12</v>
      </c>
      <c r="Z55" s="65">
        <v>17.12</v>
      </c>
      <c r="AA55" s="65">
        <v>17.12</v>
      </c>
      <c r="AB55" s="65">
        <v>17.12</v>
      </c>
      <c r="AC55" s="65">
        <v>17.100000000000001</v>
      </c>
      <c r="AD55" s="65">
        <v>17.100000000000001</v>
      </c>
      <c r="AE55" s="65">
        <v>17.100000000000001</v>
      </c>
      <c r="AF55" s="65">
        <v>17.100000000000001</v>
      </c>
      <c r="AG55" s="55">
        <v>24</v>
      </c>
      <c r="AH55" s="48">
        <f t="shared" si="2"/>
        <v>17.2</v>
      </c>
      <c r="AI55" s="49">
        <f t="shared" si="3"/>
        <v>17</v>
      </c>
      <c r="AK55" s="50"/>
    </row>
    <row r="56" spans="1:41" x14ac:dyDescent="0.25">
      <c r="A56" s="54" t="s">
        <v>64</v>
      </c>
      <c r="B56" s="65">
        <v>2.6</v>
      </c>
      <c r="C56" s="65">
        <v>2.6</v>
      </c>
      <c r="D56" s="65">
        <v>2.6</v>
      </c>
      <c r="E56" s="65">
        <v>2.6</v>
      </c>
      <c r="F56" s="65">
        <v>2.6</v>
      </c>
      <c r="G56" s="65">
        <v>2.6</v>
      </c>
      <c r="H56" s="65">
        <v>2.6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5">
        <v>15</v>
      </c>
      <c r="AH56" s="48">
        <f t="shared" si="2"/>
        <v>3.2</v>
      </c>
      <c r="AI56" s="49">
        <f t="shared" si="3"/>
        <v>2.6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12.9</v>
      </c>
      <c r="C57" s="65">
        <v>12.9</v>
      </c>
      <c r="D57" s="65">
        <v>12.9</v>
      </c>
      <c r="E57" s="65">
        <v>12.9</v>
      </c>
      <c r="F57" s="65">
        <v>12.9</v>
      </c>
      <c r="G57" s="65">
        <v>12.9</v>
      </c>
      <c r="H57" s="65">
        <v>12.9</v>
      </c>
      <c r="I57" s="65">
        <v>12.9</v>
      </c>
      <c r="J57" s="65">
        <v>12.9</v>
      </c>
      <c r="K57" s="65">
        <v>13</v>
      </c>
      <c r="L57" s="65">
        <v>13</v>
      </c>
      <c r="M57" s="65">
        <v>13</v>
      </c>
      <c r="N57" s="65">
        <v>13</v>
      </c>
      <c r="O57" s="65">
        <v>13</v>
      </c>
      <c r="P57" s="65">
        <v>13</v>
      </c>
      <c r="Q57" s="65">
        <v>13</v>
      </c>
      <c r="R57" s="65">
        <v>13</v>
      </c>
      <c r="S57" s="65">
        <v>13</v>
      </c>
      <c r="T57" s="65">
        <v>13</v>
      </c>
      <c r="U57" s="65">
        <v>13</v>
      </c>
      <c r="V57" s="65">
        <v>13</v>
      </c>
      <c r="W57" s="65">
        <v>13</v>
      </c>
      <c r="X57" s="65">
        <v>13</v>
      </c>
      <c r="Y57" s="65">
        <v>13</v>
      </c>
      <c r="Z57" s="65">
        <v>13</v>
      </c>
      <c r="AA57" s="65">
        <v>13</v>
      </c>
      <c r="AB57" s="65">
        <v>13</v>
      </c>
      <c r="AC57" s="65">
        <v>13</v>
      </c>
      <c r="AD57" s="65">
        <v>13</v>
      </c>
      <c r="AE57" s="65">
        <v>13</v>
      </c>
      <c r="AF57" s="65">
        <v>13</v>
      </c>
      <c r="AG57" s="55">
        <v>14.1</v>
      </c>
      <c r="AH57" s="48">
        <f t="shared" si="2"/>
        <v>13</v>
      </c>
      <c r="AI57" s="49">
        <f t="shared" si="3"/>
        <v>12.9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6.8</v>
      </c>
      <c r="C58" s="65">
        <v>6.8</v>
      </c>
      <c r="D58" s="65">
        <v>6.8</v>
      </c>
      <c r="E58" s="65">
        <v>6.8</v>
      </c>
      <c r="F58" s="65">
        <v>6.8</v>
      </c>
      <c r="G58" s="65">
        <v>6.8</v>
      </c>
      <c r="H58" s="65">
        <v>6.8</v>
      </c>
      <c r="I58" s="65">
        <v>5.5</v>
      </c>
      <c r="J58" s="65">
        <v>5.5</v>
      </c>
      <c r="K58" s="65">
        <v>5.5</v>
      </c>
      <c r="L58" s="65">
        <v>5.5</v>
      </c>
      <c r="M58" s="65">
        <v>5.5</v>
      </c>
      <c r="N58" s="65">
        <v>5.5</v>
      </c>
      <c r="O58" s="65">
        <v>5.5</v>
      </c>
      <c r="P58" s="65">
        <v>5.5</v>
      </c>
      <c r="Q58" s="65">
        <v>5.5</v>
      </c>
      <c r="R58" s="65">
        <v>5.5</v>
      </c>
      <c r="S58" s="65">
        <v>5.5</v>
      </c>
      <c r="T58" s="65">
        <v>5.5</v>
      </c>
      <c r="U58" s="65">
        <v>5.5</v>
      </c>
      <c r="V58" s="65">
        <v>5.5</v>
      </c>
      <c r="W58" s="65">
        <v>5.5</v>
      </c>
      <c r="X58" s="65">
        <v>5.5</v>
      </c>
      <c r="Y58" s="65">
        <v>5.5</v>
      </c>
      <c r="Z58" s="65">
        <v>5.5</v>
      </c>
      <c r="AA58" s="65">
        <v>5.5</v>
      </c>
      <c r="AB58" s="65">
        <v>5.5</v>
      </c>
      <c r="AC58" s="65">
        <v>5.5</v>
      </c>
      <c r="AD58" s="65">
        <v>5.5</v>
      </c>
      <c r="AE58" s="65">
        <v>5.5</v>
      </c>
      <c r="AF58" s="65">
        <v>5.5</v>
      </c>
      <c r="AG58" s="55">
        <v>14</v>
      </c>
      <c r="AH58" s="48">
        <f t="shared" si="2"/>
        <v>6.8</v>
      </c>
      <c r="AI58" s="49">
        <f t="shared" si="3"/>
        <v>5.5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6.2</v>
      </c>
      <c r="M60" s="65">
        <v>6.2</v>
      </c>
      <c r="N60" s="65">
        <v>6.2</v>
      </c>
      <c r="O60" s="65">
        <v>6.2</v>
      </c>
      <c r="P60" s="65">
        <v>6.2</v>
      </c>
      <c r="Q60" s="65">
        <v>6.2</v>
      </c>
      <c r="R60" s="65">
        <v>6.2</v>
      </c>
      <c r="S60" s="65">
        <v>6.2</v>
      </c>
      <c r="T60" s="65">
        <v>6.2</v>
      </c>
      <c r="U60" s="65">
        <v>6.2</v>
      </c>
      <c r="V60" s="65">
        <v>6.2</v>
      </c>
      <c r="W60" s="65">
        <v>6.2</v>
      </c>
      <c r="X60" s="65">
        <v>6.2</v>
      </c>
      <c r="Y60" s="65">
        <v>6.2</v>
      </c>
      <c r="Z60" s="65">
        <v>6.2</v>
      </c>
      <c r="AA60" s="65">
        <v>6.2</v>
      </c>
      <c r="AB60" s="65">
        <v>6.2</v>
      </c>
      <c r="AC60" s="65">
        <v>6.2</v>
      </c>
      <c r="AD60" s="65">
        <v>6.2</v>
      </c>
      <c r="AE60" s="65">
        <v>6.2</v>
      </c>
      <c r="AF60" s="65">
        <v>6.2</v>
      </c>
      <c r="AG60" s="55">
        <v>6.2</v>
      </c>
      <c r="AH60" s="48">
        <f t="shared" si="2"/>
        <v>6.2</v>
      </c>
      <c r="AI60" s="49">
        <f t="shared" si="3"/>
        <v>3.2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8">SUM(B49:B61)</f>
        <v>140.73999999999998</v>
      </c>
      <c r="C62" s="61">
        <f t="shared" si="8"/>
        <v>124.64000000000001</v>
      </c>
      <c r="D62" s="61">
        <f t="shared" si="8"/>
        <v>124.64000000000001</v>
      </c>
      <c r="E62" s="61">
        <f>SUM(E49:E61)</f>
        <v>130.84</v>
      </c>
      <c r="F62" s="61">
        <f t="shared" si="8"/>
        <v>108.74000000000001</v>
      </c>
      <c r="G62" s="61">
        <f t="shared" si="8"/>
        <v>143.94</v>
      </c>
      <c r="H62" s="61">
        <f t="shared" si="8"/>
        <v>212.13999999999996</v>
      </c>
      <c r="I62" s="61">
        <f t="shared" si="8"/>
        <v>250.83999999999997</v>
      </c>
      <c r="J62" s="61">
        <f t="shared" si="8"/>
        <v>337.03999999999996</v>
      </c>
      <c r="K62" s="61">
        <f t="shared" si="8"/>
        <v>410.34000000000003</v>
      </c>
      <c r="L62" s="61">
        <f>SUM(L49:L61)</f>
        <v>423.86</v>
      </c>
      <c r="M62" s="61">
        <f t="shared" si="8"/>
        <v>416.65999999999997</v>
      </c>
      <c r="N62" s="61">
        <f t="shared" si="8"/>
        <v>377.66</v>
      </c>
      <c r="O62" s="61">
        <f t="shared" si="8"/>
        <v>402.06</v>
      </c>
      <c r="P62" s="61">
        <f t="shared" si="8"/>
        <v>385.42</v>
      </c>
      <c r="Q62" s="61">
        <f t="shared" si="8"/>
        <v>303.26</v>
      </c>
      <c r="R62" s="61">
        <f t="shared" si="8"/>
        <v>272.26</v>
      </c>
      <c r="S62" s="61">
        <f t="shared" si="8"/>
        <v>264.26000000000005</v>
      </c>
      <c r="T62" s="61">
        <f t="shared" si="8"/>
        <v>256.36</v>
      </c>
      <c r="U62" s="61">
        <f t="shared" si="8"/>
        <v>279.76</v>
      </c>
      <c r="V62" s="61">
        <f t="shared" si="8"/>
        <v>300.26</v>
      </c>
      <c r="W62" s="61">
        <f t="shared" si="8"/>
        <v>387.76</v>
      </c>
      <c r="X62" s="61">
        <f t="shared" si="8"/>
        <v>402.76</v>
      </c>
      <c r="Y62" s="61">
        <f t="shared" si="8"/>
        <v>402.76</v>
      </c>
      <c r="Z62" s="61">
        <f t="shared" si="8"/>
        <v>402.76</v>
      </c>
      <c r="AA62" s="61">
        <f t="shared" si="8"/>
        <v>402.76</v>
      </c>
      <c r="AB62" s="61">
        <f t="shared" si="8"/>
        <v>357.26</v>
      </c>
      <c r="AC62" s="61">
        <f t="shared" si="8"/>
        <v>343.24</v>
      </c>
      <c r="AD62" s="61">
        <f t="shared" si="8"/>
        <v>319.33999999999997</v>
      </c>
      <c r="AE62" s="61">
        <f t="shared" ref="AE62" si="9">SUM(AE49:AE61)</f>
        <v>244.23999999999998</v>
      </c>
      <c r="AF62" s="61">
        <f t="shared" si="8"/>
        <v>136.74</v>
      </c>
      <c r="AG62" s="62">
        <f t="shared" si="8"/>
        <v>489.91</v>
      </c>
      <c r="AH62" s="48">
        <f t="shared" si="2"/>
        <v>423.86</v>
      </c>
      <c r="AI62" s="49">
        <f t="shared" si="3"/>
        <v>108.74000000000001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60</v>
      </c>
      <c r="L63" s="45">
        <v>60</v>
      </c>
      <c r="M63" s="45">
        <v>60</v>
      </c>
      <c r="N63" s="45">
        <v>60</v>
      </c>
      <c r="O63" s="45">
        <v>60</v>
      </c>
      <c r="P63" s="45">
        <v>60</v>
      </c>
      <c r="Q63" s="45">
        <v>60</v>
      </c>
      <c r="R63" s="45">
        <v>60</v>
      </c>
      <c r="S63" s="45">
        <v>60</v>
      </c>
      <c r="T63" s="45">
        <v>60</v>
      </c>
      <c r="U63" s="45">
        <v>60</v>
      </c>
      <c r="V63" s="45">
        <v>60</v>
      </c>
      <c r="W63" s="45">
        <v>60</v>
      </c>
      <c r="X63" s="45">
        <v>60</v>
      </c>
      <c r="Y63" s="45">
        <v>60</v>
      </c>
      <c r="Z63" s="45">
        <v>60</v>
      </c>
      <c r="AA63" s="45">
        <v>60</v>
      </c>
      <c r="AB63" s="45">
        <v>60</v>
      </c>
      <c r="AC63" s="45">
        <v>50</v>
      </c>
      <c r="AD63" s="45">
        <v>60</v>
      </c>
      <c r="AE63" s="45">
        <v>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45">
        <v>0</v>
      </c>
      <c r="C64" s="45">
        <v>0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65">
        <v>30</v>
      </c>
      <c r="L64" s="65">
        <v>27.1</v>
      </c>
      <c r="M64" s="65">
        <v>27.5</v>
      </c>
      <c r="N64" s="65">
        <v>25.9</v>
      </c>
      <c r="O64" s="65">
        <v>25.9</v>
      </c>
      <c r="P64" s="65">
        <v>28.2</v>
      </c>
      <c r="Q64" s="65">
        <v>28.2</v>
      </c>
      <c r="R64" s="65">
        <v>28.2</v>
      </c>
      <c r="S64" s="65">
        <v>28.2</v>
      </c>
      <c r="T64" s="65">
        <v>28</v>
      </c>
      <c r="U64" s="65">
        <v>28</v>
      </c>
      <c r="V64" s="65">
        <v>28</v>
      </c>
      <c r="W64" s="65">
        <v>28</v>
      </c>
      <c r="X64" s="65">
        <v>28</v>
      </c>
      <c r="Y64" s="65">
        <v>28</v>
      </c>
      <c r="Z64" s="65">
        <v>28</v>
      </c>
      <c r="AA64" s="65">
        <v>28</v>
      </c>
      <c r="AB64" s="65">
        <v>27.8</v>
      </c>
      <c r="AC64" s="65">
        <v>24.9</v>
      </c>
      <c r="AD64" s="65">
        <v>27.6</v>
      </c>
      <c r="AE64" s="65">
        <v>0</v>
      </c>
      <c r="AF64" s="65">
        <v>0</v>
      </c>
      <c r="AG64" s="55">
        <v>32</v>
      </c>
      <c r="AH64" s="48">
        <f t="shared" si="2"/>
        <v>30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45">
        <v>0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67">
        <v>10.199999999999999</v>
      </c>
      <c r="L65" s="67">
        <v>10.5</v>
      </c>
      <c r="M65" s="67">
        <v>10.1</v>
      </c>
      <c r="N65" s="67">
        <v>9.5</v>
      </c>
      <c r="O65" s="67">
        <v>9.5</v>
      </c>
      <c r="P65" s="67">
        <v>10.3</v>
      </c>
      <c r="Q65" s="67">
        <v>10.1</v>
      </c>
      <c r="R65" s="67">
        <v>10.1</v>
      </c>
      <c r="S65" s="67">
        <v>10.1</v>
      </c>
      <c r="T65" s="67">
        <v>10.199999999999999</v>
      </c>
      <c r="U65" s="67">
        <v>10.199999999999999</v>
      </c>
      <c r="V65" s="67">
        <v>10.199999999999999</v>
      </c>
      <c r="W65" s="67">
        <v>10.199999999999999</v>
      </c>
      <c r="X65" s="67">
        <v>10.199999999999999</v>
      </c>
      <c r="Y65" s="67">
        <v>10.199999999999999</v>
      </c>
      <c r="Z65" s="67">
        <v>10.199999999999999</v>
      </c>
      <c r="AA65" s="67">
        <v>10.199999999999999</v>
      </c>
      <c r="AB65" s="67">
        <v>10.199999999999999</v>
      </c>
      <c r="AC65" s="67">
        <v>9.1</v>
      </c>
      <c r="AD65" s="67">
        <v>10.1</v>
      </c>
      <c r="AE65" s="67">
        <v>0</v>
      </c>
      <c r="AF65" s="67">
        <v>0</v>
      </c>
      <c r="AG65" s="68">
        <v>14</v>
      </c>
      <c r="AH65" s="48">
        <f t="shared" si="2"/>
        <v>10.5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97.6</v>
      </c>
      <c r="M66" s="61">
        <f t="shared" ref="M66:AF66" si="10">M63+M64+M65</f>
        <v>97.6</v>
      </c>
      <c r="N66" s="61">
        <f t="shared" si="10"/>
        <v>95.4</v>
      </c>
      <c r="O66" s="61">
        <f t="shared" si="10"/>
        <v>95.4</v>
      </c>
      <c r="P66" s="61">
        <f t="shared" si="10"/>
        <v>98.5</v>
      </c>
      <c r="Q66" s="61">
        <f t="shared" si="10"/>
        <v>98.3</v>
      </c>
      <c r="R66" s="61">
        <f t="shared" si="10"/>
        <v>98.3</v>
      </c>
      <c r="S66" s="61">
        <f t="shared" si="10"/>
        <v>98.3</v>
      </c>
      <c r="T66" s="61">
        <f t="shared" si="10"/>
        <v>98.2</v>
      </c>
      <c r="U66" s="61">
        <f t="shared" si="10"/>
        <v>98.2</v>
      </c>
      <c r="V66" s="61">
        <f t="shared" si="10"/>
        <v>98.2</v>
      </c>
      <c r="W66" s="61">
        <f t="shared" si="10"/>
        <v>98.2</v>
      </c>
      <c r="X66" s="61">
        <f t="shared" si="10"/>
        <v>98.2</v>
      </c>
      <c r="Y66" s="61">
        <f t="shared" si="10"/>
        <v>98.2</v>
      </c>
      <c r="Z66" s="61">
        <f t="shared" si="10"/>
        <v>98.2</v>
      </c>
      <c r="AA66" s="61">
        <f t="shared" si="10"/>
        <v>98.2</v>
      </c>
      <c r="AB66" s="61">
        <f t="shared" si="10"/>
        <v>98</v>
      </c>
      <c r="AC66" s="61">
        <f t="shared" si="10"/>
        <v>84</v>
      </c>
      <c r="AD66" s="61">
        <f t="shared" si="10"/>
        <v>97.699999999999989</v>
      </c>
      <c r="AE66" s="61">
        <f t="shared" ref="AE66" si="11">AE63+AE64+AE65</f>
        <v>0</v>
      </c>
      <c r="AF66" s="61">
        <f t="shared" si="10"/>
        <v>0</v>
      </c>
      <c r="AG66" s="62">
        <f t="shared" ref="AG66" si="12">SUM(AG63:AG65)</f>
        <v>106</v>
      </c>
      <c r="AH66" s="48">
        <f t="shared" si="2"/>
        <v>98.5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71</v>
      </c>
      <c r="C67" s="45">
        <v>75</v>
      </c>
      <c r="D67" s="45">
        <v>67</v>
      </c>
      <c r="E67" s="45">
        <v>69</v>
      </c>
      <c r="F67" s="45">
        <v>68</v>
      </c>
      <c r="G67" s="45">
        <v>70</v>
      </c>
      <c r="H67" s="45">
        <v>69</v>
      </c>
      <c r="I67" s="45">
        <v>58</v>
      </c>
      <c r="J67" s="45">
        <v>72</v>
      </c>
      <c r="K67" s="45">
        <v>55</v>
      </c>
      <c r="L67" s="45">
        <v>38</v>
      </c>
      <c r="M67" s="45">
        <v>42.7</v>
      </c>
      <c r="N67" s="45">
        <v>41.1</v>
      </c>
      <c r="O67" s="45">
        <v>56</v>
      </c>
      <c r="P67" s="45">
        <v>62.8</v>
      </c>
      <c r="Q67" s="45">
        <v>56.3</v>
      </c>
      <c r="R67" s="45">
        <v>68.7</v>
      </c>
      <c r="S67" s="45">
        <v>70.400000000000006</v>
      </c>
      <c r="T67" s="45">
        <v>66.3</v>
      </c>
      <c r="U67" s="45">
        <v>63.9</v>
      </c>
      <c r="V67" s="45">
        <v>59.5</v>
      </c>
      <c r="W67" s="45">
        <v>57.5</v>
      </c>
      <c r="X67" s="45">
        <v>54</v>
      </c>
      <c r="Y67" s="45">
        <v>62.2</v>
      </c>
      <c r="Z67" s="45">
        <v>61.5</v>
      </c>
      <c r="AA67" s="45">
        <v>60.1</v>
      </c>
      <c r="AB67" s="45">
        <v>59.1</v>
      </c>
      <c r="AC67" s="45">
        <v>70.900000000000006</v>
      </c>
      <c r="AD67" s="45">
        <v>63.1</v>
      </c>
      <c r="AE67" s="45">
        <v>60.3</v>
      </c>
      <c r="AF67" s="45">
        <v>64</v>
      </c>
      <c r="AG67" s="52"/>
      <c r="AH67" s="48">
        <f t="shared" si="2"/>
        <v>75</v>
      </c>
      <c r="AI67" s="49">
        <f t="shared" si="3"/>
        <v>38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230</v>
      </c>
      <c r="C69" s="65">
        <v>202</v>
      </c>
      <c r="D69" s="65">
        <v>225</v>
      </c>
      <c r="E69" s="65">
        <v>223</v>
      </c>
      <c r="F69" s="65">
        <v>228</v>
      </c>
      <c r="G69" s="65">
        <v>310</v>
      </c>
      <c r="H69" s="65">
        <v>335</v>
      </c>
      <c r="I69" s="65">
        <v>340</v>
      </c>
      <c r="J69" s="65">
        <v>337</v>
      </c>
      <c r="K69" s="65">
        <v>90</v>
      </c>
      <c r="L69" s="65">
        <v>36.700000000000003</v>
      </c>
      <c r="M69" s="65">
        <v>31.8</v>
      </c>
      <c r="N69" s="65">
        <v>24.1</v>
      </c>
      <c r="O69" s="65">
        <v>41</v>
      </c>
      <c r="P69" s="65">
        <v>154</v>
      </c>
      <c r="Q69" s="65">
        <v>295</v>
      </c>
      <c r="R69" s="65">
        <v>335</v>
      </c>
      <c r="S69" s="65">
        <v>359</v>
      </c>
      <c r="T69" s="65">
        <v>335.7</v>
      </c>
      <c r="U69" s="65">
        <v>285</v>
      </c>
      <c r="V69" s="65">
        <v>92.6</v>
      </c>
      <c r="W69" s="65">
        <v>91.2</v>
      </c>
      <c r="X69" s="65">
        <v>81.599999999999994</v>
      </c>
      <c r="Y69" s="65">
        <v>81</v>
      </c>
      <c r="Z69" s="65">
        <v>74.7</v>
      </c>
      <c r="AA69" s="65">
        <v>168.6</v>
      </c>
      <c r="AB69" s="65">
        <v>189</v>
      </c>
      <c r="AC69" s="65">
        <v>247</v>
      </c>
      <c r="AD69" s="65">
        <v>260</v>
      </c>
      <c r="AE69" s="65">
        <v>311</v>
      </c>
      <c r="AF69" s="65">
        <v>305</v>
      </c>
      <c r="AG69" s="75"/>
      <c r="AH69" s="48">
        <f t="shared" si="2"/>
        <v>359</v>
      </c>
      <c r="AI69" s="49">
        <f t="shared" si="3"/>
        <v>24.1</v>
      </c>
      <c r="AK69" s="50"/>
    </row>
    <row r="70" spans="1:40" x14ac:dyDescent="0.25">
      <c r="A70" s="54" t="s">
        <v>78</v>
      </c>
      <c r="B70" s="76">
        <v>44</v>
      </c>
      <c r="C70" s="76">
        <v>45</v>
      </c>
      <c r="D70" s="76">
        <v>45</v>
      </c>
      <c r="E70" s="76">
        <v>44.5</v>
      </c>
      <c r="F70" s="76">
        <v>58</v>
      </c>
      <c r="G70" s="76">
        <v>0</v>
      </c>
      <c r="H70" s="76">
        <v>0</v>
      </c>
      <c r="I70" s="76">
        <v>54</v>
      </c>
      <c r="J70" s="76">
        <v>64.900000000000006</v>
      </c>
      <c r="K70" s="76">
        <v>61.3</v>
      </c>
      <c r="L70" s="76">
        <v>61.9</v>
      </c>
      <c r="M70" s="76">
        <v>60.1</v>
      </c>
      <c r="N70" s="76">
        <v>61.6</v>
      </c>
      <c r="O70" s="76">
        <v>60.4</v>
      </c>
      <c r="P70" s="76">
        <v>55.4</v>
      </c>
      <c r="Q70" s="76">
        <v>45.5</v>
      </c>
      <c r="R70" s="76">
        <v>26.5</v>
      </c>
      <c r="S70" s="76">
        <v>31</v>
      </c>
      <c r="T70" s="76">
        <v>38</v>
      </c>
      <c r="U70" s="76">
        <v>55.2</v>
      </c>
      <c r="V70" s="76">
        <v>62</v>
      </c>
      <c r="W70" s="76">
        <v>67.400000000000006</v>
      </c>
      <c r="X70" s="65">
        <v>62</v>
      </c>
      <c r="Y70" s="65">
        <v>60.2</v>
      </c>
      <c r="Z70" s="65">
        <v>65</v>
      </c>
      <c r="AA70" s="65">
        <v>59.1</v>
      </c>
      <c r="AB70" s="65">
        <v>64.5</v>
      </c>
      <c r="AC70" s="65">
        <v>63.2</v>
      </c>
      <c r="AD70" s="65">
        <v>65.7</v>
      </c>
      <c r="AE70" s="65">
        <v>65.7</v>
      </c>
      <c r="AF70" s="65">
        <v>65.7</v>
      </c>
      <c r="AG70" s="75"/>
      <c r="AH70" s="48">
        <f t="shared" si="2"/>
        <v>67.400000000000006</v>
      </c>
      <c r="AI70" s="49">
        <f t="shared" si="3"/>
        <v>0</v>
      </c>
      <c r="AK70" s="50"/>
    </row>
    <row r="71" spans="1:40" x14ac:dyDescent="0.25">
      <c r="A71" s="54" t="s">
        <v>79</v>
      </c>
      <c r="B71" s="45">
        <v>23</v>
      </c>
      <c r="C71" s="45">
        <v>23.2</v>
      </c>
      <c r="D71" s="45">
        <v>0</v>
      </c>
      <c r="E71" s="45">
        <v>0</v>
      </c>
      <c r="F71" s="45">
        <v>20</v>
      </c>
      <c r="G71" s="45">
        <v>0</v>
      </c>
      <c r="H71" s="45">
        <v>0</v>
      </c>
      <c r="I71" s="45">
        <v>20</v>
      </c>
      <c r="J71" s="45">
        <v>23.3</v>
      </c>
      <c r="K71" s="45">
        <v>23</v>
      </c>
      <c r="L71" s="45">
        <v>30</v>
      </c>
      <c r="M71" s="45">
        <v>32.6</v>
      </c>
      <c r="N71" s="45">
        <v>37</v>
      </c>
      <c r="O71" s="45">
        <v>39.5</v>
      </c>
      <c r="P71" s="45">
        <v>38.1</v>
      </c>
      <c r="Q71" s="45">
        <v>37.4</v>
      </c>
      <c r="R71" s="45">
        <v>36.6</v>
      </c>
      <c r="S71" s="45">
        <v>36.299999999999997</v>
      </c>
      <c r="T71" s="45">
        <v>36.299999999999997</v>
      </c>
      <c r="U71" s="45">
        <v>35</v>
      </c>
      <c r="V71" s="45">
        <v>35</v>
      </c>
      <c r="W71" s="45">
        <v>35</v>
      </c>
      <c r="X71" s="45">
        <v>30</v>
      </c>
      <c r="Y71" s="45">
        <v>31</v>
      </c>
      <c r="Z71" s="45">
        <v>31</v>
      </c>
      <c r="AA71" s="45">
        <v>31</v>
      </c>
      <c r="AB71" s="45">
        <v>31</v>
      </c>
      <c r="AC71" s="45">
        <v>31</v>
      </c>
      <c r="AD71" s="45">
        <v>31</v>
      </c>
      <c r="AE71" s="45">
        <v>31</v>
      </c>
      <c r="AF71" s="45">
        <v>31</v>
      </c>
      <c r="AG71" s="75"/>
      <c r="AH71" s="48">
        <f t="shared" si="2"/>
        <v>39.5</v>
      </c>
      <c r="AI71" s="49">
        <f t="shared" si="3"/>
        <v>0</v>
      </c>
      <c r="AK71" s="50"/>
    </row>
    <row r="72" spans="1:40" x14ac:dyDescent="0.25">
      <c r="A72" s="54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5</v>
      </c>
      <c r="AI72" s="49">
        <f t="shared" si="3"/>
        <v>5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13">MAX(B75:AF75)</f>
        <v>0</v>
      </c>
      <c r="AI75" s="49">
        <f t="shared" ref="AI75:AI113" si="14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13"/>
        <v>0</v>
      </c>
      <c r="AI76" s="49">
        <f t="shared" si="14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13"/>
        <v>0</v>
      </c>
      <c r="AI77" s="49">
        <f t="shared" si="14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D78" si="15">SUMIF(B67:B77,"&gt;0")</f>
        <v>373</v>
      </c>
      <c r="C78" s="61">
        <f t="shared" si="15"/>
        <v>350.2</v>
      </c>
      <c r="D78" s="61">
        <f t="shared" si="15"/>
        <v>342</v>
      </c>
      <c r="E78" s="61">
        <f>SUMIF(E67:E77,"&gt;0")</f>
        <v>341.5</v>
      </c>
      <c r="F78" s="61">
        <f t="shared" ref="F78:AF78" si="16">SUMIF(F67:F77,"&gt;0")</f>
        <v>379</v>
      </c>
      <c r="G78" s="61">
        <f t="shared" si="16"/>
        <v>385</v>
      </c>
      <c r="H78" s="61">
        <f t="shared" si="16"/>
        <v>409</v>
      </c>
      <c r="I78" s="61">
        <f t="shared" si="16"/>
        <v>477</v>
      </c>
      <c r="J78" s="61">
        <f t="shared" si="16"/>
        <v>502.2</v>
      </c>
      <c r="K78" s="61">
        <f t="shared" si="16"/>
        <v>234.3</v>
      </c>
      <c r="L78" s="61">
        <f t="shared" si="16"/>
        <v>171.6</v>
      </c>
      <c r="M78" s="61">
        <f t="shared" si="16"/>
        <v>172.2</v>
      </c>
      <c r="N78" s="61">
        <f t="shared" si="16"/>
        <v>168.8</v>
      </c>
      <c r="O78" s="61">
        <f t="shared" si="16"/>
        <v>201.9</v>
      </c>
      <c r="P78" s="61">
        <f t="shared" si="16"/>
        <v>315.3</v>
      </c>
      <c r="Q78" s="61">
        <f t="shared" si="16"/>
        <v>439.2</v>
      </c>
      <c r="R78" s="61">
        <f t="shared" si="16"/>
        <v>471.8</v>
      </c>
      <c r="S78" s="61">
        <f t="shared" si="16"/>
        <v>501.7</v>
      </c>
      <c r="T78" s="61">
        <f t="shared" si="16"/>
        <v>481.3</v>
      </c>
      <c r="U78" s="61">
        <f t="shared" si="16"/>
        <v>444.09999999999997</v>
      </c>
      <c r="V78" s="61">
        <f t="shared" si="16"/>
        <v>254.1</v>
      </c>
      <c r="W78" s="61">
        <f t="shared" si="16"/>
        <v>256.10000000000002</v>
      </c>
      <c r="X78" s="61">
        <f t="shared" si="16"/>
        <v>232.6</v>
      </c>
      <c r="Y78" s="61">
        <f t="shared" si="16"/>
        <v>239.39999999999998</v>
      </c>
      <c r="Z78" s="61">
        <f t="shared" si="16"/>
        <v>237.2</v>
      </c>
      <c r="AA78" s="61">
        <f t="shared" si="16"/>
        <v>323.8</v>
      </c>
      <c r="AB78" s="61">
        <f t="shared" si="16"/>
        <v>348.6</v>
      </c>
      <c r="AC78" s="61">
        <f t="shared" si="16"/>
        <v>417.09999999999997</v>
      </c>
      <c r="AD78" s="61">
        <f t="shared" si="16"/>
        <v>424.8</v>
      </c>
      <c r="AE78" s="61">
        <f t="shared" si="16"/>
        <v>473</v>
      </c>
      <c r="AF78" s="61">
        <f t="shared" si="16"/>
        <v>470.7</v>
      </c>
      <c r="AG78" s="81">
        <f>SUM(AG67:AG77)</f>
        <v>0</v>
      </c>
      <c r="AH78" s="48">
        <f t="shared" si="13"/>
        <v>502.2</v>
      </c>
      <c r="AI78" s="49">
        <f t="shared" si="14"/>
        <v>168.8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13"/>
        <v>0</v>
      </c>
      <c r="AI79" s="49">
        <f t="shared" si="14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13"/>
        <v>0</v>
      </c>
      <c r="AI80" s="49">
        <f t="shared" si="14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3"/>
        <v>0</v>
      </c>
      <c r="AI81" s="49">
        <f t="shared" si="14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13"/>
        <v>0</v>
      </c>
      <c r="AI82" s="49">
        <f t="shared" si="14"/>
        <v>0</v>
      </c>
    </row>
    <row r="83" spans="1:37" ht="15.75" thickBot="1" x14ac:dyDescent="0.3">
      <c r="A83" s="74" t="s">
        <v>91</v>
      </c>
      <c r="B83" s="83">
        <f>B44+B48+B66+B62+B78+B82</f>
        <v>1041.3399999999999</v>
      </c>
      <c r="C83" s="83">
        <f t="shared" ref="C83:AG83" si="17">C44+C48+C66+C62+C78+C82</f>
        <v>1002.4399999999998</v>
      </c>
      <c r="D83" s="83">
        <f t="shared" si="17"/>
        <v>994.2399999999999</v>
      </c>
      <c r="E83" s="83">
        <f t="shared" si="17"/>
        <v>1003.54</v>
      </c>
      <c r="F83" s="83">
        <f t="shared" si="17"/>
        <v>1018.9399999999999</v>
      </c>
      <c r="G83" s="83">
        <f t="shared" si="17"/>
        <v>1060.6399999999999</v>
      </c>
      <c r="H83" s="83">
        <f t="shared" si="17"/>
        <v>1151.74</v>
      </c>
      <c r="I83" s="83">
        <f t="shared" si="17"/>
        <v>1258.44</v>
      </c>
      <c r="J83" s="83">
        <f t="shared" si="17"/>
        <v>1411.3899999999999</v>
      </c>
      <c r="K83" s="83">
        <f t="shared" si="17"/>
        <v>1471.79</v>
      </c>
      <c r="L83" s="83">
        <f t="shared" si="17"/>
        <v>1640.31</v>
      </c>
      <c r="M83" s="83">
        <f t="shared" si="17"/>
        <v>1613.86</v>
      </c>
      <c r="N83" s="83">
        <f t="shared" si="17"/>
        <v>1564.26</v>
      </c>
      <c r="O83" s="83">
        <f t="shared" si="17"/>
        <v>1536.76</v>
      </c>
      <c r="P83" s="83">
        <f t="shared" si="17"/>
        <v>1426.62</v>
      </c>
      <c r="Q83" s="83">
        <f t="shared" si="17"/>
        <v>1398.1599999999999</v>
      </c>
      <c r="R83" s="83">
        <f t="shared" si="17"/>
        <v>1369.76</v>
      </c>
      <c r="S83" s="83">
        <f t="shared" si="17"/>
        <v>1386.3600000000001</v>
      </c>
      <c r="T83" s="83">
        <f t="shared" si="17"/>
        <v>1357.96</v>
      </c>
      <c r="U83" s="83">
        <f t="shared" si="17"/>
        <v>1344.16</v>
      </c>
      <c r="V83" s="83">
        <f t="shared" si="17"/>
        <v>1326.26</v>
      </c>
      <c r="W83" s="83">
        <f t="shared" si="17"/>
        <v>1457.6599999999999</v>
      </c>
      <c r="X83" s="83">
        <f t="shared" si="17"/>
        <v>1608.76</v>
      </c>
      <c r="Y83" s="83">
        <f t="shared" si="17"/>
        <v>1620.8600000000001</v>
      </c>
      <c r="Z83" s="83">
        <f t="shared" si="17"/>
        <v>1598.66</v>
      </c>
      <c r="AA83" s="83">
        <f t="shared" si="17"/>
        <v>1565.26</v>
      </c>
      <c r="AB83" s="83">
        <f t="shared" si="17"/>
        <v>1454.3600000000001</v>
      </c>
      <c r="AC83" s="83">
        <f t="shared" si="17"/>
        <v>1450.84</v>
      </c>
      <c r="AD83" s="83">
        <f t="shared" si="17"/>
        <v>1422.34</v>
      </c>
      <c r="AE83" s="83">
        <f t="shared" ref="AE83" si="18">AE44+AE48+AE66+AE62+AE78+AE82</f>
        <v>1247.74</v>
      </c>
      <c r="AF83" s="83">
        <f t="shared" si="17"/>
        <v>1137.94</v>
      </c>
      <c r="AG83" s="62">
        <f t="shared" si="17"/>
        <v>2004.1900000000003</v>
      </c>
      <c r="AH83" s="48">
        <f>MAX(B83:AF83)</f>
        <v>1640.31</v>
      </c>
      <c r="AI83" s="49">
        <f>MIN(B83:AF83)</f>
        <v>994.2399999999999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>
        <v>60</v>
      </c>
      <c r="N84" s="85">
        <v>60</v>
      </c>
      <c r="O84" s="85">
        <v>70</v>
      </c>
      <c r="P84" s="85">
        <v>75</v>
      </c>
      <c r="Q84" s="85">
        <v>15</v>
      </c>
      <c r="R84" s="85"/>
      <c r="S84" s="85"/>
      <c r="T84" s="85"/>
      <c r="U84" s="85"/>
      <c r="V84" s="85">
        <v>100</v>
      </c>
      <c r="W84" s="85">
        <v>180</v>
      </c>
      <c r="X84" s="85">
        <v>180</v>
      </c>
      <c r="Y84" s="85">
        <v>160</v>
      </c>
      <c r="Z84" s="85">
        <v>160</v>
      </c>
      <c r="AA84" s="85">
        <v>150</v>
      </c>
      <c r="AB84" s="85">
        <v>150</v>
      </c>
      <c r="AC84" s="85">
        <v>0</v>
      </c>
      <c r="AD84" s="85"/>
      <c r="AE84" s="85"/>
      <c r="AF84" s="85"/>
      <c r="AG84" s="81"/>
      <c r="AH84" s="48">
        <f t="shared" si="13"/>
        <v>180</v>
      </c>
      <c r="AI84" s="49">
        <f t="shared" si="14"/>
        <v>0</v>
      </c>
    </row>
    <row r="85" spans="1:37" ht="15.75" thickBot="1" x14ac:dyDescent="0.3">
      <c r="A85" s="74" t="s">
        <v>93</v>
      </c>
      <c r="B85" s="83">
        <f>B83+B84</f>
        <v>1041.3399999999999</v>
      </c>
      <c r="C85" s="83">
        <f t="shared" ref="C85:AF85" si="19">C83+C84</f>
        <v>1002.4399999999998</v>
      </c>
      <c r="D85" s="83">
        <f t="shared" si="19"/>
        <v>994.2399999999999</v>
      </c>
      <c r="E85" s="83">
        <f t="shared" si="19"/>
        <v>1003.54</v>
      </c>
      <c r="F85" s="83">
        <f t="shared" si="19"/>
        <v>1018.9399999999999</v>
      </c>
      <c r="G85" s="83">
        <f t="shared" si="19"/>
        <v>1060.6399999999999</v>
      </c>
      <c r="H85" s="83">
        <f t="shared" si="19"/>
        <v>1151.74</v>
      </c>
      <c r="I85" s="83">
        <f t="shared" si="19"/>
        <v>1258.44</v>
      </c>
      <c r="J85" s="83">
        <f t="shared" si="19"/>
        <v>1411.3899999999999</v>
      </c>
      <c r="K85" s="83">
        <f t="shared" si="19"/>
        <v>1471.79</v>
      </c>
      <c r="L85" s="83">
        <f t="shared" si="19"/>
        <v>1640.31</v>
      </c>
      <c r="M85" s="83">
        <f t="shared" si="19"/>
        <v>1673.86</v>
      </c>
      <c r="N85" s="83">
        <f t="shared" si="19"/>
        <v>1624.26</v>
      </c>
      <c r="O85" s="83">
        <f t="shared" si="19"/>
        <v>1606.76</v>
      </c>
      <c r="P85" s="83">
        <f t="shared" si="19"/>
        <v>1501.62</v>
      </c>
      <c r="Q85" s="83">
        <f t="shared" si="19"/>
        <v>1413.1599999999999</v>
      </c>
      <c r="R85" s="83">
        <f t="shared" si="19"/>
        <v>1369.76</v>
      </c>
      <c r="S85" s="83">
        <f t="shared" si="19"/>
        <v>1386.3600000000001</v>
      </c>
      <c r="T85" s="83">
        <f t="shared" si="19"/>
        <v>1357.96</v>
      </c>
      <c r="U85" s="83">
        <f t="shared" si="19"/>
        <v>1344.16</v>
      </c>
      <c r="V85" s="83">
        <f t="shared" si="19"/>
        <v>1426.26</v>
      </c>
      <c r="W85" s="83">
        <f t="shared" si="19"/>
        <v>1637.6599999999999</v>
      </c>
      <c r="X85" s="83">
        <f t="shared" si="19"/>
        <v>1788.76</v>
      </c>
      <c r="Y85" s="83">
        <f t="shared" si="19"/>
        <v>1780.8600000000001</v>
      </c>
      <c r="Z85" s="83">
        <f t="shared" si="19"/>
        <v>1758.66</v>
      </c>
      <c r="AA85" s="83">
        <f t="shared" si="19"/>
        <v>1715.26</v>
      </c>
      <c r="AB85" s="83">
        <f t="shared" si="19"/>
        <v>1604.3600000000001</v>
      </c>
      <c r="AC85" s="83">
        <f t="shared" si="19"/>
        <v>1450.84</v>
      </c>
      <c r="AD85" s="83">
        <f t="shared" si="19"/>
        <v>1422.34</v>
      </c>
      <c r="AE85" s="83">
        <f t="shared" si="19"/>
        <v>1247.74</v>
      </c>
      <c r="AF85" s="83">
        <f t="shared" si="19"/>
        <v>1137.94</v>
      </c>
      <c r="AG85" s="81">
        <f>AG82+AG78+AG66+AG62+AG44+AG84</f>
        <v>1466.0900000000001</v>
      </c>
      <c r="AH85" s="48">
        <f t="shared" si="13"/>
        <v>1788.76</v>
      </c>
      <c r="AI85" s="49">
        <f t="shared" si="14"/>
        <v>994.2399999999999</v>
      </c>
    </row>
    <row r="86" spans="1:37" ht="15.75" thickBot="1" x14ac:dyDescent="0.3">
      <c r="A86" s="74" t="s">
        <v>94</v>
      </c>
      <c r="B86" s="83">
        <f t="shared" ref="B86:AF86" si="20">B85-B93</f>
        <v>1041.3399999999999</v>
      </c>
      <c r="C86" s="83">
        <f t="shared" si="20"/>
        <v>1002.4399999999998</v>
      </c>
      <c r="D86" s="83">
        <f t="shared" si="20"/>
        <v>994.2399999999999</v>
      </c>
      <c r="E86" s="83">
        <f t="shared" si="20"/>
        <v>1003.54</v>
      </c>
      <c r="F86" s="83">
        <f t="shared" si="20"/>
        <v>1018.9399999999999</v>
      </c>
      <c r="G86" s="83">
        <f t="shared" si="20"/>
        <v>1060.6399999999999</v>
      </c>
      <c r="H86" s="83">
        <f t="shared" si="20"/>
        <v>1151.74</v>
      </c>
      <c r="I86" s="83">
        <f t="shared" si="20"/>
        <v>1258.44</v>
      </c>
      <c r="J86" s="83">
        <f t="shared" si="20"/>
        <v>1411.3899999999999</v>
      </c>
      <c r="K86" s="83">
        <f t="shared" si="20"/>
        <v>1471.79</v>
      </c>
      <c r="L86" s="83">
        <f t="shared" si="20"/>
        <v>1640.31</v>
      </c>
      <c r="M86" s="83">
        <f t="shared" si="20"/>
        <v>1673.86</v>
      </c>
      <c r="N86" s="83">
        <f t="shared" si="20"/>
        <v>1624.26</v>
      </c>
      <c r="O86" s="83">
        <f t="shared" si="20"/>
        <v>1606.76</v>
      </c>
      <c r="P86" s="83">
        <f t="shared" si="20"/>
        <v>1501.62</v>
      </c>
      <c r="Q86" s="83">
        <f t="shared" si="20"/>
        <v>1413.1599999999999</v>
      </c>
      <c r="R86" s="83">
        <f t="shared" si="20"/>
        <v>1369.76</v>
      </c>
      <c r="S86" s="83">
        <f t="shared" si="20"/>
        <v>1386.3600000000001</v>
      </c>
      <c r="T86" s="83">
        <f t="shared" si="20"/>
        <v>1357.96</v>
      </c>
      <c r="U86" s="83">
        <f t="shared" si="20"/>
        <v>1344.16</v>
      </c>
      <c r="V86" s="83">
        <f t="shared" si="20"/>
        <v>1426.26</v>
      </c>
      <c r="W86" s="83">
        <f t="shared" si="20"/>
        <v>1637.6599999999999</v>
      </c>
      <c r="X86" s="83">
        <f t="shared" si="20"/>
        <v>1788.76</v>
      </c>
      <c r="Y86" s="83">
        <f t="shared" si="20"/>
        <v>1780.8600000000001</v>
      </c>
      <c r="Z86" s="83">
        <f t="shared" si="20"/>
        <v>1758.66</v>
      </c>
      <c r="AA86" s="83">
        <f t="shared" si="20"/>
        <v>1715.26</v>
      </c>
      <c r="AB86" s="83">
        <f t="shared" si="20"/>
        <v>1604.3600000000001</v>
      </c>
      <c r="AC86" s="83">
        <f t="shared" si="20"/>
        <v>1450.84</v>
      </c>
      <c r="AD86" s="83">
        <f t="shared" si="20"/>
        <v>1422.34</v>
      </c>
      <c r="AE86" s="83">
        <f t="shared" si="20"/>
        <v>1247.74</v>
      </c>
      <c r="AF86" s="83">
        <f t="shared" si="20"/>
        <v>1137.94</v>
      </c>
      <c r="AG86" s="81"/>
      <c r="AH86" s="48">
        <f t="shared" si="13"/>
        <v>1788.76</v>
      </c>
      <c r="AI86" s="49">
        <f t="shared" si="14"/>
        <v>994.2399999999999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13"/>
        <v>0</v>
      </c>
      <c r="AI87" s="49">
        <f t="shared" si="14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13"/>
        <v>0</v>
      </c>
      <c r="AI88" s="49">
        <f t="shared" si="14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13"/>
        <v>0</v>
      </c>
      <c r="AI89" s="49">
        <f t="shared" si="14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13"/>
        <v>0</v>
      </c>
      <c r="AI90" s="49">
        <f t="shared" si="14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13"/>
        <v>0</v>
      </c>
      <c r="AI91" s="49">
        <f t="shared" si="14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13"/>
        <v>0</v>
      </c>
      <c r="AI92" s="49">
        <f t="shared" si="14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>
        <v>0</v>
      </c>
      <c r="Z93" s="61"/>
      <c r="AA93" s="61"/>
      <c r="AB93" s="61"/>
      <c r="AC93" s="61"/>
      <c r="AD93" s="61"/>
      <c r="AE93" s="61"/>
      <c r="AF93" s="61"/>
      <c r="AG93" s="81"/>
      <c r="AH93" s="48">
        <f t="shared" si="13"/>
        <v>0</v>
      </c>
      <c r="AI93" s="49">
        <f t="shared" si="14"/>
        <v>0</v>
      </c>
      <c r="AK93" s="50"/>
    </row>
    <row r="94" spans="1:37" ht="15.75" thickBot="1" x14ac:dyDescent="0.3">
      <c r="A94" s="74" t="s">
        <v>99</v>
      </c>
      <c r="B94" s="61">
        <f t="shared" ref="B94:AF94" si="21">B78-B93</f>
        <v>373</v>
      </c>
      <c r="C94" s="61">
        <f t="shared" si="21"/>
        <v>350.2</v>
      </c>
      <c r="D94" s="61">
        <f t="shared" si="21"/>
        <v>342</v>
      </c>
      <c r="E94" s="61">
        <f t="shared" si="21"/>
        <v>341.5</v>
      </c>
      <c r="F94" s="61">
        <f t="shared" si="21"/>
        <v>379</v>
      </c>
      <c r="G94" s="61">
        <f t="shared" si="21"/>
        <v>385</v>
      </c>
      <c r="H94" s="61">
        <f t="shared" si="21"/>
        <v>409</v>
      </c>
      <c r="I94" s="61">
        <f t="shared" si="21"/>
        <v>477</v>
      </c>
      <c r="J94" s="61">
        <f t="shared" si="21"/>
        <v>502.2</v>
      </c>
      <c r="K94" s="61">
        <f t="shared" si="21"/>
        <v>234.3</v>
      </c>
      <c r="L94" s="61">
        <f t="shared" si="21"/>
        <v>171.6</v>
      </c>
      <c r="M94" s="61">
        <f t="shared" si="21"/>
        <v>172.2</v>
      </c>
      <c r="N94" s="61">
        <f t="shared" si="21"/>
        <v>168.8</v>
      </c>
      <c r="O94" s="61">
        <f t="shared" si="21"/>
        <v>201.9</v>
      </c>
      <c r="P94" s="61">
        <f t="shared" si="21"/>
        <v>315.3</v>
      </c>
      <c r="Q94" s="61">
        <f t="shared" si="21"/>
        <v>439.2</v>
      </c>
      <c r="R94" s="61">
        <f t="shared" si="21"/>
        <v>471.8</v>
      </c>
      <c r="S94" s="61">
        <f t="shared" si="21"/>
        <v>501.7</v>
      </c>
      <c r="T94" s="61">
        <f t="shared" si="21"/>
        <v>481.3</v>
      </c>
      <c r="U94" s="61">
        <f t="shared" si="21"/>
        <v>444.09999999999997</v>
      </c>
      <c r="V94" s="61">
        <f t="shared" si="21"/>
        <v>254.1</v>
      </c>
      <c r="W94" s="61">
        <f t="shared" si="21"/>
        <v>256.10000000000002</v>
      </c>
      <c r="X94" s="61">
        <f t="shared" si="21"/>
        <v>232.6</v>
      </c>
      <c r="Y94" s="61">
        <f t="shared" si="21"/>
        <v>239.39999999999998</v>
      </c>
      <c r="Z94" s="61">
        <f t="shared" si="21"/>
        <v>237.2</v>
      </c>
      <c r="AA94" s="61">
        <f t="shared" si="21"/>
        <v>323.8</v>
      </c>
      <c r="AB94" s="61">
        <f t="shared" si="21"/>
        <v>348.6</v>
      </c>
      <c r="AC94" s="61">
        <f t="shared" si="21"/>
        <v>417.09999999999997</v>
      </c>
      <c r="AD94" s="61">
        <f t="shared" si="21"/>
        <v>424.8</v>
      </c>
      <c r="AE94" s="61">
        <f t="shared" si="21"/>
        <v>473</v>
      </c>
      <c r="AF94" s="61">
        <f t="shared" si="21"/>
        <v>470.7</v>
      </c>
      <c r="AG94" s="81"/>
      <c r="AH94" s="48">
        <f t="shared" si="13"/>
        <v>502.2</v>
      </c>
      <c r="AI94" s="49">
        <f t="shared" si="14"/>
        <v>168.8</v>
      </c>
    </row>
    <row r="95" spans="1:37" x14ac:dyDescent="0.25">
      <c r="A95" s="88" t="s">
        <v>100</v>
      </c>
      <c r="B95" s="89">
        <v>50.008000000000003</v>
      </c>
      <c r="C95" s="89">
        <v>49.996000000000002</v>
      </c>
      <c r="D95" s="89">
        <v>49.963999999999999</v>
      </c>
      <c r="E95" s="89">
        <v>49.88</v>
      </c>
      <c r="F95" s="89">
        <v>49.88</v>
      </c>
      <c r="G95" s="89">
        <v>49.936999999999998</v>
      </c>
      <c r="H95" s="89">
        <v>50.088000000000001</v>
      </c>
      <c r="I95" s="89">
        <v>50.088000000000001</v>
      </c>
      <c r="J95" s="89">
        <v>49.875999999999998</v>
      </c>
      <c r="K95" s="89">
        <v>49.875999999999998</v>
      </c>
      <c r="L95" s="89">
        <v>49.661000000000001</v>
      </c>
      <c r="M95" s="89">
        <v>50.024000000000001</v>
      </c>
      <c r="N95" s="89">
        <v>49.854999999999997</v>
      </c>
      <c r="O95" s="89">
        <v>50.06</v>
      </c>
      <c r="P95" s="89">
        <v>50.018000000000001</v>
      </c>
      <c r="Q95" s="89">
        <v>49.984000000000002</v>
      </c>
      <c r="R95" s="89">
        <v>50.003999999999998</v>
      </c>
      <c r="S95" s="89">
        <v>50.121000000000002</v>
      </c>
      <c r="T95" s="89">
        <v>49.917999999999999</v>
      </c>
      <c r="U95" s="89">
        <v>49.780999999999999</v>
      </c>
      <c r="V95" s="89">
        <v>49.996000000000002</v>
      </c>
      <c r="W95" s="89">
        <v>49.981999999999999</v>
      </c>
      <c r="X95" s="89">
        <v>49.962000000000003</v>
      </c>
      <c r="Y95" s="89">
        <v>49.917999999999999</v>
      </c>
      <c r="Z95" s="89">
        <v>49.851999999999997</v>
      </c>
      <c r="AA95" s="89">
        <v>49.863</v>
      </c>
      <c r="AB95" s="89">
        <v>50.1</v>
      </c>
      <c r="AC95" s="89">
        <v>49.93</v>
      </c>
      <c r="AD95" s="89">
        <v>49.85</v>
      </c>
      <c r="AE95" s="89">
        <v>50.04</v>
      </c>
      <c r="AF95" s="89">
        <v>49.85</v>
      </c>
      <c r="AG95" s="90"/>
      <c r="AH95" s="48">
        <f t="shared" si="13"/>
        <v>50.121000000000002</v>
      </c>
      <c r="AI95" s="49">
        <f t="shared" si="14"/>
        <v>49.661000000000001</v>
      </c>
    </row>
    <row r="96" spans="1:37" x14ac:dyDescent="0.25">
      <c r="A96" s="91" t="s">
        <v>101</v>
      </c>
      <c r="B96" s="65">
        <v>128.9</v>
      </c>
      <c r="C96" s="65">
        <v>131.1</v>
      </c>
      <c r="D96" s="65">
        <v>128</v>
      </c>
      <c r="E96" s="65">
        <v>127.4</v>
      </c>
      <c r="F96" s="65">
        <v>127.4</v>
      </c>
      <c r="G96" s="65">
        <v>125.2</v>
      </c>
      <c r="H96" s="65">
        <v>125.6</v>
      </c>
      <c r="I96" s="65">
        <v>125.6</v>
      </c>
      <c r="J96" s="65">
        <v>124.2</v>
      </c>
      <c r="K96" s="65">
        <v>124.2</v>
      </c>
      <c r="L96" s="65">
        <v>124.9</v>
      </c>
      <c r="M96" s="65">
        <v>126.4</v>
      </c>
      <c r="N96" s="65">
        <v>126.3</v>
      </c>
      <c r="O96" s="65">
        <v>127.9</v>
      </c>
      <c r="P96" s="65">
        <v>129.9</v>
      </c>
      <c r="Q96" s="65">
        <v>125.8</v>
      </c>
      <c r="R96" s="65">
        <v>125.4</v>
      </c>
      <c r="S96" s="65">
        <v>125.8</v>
      </c>
      <c r="T96" s="65">
        <v>126.5</v>
      </c>
      <c r="U96" s="65">
        <v>129</v>
      </c>
      <c r="V96" s="65">
        <v>129.69999999999999</v>
      </c>
      <c r="W96" s="65">
        <v>128.19999999999999</v>
      </c>
      <c r="X96" s="65">
        <v>126.4</v>
      </c>
      <c r="Y96" s="65">
        <v>127</v>
      </c>
      <c r="Z96" s="65">
        <v>127</v>
      </c>
      <c r="AA96" s="65">
        <v>127</v>
      </c>
      <c r="AB96" s="65">
        <v>129</v>
      </c>
      <c r="AC96" s="65">
        <v>128</v>
      </c>
      <c r="AD96" s="65">
        <v>128.30000000000001</v>
      </c>
      <c r="AE96" s="65">
        <v>127.2</v>
      </c>
      <c r="AF96" s="65">
        <v>128</v>
      </c>
      <c r="AG96" s="92"/>
      <c r="AH96" s="48">
        <f t="shared" si="13"/>
        <v>131.1</v>
      </c>
      <c r="AI96" s="49">
        <f t="shared" si="14"/>
        <v>124.2</v>
      </c>
    </row>
    <row r="97" spans="1:35" x14ac:dyDescent="0.25">
      <c r="A97" s="91" t="s">
        <v>102</v>
      </c>
      <c r="B97" s="65">
        <v>132.80000000000001</v>
      </c>
      <c r="C97" s="65">
        <v>134.1</v>
      </c>
      <c r="D97" s="65">
        <v>132.30000000000001</v>
      </c>
      <c r="E97" s="65">
        <v>132</v>
      </c>
      <c r="F97" s="65">
        <v>132</v>
      </c>
      <c r="G97" s="65">
        <v>129.5</v>
      </c>
      <c r="H97" s="65">
        <v>129.9</v>
      </c>
      <c r="I97" s="65">
        <v>129.9</v>
      </c>
      <c r="J97" s="65">
        <v>128</v>
      </c>
      <c r="K97" s="65">
        <v>128</v>
      </c>
      <c r="L97" s="65">
        <v>127</v>
      </c>
      <c r="M97" s="65">
        <v>128.30000000000001</v>
      </c>
      <c r="N97" s="65">
        <v>128.4</v>
      </c>
      <c r="O97" s="65">
        <v>129.30000000000001</v>
      </c>
      <c r="P97" s="65">
        <v>130.9</v>
      </c>
      <c r="Q97" s="65">
        <v>128.30000000000001</v>
      </c>
      <c r="R97" s="65">
        <v>128.6</v>
      </c>
      <c r="S97" s="65">
        <v>129</v>
      </c>
      <c r="T97" s="65">
        <v>129.5</v>
      </c>
      <c r="U97" s="65">
        <v>131.19999999999999</v>
      </c>
      <c r="V97" s="65">
        <v>130</v>
      </c>
      <c r="W97" s="65">
        <v>129.19999999999999</v>
      </c>
      <c r="X97" s="65">
        <v>127.3</v>
      </c>
      <c r="Y97" s="65">
        <v>127.8</v>
      </c>
      <c r="Z97" s="65">
        <v>127.8</v>
      </c>
      <c r="AA97" s="65">
        <v>127.8</v>
      </c>
      <c r="AB97" s="65">
        <v>130.1</v>
      </c>
      <c r="AC97" s="65">
        <v>129.5</v>
      </c>
      <c r="AD97" s="65">
        <v>130.19999999999999</v>
      </c>
      <c r="AE97" s="65">
        <v>130.4</v>
      </c>
      <c r="AF97" s="65">
        <v>132.1</v>
      </c>
      <c r="AG97" s="92"/>
      <c r="AH97" s="48">
        <f t="shared" si="13"/>
        <v>134.1</v>
      </c>
      <c r="AI97" s="49">
        <f t="shared" si="14"/>
        <v>127</v>
      </c>
    </row>
    <row r="98" spans="1:35" x14ac:dyDescent="0.25">
      <c r="A98" s="91" t="s">
        <v>103</v>
      </c>
      <c r="B98" s="65">
        <v>133.1</v>
      </c>
      <c r="C98" s="65">
        <v>131.5</v>
      </c>
      <c r="D98" s="65">
        <v>130.69999999999999</v>
      </c>
      <c r="E98" s="65">
        <v>130.6</v>
      </c>
      <c r="F98" s="65">
        <v>130.6</v>
      </c>
      <c r="G98" s="65">
        <v>129.69999999999999</v>
      </c>
      <c r="H98" s="65">
        <v>129.4</v>
      </c>
      <c r="I98" s="65">
        <v>129.4</v>
      </c>
      <c r="J98" s="65">
        <v>127.3</v>
      </c>
      <c r="K98" s="65">
        <v>127.3</v>
      </c>
      <c r="L98" s="65">
        <v>127.8</v>
      </c>
      <c r="M98" s="65">
        <v>129.1</v>
      </c>
      <c r="N98" s="65">
        <v>129.4</v>
      </c>
      <c r="O98" s="65">
        <v>130.69999999999999</v>
      </c>
      <c r="P98" s="65">
        <v>131.19999999999999</v>
      </c>
      <c r="Q98" s="65">
        <v>131.1</v>
      </c>
      <c r="R98" s="65">
        <v>130.4</v>
      </c>
      <c r="S98" s="65">
        <v>130</v>
      </c>
      <c r="T98" s="65">
        <v>131.5</v>
      </c>
      <c r="U98" s="65">
        <v>131</v>
      </c>
      <c r="V98" s="65">
        <v>131.6</v>
      </c>
      <c r="W98" s="65">
        <v>131</v>
      </c>
      <c r="X98" s="65">
        <v>129.6</v>
      </c>
      <c r="Y98" s="65">
        <v>130</v>
      </c>
      <c r="Z98" s="65">
        <v>130</v>
      </c>
      <c r="AA98" s="65">
        <v>130</v>
      </c>
      <c r="AB98" s="65">
        <v>132.30000000000001</v>
      </c>
      <c r="AC98" s="65">
        <v>131.30000000000001</v>
      </c>
      <c r="AD98" s="65">
        <v>131.6</v>
      </c>
      <c r="AE98" s="65">
        <v>133.1</v>
      </c>
      <c r="AF98" s="65">
        <v>130.6</v>
      </c>
      <c r="AG98" s="92"/>
      <c r="AH98" s="48">
        <f t="shared" si="13"/>
        <v>133.1</v>
      </c>
      <c r="AI98" s="49">
        <f t="shared" si="14"/>
        <v>127.3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3"/>
        <v>0</v>
      </c>
      <c r="AI99" s="49">
        <f t="shared" si="14"/>
        <v>0</v>
      </c>
    </row>
    <row r="100" spans="1:35" x14ac:dyDescent="0.25">
      <c r="A100" s="93" t="s">
        <v>105</v>
      </c>
      <c r="B100" s="94">
        <v>134.80000000000001</v>
      </c>
      <c r="C100" s="94">
        <v>134.1</v>
      </c>
      <c r="D100" s="94">
        <v>132.4</v>
      </c>
      <c r="E100" s="94">
        <v>133.30000000000001</v>
      </c>
      <c r="F100" s="94">
        <v>133.30000000000001</v>
      </c>
      <c r="G100" s="94">
        <v>131</v>
      </c>
      <c r="H100" s="94">
        <v>134.6</v>
      </c>
      <c r="I100" s="94">
        <v>134.6</v>
      </c>
      <c r="J100" s="94">
        <v>134.19999999999999</v>
      </c>
      <c r="K100" s="94">
        <v>134.19999999999999</v>
      </c>
      <c r="L100" s="94">
        <v>138.30000000000001</v>
      </c>
      <c r="M100" s="94">
        <v>135.6</v>
      </c>
      <c r="N100" s="94">
        <v>133</v>
      </c>
      <c r="O100" s="94">
        <v>136.4</v>
      </c>
      <c r="P100" s="94">
        <v>136.69999999999999</v>
      </c>
      <c r="Q100" s="94">
        <v>131.9</v>
      </c>
      <c r="R100" s="94">
        <v>131.4</v>
      </c>
      <c r="S100" s="94">
        <v>135</v>
      </c>
      <c r="T100" s="94">
        <v>134.30000000000001</v>
      </c>
      <c r="U100" s="94">
        <v>138.19999999999999</v>
      </c>
      <c r="V100" s="94">
        <v>135</v>
      </c>
      <c r="W100" s="94">
        <v>135.69999999999999</v>
      </c>
      <c r="X100" s="94">
        <v>134.5</v>
      </c>
      <c r="Y100" s="94">
        <v>135</v>
      </c>
      <c r="Z100" s="94">
        <v>135</v>
      </c>
      <c r="AA100" s="94">
        <v>135</v>
      </c>
      <c r="AB100" s="94">
        <v>135.5</v>
      </c>
      <c r="AC100" s="94">
        <v>134.80000000000001</v>
      </c>
      <c r="AD100" s="94">
        <v>135.80000000000001</v>
      </c>
      <c r="AE100" s="94">
        <v>133.5</v>
      </c>
      <c r="AF100" s="94">
        <v>135</v>
      </c>
      <c r="AG100" s="95"/>
      <c r="AH100" s="48">
        <f t="shared" si="13"/>
        <v>138.30000000000001</v>
      </c>
      <c r="AI100" s="49">
        <f t="shared" si="14"/>
        <v>131</v>
      </c>
    </row>
    <row r="101" spans="1:35" x14ac:dyDescent="0.25">
      <c r="A101" s="91" t="s">
        <v>106</v>
      </c>
      <c r="B101" s="65">
        <v>129.5</v>
      </c>
      <c r="C101" s="65">
        <v>134.80000000000001</v>
      </c>
      <c r="D101" s="65">
        <v>127.6</v>
      </c>
      <c r="E101" s="65">
        <v>123.9</v>
      </c>
      <c r="F101" s="65">
        <v>123.9</v>
      </c>
      <c r="G101" s="65">
        <v>123.2</v>
      </c>
      <c r="H101" s="65">
        <v>123.9</v>
      </c>
      <c r="I101" s="65">
        <v>123.9</v>
      </c>
      <c r="J101" s="65">
        <v>125.1</v>
      </c>
      <c r="K101" s="65">
        <v>125.1</v>
      </c>
      <c r="L101" s="65">
        <v>128</v>
      </c>
      <c r="M101" s="65">
        <v>128.6</v>
      </c>
      <c r="N101" s="65">
        <v>120.9</v>
      </c>
      <c r="O101" s="65">
        <v>122.6</v>
      </c>
      <c r="P101" s="65">
        <v>120.1</v>
      </c>
      <c r="Q101" s="65">
        <v>130.1</v>
      </c>
      <c r="R101" s="65">
        <v>122.1</v>
      </c>
      <c r="S101" s="65">
        <v>127</v>
      </c>
      <c r="T101" s="65">
        <v>136</v>
      </c>
      <c r="U101" s="65">
        <v>133.5</v>
      </c>
      <c r="V101" s="65">
        <v>132</v>
      </c>
      <c r="W101" s="65">
        <v>130.19999999999999</v>
      </c>
      <c r="X101" s="65">
        <v>134</v>
      </c>
      <c r="Y101" s="65">
        <v>133</v>
      </c>
      <c r="Z101" s="65">
        <v>133</v>
      </c>
      <c r="AA101" s="65">
        <v>133</v>
      </c>
      <c r="AB101" s="65">
        <v>132.5</v>
      </c>
      <c r="AC101" s="65">
        <v>131.6</v>
      </c>
      <c r="AD101" s="65">
        <v>132.30000000000001</v>
      </c>
      <c r="AE101" s="65">
        <v>136.5</v>
      </c>
      <c r="AF101" s="65">
        <v>133</v>
      </c>
      <c r="AG101" s="92"/>
      <c r="AH101" s="48">
        <f t="shared" si="13"/>
        <v>136.5</v>
      </c>
      <c r="AI101" s="49">
        <f t="shared" si="14"/>
        <v>120.1</v>
      </c>
    </row>
    <row r="102" spans="1:35" ht="15.75" thickBot="1" x14ac:dyDescent="0.3">
      <c r="A102" s="91" t="s">
        <v>107</v>
      </c>
      <c r="B102" s="96">
        <v>66.3</v>
      </c>
      <c r="C102" s="96">
        <v>66.400000000000006</v>
      </c>
      <c r="D102" s="96">
        <v>66.2</v>
      </c>
      <c r="E102" s="96">
        <v>66</v>
      </c>
      <c r="F102" s="96">
        <v>66</v>
      </c>
      <c r="G102" s="96">
        <v>64.900000000000006</v>
      </c>
      <c r="H102" s="96">
        <v>65</v>
      </c>
      <c r="I102" s="96">
        <v>65</v>
      </c>
      <c r="J102" s="96">
        <v>63.7</v>
      </c>
      <c r="K102" s="96">
        <v>63.7</v>
      </c>
      <c r="L102" s="96">
        <v>63.7</v>
      </c>
      <c r="M102" s="96">
        <v>64.099999999999994</v>
      </c>
      <c r="N102" s="96">
        <v>64</v>
      </c>
      <c r="O102" s="96">
        <v>64.2</v>
      </c>
      <c r="P102" s="96">
        <v>64.8</v>
      </c>
      <c r="Q102" s="96">
        <v>64.099999999999994</v>
      </c>
      <c r="R102" s="96">
        <v>64.3</v>
      </c>
      <c r="S102" s="96">
        <v>64.7</v>
      </c>
      <c r="T102" s="96">
        <v>64.900000000000006</v>
      </c>
      <c r="U102" s="96">
        <v>64.7</v>
      </c>
      <c r="V102" s="96">
        <v>65</v>
      </c>
      <c r="W102" s="96">
        <v>64.400000000000006</v>
      </c>
      <c r="X102" s="96">
        <v>63.4</v>
      </c>
      <c r="Y102" s="96">
        <v>63.6</v>
      </c>
      <c r="Z102" s="96">
        <v>63.6</v>
      </c>
      <c r="AA102" s="96">
        <v>63.6</v>
      </c>
      <c r="AB102" s="96">
        <v>64.900000000000006</v>
      </c>
      <c r="AC102" s="96">
        <v>64.7</v>
      </c>
      <c r="AD102" s="96">
        <v>65.2</v>
      </c>
      <c r="AE102" s="96">
        <v>65.400000000000006</v>
      </c>
      <c r="AF102" s="96">
        <v>66.400000000000006</v>
      </c>
      <c r="AG102" s="97"/>
      <c r="AH102" s="48">
        <f t="shared" si="13"/>
        <v>66.400000000000006</v>
      </c>
      <c r="AI102" s="49">
        <f t="shared" si="14"/>
        <v>63.4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3"/>
        <v>0</v>
      </c>
      <c r="AI103" s="49">
        <f t="shared" si="14"/>
        <v>0</v>
      </c>
    </row>
    <row r="104" spans="1:35" ht="15.75" thickBot="1" x14ac:dyDescent="0.3">
      <c r="A104" s="99" t="s">
        <v>108</v>
      </c>
      <c r="B104" s="100">
        <f t="shared" ref="B104:AF104" si="22">SUM(B16,B22,B25:B26,B52,B54:B55,B57,B59,B105:B109,B131,B137,B143,B152,B154,B166,B173,B176:B177,B184,B186,B188,B192:B194,B196:B198,B203,B209:B210,B212:B214,B222,B227)</f>
        <v>145.90000000000003</v>
      </c>
      <c r="C104" s="100">
        <f t="shared" si="22"/>
        <v>123.53999999999999</v>
      </c>
      <c r="D104" s="100">
        <f t="shared" si="22"/>
        <v>117.74000000000001</v>
      </c>
      <c r="E104" s="100">
        <f t="shared" si="22"/>
        <v>122.03999999999999</v>
      </c>
      <c r="F104" s="100">
        <f t="shared" si="22"/>
        <v>122.03999999999999</v>
      </c>
      <c r="G104" s="100">
        <f t="shared" si="22"/>
        <v>167.04000000000002</v>
      </c>
      <c r="H104" s="100">
        <f t="shared" si="22"/>
        <v>200.14000000000004</v>
      </c>
      <c r="I104" s="100">
        <f t="shared" si="22"/>
        <v>277.68</v>
      </c>
      <c r="J104" s="100">
        <f t="shared" si="22"/>
        <v>284.94</v>
      </c>
      <c r="K104" s="100">
        <f t="shared" si="22"/>
        <v>285.24</v>
      </c>
      <c r="L104" s="100">
        <f t="shared" si="22"/>
        <v>331.76</v>
      </c>
      <c r="M104" s="100">
        <f t="shared" si="22"/>
        <v>410.46</v>
      </c>
      <c r="N104" s="100">
        <f t="shared" si="22"/>
        <v>387.56</v>
      </c>
      <c r="O104" s="100">
        <f t="shared" si="22"/>
        <v>383.16</v>
      </c>
      <c r="P104" s="100">
        <v>42</v>
      </c>
      <c r="Q104" s="100">
        <f t="shared" si="22"/>
        <v>328.82</v>
      </c>
      <c r="R104" s="100">
        <f t="shared" si="22"/>
        <v>303.12</v>
      </c>
      <c r="S104" s="100">
        <f t="shared" si="22"/>
        <v>298.22000000000003</v>
      </c>
      <c r="T104" s="100">
        <f t="shared" si="22"/>
        <v>261.12000000000006</v>
      </c>
      <c r="U104" s="100">
        <f t="shared" si="22"/>
        <v>264.71999999999997</v>
      </c>
      <c r="V104" s="100">
        <f t="shared" si="22"/>
        <v>290.92</v>
      </c>
      <c r="W104" s="100">
        <f t="shared" si="22"/>
        <v>352.32000000000005</v>
      </c>
      <c r="X104" s="100">
        <v>390.59708333333339</v>
      </c>
      <c r="Y104" s="100">
        <f t="shared" si="22"/>
        <v>471.62</v>
      </c>
      <c r="Z104" s="100">
        <f t="shared" si="22"/>
        <v>464.32000000000005</v>
      </c>
      <c r="AA104" s="100">
        <f t="shared" si="22"/>
        <v>424.91999999999996</v>
      </c>
      <c r="AB104" s="100">
        <f t="shared" si="22"/>
        <v>449.92</v>
      </c>
      <c r="AC104" s="100">
        <f t="shared" si="22"/>
        <v>364.8</v>
      </c>
      <c r="AD104" s="100">
        <f t="shared" si="22"/>
        <v>325.79999999999995</v>
      </c>
      <c r="AE104" s="100">
        <f t="shared" si="22"/>
        <v>261.8</v>
      </c>
      <c r="AF104" s="100">
        <f t="shared" si="22"/>
        <v>172.2</v>
      </c>
      <c r="AG104" s="101"/>
      <c r="AH104" s="48">
        <f t="shared" si="13"/>
        <v>471.62</v>
      </c>
      <c r="AI104" s="49">
        <f t="shared" si="14"/>
        <v>42</v>
      </c>
    </row>
    <row r="105" spans="1:35" x14ac:dyDescent="0.25">
      <c r="A105" s="88" t="s">
        <v>109</v>
      </c>
      <c r="B105" s="102">
        <v>-3.3</v>
      </c>
      <c r="C105" s="102">
        <v>-7</v>
      </c>
      <c r="D105" s="102">
        <v>-8</v>
      </c>
      <c r="E105" s="102">
        <v>-2.7</v>
      </c>
      <c r="F105" s="102">
        <v>-2.7</v>
      </c>
      <c r="G105" s="102">
        <v>-12.3</v>
      </c>
      <c r="H105" s="102">
        <v>1.4</v>
      </c>
      <c r="I105" s="102">
        <v>30.74</v>
      </c>
      <c r="J105" s="102">
        <v>27.3</v>
      </c>
      <c r="K105" s="102">
        <v>27.3</v>
      </c>
      <c r="L105" s="102">
        <v>25</v>
      </c>
      <c r="M105" s="102">
        <v>25.4</v>
      </c>
      <c r="N105" s="102">
        <v>30.7</v>
      </c>
      <c r="O105" s="102">
        <v>40.700000000000003</v>
      </c>
      <c r="P105" s="102">
        <v>42.2</v>
      </c>
      <c r="Q105" s="102">
        <v>25.9</v>
      </c>
      <c r="R105" s="102">
        <v>19.399999999999999</v>
      </c>
      <c r="S105" s="102">
        <v>18.3</v>
      </c>
      <c r="T105" s="102">
        <v>17.899999999999999</v>
      </c>
      <c r="U105" s="102">
        <v>36.799999999999997</v>
      </c>
      <c r="V105" s="102">
        <v>35.200000000000003</v>
      </c>
      <c r="W105" s="102">
        <v>52</v>
      </c>
      <c r="X105" s="102">
        <v>39.6</v>
      </c>
      <c r="Y105" s="102">
        <v>41.2</v>
      </c>
      <c r="Z105" s="102">
        <v>44.7</v>
      </c>
      <c r="AA105" s="102">
        <v>39.6</v>
      </c>
      <c r="AB105" s="102">
        <v>44.8</v>
      </c>
      <c r="AC105" s="102">
        <v>41.7</v>
      </c>
      <c r="AD105" s="102">
        <v>34</v>
      </c>
      <c r="AE105" s="102">
        <v>24.4</v>
      </c>
      <c r="AF105" s="102">
        <v>2.7</v>
      </c>
      <c r="AG105" s="103">
        <v>75</v>
      </c>
      <c r="AH105" s="48">
        <f t="shared" si="13"/>
        <v>52</v>
      </c>
      <c r="AI105" s="49">
        <f t="shared" si="14"/>
        <v>-12.3</v>
      </c>
    </row>
    <row r="106" spans="1:35" x14ac:dyDescent="0.25">
      <c r="A106" s="91" t="s">
        <v>110</v>
      </c>
      <c r="B106" s="104">
        <v>0.8</v>
      </c>
      <c r="C106" s="104">
        <v>-2.9</v>
      </c>
      <c r="D106" s="104">
        <v>-3.6</v>
      </c>
      <c r="E106" s="104">
        <v>2.7</v>
      </c>
      <c r="F106" s="104">
        <v>2.7</v>
      </c>
      <c r="G106" s="104">
        <v>-8</v>
      </c>
      <c r="H106" s="104">
        <v>9.6</v>
      </c>
      <c r="I106" s="104">
        <v>48.5</v>
      </c>
      <c r="J106" s="104">
        <v>43.9</v>
      </c>
      <c r="K106" s="104">
        <v>43.9</v>
      </c>
      <c r="L106" s="104">
        <v>37.6</v>
      </c>
      <c r="M106" s="104">
        <v>33.5</v>
      </c>
      <c r="N106" s="104">
        <v>40.799999999999997</v>
      </c>
      <c r="O106" s="104">
        <v>54.4</v>
      </c>
      <c r="P106" s="104">
        <v>59</v>
      </c>
      <c r="Q106" s="104">
        <v>34.5</v>
      </c>
      <c r="R106" s="104">
        <v>27</v>
      </c>
      <c r="S106" s="104">
        <v>26.2</v>
      </c>
      <c r="T106" s="104">
        <v>24.8</v>
      </c>
      <c r="U106" s="104">
        <v>53.2</v>
      </c>
      <c r="V106" s="104">
        <v>47.8</v>
      </c>
      <c r="W106" s="104">
        <v>69.2</v>
      </c>
      <c r="X106" s="104">
        <v>48.7</v>
      </c>
      <c r="Y106" s="104">
        <v>50.6</v>
      </c>
      <c r="Z106" s="104">
        <v>56.9</v>
      </c>
      <c r="AA106" s="104">
        <v>49.3</v>
      </c>
      <c r="AB106" s="104">
        <v>57.3</v>
      </c>
      <c r="AC106" s="104">
        <v>51.8</v>
      </c>
      <c r="AD106" s="104">
        <v>41.3</v>
      </c>
      <c r="AE106" s="104">
        <v>32.6</v>
      </c>
      <c r="AF106" s="104">
        <v>6.5</v>
      </c>
      <c r="AG106" s="103">
        <v>240</v>
      </c>
      <c r="AH106" s="48">
        <f t="shared" si="13"/>
        <v>69.2</v>
      </c>
      <c r="AI106" s="49">
        <f t="shared" si="14"/>
        <v>-8</v>
      </c>
    </row>
    <row r="107" spans="1:35" x14ac:dyDescent="0.25">
      <c r="A107" s="91" t="s">
        <v>111</v>
      </c>
      <c r="B107" s="104">
        <v>-60</v>
      </c>
      <c r="C107" s="104">
        <v>-70</v>
      </c>
      <c r="D107" s="104">
        <v>-76</v>
      </c>
      <c r="E107" s="104">
        <v>-82.6</v>
      </c>
      <c r="F107" s="104">
        <v>-82.6</v>
      </c>
      <c r="G107" s="104">
        <v>-35.5</v>
      </c>
      <c r="H107" s="104">
        <v>-41</v>
      </c>
      <c r="I107" s="104">
        <v>-30</v>
      </c>
      <c r="J107" s="104">
        <v>-20</v>
      </c>
      <c r="K107" s="104">
        <v>-20</v>
      </c>
      <c r="L107" s="104">
        <v>-32.1</v>
      </c>
      <c r="M107" s="104">
        <v>48</v>
      </c>
      <c r="N107" s="104">
        <v>29.5</v>
      </c>
      <c r="O107" s="104">
        <v>15.2</v>
      </c>
      <c r="P107" s="104">
        <v>-1.2</v>
      </c>
      <c r="Q107" s="104">
        <v>6.7</v>
      </c>
      <c r="R107" s="104">
        <v>1</v>
      </c>
      <c r="S107" s="104">
        <v>-4</v>
      </c>
      <c r="T107" s="104">
        <v>-38.6</v>
      </c>
      <c r="U107" s="104">
        <v>-46</v>
      </c>
      <c r="V107" s="104">
        <v>-24.6</v>
      </c>
      <c r="W107" s="104">
        <v>-27.8</v>
      </c>
      <c r="X107" s="104">
        <v>31</v>
      </c>
      <c r="Y107" s="104">
        <v>66</v>
      </c>
      <c r="Z107" s="104">
        <v>50.8</v>
      </c>
      <c r="AA107" s="104">
        <v>28.6</v>
      </c>
      <c r="AB107" s="104">
        <v>61.4</v>
      </c>
      <c r="AC107" s="104">
        <f>-7.1+20.6</f>
        <v>13.500000000000002</v>
      </c>
      <c r="AD107" s="104">
        <f>-19.4+11</f>
        <v>-8.3999999999999986</v>
      </c>
      <c r="AE107" s="104">
        <f>-11.8-11.2</f>
        <v>-23</v>
      </c>
      <c r="AF107" s="104">
        <f>-21.1-22.9</f>
        <v>-44</v>
      </c>
      <c r="AG107" s="103">
        <v>240</v>
      </c>
      <c r="AH107" s="48">
        <f t="shared" si="13"/>
        <v>66</v>
      </c>
      <c r="AI107" s="49">
        <f t="shared" si="14"/>
        <v>-82.6</v>
      </c>
    </row>
    <row r="108" spans="1:35" x14ac:dyDescent="0.25">
      <c r="A108" s="91" t="s">
        <v>112</v>
      </c>
      <c r="B108" s="104">
        <v>13.4</v>
      </c>
      <c r="C108" s="104">
        <v>12.3</v>
      </c>
      <c r="D108" s="104">
        <v>12.5</v>
      </c>
      <c r="E108" s="104">
        <v>12.1</v>
      </c>
      <c r="F108" s="104">
        <v>12.1</v>
      </c>
      <c r="G108" s="104">
        <v>-3.5</v>
      </c>
      <c r="H108" s="104">
        <v>-1.7</v>
      </c>
      <c r="I108" s="104">
        <v>1</v>
      </c>
      <c r="J108" s="104">
        <v>5</v>
      </c>
      <c r="K108" s="104">
        <v>5</v>
      </c>
      <c r="L108" s="104">
        <v>52</v>
      </c>
      <c r="M108" s="104">
        <v>54.6</v>
      </c>
      <c r="N108" s="104">
        <v>52.5</v>
      </c>
      <c r="O108" s="104">
        <v>50.7</v>
      </c>
      <c r="P108" s="104">
        <v>46.1</v>
      </c>
      <c r="Q108" s="104">
        <v>44.8</v>
      </c>
      <c r="R108" s="104">
        <v>44.4</v>
      </c>
      <c r="S108" s="104">
        <v>41.4</v>
      </c>
      <c r="T108" s="104">
        <v>41.4</v>
      </c>
      <c r="U108" s="104">
        <v>45.7</v>
      </c>
      <c r="V108" s="104">
        <v>53.9</v>
      </c>
      <c r="W108" s="104">
        <v>56.1</v>
      </c>
      <c r="X108" s="104">
        <v>66.900000000000006</v>
      </c>
      <c r="Y108" s="104">
        <v>66.900000000000006</v>
      </c>
      <c r="Z108" s="104">
        <v>68.400000000000006</v>
      </c>
      <c r="AA108" s="104">
        <v>67.099999999999994</v>
      </c>
      <c r="AB108" s="104">
        <v>67.099999999999994</v>
      </c>
      <c r="AC108" s="104">
        <v>57</v>
      </c>
      <c r="AD108" s="104">
        <v>57.3</v>
      </c>
      <c r="AE108" s="104">
        <v>8.4</v>
      </c>
      <c r="AF108" s="104">
        <v>-1.5</v>
      </c>
      <c r="AG108" s="103">
        <v>60</v>
      </c>
      <c r="AH108" s="48">
        <f t="shared" si="13"/>
        <v>68.400000000000006</v>
      </c>
      <c r="AI108" s="49">
        <f t="shared" si="14"/>
        <v>-3.5</v>
      </c>
    </row>
    <row r="109" spans="1:35" x14ac:dyDescent="0.25">
      <c r="A109" s="105" t="s">
        <v>113</v>
      </c>
      <c r="B109" s="106">
        <v>67.400000000000006</v>
      </c>
      <c r="C109" s="106">
        <v>62.6</v>
      </c>
      <c r="D109" s="106">
        <v>64.3</v>
      </c>
      <c r="E109" s="106">
        <v>62.9</v>
      </c>
      <c r="F109" s="106">
        <v>62.9</v>
      </c>
      <c r="G109" s="106">
        <v>96.5</v>
      </c>
      <c r="H109" s="106">
        <v>102</v>
      </c>
      <c r="I109" s="106">
        <v>98</v>
      </c>
      <c r="J109" s="106">
        <v>99.3</v>
      </c>
      <c r="K109" s="106">
        <v>99.3</v>
      </c>
      <c r="L109" s="106">
        <v>119</v>
      </c>
      <c r="M109" s="106">
        <v>121.1</v>
      </c>
      <c r="N109" s="106">
        <v>105.9</v>
      </c>
      <c r="O109" s="106">
        <v>93.8</v>
      </c>
      <c r="P109" s="106">
        <v>84.5</v>
      </c>
      <c r="Q109" s="106">
        <v>89.5</v>
      </c>
      <c r="R109" s="106">
        <v>83.9</v>
      </c>
      <c r="S109" s="106">
        <v>87.2</v>
      </c>
      <c r="T109" s="106">
        <v>86.7</v>
      </c>
      <c r="U109" s="106">
        <v>50.4</v>
      </c>
      <c r="V109" s="106">
        <v>53.7</v>
      </c>
      <c r="W109" s="106">
        <v>77.900000000000006</v>
      </c>
      <c r="X109" s="106">
        <v>105.5</v>
      </c>
      <c r="Y109" s="106">
        <v>107</v>
      </c>
      <c r="Z109" s="106">
        <v>103.6</v>
      </c>
      <c r="AA109" s="106">
        <v>100.4</v>
      </c>
      <c r="AB109" s="106">
        <v>92.7</v>
      </c>
      <c r="AC109" s="106">
        <v>72.7</v>
      </c>
      <c r="AD109" s="106">
        <v>68.7</v>
      </c>
      <c r="AE109" s="106">
        <v>88.7</v>
      </c>
      <c r="AF109" s="106">
        <v>77.8</v>
      </c>
      <c r="AG109" s="107">
        <v>120</v>
      </c>
      <c r="AH109" s="48">
        <f t="shared" si="13"/>
        <v>121.1</v>
      </c>
      <c r="AI109" s="49">
        <f t="shared" si="14"/>
        <v>50.4</v>
      </c>
    </row>
    <row r="110" spans="1:35" x14ac:dyDescent="0.25">
      <c r="A110" s="105" t="s">
        <v>115</v>
      </c>
      <c r="B110" s="106">
        <v>74</v>
      </c>
      <c r="C110" s="106">
        <v>74.900000000000006</v>
      </c>
      <c r="D110" s="106">
        <v>80</v>
      </c>
      <c r="E110" s="106">
        <v>80.3</v>
      </c>
      <c r="F110" s="106">
        <v>80.3</v>
      </c>
      <c r="G110" s="106">
        <v>96.4</v>
      </c>
      <c r="H110" s="106">
        <v>108</v>
      </c>
      <c r="I110" s="106">
        <v>90</v>
      </c>
      <c r="J110" s="106">
        <v>93.5</v>
      </c>
      <c r="K110" s="106">
        <v>93.5</v>
      </c>
      <c r="L110" s="106">
        <v>98</v>
      </c>
      <c r="M110" s="106">
        <v>88.8</v>
      </c>
      <c r="N110" s="106">
        <v>77.3</v>
      </c>
      <c r="O110" s="106">
        <v>52.6</v>
      </c>
      <c r="P110" s="106">
        <v>20.399999999999999</v>
      </c>
      <c r="Q110" s="106">
        <v>84.7</v>
      </c>
      <c r="R110" s="106">
        <v>80.2</v>
      </c>
      <c r="S110" s="106">
        <v>90.1</v>
      </c>
      <c r="T110" s="106">
        <v>80</v>
      </c>
      <c r="U110" s="106">
        <v>37.200000000000003</v>
      </c>
      <c r="V110" s="106">
        <v>40.4</v>
      </c>
      <c r="W110" s="106">
        <v>34.4</v>
      </c>
      <c r="X110" s="106">
        <v>90.1</v>
      </c>
      <c r="Y110" s="106">
        <v>83.3</v>
      </c>
      <c r="Z110" s="106">
        <v>66.7</v>
      </c>
      <c r="AA110" s="106">
        <v>81.7</v>
      </c>
      <c r="AB110" s="106">
        <v>52.9</v>
      </c>
      <c r="AC110" s="106">
        <v>80.099999999999994</v>
      </c>
      <c r="AD110" s="106">
        <v>73.5</v>
      </c>
      <c r="AE110" s="106">
        <v>86.7</v>
      </c>
      <c r="AF110" s="106">
        <v>84</v>
      </c>
      <c r="AG110" s="107"/>
      <c r="AH110" s="48">
        <f t="shared" si="13"/>
        <v>108</v>
      </c>
      <c r="AI110" s="49">
        <f t="shared" si="14"/>
        <v>20.399999999999999</v>
      </c>
    </row>
    <row r="111" spans="1:35" x14ac:dyDescent="0.25">
      <c r="A111" s="105" t="s">
        <v>116</v>
      </c>
      <c r="B111" s="106">
        <v>37.200000000000003</v>
      </c>
      <c r="C111" s="106">
        <v>33.9</v>
      </c>
      <c r="D111" s="106">
        <v>33.299999999999997</v>
      </c>
      <c r="E111" s="106">
        <v>30.1</v>
      </c>
      <c r="F111" s="106">
        <v>30.1</v>
      </c>
      <c r="G111" s="106">
        <v>49.4</v>
      </c>
      <c r="H111" s="106">
        <v>42.9</v>
      </c>
      <c r="I111" s="106">
        <v>11.1</v>
      </c>
      <c r="J111" s="106">
        <v>9.9</v>
      </c>
      <c r="K111" s="106">
        <v>9.9</v>
      </c>
      <c r="L111" s="106">
        <v>26.2</v>
      </c>
      <c r="M111" s="106">
        <v>29.6</v>
      </c>
      <c r="N111" s="106">
        <v>28.6</v>
      </c>
      <c r="O111" s="106">
        <v>19.3</v>
      </c>
      <c r="P111" s="106">
        <v>15.1</v>
      </c>
      <c r="Q111" s="106">
        <v>20.7</v>
      </c>
      <c r="R111" s="106">
        <v>28.2</v>
      </c>
      <c r="S111" s="106">
        <v>26.7</v>
      </c>
      <c r="T111" s="106">
        <v>24.9</v>
      </c>
      <c r="U111" s="106">
        <v>3.4</v>
      </c>
      <c r="V111" s="106">
        <v>4.9000000000000004</v>
      </c>
      <c r="W111" s="106">
        <v>3.8</v>
      </c>
      <c r="X111" s="106">
        <v>18.399999999999999</v>
      </c>
      <c r="Y111" s="106">
        <v>17</v>
      </c>
      <c r="Z111" s="106">
        <v>11.4</v>
      </c>
      <c r="AA111" s="106">
        <v>20.6</v>
      </c>
      <c r="AB111" s="106">
        <v>40.200000000000003</v>
      </c>
      <c r="AC111" s="106">
        <v>19.899999999999999</v>
      </c>
      <c r="AD111" s="106">
        <v>19.399999999999999</v>
      </c>
      <c r="AE111" s="106">
        <v>29.6</v>
      </c>
      <c r="AF111" s="106">
        <v>32.9</v>
      </c>
      <c r="AG111" s="108"/>
      <c r="AH111" s="48">
        <f t="shared" si="13"/>
        <v>49.4</v>
      </c>
      <c r="AI111" s="49">
        <f t="shared" si="14"/>
        <v>3.4</v>
      </c>
    </row>
    <row r="112" spans="1:35" x14ac:dyDescent="0.25">
      <c r="A112" s="109" t="s">
        <v>117</v>
      </c>
      <c r="B112" s="94">
        <v>50.2</v>
      </c>
      <c r="C112" s="94">
        <v>55.9</v>
      </c>
      <c r="D112" s="94">
        <v>47.6</v>
      </c>
      <c r="E112" s="94">
        <v>49</v>
      </c>
      <c r="F112" s="94">
        <v>49</v>
      </c>
      <c r="G112" s="94">
        <v>46</v>
      </c>
      <c r="H112" s="94">
        <v>41.8</v>
      </c>
      <c r="I112" s="94">
        <v>18.5</v>
      </c>
      <c r="J112" s="94">
        <v>10.1</v>
      </c>
      <c r="K112" s="94">
        <v>10.1</v>
      </c>
      <c r="L112" s="94">
        <v>-12</v>
      </c>
      <c r="M112" s="94">
        <v>-19.100000000000001</v>
      </c>
      <c r="N112" s="94">
        <v>5</v>
      </c>
      <c r="O112" s="94">
        <v>8.4</v>
      </c>
      <c r="P112" s="94">
        <v>16</v>
      </c>
      <c r="Q112" s="94">
        <v>27</v>
      </c>
      <c r="R112" s="94">
        <v>24.4</v>
      </c>
      <c r="S112" s="94">
        <v>25.8</v>
      </c>
      <c r="T112" s="94">
        <v>26.3</v>
      </c>
      <c r="U112" s="94">
        <v>-40.6</v>
      </c>
      <c r="V112" s="94">
        <v>-21.5</v>
      </c>
      <c r="W112" s="94">
        <v>-34</v>
      </c>
      <c r="X112" s="94">
        <v>-43.6</v>
      </c>
      <c r="Y112" s="94">
        <v>-27</v>
      </c>
      <c r="Z112" s="94">
        <v>-14.9</v>
      </c>
      <c r="AA112" s="94">
        <v>-4.4000000000000004</v>
      </c>
      <c r="AB112" s="94">
        <v>11.2</v>
      </c>
      <c r="AC112" s="94">
        <v>19.8</v>
      </c>
      <c r="AD112" s="94">
        <v>25.3</v>
      </c>
      <c r="AE112" s="94">
        <v>40.700000000000003</v>
      </c>
      <c r="AF112" s="94">
        <v>42</v>
      </c>
      <c r="AG112" s="108"/>
      <c r="AH112" s="48">
        <f t="shared" si="13"/>
        <v>55.9</v>
      </c>
      <c r="AI112" s="49">
        <f t="shared" si="14"/>
        <v>-43.6</v>
      </c>
    </row>
    <row r="113" spans="1:37" ht="15.75" thickBot="1" x14ac:dyDescent="0.3">
      <c r="A113" s="109" t="s">
        <v>118</v>
      </c>
      <c r="B113" s="94">
        <v>21.5</v>
      </c>
      <c r="C113" s="94">
        <v>25.1</v>
      </c>
      <c r="D113" s="94">
        <v>27.5</v>
      </c>
      <c r="E113" s="94">
        <v>34.9</v>
      </c>
      <c r="F113" s="94">
        <v>34.9</v>
      </c>
      <c r="G113" s="94">
        <v>2.8</v>
      </c>
      <c r="H113" s="94">
        <v>13.8</v>
      </c>
      <c r="I113" s="94">
        <v>17.2</v>
      </c>
      <c r="J113" s="94">
        <v>13.3</v>
      </c>
      <c r="K113" s="94">
        <v>13.3</v>
      </c>
      <c r="L113" s="94">
        <v>-14</v>
      </c>
      <c r="M113" s="94">
        <v>-17.600000000000001</v>
      </c>
      <c r="N113" s="94">
        <v>0</v>
      </c>
      <c r="O113" s="94">
        <v>11.8</v>
      </c>
      <c r="P113" s="94">
        <v>25.5</v>
      </c>
      <c r="Q113" s="94">
        <v>16.600000000000001</v>
      </c>
      <c r="R113" s="94">
        <v>19.5</v>
      </c>
      <c r="S113" s="94">
        <v>24.2</v>
      </c>
      <c r="T113" s="94">
        <v>20</v>
      </c>
      <c r="U113" s="94">
        <v>37.5</v>
      </c>
      <c r="V113" s="94">
        <v>9.5</v>
      </c>
      <c r="W113" s="94">
        <v>21.1</v>
      </c>
      <c r="X113" s="94">
        <v>-23</v>
      </c>
      <c r="Y113" s="94">
        <v>-18.3</v>
      </c>
      <c r="Z113" s="94">
        <v>-4.5999999999999996</v>
      </c>
      <c r="AA113" s="94">
        <v>-18.100000000000001</v>
      </c>
      <c r="AB113" s="94">
        <v>-1.4</v>
      </c>
      <c r="AC113" s="94">
        <v>-10.4</v>
      </c>
      <c r="AD113" s="94">
        <v>-9.6999999999999993</v>
      </c>
      <c r="AE113" s="94">
        <v>-13</v>
      </c>
      <c r="AF113" s="94">
        <v>-20.6</v>
      </c>
      <c r="AG113" s="108"/>
      <c r="AH113" s="48">
        <f t="shared" si="13"/>
        <v>37.5</v>
      </c>
      <c r="AI113" s="49">
        <f t="shared" si="14"/>
        <v>-23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23">SUM(B115:B219)</f>
        <v>0</v>
      </c>
      <c r="C220" s="125">
        <f t="shared" si="23"/>
        <v>0</v>
      </c>
      <c r="D220" s="125">
        <f t="shared" si="23"/>
        <v>0</v>
      </c>
      <c r="E220" s="125">
        <f t="shared" si="23"/>
        <v>0</v>
      </c>
      <c r="F220" s="125">
        <f t="shared" si="23"/>
        <v>0</v>
      </c>
      <c r="G220" s="125">
        <f t="shared" si="23"/>
        <v>0</v>
      </c>
      <c r="H220" s="125">
        <f t="shared" si="23"/>
        <v>0</v>
      </c>
      <c r="I220" s="125">
        <f t="shared" si="23"/>
        <v>0</v>
      </c>
      <c r="J220" s="125">
        <f t="shared" si="23"/>
        <v>0</v>
      </c>
      <c r="K220" s="125">
        <f t="shared" si="23"/>
        <v>0</v>
      </c>
      <c r="L220" s="125">
        <f t="shared" si="23"/>
        <v>0</v>
      </c>
      <c r="M220" s="125">
        <f t="shared" si="23"/>
        <v>0</v>
      </c>
      <c r="N220" s="125">
        <f t="shared" si="23"/>
        <v>0</v>
      </c>
      <c r="O220" s="125">
        <f t="shared" si="23"/>
        <v>0</v>
      </c>
      <c r="P220" s="125">
        <f t="shared" si="23"/>
        <v>0</v>
      </c>
      <c r="Q220" s="125">
        <f t="shared" si="23"/>
        <v>0</v>
      </c>
      <c r="R220" s="125">
        <f t="shared" si="23"/>
        <v>0</v>
      </c>
      <c r="S220" s="125">
        <f t="shared" si="23"/>
        <v>0</v>
      </c>
      <c r="T220" s="125">
        <f t="shared" si="23"/>
        <v>0</v>
      </c>
      <c r="U220" s="125">
        <f t="shared" si="23"/>
        <v>0</v>
      </c>
      <c r="V220" s="125">
        <f t="shared" si="23"/>
        <v>0</v>
      </c>
      <c r="W220" s="125">
        <f t="shared" si="23"/>
        <v>0</v>
      </c>
      <c r="X220" s="125">
        <f t="shared" si="23"/>
        <v>0</v>
      </c>
      <c r="Y220" s="125">
        <f t="shared" si="23"/>
        <v>0</v>
      </c>
      <c r="Z220" s="125">
        <f t="shared" si="23"/>
        <v>0</v>
      </c>
      <c r="AA220" s="125">
        <f t="shared" si="23"/>
        <v>0</v>
      </c>
      <c r="AB220" s="125">
        <f t="shared" si="23"/>
        <v>0</v>
      </c>
      <c r="AC220" s="125">
        <f t="shared" si="23"/>
        <v>0</v>
      </c>
      <c r="AD220" s="125">
        <f t="shared" si="23"/>
        <v>0</v>
      </c>
      <c r="AE220" s="125">
        <f t="shared" si="23"/>
        <v>0</v>
      </c>
      <c r="AF220" s="126">
        <f t="shared" si="23"/>
        <v>0</v>
      </c>
      <c r="AG220" s="127">
        <f t="shared" si="23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24">AF222</f>
        <v>0</v>
      </c>
      <c r="C222" s="129">
        <v>0.3</v>
      </c>
      <c r="D222" s="129">
        <f t="shared" ref="D222:P227" si="25">C222</f>
        <v>0.3</v>
      </c>
      <c r="E222" s="129">
        <f t="shared" si="25"/>
        <v>0.3</v>
      </c>
      <c r="F222" s="129">
        <f t="shared" si="25"/>
        <v>0.3</v>
      </c>
      <c r="G222" s="129">
        <f t="shared" si="25"/>
        <v>0.3</v>
      </c>
      <c r="H222" s="129">
        <f t="shared" si="25"/>
        <v>0.3</v>
      </c>
      <c r="I222" s="129">
        <f t="shared" si="25"/>
        <v>0.3</v>
      </c>
      <c r="J222" s="129">
        <f t="shared" si="25"/>
        <v>0.3</v>
      </c>
      <c r="K222" s="129">
        <f t="shared" si="25"/>
        <v>0.3</v>
      </c>
      <c r="L222" s="129">
        <f t="shared" si="25"/>
        <v>0.3</v>
      </c>
      <c r="M222" s="129">
        <f t="shared" si="25"/>
        <v>0.3</v>
      </c>
      <c r="N222" s="129">
        <f t="shared" si="25"/>
        <v>0.3</v>
      </c>
      <c r="O222" s="129">
        <f t="shared" si="25"/>
        <v>0.3</v>
      </c>
      <c r="P222" s="129">
        <f t="shared" si="25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24"/>
        <v>0</v>
      </c>
      <c r="C223" s="117">
        <v>0.4</v>
      </c>
      <c r="D223" s="117">
        <f t="shared" si="25"/>
        <v>0.4</v>
      </c>
      <c r="E223" s="117">
        <f t="shared" si="25"/>
        <v>0.4</v>
      </c>
      <c r="F223" s="117">
        <f t="shared" si="25"/>
        <v>0.4</v>
      </c>
      <c r="G223" s="117">
        <f t="shared" si="25"/>
        <v>0.4</v>
      </c>
      <c r="H223" s="117">
        <f t="shared" si="25"/>
        <v>0.4</v>
      </c>
      <c r="I223" s="117">
        <f t="shared" si="25"/>
        <v>0.4</v>
      </c>
      <c r="J223" s="117">
        <f t="shared" si="25"/>
        <v>0.4</v>
      </c>
      <c r="K223" s="117">
        <f t="shared" si="25"/>
        <v>0.4</v>
      </c>
      <c r="L223" s="117">
        <f t="shared" si="25"/>
        <v>0.4</v>
      </c>
      <c r="M223" s="117">
        <f t="shared" si="25"/>
        <v>0.4</v>
      </c>
      <c r="N223" s="117">
        <f t="shared" si="25"/>
        <v>0.4</v>
      </c>
      <c r="O223" s="117">
        <f t="shared" si="25"/>
        <v>0.4</v>
      </c>
      <c r="P223" s="117">
        <f t="shared" si="25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24"/>
        <v>0</v>
      </c>
      <c r="C224" s="117">
        <v>1.5</v>
      </c>
      <c r="D224" s="117">
        <f t="shared" si="25"/>
        <v>1.5</v>
      </c>
      <c r="E224" s="117">
        <f t="shared" si="25"/>
        <v>1.5</v>
      </c>
      <c r="F224" s="117">
        <f t="shared" si="25"/>
        <v>1.5</v>
      </c>
      <c r="G224" s="117">
        <f t="shared" si="25"/>
        <v>1.5</v>
      </c>
      <c r="H224" s="117">
        <f t="shared" si="25"/>
        <v>1.5</v>
      </c>
      <c r="I224" s="100">
        <f t="shared" ref="I224" ca="1" si="26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25"/>
        <v>1.5</v>
      </c>
      <c r="K224" s="117">
        <f t="shared" ca="1" si="25"/>
        <v>1.5</v>
      </c>
      <c r="L224" s="117">
        <f t="shared" ca="1" si="25"/>
        <v>1.5</v>
      </c>
      <c r="M224" s="117">
        <f t="shared" ca="1" si="25"/>
        <v>1.5</v>
      </c>
      <c r="N224" s="117">
        <f t="shared" ca="1" si="25"/>
        <v>1.5</v>
      </c>
      <c r="O224" s="117">
        <f t="shared" ca="1" si="25"/>
        <v>1.5</v>
      </c>
      <c r="P224" s="117">
        <f t="shared" ca="1" si="25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24"/>
        <v>0</v>
      </c>
      <c r="C225" s="117">
        <v>0.3</v>
      </c>
      <c r="D225" s="117">
        <f t="shared" si="25"/>
        <v>0.3</v>
      </c>
      <c r="E225" s="117">
        <f t="shared" si="25"/>
        <v>0.3</v>
      </c>
      <c r="F225" s="117">
        <f t="shared" si="25"/>
        <v>0.3</v>
      </c>
      <c r="G225" s="117">
        <f t="shared" si="25"/>
        <v>0.3</v>
      </c>
      <c r="H225" s="117">
        <f t="shared" si="25"/>
        <v>0.3</v>
      </c>
      <c r="I225" s="117">
        <f t="shared" si="25"/>
        <v>0.3</v>
      </c>
      <c r="J225" s="117">
        <f t="shared" si="25"/>
        <v>0.3</v>
      </c>
      <c r="K225" s="117">
        <f t="shared" si="25"/>
        <v>0.3</v>
      </c>
      <c r="L225" s="117">
        <f t="shared" si="25"/>
        <v>0.3</v>
      </c>
      <c r="M225" s="117">
        <f t="shared" si="25"/>
        <v>0.3</v>
      </c>
      <c r="N225" s="117">
        <f t="shared" si="25"/>
        <v>0.3</v>
      </c>
      <c r="O225" s="117">
        <f t="shared" si="25"/>
        <v>0.3</v>
      </c>
      <c r="P225" s="117">
        <f t="shared" si="25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24"/>
        <v>0</v>
      </c>
      <c r="C226" s="117">
        <v>0.4</v>
      </c>
      <c r="D226" s="117">
        <f t="shared" si="25"/>
        <v>0.4</v>
      </c>
      <c r="E226" s="117">
        <f t="shared" si="25"/>
        <v>0.4</v>
      </c>
      <c r="F226" s="117">
        <f t="shared" si="25"/>
        <v>0.4</v>
      </c>
      <c r="G226" s="117">
        <f t="shared" si="25"/>
        <v>0.4</v>
      </c>
      <c r="H226" s="117">
        <f t="shared" si="25"/>
        <v>0.4</v>
      </c>
      <c r="I226" s="117">
        <f t="shared" si="25"/>
        <v>0.4</v>
      </c>
      <c r="J226" s="117">
        <f t="shared" si="25"/>
        <v>0.4</v>
      </c>
      <c r="K226" s="117">
        <f t="shared" si="25"/>
        <v>0.4</v>
      </c>
      <c r="L226" s="117">
        <f t="shared" si="25"/>
        <v>0.4</v>
      </c>
      <c r="M226" s="117">
        <f t="shared" si="25"/>
        <v>0.4</v>
      </c>
      <c r="N226" s="117">
        <f t="shared" si="25"/>
        <v>0.4</v>
      </c>
      <c r="O226" s="117">
        <f t="shared" si="25"/>
        <v>0.4</v>
      </c>
      <c r="P226" s="117">
        <f t="shared" si="25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24"/>
        <v>0</v>
      </c>
      <c r="C227" s="121">
        <v>0.64</v>
      </c>
      <c r="D227" s="121">
        <f t="shared" si="25"/>
        <v>0.64</v>
      </c>
      <c r="E227" s="121">
        <f t="shared" si="25"/>
        <v>0.64</v>
      </c>
      <c r="F227" s="121">
        <f t="shared" si="25"/>
        <v>0.64</v>
      </c>
      <c r="G227" s="121">
        <f t="shared" si="25"/>
        <v>0.64</v>
      </c>
      <c r="H227" s="121">
        <f t="shared" si="25"/>
        <v>0.64</v>
      </c>
      <c r="I227" s="121">
        <f t="shared" si="25"/>
        <v>0.64</v>
      </c>
      <c r="J227" s="121">
        <f t="shared" si="25"/>
        <v>0.64</v>
      </c>
      <c r="K227" s="121">
        <f t="shared" si="25"/>
        <v>0.64</v>
      </c>
      <c r="L227" s="121">
        <f t="shared" si="25"/>
        <v>0.64</v>
      </c>
      <c r="M227" s="121">
        <f t="shared" si="25"/>
        <v>0.64</v>
      </c>
      <c r="N227" s="121">
        <f t="shared" si="25"/>
        <v>0.64</v>
      </c>
      <c r="O227" s="121">
        <f t="shared" si="25"/>
        <v>0.64</v>
      </c>
      <c r="P227" s="121">
        <f t="shared" si="25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7">SUM(B222:B227)</f>
        <v>0</v>
      </c>
      <c r="C228" s="125">
        <f t="shared" si="27"/>
        <v>3.54</v>
      </c>
      <c r="D228" s="125">
        <f t="shared" si="27"/>
        <v>3.54</v>
      </c>
      <c r="E228" s="125">
        <f t="shared" si="27"/>
        <v>3.54</v>
      </c>
      <c r="F228" s="125">
        <f t="shared" si="27"/>
        <v>3.54</v>
      </c>
      <c r="G228" s="125">
        <f t="shared" si="27"/>
        <v>3.54</v>
      </c>
      <c r="H228" s="125">
        <f t="shared" si="27"/>
        <v>3.54</v>
      </c>
      <c r="I228" s="125">
        <f t="shared" ca="1" si="27"/>
        <v>3.54</v>
      </c>
      <c r="J228" s="125">
        <f t="shared" ca="1" si="27"/>
        <v>3.54</v>
      </c>
      <c r="K228" s="125">
        <f t="shared" ca="1" si="27"/>
        <v>3.54</v>
      </c>
      <c r="L228" s="125">
        <f t="shared" ca="1" si="27"/>
        <v>3.54</v>
      </c>
      <c r="M228" s="125">
        <f t="shared" ca="1" si="27"/>
        <v>3.54</v>
      </c>
      <c r="N228" s="125">
        <f t="shared" ca="1" si="27"/>
        <v>3.54</v>
      </c>
      <c r="O228" s="125">
        <f t="shared" ca="1" si="27"/>
        <v>3.54</v>
      </c>
      <c r="P228" s="125">
        <f t="shared" ca="1" si="27"/>
        <v>3.54</v>
      </c>
      <c r="Q228" s="125">
        <f t="shared" si="27"/>
        <v>0</v>
      </c>
      <c r="R228" s="125">
        <f t="shared" si="27"/>
        <v>0</v>
      </c>
      <c r="S228" s="125">
        <f t="shared" si="27"/>
        <v>0</v>
      </c>
      <c r="T228" s="125">
        <f t="shared" si="27"/>
        <v>0</v>
      </c>
      <c r="U228" s="125">
        <f t="shared" si="27"/>
        <v>0</v>
      </c>
      <c r="V228" s="125">
        <f t="shared" si="27"/>
        <v>0</v>
      </c>
      <c r="W228" s="125">
        <f t="shared" si="27"/>
        <v>0</v>
      </c>
      <c r="X228" s="125">
        <f t="shared" si="27"/>
        <v>0</v>
      </c>
      <c r="Y228" s="125">
        <f t="shared" si="27"/>
        <v>0</v>
      </c>
      <c r="Z228" s="125">
        <f t="shared" si="27"/>
        <v>0</v>
      </c>
      <c r="AA228" s="125">
        <f t="shared" si="27"/>
        <v>0</v>
      </c>
      <c r="AB228" s="125">
        <f t="shared" si="27"/>
        <v>0</v>
      </c>
      <c r="AC228" s="125">
        <f t="shared" si="27"/>
        <v>0</v>
      </c>
      <c r="AD228" s="125">
        <f t="shared" si="27"/>
        <v>0</v>
      </c>
      <c r="AE228" s="125">
        <f t="shared" si="27"/>
        <v>0</v>
      </c>
      <c r="AF228" s="125">
        <f t="shared" si="27"/>
        <v>0</v>
      </c>
      <c r="AG228" s="134">
        <f t="shared" si="27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1673.86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22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2079/09/22)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2079/09/22)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8">B85</f>
        <v>1041.3399999999999</v>
      </c>
      <c r="U242" s="159">
        <f t="shared" si="28"/>
        <v>1002.4399999999998</v>
      </c>
      <c r="V242" s="159">
        <f t="shared" si="28"/>
        <v>994.2399999999999</v>
      </c>
      <c r="W242" s="159">
        <f t="shared" si="28"/>
        <v>1003.54</v>
      </c>
      <c r="X242" s="159">
        <f t="shared" si="28"/>
        <v>1018.9399999999999</v>
      </c>
      <c r="Y242" s="159">
        <f t="shared" si="28"/>
        <v>1060.6399999999999</v>
      </c>
      <c r="Z242" s="159">
        <f t="shared" si="28"/>
        <v>1151.74</v>
      </c>
      <c r="AA242" s="159">
        <f t="shared" si="28"/>
        <v>1258.44</v>
      </c>
      <c r="AB242" s="159">
        <f t="shared" si="28"/>
        <v>1411.3899999999999</v>
      </c>
      <c r="AC242" s="159">
        <f t="shared" si="28"/>
        <v>1471.79</v>
      </c>
      <c r="AD242" s="159">
        <f t="shared" si="28"/>
        <v>1640.31</v>
      </c>
      <c r="AE242" s="159">
        <f t="shared" si="28"/>
        <v>1673.86</v>
      </c>
      <c r="AF242" s="159">
        <f t="shared" si="28"/>
        <v>1624.26</v>
      </c>
      <c r="AG242" s="159">
        <f t="shared" si="28"/>
        <v>1606.76</v>
      </c>
      <c r="AH242" s="159">
        <f t="shared" si="28"/>
        <v>1501.62</v>
      </c>
      <c r="AI242" s="159">
        <f t="shared" si="28"/>
        <v>1413.1599999999999</v>
      </c>
      <c r="AJ242" s="159">
        <f t="shared" si="28"/>
        <v>1369.76</v>
      </c>
      <c r="AK242" s="159">
        <f t="shared" si="28"/>
        <v>1386.3600000000001</v>
      </c>
      <c r="AL242" s="159">
        <f t="shared" si="28"/>
        <v>1357.96</v>
      </c>
      <c r="AM242" s="159">
        <f t="shared" si="28"/>
        <v>1344.16</v>
      </c>
      <c r="AN242" s="159">
        <f t="shared" si="28"/>
        <v>1426.26</v>
      </c>
      <c r="AO242" s="159">
        <f t="shared" si="28"/>
        <v>1637.6599999999999</v>
      </c>
      <c r="AP242" s="159">
        <f t="shared" si="28"/>
        <v>1788.76</v>
      </c>
      <c r="AQ242" s="159">
        <f t="shared" si="28"/>
        <v>1780.8600000000001</v>
      </c>
      <c r="AR242" s="159">
        <f t="shared" si="28"/>
        <v>1758.66</v>
      </c>
      <c r="AS242" s="159">
        <f t="shared" si="28"/>
        <v>1715.26</v>
      </c>
      <c r="AT242" s="159">
        <f t="shared" si="28"/>
        <v>1604.3600000000001</v>
      </c>
      <c r="AU242" s="159">
        <f t="shared" si="28"/>
        <v>1450.84</v>
      </c>
      <c r="AV242" s="159">
        <f t="shared" si="28"/>
        <v>1422.34</v>
      </c>
      <c r="AW242" s="159">
        <f t="shared" si="28"/>
        <v>1247.74</v>
      </c>
      <c r="AX242" s="159">
        <f t="shared" si="28"/>
        <v>1137.94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9">C227</f>
        <v>0.64</v>
      </c>
      <c r="C263" s="162">
        <f t="shared" si="29"/>
        <v>0.64</v>
      </c>
      <c r="D263" s="162">
        <f t="shared" si="29"/>
        <v>0.64</v>
      </c>
      <c r="E263" s="162">
        <f t="shared" si="29"/>
        <v>0.64</v>
      </c>
      <c r="F263" s="162">
        <f t="shared" si="29"/>
        <v>0.64</v>
      </c>
      <c r="G263" s="162">
        <f t="shared" si="29"/>
        <v>0.64</v>
      </c>
      <c r="H263" s="162">
        <f t="shared" si="29"/>
        <v>0.64</v>
      </c>
      <c r="I263" s="162">
        <f t="shared" si="29"/>
        <v>0.64</v>
      </c>
      <c r="J263" s="162">
        <f t="shared" si="29"/>
        <v>0.64</v>
      </c>
      <c r="K263" s="162">
        <f t="shared" si="29"/>
        <v>0.64</v>
      </c>
      <c r="L263" s="162">
        <f t="shared" si="29"/>
        <v>0.64</v>
      </c>
      <c r="M263" s="162">
        <f t="shared" si="29"/>
        <v>0.64</v>
      </c>
      <c r="N263" s="162">
        <f t="shared" si="29"/>
        <v>0.64</v>
      </c>
      <c r="O263" s="162">
        <f t="shared" si="29"/>
        <v>0.64</v>
      </c>
      <c r="P263" s="162">
        <f t="shared" si="29"/>
        <v>0</v>
      </c>
      <c r="Q263" s="162">
        <f t="shared" si="29"/>
        <v>0</v>
      </c>
      <c r="R263" s="162">
        <f t="shared" si="29"/>
        <v>0</v>
      </c>
      <c r="S263" s="162">
        <f t="shared" si="29"/>
        <v>0</v>
      </c>
      <c r="T263" s="162">
        <f t="shared" si="29"/>
        <v>0</v>
      </c>
      <c r="U263" s="162">
        <f t="shared" si="29"/>
        <v>0</v>
      </c>
      <c r="V263" s="162">
        <f t="shared" si="29"/>
        <v>0</v>
      </c>
      <c r="W263" s="162">
        <f t="shared" si="29"/>
        <v>0</v>
      </c>
      <c r="X263" s="162">
        <f t="shared" si="29"/>
        <v>0</v>
      </c>
      <c r="Y263" s="162">
        <f t="shared" si="29"/>
        <v>0</v>
      </c>
      <c r="Z263" s="162">
        <f t="shared" si="29"/>
        <v>0</v>
      </c>
      <c r="AA263" s="162">
        <f t="shared" si="29"/>
        <v>0</v>
      </c>
      <c r="AB263" s="162">
        <f t="shared" si="29"/>
        <v>0</v>
      </c>
      <c r="AC263" s="162">
        <f t="shared" si="29"/>
        <v>0</v>
      </c>
      <c r="AD263" s="162">
        <f t="shared" si="29"/>
        <v>0</v>
      </c>
      <c r="AE263" s="162">
        <f t="shared" si="29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30">IF(B231&lt;100,"",B231-520)</f>
        <v/>
      </c>
      <c r="C264" s="163" t="str">
        <f t="shared" si="30"/>
        <v/>
      </c>
      <c r="D264" s="163" t="str">
        <f t="shared" si="30"/>
        <v/>
      </c>
      <c r="E264" s="163" t="str">
        <f t="shared" si="30"/>
        <v/>
      </c>
      <c r="F264" s="163" t="str">
        <f t="shared" si="30"/>
        <v/>
      </c>
      <c r="G264" s="163" t="str">
        <f t="shared" si="30"/>
        <v/>
      </c>
      <c r="H264" s="163" t="str">
        <f t="shared" si="30"/>
        <v/>
      </c>
      <c r="I264" s="163" t="str">
        <f t="shared" si="30"/>
        <v/>
      </c>
      <c r="J264" s="163" t="str">
        <f t="shared" si="30"/>
        <v/>
      </c>
      <c r="K264" s="163" t="str">
        <f t="shared" si="30"/>
        <v/>
      </c>
      <c r="L264" s="163" t="str">
        <f t="shared" si="30"/>
        <v/>
      </c>
      <c r="M264" s="163" t="str">
        <f t="shared" si="30"/>
        <v/>
      </c>
      <c r="N264" s="163" t="str">
        <f t="shared" si="30"/>
        <v/>
      </c>
      <c r="O264" s="163" t="str">
        <f t="shared" si="30"/>
        <v/>
      </c>
      <c r="P264" s="163" t="str">
        <f t="shared" si="30"/>
        <v/>
      </c>
      <c r="Q264" s="163" t="str">
        <f t="shared" si="30"/>
        <v/>
      </c>
      <c r="R264" s="163" t="str">
        <f t="shared" si="30"/>
        <v/>
      </c>
      <c r="S264" s="163" t="str">
        <f t="shared" si="30"/>
        <v/>
      </c>
      <c r="T264" s="163" t="str">
        <f t="shared" si="30"/>
        <v/>
      </c>
      <c r="U264" s="163" t="str">
        <f t="shared" si="30"/>
        <v/>
      </c>
      <c r="V264" s="163" t="str">
        <f t="shared" si="30"/>
        <v/>
      </c>
      <c r="W264" s="163" t="str">
        <f t="shared" si="30"/>
        <v/>
      </c>
      <c r="X264" s="163" t="str">
        <f t="shared" si="30"/>
        <v/>
      </c>
      <c r="Y264" s="163" t="str">
        <f t="shared" si="30"/>
        <v/>
      </c>
      <c r="Z264" s="163" t="str">
        <f t="shared" si="30"/>
        <v/>
      </c>
      <c r="AA264" s="163" t="str">
        <f t="shared" si="30"/>
        <v/>
      </c>
      <c r="AB264" s="163" t="str">
        <f t="shared" si="30"/>
        <v/>
      </c>
      <c r="AC264" s="163" t="str">
        <f t="shared" si="30"/>
        <v/>
      </c>
      <c r="AD264" s="163" t="str">
        <f t="shared" si="30"/>
        <v/>
      </c>
      <c r="AE264" s="163" t="str">
        <f t="shared" si="30"/>
        <v/>
      </c>
      <c r="AF264" s="163" t="str">
        <f t="shared" si="30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1">IF(B232&lt;100,"",B232-620)</f>
        <v/>
      </c>
      <c r="C265" s="163" t="str">
        <f t="shared" si="31"/>
        <v/>
      </c>
      <c r="D265" s="163" t="str">
        <f t="shared" si="31"/>
        <v/>
      </c>
      <c r="E265" s="163" t="str">
        <f t="shared" si="31"/>
        <v/>
      </c>
      <c r="F265" s="163" t="str">
        <f t="shared" si="31"/>
        <v/>
      </c>
      <c r="G265" s="163" t="str">
        <f t="shared" si="31"/>
        <v/>
      </c>
      <c r="H265" s="163" t="str">
        <f t="shared" si="31"/>
        <v/>
      </c>
      <c r="I265" s="163" t="str">
        <f t="shared" si="31"/>
        <v/>
      </c>
      <c r="J265" s="163" t="str">
        <f t="shared" si="31"/>
        <v/>
      </c>
      <c r="K265" s="163" t="str">
        <f t="shared" si="31"/>
        <v/>
      </c>
      <c r="L265" s="163" t="str">
        <f t="shared" si="31"/>
        <v/>
      </c>
      <c r="M265" s="163" t="str">
        <f t="shared" si="31"/>
        <v/>
      </c>
      <c r="N265" s="163" t="str">
        <f t="shared" si="31"/>
        <v/>
      </c>
      <c r="O265" s="163" t="str">
        <f t="shared" si="31"/>
        <v/>
      </c>
      <c r="P265" s="163" t="str">
        <f t="shared" si="31"/>
        <v/>
      </c>
      <c r="Q265" s="163" t="str">
        <f t="shared" si="31"/>
        <v/>
      </c>
      <c r="R265" s="163" t="str">
        <f t="shared" si="31"/>
        <v/>
      </c>
      <c r="S265" s="163" t="str">
        <f t="shared" si="31"/>
        <v/>
      </c>
      <c r="T265" s="163" t="str">
        <f t="shared" si="31"/>
        <v/>
      </c>
      <c r="U265" s="163" t="str">
        <f t="shared" si="31"/>
        <v/>
      </c>
      <c r="V265" s="163" t="str">
        <f t="shared" si="31"/>
        <v/>
      </c>
      <c r="W265" s="163" t="str">
        <f t="shared" si="31"/>
        <v/>
      </c>
      <c r="X265" s="163" t="str">
        <f t="shared" si="31"/>
        <v/>
      </c>
      <c r="Y265" s="163" t="str">
        <f t="shared" si="31"/>
        <v/>
      </c>
      <c r="Z265" s="163" t="str">
        <f t="shared" si="31"/>
        <v/>
      </c>
      <c r="AA265" s="163" t="str">
        <f t="shared" si="31"/>
        <v/>
      </c>
      <c r="AB265" s="163" t="str">
        <f t="shared" si="31"/>
        <v/>
      </c>
      <c r="AC265" s="163" t="str">
        <f t="shared" si="31"/>
        <v/>
      </c>
      <c r="AD265" s="163" t="str">
        <f t="shared" si="31"/>
        <v/>
      </c>
      <c r="AE265" s="163" t="str">
        <f t="shared" si="31"/>
        <v/>
      </c>
      <c r="AF265" s="163" t="str">
        <f t="shared" si="31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2">IF(B233&lt;100,"",B233-330)</f>
        <v/>
      </c>
      <c r="C266" s="163" t="str">
        <f t="shared" si="32"/>
        <v/>
      </c>
      <c r="D266" s="163" t="str">
        <f t="shared" si="32"/>
        <v/>
      </c>
      <c r="E266" s="163" t="str">
        <f t="shared" si="32"/>
        <v/>
      </c>
      <c r="F266" s="163" t="str">
        <f t="shared" si="32"/>
        <v/>
      </c>
      <c r="G266" s="163" t="str">
        <f t="shared" si="32"/>
        <v/>
      </c>
      <c r="H266" s="163" t="str">
        <f t="shared" si="32"/>
        <v/>
      </c>
      <c r="I266" s="163" t="str">
        <f t="shared" si="32"/>
        <v/>
      </c>
      <c r="J266" s="163" t="str">
        <f t="shared" si="32"/>
        <v/>
      </c>
      <c r="K266" s="163" t="str">
        <f t="shared" si="32"/>
        <v/>
      </c>
      <c r="L266" s="163" t="str">
        <f t="shared" si="32"/>
        <v/>
      </c>
      <c r="M266" s="163" t="str">
        <f t="shared" si="32"/>
        <v/>
      </c>
      <c r="N266" s="163" t="str">
        <f t="shared" si="32"/>
        <v/>
      </c>
      <c r="O266" s="163" t="str">
        <f t="shared" si="32"/>
        <v/>
      </c>
      <c r="P266" s="163" t="str">
        <f t="shared" si="32"/>
        <v/>
      </c>
      <c r="Q266" s="163" t="str">
        <f t="shared" si="32"/>
        <v/>
      </c>
      <c r="R266" s="163" t="str">
        <f t="shared" si="32"/>
        <v/>
      </c>
      <c r="S266" s="163" t="str">
        <f t="shared" si="32"/>
        <v/>
      </c>
      <c r="T266" s="163" t="str">
        <f t="shared" si="32"/>
        <v/>
      </c>
      <c r="U266" s="163" t="str">
        <f t="shared" si="32"/>
        <v/>
      </c>
      <c r="V266" s="163" t="str">
        <f t="shared" si="32"/>
        <v/>
      </c>
      <c r="W266" s="163" t="str">
        <f t="shared" si="32"/>
        <v/>
      </c>
      <c r="X266" s="163" t="str">
        <f t="shared" si="32"/>
        <v/>
      </c>
      <c r="Y266" s="163" t="str">
        <f t="shared" si="32"/>
        <v/>
      </c>
      <c r="Z266" s="163" t="str">
        <f t="shared" si="32"/>
        <v/>
      </c>
      <c r="AA266" s="163" t="str">
        <f t="shared" si="32"/>
        <v/>
      </c>
      <c r="AB266" s="163" t="str">
        <f t="shared" si="32"/>
        <v/>
      </c>
      <c r="AC266" s="163" t="str">
        <f t="shared" si="32"/>
        <v/>
      </c>
      <c r="AD266" s="163" t="str">
        <f t="shared" si="32"/>
        <v/>
      </c>
      <c r="AE266" s="163" t="str">
        <f t="shared" si="32"/>
        <v/>
      </c>
      <c r="AF266" s="163" t="str">
        <f t="shared" si="32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3">IF(B234&lt;100,"",B234-1500)</f>
        <v/>
      </c>
      <c r="C267" s="163" t="str">
        <f t="shared" si="33"/>
        <v/>
      </c>
      <c r="D267" s="163" t="str">
        <f t="shared" si="33"/>
        <v/>
      </c>
      <c r="E267" s="163" t="str">
        <f t="shared" si="33"/>
        <v/>
      </c>
      <c r="F267" s="163" t="str">
        <f t="shared" si="33"/>
        <v/>
      </c>
      <c r="G267" s="163" t="str">
        <f t="shared" si="33"/>
        <v/>
      </c>
      <c r="H267" s="163" t="str">
        <f t="shared" si="33"/>
        <v/>
      </c>
      <c r="I267" s="163" t="str">
        <f t="shared" si="33"/>
        <v/>
      </c>
      <c r="J267" s="163" t="str">
        <f t="shared" si="33"/>
        <v/>
      </c>
      <c r="K267" s="163" t="str">
        <f t="shared" si="33"/>
        <v/>
      </c>
      <c r="L267" s="163" t="str">
        <f t="shared" si="33"/>
        <v/>
      </c>
      <c r="M267" s="163" t="str">
        <f t="shared" si="33"/>
        <v/>
      </c>
      <c r="N267" s="163" t="str">
        <f t="shared" si="33"/>
        <v/>
      </c>
      <c r="O267" s="163" t="str">
        <f t="shared" si="33"/>
        <v/>
      </c>
      <c r="P267" s="163" t="str">
        <f t="shared" si="33"/>
        <v/>
      </c>
      <c r="Q267" s="163" t="str">
        <f t="shared" si="33"/>
        <v/>
      </c>
      <c r="R267" s="163" t="str">
        <f t="shared" si="33"/>
        <v/>
      </c>
      <c r="S267" s="163" t="str">
        <f t="shared" si="33"/>
        <v/>
      </c>
      <c r="T267" s="163" t="str">
        <f t="shared" si="33"/>
        <v/>
      </c>
      <c r="U267" s="163" t="str">
        <f t="shared" si="33"/>
        <v/>
      </c>
      <c r="V267" s="163" t="str">
        <f t="shared" si="33"/>
        <v/>
      </c>
      <c r="W267" s="163" t="str">
        <f t="shared" si="33"/>
        <v/>
      </c>
      <c r="X267" s="163" t="str">
        <f t="shared" si="33"/>
        <v/>
      </c>
      <c r="Y267" s="163" t="str">
        <f t="shared" si="33"/>
        <v/>
      </c>
      <c r="Z267" s="163" t="str">
        <f t="shared" si="33"/>
        <v/>
      </c>
      <c r="AA267" s="163" t="str">
        <f t="shared" si="33"/>
        <v/>
      </c>
      <c r="AB267" s="163" t="str">
        <f t="shared" si="33"/>
        <v/>
      </c>
      <c r="AC267" s="163" t="str">
        <f t="shared" si="33"/>
        <v/>
      </c>
      <c r="AD267" s="163" t="str">
        <f t="shared" si="33"/>
        <v/>
      </c>
      <c r="AE267" s="163" t="str">
        <f t="shared" si="33"/>
        <v/>
      </c>
      <c r="AF267" s="163" t="str">
        <f t="shared" si="33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X11:AF41">
    <cfRule type="expression" dxfId="5058" priority="234">
      <formula>B$9&gt;=20/24</formula>
    </cfRule>
    <cfRule type="expression" dxfId="5057" priority="235">
      <formula>AND(B$9&gt;=14/24,B$9&lt;20/24)</formula>
    </cfRule>
    <cfRule type="expression" dxfId="5056" priority="236">
      <formula>AND(B$9&gt;=8/24,B$9&lt;14/24)</formula>
    </cfRule>
    <cfRule type="expression" dxfId="5055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X11:AF41">
    <cfRule type="expression" dxfId="5054" priority="232">
      <formula>X11&gt;$AG11</formula>
    </cfRule>
  </conditionalFormatting>
  <conditionalFormatting sqref="A95:A105 A55:A82 A91:A93 A198:A228 A42:A53 A114:A185 A38:A39 A87:A89 A84:A85 A107:A109 A35:A36 A17:A18 A11:A15 A20:A33">
    <cfRule type="expression" dxfId="5053" priority="231">
      <formula>$AH11=0</formula>
    </cfRule>
  </conditionalFormatting>
  <conditionalFormatting sqref="A110">
    <cfRule type="expression" dxfId="5052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5051" priority="228">
      <formula>$AH41=0</formula>
    </cfRule>
  </conditionalFormatting>
  <conditionalFormatting sqref="A94">
    <cfRule type="expression" dxfId="5050" priority="227">
      <formula>$AH94=0</formula>
    </cfRule>
  </conditionalFormatting>
  <conditionalFormatting sqref="A16">
    <cfRule type="expression" dxfId="5049" priority="226">
      <formula>$AH16=0</formula>
    </cfRule>
  </conditionalFormatting>
  <conditionalFormatting sqref="A192:A197">
    <cfRule type="expression" dxfId="5048" priority="225">
      <formula>$AH192=0</formula>
    </cfRule>
  </conditionalFormatting>
  <conditionalFormatting sqref="A186:A191">
    <cfRule type="expression" dxfId="5047" priority="224">
      <formula>$AH186=0</formula>
    </cfRule>
  </conditionalFormatting>
  <conditionalFormatting sqref="A54">
    <cfRule type="expression" dxfId="5046" priority="223">
      <formula>$AH54=0</formula>
    </cfRule>
  </conditionalFormatting>
  <conditionalFormatting sqref="A90">
    <cfRule type="expression" dxfId="5045" priority="222">
      <formula>$AH90=0</formula>
    </cfRule>
  </conditionalFormatting>
  <conditionalFormatting sqref="AD95:AF95 E95:X95">
    <cfRule type="expression" dxfId="5044" priority="218">
      <formula>E$9&gt;=20/24</formula>
    </cfRule>
    <cfRule type="expression" dxfId="5043" priority="219">
      <formula>AND(E$9&gt;=14/24,E$9&lt;20/24)</formula>
    </cfRule>
    <cfRule type="expression" dxfId="5042" priority="220">
      <formula>AND(E$9&gt;=8/24,E$9&lt;14/24)</formula>
    </cfRule>
    <cfRule type="expression" dxfId="5041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040" priority="240">
      <formula>C$9&gt;=20/24</formula>
    </cfRule>
    <cfRule type="expression" dxfId="5039" priority="241">
      <formula>AND(C$9&gt;=14/24,C$9&lt;20/24)</formula>
    </cfRule>
    <cfRule type="expression" dxfId="5038" priority="242">
      <formula>AND(C$9&gt;=8/24,C$9&lt;14/24)</formula>
    </cfRule>
    <cfRule type="expression" dxfId="5037" priority="243">
      <formula>C$9&lt;8/24</formula>
    </cfRule>
  </conditionalFormatting>
  <conditionalFormatting sqref="A229">
    <cfRule type="expression" dxfId="5036" priority="244">
      <formula>$AH229=0</formula>
    </cfRule>
  </conditionalFormatting>
  <conditionalFormatting sqref="AG241">
    <cfRule type="expression" dxfId="5035" priority="245">
      <formula>B$9&gt;=20/24</formula>
    </cfRule>
    <cfRule type="expression" dxfId="5034" priority="246">
      <formula>AND(B$9&gt;=14/24,B$9&lt;20/24)</formula>
    </cfRule>
    <cfRule type="expression" dxfId="5033" priority="247">
      <formula>AND(B$9&gt;=8/24,B$9&lt;14/24)</formula>
    </cfRule>
    <cfRule type="expression" dxfId="5032" priority="248">
      <formula>B$9&lt;8/24</formula>
    </cfRule>
  </conditionalFormatting>
  <conditionalFormatting sqref="S8">
    <cfRule type="expression" dxfId="5031" priority="213">
      <formula>U$9&gt;=20/24</formula>
    </cfRule>
    <cfRule type="expression" dxfId="5030" priority="214">
      <formula>AND(U$9&gt;=14/24,U$9&lt;20/24)</formula>
    </cfRule>
    <cfRule type="expression" dxfId="5029" priority="215">
      <formula>AND(U$9&gt;=8/24,U$9&lt;14/24)</formula>
    </cfRule>
    <cfRule type="expression" dxfId="5028" priority="216">
      <formula>U$9&lt;8/24</formula>
    </cfRule>
  </conditionalFormatting>
  <conditionalFormatting sqref="AB8">
    <cfRule type="expression" dxfId="5027" priority="209">
      <formula>AD$9&gt;=20/24</formula>
    </cfRule>
    <cfRule type="expression" dxfId="5026" priority="210">
      <formula>AND(AD$9&gt;=14/24,AD$9&lt;20/24)</formula>
    </cfRule>
    <cfRule type="expression" dxfId="5025" priority="211">
      <formula>AND(AD$9&gt;=8/24,AD$9&lt;14/24)</formula>
    </cfRule>
    <cfRule type="expression" dxfId="5024" priority="212">
      <formula>AD$9&lt;8/24</formula>
    </cfRule>
  </conditionalFormatting>
  <conditionalFormatting sqref="AH241:AX241">
    <cfRule type="expression" dxfId="5023" priority="249">
      <formula>AG$9&gt;=20/24</formula>
    </cfRule>
    <cfRule type="expression" dxfId="5022" priority="250">
      <formula>AND(AG$9&gt;=14/24,AG$9&lt;20/24)</formula>
    </cfRule>
    <cfRule type="expression" dxfId="5021" priority="251">
      <formula>AND(AG$9&gt;=8/24,AG$9&lt;14/24)</formula>
    </cfRule>
    <cfRule type="expression" dxfId="5020" priority="252">
      <formula>AG$9&lt;8/24</formula>
    </cfRule>
  </conditionalFormatting>
  <conditionalFormatting sqref="T241">
    <cfRule type="expression" dxfId="5019" priority="253">
      <formula>AX$9&gt;=20/24</formula>
    </cfRule>
    <cfRule type="expression" dxfId="5018" priority="254">
      <formula>AND(AX$9&gt;=14/24,AX$9&lt;20/24)</formula>
    </cfRule>
    <cfRule type="expression" dxfId="5017" priority="255">
      <formula>AND(AX$9&gt;=8/24,AX$9&lt;14/24)</formula>
    </cfRule>
    <cfRule type="expression" dxfId="5016" priority="256">
      <formula>AX$9&lt;8/24</formula>
    </cfRule>
  </conditionalFormatting>
  <conditionalFormatting sqref="A111:A112">
    <cfRule type="expression" dxfId="5015" priority="208">
      <formula>$AH111=0</formula>
    </cfRule>
  </conditionalFormatting>
  <conditionalFormatting sqref="M50:P51 P52 R52:W52 Q50:Q52 S53:W53 X52:AB53 AC50:AF53 E67:AF67">
    <cfRule type="expression" dxfId="5014" priority="204">
      <formula>E$9&gt;=20/24</formula>
    </cfRule>
    <cfRule type="expression" dxfId="5013" priority="205">
      <formula>AND(E$9&gt;=14/24,E$9&lt;20/24)</formula>
    </cfRule>
    <cfRule type="expression" dxfId="5012" priority="206">
      <formula>AND(E$9&gt;=8/24,E$9&lt;14/24)</formula>
    </cfRule>
    <cfRule type="expression" dxfId="5011" priority="207">
      <formula>E$9&lt;8/24</formula>
    </cfRule>
  </conditionalFormatting>
  <conditionalFormatting sqref="M49:Q49 AC49:AF49">
    <cfRule type="expression" dxfId="5010" priority="200">
      <formula>M$9&gt;=20/24</formula>
    </cfRule>
    <cfRule type="expression" dxfId="5009" priority="201">
      <formula>AND(M$9&gt;=14/24,M$9&lt;20/24)</formula>
    </cfRule>
    <cfRule type="expression" dxfId="5008" priority="202">
      <formula>AND(M$9&gt;=8/24,M$9&lt;14/24)</formula>
    </cfRule>
    <cfRule type="expression" dxfId="5007" priority="203">
      <formula>M$9&lt;8/24</formula>
    </cfRule>
  </conditionalFormatting>
  <conditionalFormatting sqref="M49:P51 P52 R52:W52 Q49:Q52 S53:W53 X52:AB53 AC49:AF53">
    <cfRule type="expression" dxfId="5006" priority="199">
      <formula>M49&gt;$AG49</formula>
    </cfRule>
  </conditionalFormatting>
  <conditionalFormatting sqref="M96:X102 E68:AA69 X70:AA70 X92:AF92 AD96:AF102 D82:AF82 X43:AF43 AB63:AF65 AB68:AF70">
    <cfRule type="expression" dxfId="5005" priority="195">
      <formula>D$9&gt;=20/24</formula>
    </cfRule>
    <cfRule type="expression" dxfId="5004" priority="196">
      <formula>AND(D$9&gt;=14/24,D$9&lt;20/24)</formula>
    </cfRule>
    <cfRule type="expression" dxfId="5003" priority="197">
      <formula>AND(D$9&gt;=8/24,D$9&lt;14/24)</formula>
    </cfRule>
    <cfRule type="expression" dxfId="5002" priority="198">
      <formula>D$9&lt;8/24</formula>
    </cfRule>
  </conditionalFormatting>
  <conditionalFormatting sqref="X43:AF43 AB63:AF65">
    <cfRule type="expression" dxfId="5001" priority="194">
      <formula>X43&gt;$AG43</formula>
    </cfRule>
  </conditionalFormatting>
  <conditionalFormatting sqref="R49:AB51">
    <cfRule type="expression" dxfId="5000" priority="190">
      <formula>R$9&gt;=20/24</formula>
    </cfRule>
    <cfRule type="expression" dxfId="4999" priority="191">
      <formula>AND(R$9&gt;=14/24,R$9&lt;20/24)</formula>
    </cfRule>
    <cfRule type="expression" dxfId="4998" priority="192">
      <formula>AND(R$9&gt;=8/24,R$9&lt;14/24)</formula>
    </cfRule>
    <cfRule type="expression" dxfId="4997" priority="193">
      <formula>R$9&lt;8/24</formula>
    </cfRule>
  </conditionalFormatting>
  <conditionalFormatting sqref="R49:AB51">
    <cfRule type="expression" dxfId="4996" priority="189">
      <formula>R49&gt;$AG49</formula>
    </cfRule>
  </conditionalFormatting>
  <conditionalFormatting sqref="C93:AF93 C84:AF84">
    <cfRule type="expression" dxfId="4995" priority="185">
      <formula>C$9&gt;=20/24</formula>
    </cfRule>
    <cfRule type="expression" dxfId="4994" priority="186">
      <formula>AND(C$9&gt;=14/24,C$9&lt;20/24)</formula>
    </cfRule>
    <cfRule type="expression" dxfId="4993" priority="187">
      <formula>AND(C$9&gt;=8/24,C$9&lt;14/24)</formula>
    </cfRule>
    <cfRule type="expression" dxfId="4992" priority="188">
      <formula>C$9&lt;8/24</formula>
    </cfRule>
  </conditionalFormatting>
  <conditionalFormatting sqref="T43:W43">
    <cfRule type="expression" dxfId="4991" priority="181">
      <formula>T$9&gt;=20/24</formula>
    </cfRule>
    <cfRule type="expression" dxfId="4990" priority="182">
      <formula>AND(T$9&gt;=14/24,T$9&lt;20/24)</formula>
    </cfRule>
    <cfRule type="expression" dxfId="4989" priority="183">
      <formula>AND(T$9&gt;=8/24,T$9&lt;14/24)</formula>
    </cfRule>
    <cfRule type="expression" dxfId="4988" priority="184">
      <formula>T$9&lt;8/24</formula>
    </cfRule>
  </conditionalFormatting>
  <conditionalFormatting sqref="T43:W43">
    <cfRule type="expression" dxfId="4987" priority="180">
      <formula>T43&gt;$AG43</formula>
    </cfRule>
  </conditionalFormatting>
  <conditionalFormatting sqref="E50:L51 X42:AF42">
    <cfRule type="expression" dxfId="4986" priority="176">
      <formula>E$9&gt;=20/24</formula>
    </cfRule>
    <cfRule type="expression" dxfId="4985" priority="177">
      <formula>AND(E$9&gt;=14/24,E$9&lt;20/24)</formula>
    </cfRule>
    <cfRule type="expression" dxfId="4984" priority="178">
      <formula>AND(E$9&gt;=8/24,E$9&lt;14/24)</formula>
    </cfRule>
    <cfRule type="expression" dxfId="4983" priority="179">
      <formula>E$9&lt;8/24</formula>
    </cfRule>
  </conditionalFormatting>
  <conditionalFormatting sqref="E49:L49">
    <cfRule type="expression" dxfId="4982" priority="172">
      <formula>E$9&gt;=20/24</formula>
    </cfRule>
    <cfRule type="expression" dxfId="4981" priority="173">
      <formula>AND(E$9&gt;=14/24,E$9&lt;20/24)</formula>
    </cfRule>
    <cfRule type="expression" dxfId="4980" priority="174">
      <formula>AND(E$9&gt;=8/24,E$9&lt;14/24)</formula>
    </cfRule>
    <cfRule type="expression" dxfId="4979" priority="175">
      <formula>E$9&lt;8/24</formula>
    </cfRule>
  </conditionalFormatting>
  <conditionalFormatting sqref="E49:L51 X42:AF42">
    <cfRule type="expression" dxfId="4978" priority="171">
      <formula>E42&gt;$AG42</formula>
    </cfRule>
  </conditionalFormatting>
  <conditionalFormatting sqref="AG66 AG83 E96:L102 T63:AA65">
    <cfRule type="expression" dxfId="4977" priority="167">
      <formula>E$9&gt;=20/24</formula>
    </cfRule>
    <cfRule type="expression" dxfId="4976" priority="168">
      <formula>AND(E$9&gt;=14/24,E$9&lt;20/24)</formula>
    </cfRule>
    <cfRule type="expression" dxfId="4975" priority="169">
      <formula>AND(E$9&gt;=8/24,E$9&lt;14/24)</formula>
    </cfRule>
    <cfRule type="expression" dxfId="4974" priority="170">
      <formula>E$9&lt;8/24</formula>
    </cfRule>
  </conditionalFormatting>
  <conditionalFormatting sqref="AG44 AG62 AG66 M52:O53 P53:R53 T63:AA65">
    <cfRule type="expression" dxfId="4973" priority="166">
      <formula>M44&gt;$AG44</formula>
    </cfRule>
  </conditionalFormatting>
  <conditionalFormatting sqref="AC54:AF54">
    <cfRule type="expression" dxfId="4972" priority="162">
      <formula>AC$9&gt;=20/24</formula>
    </cfRule>
    <cfRule type="expression" dxfId="4971" priority="163">
      <formula>AND(AC$9&gt;=14/24,AC$9&lt;20/24)</formula>
    </cfRule>
    <cfRule type="expression" dxfId="4970" priority="164">
      <formula>AND(AC$9&gt;=8/24,AC$9&lt;14/24)</formula>
    </cfRule>
    <cfRule type="expression" dxfId="4969" priority="165">
      <formula>AC$9&lt;8/24</formula>
    </cfRule>
  </conditionalFormatting>
  <conditionalFormatting sqref="AC54:AF54">
    <cfRule type="expression" dxfId="4968" priority="161">
      <formula>AC54&gt;$AG54</formula>
    </cfRule>
  </conditionalFormatting>
  <conditionalFormatting sqref="A40">
    <cfRule type="expression" dxfId="4967" priority="160">
      <formula>$AH40=0</formula>
    </cfRule>
  </conditionalFormatting>
  <conditionalFormatting sqref="X87:AF91">
    <cfRule type="expression" dxfId="4966" priority="156">
      <formula>X$9&gt;=20/24</formula>
    </cfRule>
    <cfRule type="expression" dxfId="4965" priority="157">
      <formula>AND(X$9&gt;=14/24,X$9&lt;20/24)</formula>
    </cfRule>
    <cfRule type="expression" dxfId="4964" priority="158">
      <formula>AND(X$9&gt;=8/24,X$9&lt;14/24)</formula>
    </cfRule>
    <cfRule type="expression" dxfId="4963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F45 G45:AF47">
    <cfRule type="expression" dxfId="4962" priority="152">
      <formula>E$9&gt;=20/24</formula>
    </cfRule>
    <cfRule type="expression" dxfId="4961" priority="153">
      <formula>AND(E$9&gt;=14/24,E$9&lt;20/24)</formula>
    </cfRule>
    <cfRule type="expression" dxfId="4960" priority="154">
      <formula>AND(E$9&gt;=8/24,E$9&lt;14/24)</formula>
    </cfRule>
    <cfRule type="expression" dxfId="4959" priority="155">
      <formula>E$9&lt;8/24</formula>
    </cfRule>
  </conditionalFormatting>
  <conditionalFormatting sqref="E45:F45 G45:AF47">
    <cfRule type="expression" dxfId="4958" priority="151">
      <formula>E45&gt;$AG45</formula>
    </cfRule>
  </conditionalFormatting>
  <conditionalFormatting sqref="AG48">
    <cfRule type="expression" dxfId="4957" priority="147">
      <formula>AG$9&gt;=20/24</formula>
    </cfRule>
    <cfRule type="expression" dxfId="4956" priority="148">
      <formula>AND(AG$9&gt;=14/24,AG$9&lt;20/24)</formula>
    </cfRule>
    <cfRule type="expression" dxfId="4955" priority="149">
      <formula>AND(AG$9&gt;=8/24,AG$9&lt;14/24)</formula>
    </cfRule>
    <cfRule type="expression" dxfId="4954" priority="150">
      <formula>AG$9&lt;8/24</formula>
    </cfRule>
  </conditionalFormatting>
  <conditionalFormatting sqref="AG48">
    <cfRule type="expression" dxfId="4953" priority="146">
      <formula>AG48&gt;$AG48</formula>
    </cfRule>
  </conditionalFormatting>
  <conditionalFormatting sqref="C103:AF103">
    <cfRule type="expression" dxfId="4952" priority="142">
      <formula>C$9&gt;=20/24</formula>
    </cfRule>
    <cfRule type="expression" dxfId="4951" priority="143">
      <formula>AND(C$9&gt;=14/24,C$9&lt;20/24)</formula>
    </cfRule>
    <cfRule type="expression" dxfId="4950" priority="144">
      <formula>AND(C$9&gt;=8/24,C$9&lt;14/24)</formula>
    </cfRule>
    <cfRule type="expression" dxfId="4949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948" priority="140">
      <formula>$AH37=0</formula>
    </cfRule>
  </conditionalFormatting>
  <conditionalFormatting sqref="A86">
    <cfRule type="expression" dxfId="4947" priority="138">
      <formula>$AH86=0</formula>
    </cfRule>
  </conditionalFormatting>
  <conditionalFormatting sqref="A83">
    <cfRule type="expression" dxfId="4946" priority="139">
      <formula>$AH83=0</formula>
    </cfRule>
  </conditionalFormatting>
  <conditionalFormatting sqref="A113">
    <cfRule type="expression" dxfId="4945" priority="129">
      <formula>$AH113=0</formula>
    </cfRule>
  </conditionalFormatting>
  <conditionalFormatting sqref="D106:AF106">
    <cfRule type="expression" dxfId="4944" priority="125">
      <formula>D$9&gt;=20/24</formula>
    </cfRule>
    <cfRule type="expression" dxfId="4943" priority="126">
      <formula>AND(D$9&gt;=14/24,D$9&lt;20/24)</formula>
    </cfRule>
    <cfRule type="expression" dxfId="4942" priority="127">
      <formula>AND(D$9&gt;=8/24,D$9&lt;14/24)</formula>
    </cfRule>
    <cfRule type="expression" dxfId="4941" priority="128">
      <formula>D$9&lt;8/24</formula>
    </cfRule>
  </conditionalFormatting>
  <conditionalFormatting sqref="A106">
    <cfRule type="expression" dxfId="4940" priority="124">
      <formula>$AH106=0</formula>
    </cfRule>
  </conditionalFormatting>
  <conditionalFormatting sqref="A19">
    <cfRule type="expression" dxfId="4939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938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4937" priority="116">
      <formula>Y$9&gt;=20/24</formula>
    </cfRule>
    <cfRule type="expression" dxfId="4936" priority="117">
      <formula>AND(Y$9&gt;=14/24,Y$9&lt;20/24)</formula>
    </cfRule>
    <cfRule type="expression" dxfId="4935" priority="118">
      <formula>AND(Y$9&gt;=8/24,Y$9&lt;14/24)</formula>
    </cfRule>
    <cfRule type="expression" dxfId="4934" priority="119">
      <formula>Y$9&lt;8/24</formula>
    </cfRule>
  </conditionalFormatting>
  <conditionalFormatting sqref="Y96:AC102">
    <cfRule type="expression" dxfId="4933" priority="112">
      <formula>Y$9&gt;=20/24</formula>
    </cfRule>
    <cfRule type="expression" dxfId="4932" priority="113">
      <formula>AND(Y$9&gt;=14/24,Y$9&lt;20/24)</formula>
    </cfRule>
    <cfRule type="expression" dxfId="4931" priority="114">
      <formula>AND(Y$9&gt;=8/24,Y$9&lt;14/24)</formula>
    </cfRule>
    <cfRule type="expression" dxfId="4930" priority="115">
      <formula>Y$9&lt;8/24</formula>
    </cfRule>
  </conditionalFormatting>
  <conditionalFormatting sqref="B105:C105 B107:C112 B15:W40">
    <cfRule type="expression" dxfId="4929" priority="108">
      <formula>B$9&gt;=20/24</formula>
    </cfRule>
    <cfRule type="expression" dxfId="4928" priority="109">
      <formula>AND(B$9&gt;=14/24,B$9&lt;20/24)</formula>
    </cfRule>
    <cfRule type="expression" dxfId="4927" priority="110">
      <formula>AND(B$9&gt;=8/24,B$9&lt;14/24)</formula>
    </cfRule>
    <cfRule type="expression" dxfId="4926" priority="111">
      <formula>B$9&lt;8/24</formula>
    </cfRule>
  </conditionalFormatting>
  <conditionalFormatting sqref="B43:S43">
    <cfRule type="expression" dxfId="4925" priority="104">
      <formula>B$9&gt;=20/24</formula>
    </cfRule>
    <cfRule type="expression" dxfId="4924" priority="105">
      <formula>AND(B$9&gt;=14/24,B$9&lt;20/24)</formula>
    </cfRule>
    <cfRule type="expression" dxfId="4923" priority="106">
      <formula>AND(B$9&gt;=8/24,B$9&lt;14/24)</formula>
    </cfRule>
    <cfRule type="expression" dxfId="4922" priority="107">
      <formula>B$9&lt;8/24</formula>
    </cfRule>
  </conditionalFormatting>
  <conditionalFormatting sqref="B43:S43 B15:W40">
    <cfRule type="expression" dxfId="4921" priority="103">
      <formula>B15&gt;$AG15</formula>
    </cfRule>
  </conditionalFormatting>
  <conditionalFormatting sqref="B95:D95">
    <cfRule type="expression" dxfId="4920" priority="99">
      <formula>B$9&gt;=20/24</formula>
    </cfRule>
    <cfRule type="expression" dxfId="4919" priority="100">
      <formula>AND(B$9&gt;=14/24,B$9&lt;20/24)</formula>
    </cfRule>
    <cfRule type="expression" dxfId="4918" priority="101">
      <formula>AND(B$9&gt;=8/24,B$9&lt;14/24)</formula>
    </cfRule>
    <cfRule type="expression" dxfId="4917" priority="102">
      <formula>B$9&lt;8/24</formula>
    </cfRule>
  </conditionalFormatting>
  <conditionalFormatting sqref="B50:D51 B67:D67">
    <cfRule type="expression" dxfId="4916" priority="95">
      <formula>B$9&gt;=20/24</formula>
    </cfRule>
    <cfRule type="expression" dxfId="4915" priority="96">
      <formula>AND(B$9&gt;=14/24,B$9&lt;20/24)</formula>
    </cfRule>
    <cfRule type="expression" dxfId="4914" priority="97">
      <formula>AND(B$9&gt;=8/24,B$9&lt;14/24)</formula>
    </cfRule>
    <cfRule type="expression" dxfId="4913" priority="98">
      <formula>B$9&lt;8/24</formula>
    </cfRule>
  </conditionalFormatting>
  <conditionalFormatting sqref="B49:D49">
    <cfRule type="expression" dxfId="4912" priority="91">
      <formula>B$9&gt;=20/24</formula>
    </cfRule>
    <cfRule type="expression" dxfId="4911" priority="92">
      <formula>AND(B$9&gt;=14/24,B$9&lt;20/24)</formula>
    </cfRule>
    <cfRule type="expression" dxfId="4910" priority="93">
      <formula>AND(B$9&gt;=8/24,B$9&lt;14/24)</formula>
    </cfRule>
    <cfRule type="expression" dxfId="4909" priority="94">
      <formula>B$9&lt;8/24</formula>
    </cfRule>
  </conditionalFormatting>
  <conditionalFormatting sqref="B49:D51">
    <cfRule type="expression" dxfId="4908" priority="90">
      <formula>B49&gt;$AG49</formula>
    </cfRule>
  </conditionalFormatting>
  <conditionalFormatting sqref="B82:C82 B92:W92 B68:D72 B96:D102 E70:W70 B63:S65 B79:AF81 E71:AF72">
    <cfRule type="expression" dxfId="4907" priority="86">
      <formula>B$9&gt;=20/24</formula>
    </cfRule>
    <cfRule type="expression" dxfId="4906" priority="87">
      <formula>AND(B$9&gt;=14/24,B$9&lt;20/24)</formula>
    </cfRule>
    <cfRule type="expression" dxfId="4905" priority="88">
      <formula>AND(B$9&gt;=8/24,B$9&lt;14/24)</formula>
    </cfRule>
    <cfRule type="expression" dxfId="4904" priority="89">
      <formula>B$9&lt;8/24</formula>
    </cfRule>
  </conditionalFormatting>
  <conditionalFormatting sqref="B52:L53 B63:S65">
    <cfRule type="expression" dxfId="4903" priority="85">
      <formula>B52&gt;$AG52</formula>
    </cfRule>
  </conditionalFormatting>
  <conditionalFormatting sqref="B54:AB54">
    <cfRule type="expression" dxfId="4902" priority="81">
      <formula>B$9&gt;=20/24</formula>
    </cfRule>
    <cfRule type="expression" dxfId="4901" priority="82">
      <formula>AND(B$9&gt;=14/24,B$9&lt;20/24)</formula>
    </cfRule>
    <cfRule type="expression" dxfId="4900" priority="83">
      <formula>AND(B$9&gt;=8/24,B$9&lt;14/24)</formula>
    </cfRule>
    <cfRule type="expression" dxfId="4899" priority="84">
      <formula>B$9&lt;8/24</formula>
    </cfRule>
  </conditionalFormatting>
  <conditionalFormatting sqref="B54:AB54">
    <cfRule type="expression" dxfId="4898" priority="80">
      <formula>B54&gt;$AG54</formula>
    </cfRule>
  </conditionalFormatting>
  <conditionalFormatting sqref="B84 B93">
    <cfRule type="expression" dxfId="4897" priority="76">
      <formula>B$9&gt;=20/24</formula>
    </cfRule>
    <cfRule type="expression" dxfId="4896" priority="77">
      <formula>AND(B$9&gt;=14/24,B$9&lt;20/24)</formula>
    </cfRule>
    <cfRule type="expression" dxfId="4895" priority="78">
      <formula>AND(B$9&gt;=8/24,B$9&lt;14/24)</formula>
    </cfRule>
    <cfRule type="expression" dxfId="4894" priority="79">
      <formula>B$9&lt;8/24</formula>
    </cfRule>
  </conditionalFormatting>
  <conditionalFormatting sqref="B42:W42">
    <cfRule type="expression" dxfId="4893" priority="72">
      <formula>B$9&gt;=20/24</formula>
    </cfRule>
    <cfRule type="expression" dxfId="4892" priority="73">
      <formula>AND(B$9&gt;=14/24,B$9&lt;20/24)</formula>
    </cfRule>
    <cfRule type="expression" dxfId="4891" priority="74">
      <formula>AND(B$9&gt;=8/24,B$9&lt;14/24)</formula>
    </cfRule>
    <cfRule type="expression" dxfId="4890" priority="75">
      <formula>B$9&lt;8/24</formula>
    </cfRule>
  </conditionalFormatting>
  <conditionalFormatting sqref="B42:W42">
    <cfRule type="expression" dxfId="4889" priority="71">
      <formula>B42&gt;$AG42</formula>
    </cfRule>
  </conditionalFormatting>
  <conditionalFormatting sqref="B85:AF85 B94:AF94 B66:AF66 B83:AF83">
    <cfRule type="expression" dxfId="4888" priority="67">
      <formula>B$9&gt;=20/24</formula>
    </cfRule>
    <cfRule type="expression" dxfId="4887" priority="68">
      <formula>AND(B$9&gt;=14/24,B$9&lt;20/24)</formula>
    </cfRule>
    <cfRule type="expression" dxfId="4886" priority="69">
      <formula>AND(B$9&gt;=8/24,B$9&lt;14/24)</formula>
    </cfRule>
    <cfRule type="expression" dxfId="4885" priority="70">
      <formula>B$9&lt;8/24</formula>
    </cfRule>
  </conditionalFormatting>
  <conditionalFormatting sqref="B44:AF44 B61:AF62 B66:AF66">
    <cfRule type="expression" dxfId="4884" priority="66">
      <formula>B44&gt;$AG44</formula>
    </cfRule>
  </conditionalFormatting>
  <conditionalFormatting sqref="B78:AF78">
    <cfRule type="expression" dxfId="4883" priority="62">
      <formula>B$9&gt;=20/24</formula>
    </cfRule>
    <cfRule type="expression" dxfId="4882" priority="63">
      <formula>AND(B$9&gt;=14/24,B$9&lt;20/24)</formula>
    </cfRule>
    <cfRule type="expression" dxfId="4881" priority="64">
      <formula>AND(B$9&gt;=8/24,B$9&lt;14/24)</formula>
    </cfRule>
    <cfRule type="expression" dxfId="4880" priority="65">
      <formula>B$9&lt;8/24</formula>
    </cfRule>
  </conditionalFormatting>
  <conditionalFormatting sqref="B87:W91">
    <cfRule type="expression" dxfId="4879" priority="58">
      <formula>B$9&gt;=20/24</formula>
    </cfRule>
    <cfRule type="expression" dxfId="4878" priority="59">
      <formula>AND(B$9&gt;=14/24,B$9&lt;20/24)</formula>
    </cfRule>
    <cfRule type="expression" dxfId="4877" priority="60">
      <formula>AND(B$9&gt;=8/24,B$9&lt;14/24)</formula>
    </cfRule>
    <cfRule type="expression" dxfId="4876" priority="61">
      <formula>B$9&lt;8/24</formula>
    </cfRule>
  </conditionalFormatting>
  <conditionalFormatting sqref="B45:D47 E46:F47">
    <cfRule type="expression" dxfId="4875" priority="54">
      <formula>B$9&gt;=20/24</formula>
    </cfRule>
    <cfRule type="expression" dxfId="4874" priority="55">
      <formula>AND(B$9&gt;=14/24,B$9&lt;20/24)</formula>
    </cfRule>
    <cfRule type="expression" dxfId="4873" priority="56">
      <formula>AND(B$9&gt;=8/24,B$9&lt;14/24)</formula>
    </cfRule>
    <cfRule type="expression" dxfId="4872" priority="57">
      <formula>B$9&lt;8/24</formula>
    </cfRule>
  </conditionalFormatting>
  <conditionalFormatting sqref="B45:D47 E46:F47">
    <cfRule type="expression" dxfId="4871" priority="53">
      <formula>B45&gt;$AG45</formula>
    </cfRule>
  </conditionalFormatting>
  <conditionalFormatting sqref="B48:AF48">
    <cfRule type="expression" dxfId="4870" priority="49">
      <formula>B$9&gt;=20/24</formula>
    </cfRule>
    <cfRule type="expression" dxfId="4869" priority="50">
      <formula>AND(B$9&gt;=14/24,B$9&lt;20/24)</formula>
    </cfRule>
    <cfRule type="expression" dxfId="4868" priority="51">
      <formula>AND(B$9&gt;=8/24,B$9&lt;14/24)</formula>
    </cfRule>
    <cfRule type="expression" dxfId="4867" priority="52">
      <formula>B$9&lt;8/24</formula>
    </cfRule>
  </conditionalFormatting>
  <conditionalFormatting sqref="B48:AF48">
    <cfRule type="expression" dxfId="4866" priority="48">
      <formula>B48&gt;$AG48</formula>
    </cfRule>
  </conditionalFormatting>
  <conditionalFormatting sqref="B103">
    <cfRule type="expression" dxfId="4865" priority="44">
      <formula>B$9&gt;=20/24</formula>
    </cfRule>
    <cfRule type="expression" dxfId="4864" priority="45">
      <formula>AND(B$9&gt;=14/24,B$9&lt;20/24)</formula>
    </cfRule>
    <cfRule type="expression" dxfId="4863" priority="46">
      <formula>AND(B$9&gt;=8/24,B$9&lt;14/24)</formula>
    </cfRule>
    <cfRule type="expression" dxfId="4862" priority="47">
      <formula>B$9&lt;8/24</formula>
    </cfRule>
  </conditionalFormatting>
  <conditionalFormatting sqref="B106:C106">
    <cfRule type="expression" dxfId="4861" priority="32">
      <formula>B$9&gt;=20/24</formula>
    </cfRule>
    <cfRule type="expression" dxfId="4860" priority="33">
      <formula>AND(B$9&gt;=14/24,B$9&lt;20/24)</formula>
    </cfRule>
    <cfRule type="expression" dxfId="4859" priority="34">
      <formula>AND(B$9&gt;=8/24,B$9&lt;14/24)</formula>
    </cfRule>
    <cfRule type="expression" dxfId="4858" priority="35">
      <formula>B$9&lt;8/24</formula>
    </cfRule>
  </conditionalFormatting>
  <conditionalFormatting sqref="B55:AF60">
    <cfRule type="expression" dxfId="4857" priority="28">
      <formula>B$9&gt;=20/24</formula>
    </cfRule>
    <cfRule type="expression" dxfId="4856" priority="29">
      <formula>AND(B$9&gt;=14/24,B$9&lt;20/24)</formula>
    </cfRule>
    <cfRule type="expression" dxfId="4855" priority="30">
      <formula>AND(B$9&gt;=8/24,B$9&lt;14/24)</formula>
    </cfRule>
    <cfRule type="expression" dxfId="4854" priority="31">
      <formula>B$9&lt;8/24</formula>
    </cfRule>
  </conditionalFormatting>
  <conditionalFormatting sqref="B55:AF60">
    <cfRule type="expression" dxfId="4853" priority="27">
      <formula>B55&gt;$AG55</formula>
    </cfRule>
  </conditionalFormatting>
  <conditionalFormatting sqref="B12:W14 B41:W41">
    <cfRule type="expression" dxfId="4852" priority="26">
      <formula>B12&gt;$AG12</formula>
    </cfRule>
  </conditionalFormatting>
  <conditionalFormatting sqref="B11:W11">
    <cfRule type="expression" dxfId="4851" priority="22">
      <formula>B$9&gt;=20/24</formula>
    </cfRule>
    <cfRule type="expression" dxfId="4850" priority="23">
      <formula>AND(B$9&gt;=14/24,B$9&lt;20/24)</formula>
    </cfRule>
    <cfRule type="expression" dxfId="4849" priority="24">
      <formula>AND(B$9&gt;=8/24,B$9&lt;14/24)</formula>
    </cfRule>
    <cfRule type="expression" dxfId="4848" priority="25">
      <formula>B$9&lt;8/24</formula>
    </cfRule>
  </conditionalFormatting>
  <conditionalFormatting sqref="B11:W11">
    <cfRule type="expression" dxfId="4847" priority="21">
      <formula>B11&gt;$AG11</formula>
    </cfRule>
  </conditionalFormatting>
  <conditionalFormatting sqref="B12:W14">
    <cfRule type="expression" dxfId="4846" priority="17">
      <formula>B$9&gt;=20/24</formula>
    </cfRule>
    <cfRule type="expression" dxfId="4845" priority="18">
      <formula>AND(B$9&gt;=14/24,B$9&lt;20/24)</formula>
    </cfRule>
    <cfRule type="expression" dxfId="4844" priority="19">
      <formula>AND(B$9&gt;=8/24,B$9&lt;14/24)</formula>
    </cfRule>
    <cfRule type="expression" dxfId="4843" priority="20">
      <formula>B$9&lt;8/24</formula>
    </cfRule>
  </conditionalFormatting>
  <conditionalFormatting sqref="B41:W41">
    <cfRule type="expression" dxfId="4842" priority="13">
      <formula>B$9&gt;=20/24</formula>
    </cfRule>
    <cfRule type="expression" dxfId="4841" priority="14">
      <formula>AND(B$9&gt;=14/24,B$9&lt;20/24)</formula>
    </cfRule>
    <cfRule type="expression" dxfId="4840" priority="15">
      <formula>AND(B$9&gt;=8/24,B$9&lt;14/24)</formula>
    </cfRule>
    <cfRule type="expression" dxfId="4839" priority="16">
      <formula>B$9&lt;8/24</formula>
    </cfRule>
  </conditionalFormatting>
  <conditionalFormatting sqref="B73:AF77">
    <cfRule type="expression" dxfId="4838" priority="9">
      <formula>B$9&gt;=20/24</formula>
    </cfRule>
    <cfRule type="expression" dxfId="4837" priority="10">
      <formula>AND(B$9&gt;=14/24,B$9&lt;20/24)</formula>
    </cfRule>
    <cfRule type="expression" dxfId="4836" priority="11">
      <formula>AND(B$9&gt;=8/24,B$9&lt;14/24)</formula>
    </cfRule>
    <cfRule type="expression" dxfId="4835" priority="12">
      <formula>B$9&lt;8/24</formula>
    </cfRule>
  </conditionalFormatting>
  <conditionalFormatting sqref="AL74:AN74 AL80:AN80 AN75:AN76">
    <cfRule type="expression" dxfId="4834" priority="5">
      <formula>AL$9&gt;=20/24</formula>
    </cfRule>
    <cfRule type="expression" dxfId="4833" priority="6">
      <formula>AND(AL$9&gt;=14/24,AL$9&lt;20/24)</formula>
    </cfRule>
    <cfRule type="expression" dxfId="4832" priority="7">
      <formula>AND(AL$9&gt;=8/24,AL$9&lt;14/24)</formula>
    </cfRule>
    <cfRule type="expression" dxfId="4831" priority="8">
      <formula>AL$9&lt;8/24</formula>
    </cfRule>
  </conditionalFormatting>
  <conditionalFormatting sqref="AN77:AN78">
    <cfRule type="expression" dxfId="4830" priority="1">
      <formula>AN$9&gt;=20/24</formula>
    </cfRule>
    <cfRule type="expression" dxfId="4829" priority="2">
      <formula>AND(AN$9&gt;=14/24,AN$9&lt;20/24)</formula>
    </cfRule>
    <cfRule type="expression" dxfId="4828" priority="3">
      <formula>AND(AN$9&gt;=8/24,AN$9&lt;14/24)</formula>
    </cfRule>
    <cfRule type="expression" dxfId="4827" priority="4">
      <formula>AN$9&lt;8/24</formula>
    </cfRule>
  </conditionalFormatting>
  <conditionalFormatting sqref="AL75:AM79">
    <cfRule type="expression" dxfId="4826" priority="258">
      <formula>AJ$9&gt;=20/24</formula>
    </cfRule>
    <cfRule type="expression" dxfId="4825" priority="259">
      <formula>AND(AJ$9&gt;=14/24,AJ$9&lt;20/24)</formula>
    </cfRule>
    <cfRule type="expression" dxfId="4824" priority="260">
      <formula>AND(AJ$9&gt;=8/24,AJ$9&lt;14/24)</formula>
    </cfRule>
    <cfRule type="expression" dxfId="4823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FD7D3C37-3F69-47FF-BBBF-E763361C111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F51E4364-D2B9-43B4-BED5-E8547413A9F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4F010567-46BB-4974-A29A-0815676AABA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9E909282-2D7B-46F7-9E14-A3E408C2792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D56ED3C7-49EC-4F04-A627-E326442DE7D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2C581054-2403-4DD0-A4AB-C052F4F9CE1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D337E68E-DA3F-49AE-B804-E03D7D93CC2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456B15C9-080E-4A6D-BB5B-F8C1FEED902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D8AD6BCF-8B51-4D04-8153-B8661AB4AE5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1A546D00-032D-4343-8EC1-12034E7D609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FE94ED09-6B74-4FA0-A8E4-0DD1FC8222B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225B0D6F-D320-4E7A-86AF-7C40CFAAA22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7BA5BD42-3CE5-47E7-9207-95AE218EA59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FEDF2F23-EFBD-45B0-AFE8-768A0F7DE66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23EB02CD-56C4-4DB0-852B-3013BD6D412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697B922D-1F36-4005-BFED-4869AA5FE16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J274"/>
  <sheetViews>
    <sheetView zoomScale="90" zoomScaleNormal="90" workbookViewId="0">
      <pane ySplit="10" topLeftCell="A13" activePane="bottomLeft" state="frozen"/>
      <selection pane="bottomLeft" activeCell="U9" sqref="U9:U1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2079/09/23</v>
      </c>
      <c r="C4" s="197"/>
      <c r="D4" s="197"/>
      <c r="E4" s="198" t="str">
        <f ca="1">"2079/"&amp;"09/"&amp;INT(MID(CELL("filename",G6),FIND("]",CELL("filename",G6))+1,200))</f>
        <v>2079/09/23</v>
      </c>
      <c r="F4" s="198"/>
      <c r="G4" s="198"/>
      <c r="H4" s="198" t="str">
        <f ca="1">TEXT(E4,"dddd")</f>
        <v>Saturday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374.7</v>
      </c>
      <c r="C5" s="30">
        <f t="shared" si="0"/>
        <v>371.5</v>
      </c>
      <c r="D5" s="30">
        <f t="shared" si="0"/>
        <v>378.8</v>
      </c>
      <c r="E5" s="30">
        <f t="shared" si="0"/>
        <v>401</v>
      </c>
      <c r="F5" s="30">
        <f t="shared" si="0"/>
        <v>459.7</v>
      </c>
      <c r="G5" s="30">
        <f t="shared" si="0"/>
        <v>477.2</v>
      </c>
      <c r="H5" s="30">
        <f t="shared" si="0"/>
        <v>0</v>
      </c>
      <c r="I5" s="30">
        <f t="shared" si="0"/>
        <v>472</v>
      </c>
      <c r="J5" s="30">
        <f t="shared" si="0"/>
        <v>209.8</v>
      </c>
      <c r="K5" s="30">
        <f t="shared" si="0"/>
        <v>173.34</v>
      </c>
      <c r="L5" s="30">
        <f t="shared" si="0"/>
        <v>181.9</v>
      </c>
      <c r="M5" s="30">
        <f t="shared" si="0"/>
        <v>155.69999999999999</v>
      </c>
      <c r="N5" s="30">
        <f t="shared" si="0"/>
        <v>149.9</v>
      </c>
      <c r="O5" s="30">
        <f t="shared" si="0"/>
        <v>247.9</v>
      </c>
      <c r="P5" s="30">
        <f t="shared" si="0"/>
        <v>266.5</v>
      </c>
      <c r="Q5" s="30">
        <f t="shared" si="0"/>
        <v>383</v>
      </c>
      <c r="R5" s="30">
        <f t="shared" si="0"/>
        <v>347.1</v>
      </c>
      <c r="S5" s="30">
        <f t="shared" si="0"/>
        <v>460.4</v>
      </c>
      <c r="T5" s="30">
        <f t="shared" si="0"/>
        <v>406</v>
      </c>
      <c r="U5" s="30">
        <f t="shared" si="0"/>
        <v>202.5</v>
      </c>
      <c r="V5" s="30">
        <f t="shared" si="0"/>
        <v>215.3</v>
      </c>
      <c r="W5" s="30">
        <f t="shared" si="0"/>
        <v>214.3</v>
      </c>
      <c r="X5" s="30">
        <f t="shared" si="0"/>
        <v>208.3</v>
      </c>
      <c r="Y5" s="30">
        <f t="shared" si="0"/>
        <v>203.7</v>
      </c>
      <c r="Z5" s="30">
        <f t="shared" si="0"/>
        <v>225.8</v>
      </c>
      <c r="AA5" s="30">
        <f t="shared" si="0"/>
        <v>336.4</v>
      </c>
      <c r="AB5" s="30">
        <f t="shared" si="0"/>
        <v>337.7</v>
      </c>
      <c r="AC5" s="30">
        <f t="shared" si="0"/>
        <v>435.50000000000006</v>
      </c>
      <c r="AD5" s="30">
        <f t="shared" si="0"/>
        <v>442.3</v>
      </c>
      <c r="AE5" s="30">
        <f t="shared" si="0"/>
        <v>466.8</v>
      </c>
      <c r="AF5" s="30">
        <f>B78</f>
        <v>470.7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1628MW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Load=752</v>
      </c>
      <c r="B7" s="35">
        <f t="shared" ref="B7:AF7" si="1">B85</f>
        <v>1137.94</v>
      </c>
      <c r="C7" s="35">
        <f t="shared" si="1"/>
        <v>1052.74</v>
      </c>
      <c r="D7" s="35">
        <f t="shared" si="1"/>
        <v>1030.6399999999999</v>
      </c>
      <c r="E7" s="35">
        <f t="shared" si="1"/>
        <v>1029.8399999999999</v>
      </c>
      <c r="F7" s="35">
        <f t="shared" si="1"/>
        <v>1036.3400000000001</v>
      </c>
      <c r="G7" s="35">
        <f t="shared" si="1"/>
        <v>1095.04</v>
      </c>
      <c r="H7" s="35">
        <f t="shared" si="1"/>
        <v>1113.54</v>
      </c>
      <c r="I7" s="35">
        <f t="shared" si="1"/>
        <v>752.33999999999992</v>
      </c>
      <c r="J7" s="35">
        <f t="shared" si="1"/>
        <v>1376.6399999999999</v>
      </c>
      <c r="K7" s="35">
        <f t="shared" si="1"/>
        <v>1327.54</v>
      </c>
      <c r="L7" s="35">
        <f t="shared" si="1"/>
        <v>1465.58</v>
      </c>
      <c r="M7" s="35">
        <f t="shared" si="1"/>
        <v>1628.24</v>
      </c>
      <c r="N7" s="35">
        <f>N85</f>
        <v>1616.34</v>
      </c>
      <c r="O7" s="35">
        <f t="shared" si="1"/>
        <v>1559.8400000000001</v>
      </c>
      <c r="P7" s="35">
        <f t="shared" si="1"/>
        <v>1438.04</v>
      </c>
      <c r="Q7" s="35">
        <f t="shared" si="1"/>
        <v>1345.74</v>
      </c>
      <c r="R7" s="35">
        <f t="shared" si="1"/>
        <v>1249.74</v>
      </c>
      <c r="S7" s="35">
        <f t="shared" si="1"/>
        <v>1149.3400000000001</v>
      </c>
      <c r="T7" s="35">
        <f t="shared" si="1"/>
        <v>1214.54</v>
      </c>
      <c r="U7" s="35">
        <f t="shared" si="1"/>
        <v>1190.04</v>
      </c>
      <c r="V7" s="35">
        <f t="shared" si="1"/>
        <v>1223.04</v>
      </c>
      <c r="W7" s="35">
        <f t="shared" si="1"/>
        <v>1323.1399999999999</v>
      </c>
      <c r="X7" s="35">
        <f t="shared" si="1"/>
        <v>1573.34</v>
      </c>
      <c r="Y7" s="35">
        <f t="shared" si="1"/>
        <v>1640.54</v>
      </c>
      <c r="Z7" s="35">
        <f t="shared" si="1"/>
        <v>1629.44</v>
      </c>
      <c r="AA7" s="35">
        <f t="shared" si="1"/>
        <v>1622.6399999999999</v>
      </c>
      <c r="AB7" s="35">
        <f t="shared" si="1"/>
        <v>1571.44</v>
      </c>
      <c r="AC7" s="35">
        <f t="shared" si="1"/>
        <v>1507.94</v>
      </c>
      <c r="AD7" s="35">
        <f t="shared" si="1"/>
        <v>1358.24</v>
      </c>
      <c r="AE7" s="35">
        <f t="shared" si="1"/>
        <v>1198.54</v>
      </c>
      <c r="AF7" s="35">
        <f t="shared" si="1"/>
        <v>1119.44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22.4</v>
      </c>
      <c r="C11" s="45">
        <v>22.4</v>
      </c>
      <c r="D11" s="45">
        <v>22.4</v>
      </c>
      <c r="E11" s="45">
        <v>22.4</v>
      </c>
      <c r="F11" s="45">
        <v>22.4</v>
      </c>
      <c r="G11" s="45">
        <v>22.4</v>
      </c>
      <c r="H11" s="45">
        <v>22.2</v>
      </c>
      <c r="I11" s="45">
        <v>22.2</v>
      </c>
      <c r="J11" s="45">
        <v>22.2</v>
      </c>
      <c r="K11" s="45">
        <v>19</v>
      </c>
      <c r="L11" s="45">
        <v>19</v>
      </c>
      <c r="M11" s="45">
        <v>21.3</v>
      </c>
      <c r="N11" s="45">
        <v>21.3</v>
      </c>
      <c r="O11" s="45">
        <v>21.6</v>
      </c>
      <c r="P11" s="45">
        <v>21.6</v>
      </c>
      <c r="Q11" s="45">
        <v>21.6</v>
      </c>
      <c r="R11" s="45">
        <v>21.6</v>
      </c>
      <c r="S11" s="45">
        <v>21.6</v>
      </c>
      <c r="T11" s="45">
        <v>20.7</v>
      </c>
      <c r="U11" s="45">
        <v>21.5</v>
      </c>
      <c r="V11" s="45">
        <v>21.5</v>
      </c>
      <c r="W11" s="45">
        <v>21.5</v>
      </c>
      <c r="X11" s="45">
        <v>21.5</v>
      </c>
      <c r="Y11" s="45">
        <v>20.5</v>
      </c>
      <c r="Z11" s="45">
        <v>20.5</v>
      </c>
      <c r="AA11" s="45">
        <v>20.5</v>
      </c>
      <c r="AB11" s="45">
        <v>20.5</v>
      </c>
      <c r="AC11" s="45">
        <v>20.5</v>
      </c>
      <c r="AD11" s="45">
        <v>20.5</v>
      </c>
      <c r="AE11" s="45">
        <v>20.5</v>
      </c>
      <c r="AF11" s="45">
        <v>20.5</v>
      </c>
      <c r="AG11" s="47">
        <v>52.4</v>
      </c>
      <c r="AH11" s="48">
        <f t="shared" ref="AH11:AH74" si="2">MAX(B11:AF11)</f>
        <v>22.4</v>
      </c>
      <c r="AI11" s="49">
        <f t="shared" ref="AI11:AI74" si="3">MIN(B11:AF11)</f>
        <v>19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40.6</v>
      </c>
      <c r="C12" s="45">
        <v>40.6</v>
      </c>
      <c r="D12" s="45">
        <v>40.6</v>
      </c>
      <c r="E12" s="45">
        <v>40.6</v>
      </c>
      <c r="F12" s="45">
        <v>40.6</v>
      </c>
      <c r="G12" s="45">
        <v>40.6</v>
      </c>
      <c r="H12" s="45">
        <v>41.7</v>
      </c>
      <c r="I12" s="45">
        <v>41.7</v>
      </c>
      <c r="J12" s="45">
        <v>41.7</v>
      </c>
      <c r="K12" s="45">
        <v>40.799999999999997</v>
      </c>
      <c r="L12" s="45">
        <v>41</v>
      </c>
      <c r="M12" s="45">
        <v>40.6</v>
      </c>
      <c r="N12" s="45">
        <v>40.6</v>
      </c>
      <c r="O12" s="45">
        <v>40.6</v>
      </c>
      <c r="P12" s="45">
        <v>40.6</v>
      </c>
      <c r="Q12" s="45">
        <v>40.6</v>
      </c>
      <c r="R12" s="45">
        <v>40.6</v>
      </c>
      <c r="S12" s="45">
        <v>40.6</v>
      </c>
      <c r="T12" s="45">
        <v>40.5</v>
      </c>
      <c r="U12" s="45">
        <v>40.5</v>
      </c>
      <c r="V12" s="45">
        <v>40.5</v>
      </c>
      <c r="W12" s="45">
        <v>40.5</v>
      </c>
      <c r="X12" s="45">
        <v>40.5</v>
      </c>
      <c r="Y12" s="45">
        <v>40.4</v>
      </c>
      <c r="Z12" s="45">
        <v>39.9</v>
      </c>
      <c r="AA12" s="45">
        <v>39.9</v>
      </c>
      <c r="AB12" s="45">
        <v>39.9</v>
      </c>
      <c r="AC12" s="45">
        <v>39.9</v>
      </c>
      <c r="AD12" s="45">
        <v>39.9</v>
      </c>
      <c r="AE12" s="45">
        <v>39.9</v>
      </c>
      <c r="AF12" s="45">
        <v>39.9</v>
      </c>
      <c r="AG12" s="51">
        <v>50</v>
      </c>
      <c r="AH12" s="48">
        <f t="shared" si="2"/>
        <v>41.7</v>
      </c>
      <c r="AI12" s="49">
        <f t="shared" si="3"/>
        <v>39.9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19.899999999999999</v>
      </c>
      <c r="C13" s="45">
        <v>19.899999999999999</v>
      </c>
      <c r="D13" s="45">
        <v>19.899999999999999</v>
      </c>
      <c r="E13" s="45">
        <v>19.899999999999999</v>
      </c>
      <c r="F13" s="45">
        <v>19.899999999999999</v>
      </c>
      <c r="G13" s="45">
        <v>19.899999999999999</v>
      </c>
      <c r="H13" s="45">
        <v>19.899999999999999</v>
      </c>
      <c r="I13" s="45">
        <v>19.899999999999999</v>
      </c>
      <c r="J13" s="45">
        <v>19.899999999999999</v>
      </c>
      <c r="K13" s="45">
        <v>20.5</v>
      </c>
      <c r="L13" s="45">
        <v>20.399999999999999</v>
      </c>
      <c r="M13" s="45">
        <v>20.399999999999999</v>
      </c>
      <c r="N13" s="45">
        <v>20.399999999999999</v>
      </c>
      <c r="O13" s="45">
        <v>20.399999999999999</v>
      </c>
      <c r="P13" s="45">
        <v>20.399999999999999</v>
      </c>
      <c r="Q13" s="45">
        <v>20.399999999999999</v>
      </c>
      <c r="R13" s="45">
        <v>20.399999999999999</v>
      </c>
      <c r="S13" s="45">
        <v>20.399999999999999</v>
      </c>
      <c r="T13" s="45">
        <v>21.2</v>
      </c>
      <c r="U13" s="45">
        <v>21.2</v>
      </c>
      <c r="V13" s="45">
        <v>21.2</v>
      </c>
      <c r="W13" s="45">
        <v>21.2</v>
      </c>
      <c r="X13" s="45">
        <v>21.2</v>
      </c>
      <c r="Y13" s="45">
        <v>23.6</v>
      </c>
      <c r="Z13" s="45">
        <v>23.6</v>
      </c>
      <c r="AA13" s="45">
        <v>23.6</v>
      </c>
      <c r="AB13" s="45">
        <v>23.6</v>
      </c>
      <c r="AC13" s="45">
        <v>23.6</v>
      </c>
      <c r="AD13" s="45">
        <v>23.6</v>
      </c>
      <c r="AE13" s="45">
        <v>23.6</v>
      </c>
      <c r="AF13" s="45">
        <v>23.6</v>
      </c>
      <c r="AG13" s="51">
        <v>45</v>
      </c>
      <c r="AH13" s="48">
        <f t="shared" si="2"/>
        <v>23.6</v>
      </c>
      <c r="AI13" s="49">
        <f t="shared" si="3"/>
        <v>19.899999999999999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10</v>
      </c>
      <c r="C14" s="45">
        <v>10</v>
      </c>
      <c r="D14" s="45">
        <v>10</v>
      </c>
      <c r="E14" s="45">
        <v>10</v>
      </c>
      <c r="F14" s="45">
        <v>10</v>
      </c>
      <c r="G14" s="45">
        <v>10</v>
      </c>
      <c r="H14" s="45">
        <v>10</v>
      </c>
      <c r="I14" s="45">
        <v>10</v>
      </c>
      <c r="J14" s="45">
        <v>10</v>
      </c>
      <c r="K14" s="45">
        <v>10</v>
      </c>
      <c r="L14" s="45">
        <v>10</v>
      </c>
      <c r="M14" s="45">
        <v>10</v>
      </c>
      <c r="N14" s="45">
        <v>10</v>
      </c>
      <c r="O14" s="45">
        <v>10</v>
      </c>
      <c r="P14" s="45">
        <v>10</v>
      </c>
      <c r="Q14" s="45">
        <v>10</v>
      </c>
      <c r="R14" s="45">
        <v>10</v>
      </c>
      <c r="S14" s="45">
        <v>10</v>
      </c>
      <c r="T14" s="45">
        <v>10</v>
      </c>
      <c r="U14" s="45">
        <v>10</v>
      </c>
      <c r="V14" s="45">
        <v>10</v>
      </c>
      <c r="W14" s="45">
        <v>10</v>
      </c>
      <c r="X14" s="45">
        <v>10</v>
      </c>
      <c r="Y14" s="45">
        <v>10</v>
      </c>
      <c r="Z14" s="45">
        <v>10</v>
      </c>
      <c r="AA14" s="45">
        <v>10</v>
      </c>
      <c r="AB14" s="45">
        <v>10</v>
      </c>
      <c r="AC14" s="45">
        <v>10</v>
      </c>
      <c r="AD14" s="45">
        <v>10</v>
      </c>
      <c r="AE14" s="45">
        <v>10</v>
      </c>
      <c r="AF14" s="45">
        <v>10</v>
      </c>
      <c r="AG14" s="51">
        <v>42</v>
      </c>
      <c r="AH14" s="48">
        <f t="shared" si="2"/>
        <v>10</v>
      </c>
      <c r="AI14" s="49">
        <f t="shared" si="3"/>
        <v>10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</v>
      </c>
      <c r="C15" s="45">
        <v>17</v>
      </c>
      <c r="D15" s="45">
        <v>17</v>
      </c>
      <c r="E15" s="45">
        <v>17</v>
      </c>
      <c r="F15" s="45">
        <v>17</v>
      </c>
      <c r="G15" s="45">
        <v>17</v>
      </c>
      <c r="H15" s="45">
        <v>17</v>
      </c>
      <c r="I15" s="45">
        <v>17</v>
      </c>
      <c r="J15" s="45">
        <v>17</v>
      </c>
      <c r="K15" s="45">
        <v>17</v>
      </c>
      <c r="L15" s="45">
        <v>17</v>
      </c>
      <c r="M15" s="45">
        <v>17</v>
      </c>
      <c r="N15" s="45">
        <v>17</v>
      </c>
      <c r="O15" s="45">
        <v>17</v>
      </c>
      <c r="P15" s="45">
        <v>17</v>
      </c>
      <c r="Q15" s="45">
        <v>17</v>
      </c>
      <c r="R15" s="45">
        <v>17</v>
      </c>
      <c r="S15" s="45">
        <v>17</v>
      </c>
      <c r="T15" s="45">
        <v>17</v>
      </c>
      <c r="U15" s="45">
        <v>17</v>
      </c>
      <c r="V15" s="45">
        <v>17</v>
      </c>
      <c r="W15" s="45">
        <v>17</v>
      </c>
      <c r="X15" s="45">
        <v>17</v>
      </c>
      <c r="Y15" s="45">
        <v>17</v>
      </c>
      <c r="Z15" s="45">
        <v>17</v>
      </c>
      <c r="AA15" s="45">
        <v>17</v>
      </c>
      <c r="AB15" s="45">
        <v>17</v>
      </c>
      <c r="AC15" s="45">
        <v>17</v>
      </c>
      <c r="AD15" s="45">
        <v>17</v>
      </c>
      <c r="AE15" s="45">
        <v>17</v>
      </c>
      <c r="AF15" s="45">
        <v>17</v>
      </c>
      <c r="AG15" s="51">
        <v>36</v>
      </c>
      <c r="AH15" s="48">
        <f t="shared" si="2"/>
        <v>17</v>
      </c>
      <c r="AI15" s="49">
        <f t="shared" si="3"/>
        <v>17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10.6</v>
      </c>
      <c r="C16" s="45">
        <v>10.6</v>
      </c>
      <c r="D16" s="45">
        <v>10.6</v>
      </c>
      <c r="E16" s="45">
        <v>10.6</v>
      </c>
      <c r="F16" s="45">
        <v>10.6</v>
      </c>
      <c r="G16" s="45">
        <v>10.6</v>
      </c>
      <c r="H16" s="45">
        <v>10.6</v>
      </c>
      <c r="I16" s="45">
        <v>10.6</v>
      </c>
      <c r="J16" s="45">
        <v>10.6</v>
      </c>
      <c r="K16" s="45">
        <v>10.6</v>
      </c>
      <c r="L16" s="45">
        <v>10.6</v>
      </c>
      <c r="M16" s="45">
        <v>10.6</v>
      </c>
      <c r="N16" s="45">
        <v>10.6</v>
      </c>
      <c r="O16" s="45">
        <v>10.6</v>
      </c>
      <c r="P16" s="45">
        <v>10.6</v>
      </c>
      <c r="Q16" s="45">
        <v>10.6</v>
      </c>
      <c r="R16" s="45">
        <v>10.6</v>
      </c>
      <c r="S16" s="45">
        <v>10.6</v>
      </c>
      <c r="T16" s="45">
        <v>10.6</v>
      </c>
      <c r="U16" s="45">
        <v>10.6</v>
      </c>
      <c r="V16" s="45">
        <v>10.6</v>
      </c>
      <c r="W16" s="45">
        <v>10.6</v>
      </c>
      <c r="X16" s="45">
        <v>10.6</v>
      </c>
      <c r="Y16" s="45">
        <v>10.6</v>
      </c>
      <c r="Z16" s="45">
        <v>10.6</v>
      </c>
      <c r="AA16" s="45">
        <v>10.6</v>
      </c>
      <c r="AB16" s="45">
        <v>10</v>
      </c>
      <c r="AC16" s="45">
        <v>10</v>
      </c>
      <c r="AD16" s="45">
        <v>10</v>
      </c>
      <c r="AE16" s="45">
        <v>10</v>
      </c>
      <c r="AF16" s="45">
        <v>10</v>
      </c>
      <c r="AG16" s="52">
        <v>30</v>
      </c>
      <c r="AH16" s="48">
        <f t="shared" si="2"/>
        <v>10.6</v>
      </c>
      <c r="AI16" s="49">
        <f t="shared" si="3"/>
        <v>10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9.3000000000000007</v>
      </c>
      <c r="C17" s="45">
        <v>9.3000000000000007</v>
      </c>
      <c r="D17" s="45">
        <v>9.3000000000000007</v>
      </c>
      <c r="E17" s="45">
        <v>9.3000000000000007</v>
      </c>
      <c r="F17" s="45">
        <v>9.3000000000000007</v>
      </c>
      <c r="G17" s="45">
        <v>9.3000000000000007</v>
      </c>
      <c r="H17" s="45">
        <v>9.3000000000000007</v>
      </c>
      <c r="I17" s="45">
        <v>9.3000000000000007</v>
      </c>
      <c r="J17" s="45">
        <v>9.3000000000000007</v>
      </c>
      <c r="K17" s="45">
        <v>9.3000000000000007</v>
      </c>
      <c r="L17" s="45">
        <v>9.3000000000000007</v>
      </c>
      <c r="M17" s="45">
        <v>9.3000000000000007</v>
      </c>
      <c r="N17" s="45">
        <v>9.3000000000000007</v>
      </c>
      <c r="O17" s="45">
        <v>9.3000000000000007</v>
      </c>
      <c r="P17" s="45">
        <v>9.3000000000000007</v>
      </c>
      <c r="Q17" s="45">
        <v>9.3000000000000007</v>
      </c>
      <c r="R17" s="45">
        <v>9.3000000000000007</v>
      </c>
      <c r="S17" s="45">
        <v>9.3000000000000007</v>
      </c>
      <c r="T17" s="45">
        <v>9.3000000000000007</v>
      </c>
      <c r="U17" s="45">
        <v>9.3000000000000007</v>
      </c>
      <c r="V17" s="45">
        <v>9.3000000000000007</v>
      </c>
      <c r="W17" s="45">
        <v>9.3000000000000007</v>
      </c>
      <c r="X17" s="45">
        <v>9.3000000000000007</v>
      </c>
      <c r="Y17" s="45">
        <v>9.3000000000000007</v>
      </c>
      <c r="Z17" s="45">
        <v>9.3000000000000007</v>
      </c>
      <c r="AA17" s="45">
        <v>9.3000000000000007</v>
      </c>
      <c r="AB17" s="45">
        <v>9.3000000000000007</v>
      </c>
      <c r="AC17" s="45">
        <v>9.3000000000000007</v>
      </c>
      <c r="AD17" s="45">
        <v>9.3000000000000007</v>
      </c>
      <c r="AE17" s="45">
        <v>9.3000000000000007</v>
      </c>
      <c r="AF17" s="45">
        <v>9.3000000000000007</v>
      </c>
      <c r="AG17" s="51">
        <v>24.2</v>
      </c>
      <c r="AH17" s="48">
        <f t="shared" si="2"/>
        <v>9.3000000000000007</v>
      </c>
      <c r="AI17" s="49">
        <f t="shared" si="3"/>
        <v>9.3000000000000007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10.5</v>
      </c>
      <c r="C20" s="45">
        <v>10.5</v>
      </c>
      <c r="D20" s="45">
        <v>10.5</v>
      </c>
      <c r="E20" s="45">
        <v>10.5</v>
      </c>
      <c r="F20" s="45">
        <v>10.5</v>
      </c>
      <c r="G20" s="45">
        <v>10.5</v>
      </c>
      <c r="H20" s="45">
        <v>10.5</v>
      </c>
      <c r="I20" s="45">
        <v>10.5</v>
      </c>
      <c r="J20" s="45">
        <v>10.5</v>
      </c>
      <c r="K20" s="45">
        <v>10.5</v>
      </c>
      <c r="L20" s="45">
        <v>10.5</v>
      </c>
      <c r="M20" s="45">
        <v>10.5</v>
      </c>
      <c r="N20" s="45">
        <v>10.5</v>
      </c>
      <c r="O20" s="45">
        <v>10.5</v>
      </c>
      <c r="P20" s="45">
        <v>10.5</v>
      </c>
      <c r="Q20" s="45">
        <v>10.5</v>
      </c>
      <c r="R20" s="45">
        <v>10.5</v>
      </c>
      <c r="S20" s="45">
        <v>10.5</v>
      </c>
      <c r="T20" s="45">
        <v>10.5</v>
      </c>
      <c r="U20" s="45">
        <v>10.5</v>
      </c>
      <c r="V20" s="45">
        <v>10.5</v>
      </c>
      <c r="W20" s="45">
        <v>10.5</v>
      </c>
      <c r="X20" s="45">
        <v>10.5</v>
      </c>
      <c r="Y20" s="45">
        <v>10.5</v>
      </c>
      <c r="Z20" s="45">
        <v>10.5</v>
      </c>
      <c r="AA20" s="45">
        <v>10.5</v>
      </c>
      <c r="AB20" s="45">
        <v>10.5</v>
      </c>
      <c r="AC20" s="45">
        <v>10.5</v>
      </c>
      <c r="AD20" s="45">
        <v>10.5</v>
      </c>
      <c r="AE20" s="45">
        <v>10.5</v>
      </c>
      <c r="AF20" s="45">
        <v>10.5</v>
      </c>
      <c r="AG20" s="51">
        <v>25</v>
      </c>
      <c r="AH20" s="48">
        <f t="shared" si="2"/>
        <v>10.5</v>
      </c>
      <c r="AI20" s="49">
        <f t="shared" si="3"/>
        <v>10.5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10</v>
      </c>
      <c r="C24" s="45">
        <v>10</v>
      </c>
      <c r="D24" s="45">
        <v>10</v>
      </c>
      <c r="E24" s="45">
        <v>10</v>
      </c>
      <c r="F24" s="45">
        <v>10</v>
      </c>
      <c r="G24" s="45">
        <v>10</v>
      </c>
      <c r="H24" s="45">
        <v>10</v>
      </c>
      <c r="I24" s="45">
        <v>10</v>
      </c>
      <c r="J24" s="45">
        <v>10</v>
      </c>
      <c r="K24" s="45">
        <v>10</v>
      </c>
      <c r="L24" s="45">
        <v>10</v>
      </c>
      <c r="M24" s="45">
        <v>10</v>
      </c>
      <c r="N24" s="45">
        <v>10</v>
      </c>
      <c r="O24" s="45">
        <v>10</v>
      </c>
      <c r="P24" s="45">
        <v>10</v>
      </c>
      <c r="Q24" s="45">
        <v>10</v>
      </c>
      <c r="R24" s="45">
        <v>10</v>
      </c>
      <c r="S24" s="45">
        <v>10</v>
      </c>
      <c r="T24" s="45">
        <v>10</v>
      </c>
      <c r="U24" s="45">
        <v>10</v>
      </c>
      <c r="V24" s="45">
        <v>10</v>
      </c>
      <c r="W24" s="45">
        <v>10</v>
      </c>
      <c r="X24" s="45">
        <v>10</v>
      </c>
      <c r="Y24" s="45">
        <v>10</v>
      </c>
      <c r="Z24" s="45">
        <v>10</v>
      </c>
      <c r="AA24" s="45">
        <v>10</v>
      </c>
      <c r="AB24" s="45">
        <v>10</v>
      </c>
      <c r="AC24" s="45">
        <v>10</v>
      </c>
      <c r="AD24" s="45">
        <v>10</v>
      </c>
      <c r="AE24" s="45">
        <v>10</v>
      </c>
      <c r="AF24" s="45">
        <v>10</v>
      </c>
      <c r="AG24" s="51">
        <v>23.5</v>
      </c>
      <c r="AH24" s="48">
        <f t="shared" si="2"/>
        <v>10</v>
      </c>
      <c r="AI24" s="49">
        <f t="shared" si="3"/>
        <v>10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9.4</v>
      </c>
      <c r="C28" s="45">
        <v>9.4</v>
      </c>
      <c r="D28" s="45">
        <v>9.4</v>
      </c>
      <c r="E28" s="45">
        <v>9.4</v>
      </c>
      <c r="F28" s="45">
        <v>9.4</v>
      </c>
      <c r="G28" s="45">
        <v>9.4</v>
      </c>
      <c r="H28" s="45">
        <v>9.4</v>
      </c>
      <c r="I28" s="45">
        <v>9.4</v>
      </c>
      <c r="J28" s="45">
        <v>9.4</v>
      </c>
      <c r="K28" s="45">
        <v>9.4</v>
      </c>
      <c r="L28" s="45">
        <v>9.4</v>
      </c>
      <c r="M28" s="45">
        <v>9.4</v>
      </c>
      <c r="N28" s="45">
        <v>9.4</v>
      </c>
      <c r="O28" s="45">
        <v>9.4</v>
      </c>
      <c r="P28" s="45">
        <v>9.4</v>
      </c>
      <c r="Q28" s="45">
        <v>9.4</v>
      </c>
      <c r="R28" s="45">
        <v>9.4</v>
      </c>
      <c r="S28" s="45">
        <v>9.4</v>
      </c>
      <c r="T28" s="45">
        <v>9.4</v>
      </c>
      <c r="U28" s="45">
        <v>9.4</v>
      </c>
      <c r="V28" s="45">
        <v>9.4</v>
      </c>
      <c r="W28" s="45">
        <v>9.4</v>
      </c>
      <c r="X28" s="45">
        <v>9.4</v>
      </c>
      <c r="Y28" s="45">
        <v>9.4</v>
      </c>
      <c r="Z28" s="45">
        <v>9.4</v>
      </c>
      <c r="AA28" s="45">
        <v>9.4</v>
      </c>
      <c r="AB28" s="45">
        <v>9.4</v>
      </c>
      <c r="AC28" s="45">
        <v>9.4</v>
      </c>
      <c r="AD28" s="45">
        <v>9.4</v>
      </c>
      <c r="AE28" s="45">
        <v>9.4</v>
      </c>
      <c r="AF28" s="45">
        <v>9.4</v>
      </c>
      <c r="AG28" s="51">
        <v>22</v>
      </c>
      <c r="AH28" s="48">
        <f t="shared" si="2"/>
        <v>9.4</v>
      </c>
      <c r="AI28" s="49">
        <f t="shared" si="3"/>
        <v>9.4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>
        <v>1.2</v>
      </c>
      <c r="S32" s="45">
        <v>1.2</v>
      </c>
      <c r="T32" s="45">
        <v>1.2</v>
      </c>
      <c r="U32" s="45">
        <v>1.2</v>
      </c>
      <c r="V32" s="45">
        <v>1.2</v>
      </c>
      <c r="W32" s="45">
        <v>1.2</v>
      </c>
      <c r="X32" s="45">
        <v>1.2</v>
      </c>
      <c r="Y32" s="45">
        <v>1.2</v>
      </c>
      <c r="Z32" s="45">
        <v>1.2</v>
      </c>
      <c r="AA32" s="45">
        <v>1.2</v>
      </c>
      <c r="AB32" s="45">
        <v>1.2</v>
      </c>
      <c r="AC32" s="45">
        <v>1.2</v>
      </c>
      <c r="AD32" s="45">
        <v>1.2</v>
      </c>
      <c r="AE32" s="45">
        <v>1.2</v>
      </c>
      <c r="AF32" s="45">
        <v>1.2</v>
      </c>
      <c r="AG32" s="51">
        <v>13.6</v>
      </c>
      <c r="AH32" s="48">
        <f t="shared" si="2"/>
        <v>1.2</v>
      </c>
      <c r="AI32" s="49">
        <f t="shared" si="3"/>
        <v>1.2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150</v>
      </c>
      <c r="C42" s="57">
        <v>150</v>
      </c>
      <c r="D42" s="57">
        <v>150</v>
      </c>
      <c r="E42" s="57">
        <v>150</v>
      </c>
      <c r="F42" s="57">
        <v>150</v>
      </c>
      <c r="G42" s="57">
        <v>150</v>
      </c>
      <c r="H42" s="57">
        <v>150</v>
      </c>
      <c r="I42" s="57">
        <v>150</v>
      </c>
      <c r="J42" s="57">
        <v>150</v>
      </c>
      <c r="K42" s="57">
        <v>150</v>
      </c>
      <c r="L42" s="57">
        <v>150</v>
      </c>
      <c r="M42" s="57">
        <v>150</v>
      </c>
      <c r="N42" s="57">
        <v>150</v>
      </c>
      <c r="O42" s="57">
        <v>150</v>
      </c>
      <c r="P42" s="57">
        <v>150</v>
      </c>
      <c r="Q42" s="57">
        <v>150</v>
      </c>
      <c r="R42" s="57">
        <v>150</v>
      </c>
      <c r="S42" s="57">
        <v>150</v>
      </c>
      <c r="T42" s="57">
        <v>150</v>
      </c>
      <c r="U42" s="57">
        <v>150</v>
      </c>
      <c r="V42" s="57">
        <v>150</v>
      </c>
      <c r="W42" s="57">
        <v>150</v>
      </c>
      <c r="X42" s="57">
        <v>150</v>
      </c>
      <c r="Y42" s="57">
        <v>150</v>
      </c>
      <c r="Z42" s="57">
        <v>150</v>
      </c>
      <c r="AA42" s="57">
        <v>150</v>
      </c>
      <c r="AB42" s="57">
        <v>150</v>
      </c>
      <c r="AC42" s="57">
        <v>150</v>
      </c>
      <c r="AD42" s="57">
        <v>150</v>
      </c>
      <c r="AE42" s="57">
        <v>150</v>
      </c>
      <c r="AF42" s="57">
        <v>150</v>
      </c>
      <c r="AG42" s="55">
        <v>85</v>
      </c>
      <c r="AH42" s="48">
        <f t="shared" si="2"/>
        <v>150</v>
      </c>
      <c r="AI42" s="49">
        <f t="shared" si="3"/>
        <v>150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v>469</v>
      </c>
      <c r="C44" s="61">
        <f t="shared" ref="C44:AG44" si="4">SUM(C11:C42)</f>
        <v>471.5</v>
      </c>
      <c r="D44" s="61">
        <f t="shared" si="4"/>
        <v>471.5</v>
      </c>
      <c r="E44" s="61">
        <f t="shared" si="4"/>
        <v>471.5</v>
      </c>
      <c r="F44" s="61">
        <f t="shared" si="4"/>
        <v>471.5</v>
      </c>
      <c r="G44" s="61">
        <f t="shared" si="4"/>
        <v>471.5</v>
      </c>
      <c r="H44" s="61">
        <f t="shared" si="4"/>
        <v>472.4</v>
      </c>
      <c r="I44" s="61">
        <f t="shared" si="4"/>
        <v>472.4</v>
      </c>
      <c r="J44" s="61">
        <f t="shared" si="4"/>
        <v>472.4</v>
      </c>
      <c r="K44" s="61">
        <f t="shared" si="4"/>
        <v>468.9</v>
      </c>
      <c r="L44" s="61">
        <f t="shared" si="4"/>
        <v>469</v>
      </c>
      <c r="M44" s="61">
        <f t="shared" si="4"/>
        <v>470.9</v>
      </c>
      <c r="N44" s="61">
        <f t="shared" si="4"/>
        <v>470.9</v>
      </c>
      <c r="O44" s="61">
        <f t="shared" si="4"/>
        <v>471.2</v>
      </c>
      <c r="P44" s="61">
        <f t="shared" si="4"/>
        <v>471.2</v>
      </c>
      <c r="Q44" s="61">
        <f t="shared" si="4"/>
        <v>471.2</v>
      </c>
      <c r="R44" s="61">
        <f t="shared" si="4"/>
        <v>471.2</v>
      </c>
      <c r="S44" s="61">
        <f t="shared" si="4"/>
        <v>471.2</v>
      </c>
      <c r="T44" s="61">
        <f t="shared" si="4"/>
        <v>471</v>
      </c>
      <c r="U44" s="61">
        <f t="shared" si="4"/>
        <v>471.79999999999995</v>
      </c>
      <c r="V44" s="61">
        <f t="shared" si="4"/>
        <v>471.79999999999995</v>
      </c>
      <c r="W44" s="61">
        <f t="shared" si="4"/>
        <v>471.79999999999995</v>
      </c>
      <c r="X44" s="61">
        <v>471.79999999999995</v>
      </c>
      <c r="Y44" s="61">
        <f t="shared" si="4"/>
        <v>473.09999999999997</v>
      </c>
      <c r="Z44" s="61">
        <f t="shared" si="4"/>
        <v>472.59999999999997</v>
      </c>
      <c r="AA44" s="61">
        <f t="shared" si="4"/>
        <v>472.59999999999997</v>
      </c>
      <c r="AB44" s="61">
        <f t="shared" si="4"/>
        <v>472</v>
      </c>
      <c r="AC44" s="61">
        <f t="shared" si="4"/>
        <v>472</v>
      </c>
      <c r="AD44" s="61">
        <f t="shared" si="4"/>
        <v>472</v>
      </c>
      <c r="AE44" s="61">
        <f t="shared" si="4"/>
        <v>472</v>
      </c>
      <c r="AF44" s="61">
        <f t="shared" si="4"/>
        <v>472</v>
      </c>
      <c r="AG44" s="62">
        <f t="shared" si="4"/>
        <v>814.78000000000009</v>
      </c>
      <c r="AH44" s="48">
        <f t="shared" si="2"/>
        <v>473.09999999999997</v>
      </c>
      <c r="AI44" s="49">
        <f t="shared" si="3"/>
        <v>468.9</v>
      </c>
      <c r="AK44" s="50"/>
    </row>
    <row r="45" spans="1:88" x14ac:dyDescent="0.25">
      <c r="A45" s="6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120</v>
      </c>
      <c r="K45" s="45">
        <v>290</v>
      </c>
      <c r="L45" s="45">
        <v>320</v>
      </c>
      <c r="M45" s="164">
        <v>380</v>
      </c>
      <c r="N45" s="164">
        <v>365</v>
      </c>
      <c r="O45" s="45">
        <v>315</v>
      </c>
      <c r="P45" s="45">
        <v>120</v>
      </c>
      <c r="Q45" s="45">
        <v>100</v>
      </c>
      <c r="R45" s="45">
        <v>80</v>
      </c>
      <c r="S45" s="45">
        <v>80</v>
      </c>
      <c r="T45" s="45">
        <v>0</v>
      </c>
      <c r="U45" s="45">
        <v>0</v>
      </c>
      <c r="V45" s="45">
        <v>0</v>
      </c>
      <c r="W45" s="45">
        <v>76</v>
      </c>
      <c r="X45" s="45">
        <v>220</v>
      </c>
      <c r="Y45" s="45">
        <v>310</v>
      </c>
      <c r="Z45" s="45">
        <v>304</v>
      </c>
      <c r="AA45" s="45">
        <v>265</v>
      </c>
      <c r="AB45" s="45">
        <v>120</v>
      </c>
      <c r="AC45" s="45">
        <v>110</v>
      </c>
      <c r="AD45" s="45">
        <v>30</v>
      </c>
      <c r="AE45" s="45">
        <v>0</v>
      </c>
      <c r="AF45" s="45">
        <v>0</v>
      </c>
      <c r="AG45" s="52">
        <v>456</v>
      </c>
      <c r="AH45" s="48">
        <f t="shared" si="2"/>
        <v>380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41</v>
      </c>
      <c r="AK46" s="50"/>
    </row>
    <row r="47" spans="1:88" ht="15.75" thickBot="1" x14ac:dyDescent="0.3">
      <c r="A47" s="66" t="s">
        <v>55</v>
      </c>
      <c r="B47" s="67">
        <v>11.5</v>
      </c>
      <c r="C47" s="67">
        <v>11.5</v>
      </c>
      <c r="D47" s="67">
        <v>11.5</v>
      </c>
      <c r="E47" s="67">
        <v>11.5</v>
      </c>
      <c r="F47" s="67">
        <v>11.5</v>
      </c>
      <c r="G47" s="67">
        <v>11.5</v>
      </c>
      <c r="H47" s="67">
        <v>11.6</v>
      </c>
      <c r="I47" s="67">
        <v>11.6</v>
      </c>
      <c r="J47" s="67">
        <v>11.6</v>
      </c>
      <c r="K47" s="67">
        <v>13.6</v>
      </c>
      <c r="L47" s="67">
        <v>13.6</v>
      </c>
      <c r="M47" s="67">
        <v>13.6</v>
      </c>
      <c r="N47" s="67">
        <v>13.6</v>
      </c>
      <c r="O47" s="67">
        <v>12.7</v>
      </c>
      <c r="P47" s="67">
        <v>12.8</v>
      </c>
      <c r="Q47" s="67">
        <v>12.8</v>
      </c>
      <c r="R47" s="67">
        <v>12.8</v>
      </c>
      <c r="S47" s="67">
        <v>12.8</v>
      </c>
      <c r="T47" s="67">
        <v>12.2</v>
      </c>
      <c r="U47" s="67">
        <v>12.2</v>
      </c>
      <c r="V47" s="67">
        <v>12.2</v>
      </c>
      <c r="W47" s="67">
        <v>12.2</v>
      </c>
      <c r="X47" s="67">
        <v>12.2</v>
      </c>
      <c r="Y47" s="67">
        <v>12.1</v>
      </c>
      <c r="Z47" s="67">
        <v>12.1</v>
      </c>
      <c r="AA47" s="67">
        <v>20.100000000000001</v>
      </c>
      <c r="AB47" s="67">
        <v>18.399999999999999</v>
      </c>
      <c r="AC47" s="67">
        <v>12.2</v>
      </c>
      <c r="AD47" s="67">
        <v>12.2</v>
      </c>
      <c r="AE47" s="67">
        <v>12.2</v>
      </c>
      <c r="AF47" s="67">
        <v>12.2</v>
      </c>
      <c r="AG47" s="68">
        <v>22.1</v>
      </c>
      <c r="AH47" s="48">
        <f t="shared" si="2"/>
        <v>20.100000000000001</v>
      </c>
      <c r="AI47" s="49">
        <f t="shared" si="3"/>
        <v>11.5</v>
      </c>
      <c r="AK47" s="50"/>
    </row>
    <row r="48" spans="1:88" ht="15.75" thickBot="1" x14ac:dyDescent="0.3">
      <c r="A48" s="69" t="s">
        <v>56</v>
      </c>
      <c r="B48" s="61">
        <v>61.5</v>
      </c>
      <c r="C48" s="61">
        <f t="shared" ref="C48:AG48" si="5">SUM(C45:C47)</f>
        <v>52.5</v>
      </c>
      <c r="D48" s="61">
        <f t="shared" si="5"/>
        <v>52.5</v>
      </c>
      <c r="E48" s="61">
        <f t="shared" si="5"/>
        <v>52.5</v>
      </c>
      <c r="F48" s="61">
        <f t="shared" si="5"/>
        <v>52.5</v>
      </c>
      <c r="G48" s="61">
        <f t="shared" si="5"/>
        <v>52.5</v>
      </c>
      <c r="H48" s="61">
        <f t="shared" si="5"/>
        <v>52.6</v>
      </c>
      <c r="I48" s="61">
        <f t="shared" si="5"/>
        <v>52.6</v>
      </c>
      <c r="J48" s="61">
        <f t="shared" si="5"/>
        <v>172.6</v>
      </c>
      <c r="K48" s="61">
        <f t="shared" si="5"/>
        <v>344.6</v>
      </c>
      <c r="L48" s="61">
        <f t="shared" si="5"/>
        <v>374.6</v>
      </c>
      <c r="M48" s="61">
        <f t="shared" si="5"/>
        <v>434.6</v>
      </c>
      <c r="N48" s="61">
        <f t="shared" si="5"/>
        <v>419.6</v>
      </c>
      <c r="O48" s="61">
        <f t="shared" si="5"/>
        <v>368.7</v>
      </c>
      <c r="P48" s="61">
        <f t="shared" si="5"/>
        <v>173.8</v>
      </c>
      <c r="Q48" s="61">
        <f t="shared" si="5"/>
        <v>153.80000000000001</v>
      </c>
      <c r="R48" s="61">
        <f t="shared" si="5"/>
        <v>133.80000000000001</v>
      </c>
      <c r="S48" s="61">
        <f t="shared" si="5"/>
        <v>133.80000000000001</v>
      </c>
      <c r="T48" s="61">
        <f t="shared" si="5"/>
        <v>53.2</v>
      </c>
      <c r="U48" s="61">
        <f t="shared" si="5"/>
        <v>53.2</v>
      </c>
      <c r="V48" s="61">
        <f t="shared" si="5"/>
        <v>53.2</v>
      </c>
      <c r="W48" s="61">
        <f t="shared" si="5"/>
        <v>129.19999999999999</v>
      </c>
      <c r="X48" s="61">
        <v>273.2</v>
      </c>
      <c r="Y48" s="61">
        <f t="shared" si="5"/>
        <v>363.1</v>
      </c>
      <c r="Z48" s="61">
        <f t="shared" ref="Z48" si="6">SUM(Z45:Z47)</f>
        <v>357.1</v>
      </c>
      <c r="AA48" s="61">
        <f t="shared" si="5"/>
        <v>326.10000000000002</v>
      </c>
      <c r="AB48" s="61">
        <f t="shared" si="5"/>
        <v>179.4</v>
      </c>
      <c r="AC48" s="61">
        <f t="shared" si="5"/>
        <v>163.19999999999999</v>
      </c>
      <c r="AD48" s="61">
        <f t="shared" si="5"/>
        <v>83.2</v>
      </c>
      <c r="AE48" s="61">
        <f t="shared" si="5"/>
        <v>53.2</v>
      </c>
      <c r="AF48" s="61">
        <f t="shared" si="5"/>
        <v>53.2</v>
      </c>
      <c r="AG48" s="62">
        <f t="shared" si="5"/>
        <v>538.1</v>
      </c>
      <c r="AH48" s="48">
        <f t="shared" si="2"/>
        <v>434.6</v>
      </c>
      <c r="AI48" s="49">
        <f t="shared" si="3"/>
        <v>52.5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46</v>
      </c>
      <c r="K49" s="45">
        <v>73.8</v>
      </c>
      <c r="L49" s="45">
        <v>115</v>
      </c>
      <c r="M49" s="45">
        <v>142.4</v>
      </c>
      <c r="N49" s="45">
        <v>142.19999999999999</v>
      </c>
      <c r="O49" s="45">
        <v>142</v>
      </c>
      <c r="P49" s="45">
        <v>141.30000000000001</v>
      </c>
      <c r="Q49" s="45">
        <v>111.3</v>
      </c>
      <c r="R49" s="45">
        <v>53</v>
      </c>
      <c r="S49" s="45">
        <v>24.7</v>
      </c>
      <c r="T49" s="45">
        <v>46.3</v>
      </c>
      <c r="U49" s="45">
        <v>83</v>
      </c>
      <c r="V49" s="45">
        <v>140</v>
      </c>
      <c r="W49" s="45">
        <v>140</v>
      </c>
      <c r="X49" s="45">
        <v>140</v>
      </c>
      <c r="Y49" s="45">
        <v>139.80000000000001</v>
      </c>
      <c r="Z49" s="45">
        <v>139.80000000000001</v>
      </c>
      <c r="AA49" s="45">
        <v>139.4</v>
      </c>
      <c r="AB49" s="45">
        <v>139.4</v>
      </c>
      <c r="AC49" s="45">
        <v>138.30000000000001</v>
      </c>
      <c r="AD49" s="45">
        <v>92.5</v>
      </c>
      <c r="AE49" s="45">
        <v>30</v>
      </c>
      <c r="AF49" s="45">
        <v>0</v>
      </c>
      <c r="AG49" s="52">
        <v>144</v>
      </c>
      <c r="AH49" s="48">
        <f t="shared" si="2"/>
        <v>142.4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24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70</v>
      </c>
      <c r="J50" s="65">
        <v>55</v>
      </c>
      <c r="K50" s="65">
        <v>44</v>
      </c>
      <c r="L50" s="65">
        <v>60</v>
      </c>
      <c r="M50" s="65">
        <v>60</v>
      </c>
      <c r="N50" s="65">
        <v>60.9</v>
      </c>
      <c r="O50" s="65">
        <v>62.9</v>
      </c>
      <c r="P50" s="65">
        <v>60</v>
      </c>
      <c r="Q50" s="65">
        <v>50.6</v>
      </c>
      <c r="R50" s="65">
        <v>31</v>
      </c>
      <c r="S50" s="65">
        <v>24</v>
      </c>
      <c r="T50" s="65">
        <v>30</v>
      </c>
      <c r="U50" s="45">
        <v>33</v>
      </c>
      <c r="V50" s="45">
        <v>66.7</v>
      </c>
      <c r="W50" s="45">
        <v>69</v>
      </c>
      <c r="X50" s="45">
        <v>69</v>
      </c>
      <c r="Y50" s="45">
        <v>68.7</v>
      </c>
      <c r="Z50" s="45">
        <v>68.7</v>
      </c>
      <c r="AA50" s="45">
        <v>70.2</v>
      </c>
      <c r="AB50" s="45">
        <v>60.6</v>
      </c>
      <c r="AC50" s="65">
        <v>34.5</v>
      </c>
      <c r="AD50" s="65">
        <v>0</v>
      </c>
      <c r="AE50" s="65">
        <v>0</v>
      </c>
      <c r="AF50" s="65">
        <v>0</v>
      </c>
      <c r="AG50" s="55">
        <v>70</v>
      </c>
      <c r="AH50" s="48">
        <f t="shared" si="2"/>
        <v>70.2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23</v>
      </c>
      <c r="C51" s="65">
        <v>16.5</v>
      </c>
      <c r="D51" s="65">
        <v>23.5</v>
      </c>
      <c r="E51" s="65">
        <v>16</v>
      </c>
      <c r="F51" s="65">
        <v>0</v>
      </c>
      <c r="G51" s="65">
        <v>0</v>
      </c>
      <c r="H51" s="65">
        <v>0</v>
      </c>
      <c r="I51" s="65">
        <v>46</v>
      </c>
      <c r="J51" s="65">
        <v>32.6</v>
      </c>
      <c r="K51" s="65">
        <v>45.5</v>
      </c>
      <c r="L51" s="65">
        <v>55</v>
      </c>
      <c r="M51" s="65">
        <v>55</v>
      </c>
      <c r="N51" s="65">
        <v>69.099999999999994</v>
      </c>
      <c r="O51" s="65">
        <v>66.900000000000006</v>
      </c>
      <c r="P51" s="65">
        <v>67.3</v>
      </c>
      <c r="Q51" s="65">
        <v>32.6</v>
      </c>
      <c r="R51" s="65">
        <v>33.5</v>
      </c>
      <c r="S51" s="65">
        <v>41.1</v>
      </c>
      <c r="T51" s="65">
        <v>46.2</v>
      </c>
      <c r="U51" s="45">
        <v>33</v>
      </c>
      <c r="V51" s="45">
        <v>65.8</v>
      </c>
      <c r="W51" s="45">
        <v>65.8</v>
      </c>
      <c r="X51" s="45">
        <v>65.8</v>
      </c>
      <c r="Y51" s="45">
        <v>67.599999999999994</v>
      </c>
      <c r="Z51" s="45">
        <v>67.599999999999994</v>
      </c>
      <c r="AA51" s="45">
        <v>67.2</v>
      </c>
      <c r="AB51" s="45">
        <v>66.7</v>
      </c>
      <c r="AC51" s="65">
        <v>67.599999999999994</v>
      </c>
      <c r="AD51" s="65">
        <v>66</v>
      </c>
      <c r="AE51" s="65">
        <v>16.5</v>
      </c>
      <c r="AF51" s="65">
        <v>16.5</v>
      </c>
      <c r="AG51" s="55">
        <v>69</v>
      </c>
      <c r="AH51" s="48">
        <f t="shared" si="2"/>
        <v>69.099999999999994</v>
      </c>
      <c r="AI51" s="49">
        <f t="shared" si="3"/>
        <v>0</v>
      </c>
      <c r="AK51" s="50"/>
    </row>
    <row r="52" spans="1:41" x14ac:dyDescent="0.25">
      <c r="A52" s="54" t="s">
        <v>60</v>
      </c>
      <c r="B52" s="57">
        <v>58.5</v>
      </c>
      <c r="C52" s="57">
        <v>58.5</v>
      </c>
      <c r="D52" s="57">
        <v>56.6</v>
      </c>
      <c r="E52" s="57">
        <v>56</v>
      </c>
      <c r="F52" s="57">
        <v>55.9</v>
      </c>
      <c r="G52" s="57">
        <v>55.9</v>
      </c>
      <c r="H52" s="57">
        <v>55.9</v>
      </c>
      <c r="I52" s="57">
        <v>55.9</v>
      </c>
      <c r="J52" s="57">
        <v>55.6</v>
      </c>
      <c r="K52" s="57">
        <v>56.9</v>
      </c>
      <c r="L52" s="57">
        <v>56.9</v>
      </c>
      <c r="M52" s="57">
        <v>56.9</v>
      </c>
      <c r="N52" s="65">
        <v>56.2</v>
      </c>
      <c r="O52" s="65">
        <v>55.9</v>
      </c>
      <c r="P52" s="65">
        <v>55.9</v>
      </c>
      <c r="Q52" s="65">
        <v>55.7</v>
      </c>
      <c r="R52" s="65">
        <v>55.7</v>
      </c>
      <c r="S52" s="65">
        <v>51.6</v>
      </c>
      <c r="T52" s="65">
        <v>51.6</v>
      </c>
      <c r="U52" s="65">
        <v>54.2</v>
      </c>
      <c r="V52" s="65">
        <v>54.2</v>
      </c>
      <c r="W52" s="65">
        <v>54.2</v>
      </c>
      <c r="X52" s="65">
        <v>54.2</v>
      </c>
      <c r="Y52" s="65">
        <v>54.2</v>
      </c>
      <c r="Z52" s="65">
        <v>54.2</v>
      </c>
      <c r="AA52" s="65">
        <v>54.2</v>
      </c>
      <c r="AB52" s="65">
        <v>54.2</v>
      </c>
      <c r="AC52" s="65">
        <v>54.9</v>
      </c>
      <c r="AD52" s="65">
        <v>59</v>
      </c>
      <c r="AE52" s="65">
        <v>59</v>
      </c>
      <c r="AF52" s="65">
        <v>59</v>
      </c>
      <c r="AG52" s="55">
        <v>60</v>
      </c>
      <c r="AH52" s="48">
        <f t="shared" si="2"/>
        <v>59</v>
      </c>
      <c r="AI52" s="49">
        <f t="shared" si="3"/>
        <v>51.6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15</v>
      </c>
      <c r="K53" s="57">
        <v>28.2</v>
      </c>
      <c r="L53" s="57">
        <v>30</v>
      </c>
      <c r="M53" s="57">
        <v>30</v>
      </c>
      <c r="N53" s="65">
        <v>28.5</v>
      </c>
      <c r="O53" s="65">
        <v>28.4</v>
      </c>
      <c r="P53" s="65">
        <v>28.4</v>
      </c>
      <c r="Q53" s="65">
        <v>0</v>
      </c>
      <c r="R53" s="65">
        <v>0</v>
      </c>
      <c r="S53" s="65">
        <v>0</v>
      </c>
      <c r="T53" s="65">
        <v>0</v>
      </c>
      <c r="U53" s="45">
        <v>0</v>
      </c>
      <c r="V53" s="45">
        <v>13</v>
      </c>
      <c r="W53" s="45">
        <v>13</v>
      </c>
      <c r="X53" s="65">
        <v>13</v>
      </c>
      <c r="Y53" s="65">
        <v>13</v>
      </c>
      <c r="Z53" s="65">
        <v>13</v>
      </c>
      <c r="AA53" s="65">
        <v>13</v>
      </c>
      <c r="AB53" s="65">
        <v>13</v>
      </c>
      <c r="AC53" s="65">
        <v>0</v>
      </c>
      <c r="AD53" s="65">
        <v>0</v>
      </c>
      <c r="AE53" s="65">
        <v>0</v>
      </c>
      <c r="AF53" s="65">
        <v>0</v>
      </c>
      <c r="AG53" s="55">
        <v>30</v>
      </c>
      <c r="AH53" s="48">
        <f t="shared" si="2"/>
        <v>30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0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>
        <v>17</v>
      </c>
      <c r="S55" s="65">
        <v>17</v>
      </c>
      <c r="T55" s="65">
        <v>17</v>
      </c>
      <c r="U55" s="65">
        <v>17</v>
      </c>
      <c r="V55" s="65">
        <v>17</v>
      </c>
      <c r="W55" s="65">
        <v>17</v>
      </c>
      <c r="X55" s="6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5">
        <v>24</v>
      </c>
      <c r="AH55" s="48">
        <f t="shared" si="2"/>
        <v>17.100000000000001</v>
      </c>
      <c r="AI55" s="49">
        <f t="shared" si="3"/>
        <v>17</v>
      </c>
      <c r="AK55" s="50"/>
    </row>
    <row r="56" spans="1:41" x14ac:dyDescent="0.25">
      <c r="A56" s="54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3.6</v>
      </c>
      <c r="G56" s="65">
        <v>3.6</v>
      </c>
      <c r="H56" s="65">
        <v>3.6</v>
      </c>
      <c r="I56" s="65">
        <v>3.6</v>
      </c>
      <c r="J56" s="65">
        <v>3.6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5">
        <v>15</v>
      </c>
      <c r="AH56" s="48">
        <f t="shared" si="2"/>
        <v>3.6</v>
      </c>
      <c r="AI56" s="49">
        <f t="shared" si="3"/>
        <v>3.2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13</v>
      </c>
      <c r="C57" s="65">
        <v>13</v>
      </c>
      <c r="D57" s="65">
        <v>13</v>
      </c>
      <c r="E57" s="65">
        <v>13</v>
      </c>
      <c r="F57" s="65">
        <v>13</v>
      </c>
      <c r="G57" s="65">
        <v>13</v>
      </c>
      <c r="H57" s="65">
        <v>13</v>
      </c>
      <c r="I57" s="65">
        <v>13</v>
      </c>
      <c r="J57" s="65">
        <v>13</v>
      </c>
      <c r="K57" s="65">
        <v>13.2</v>
      </c>
      <c r="L57" s="65">
        <v>13.2</v>
      </c>
      <c r="M57" s="65">
        <v>13.2</v>
      </c>
      <c r="N57" s="65">
        <v>13.2</v>
      </c>
      <c r="O57" s="65">
        <v>13.2</v>
      </c>
      <c r="P57" s="65">
        <v>13.2</v>
      </c>
      <c r="Q57" s="65">
        <v>13.2</v>
      </c>
      <c r="R57" s="65">
        <v>13.2</v>
      </c>
      <c r="S57" s="65">
        <v>13.2</v>
      </c>
      <c r="T57" s="65">
        <v>13.2</v>
      </c>
      <c r="U57" s="65">
        <v>13.2</v>
      </c>
      <c r="V57" s="65">
        <v>13.2</v>
      </c>
      <c r="W57" s="65">
        <v>13.2</v>
      </c>
      <c r="X57" s="65">
        <v>13.2</v>
      </c>
      <c r="Y57" s="65">
        <v>13.2</v>
      </c>
      <c r="Z57" s="65">
        <v>13.2</v>
      </c>
      <c r="AA57" s="65">
        <v>13.2</v>
      </c>
      <c r="AB57" s="65">
        <v>13.2</v>
      </c>
      <c r="AC57" s="65">
        <v>13.2</v>
      </c>
      <c r="AD57" s="65">
        <v>13.2</v>
      </c>
      <c r="AE57" s="65">
        <v>13.2</v>
      </c>
      <c r="AF57" s="65">
        <v>13.2</v>
      </c>
      <c r="AG57" s="55">
        <v>14.1</v>
      </c>
      <c r="AH57" s="48">
        <f t="shared" si="2"/>
        <v>13.2</v>
      </c>
      <c r="AI57" s="49">
        <f t="shared" si="3"/>
        <v>13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5.5</v>
      </c>
      <c r="C58" s="65">
        <v>5.5</v>
      </c>
      <c r="D58" s="65">
        <v>5.5</v>
      </c>
      <c r="E58" s="65">
        <v>5.5</v>
      </c>
      <c r="F58" s="65">
        <v>5.5</v>
      </c>
      <c r="G58" s="65">
        <v>5.5</v>
      </c>
      <c r="H58" s="65">
        <v>5.5</v>
      </c>
      <c r="I58" s="65">
        <v>5.5</v>
      </c>
      <c r="J58" s="65">
        <v>5.5</v>
      </c>
      <c r="K58" s="65">
        <v>6.2</v>
      </c>
      <c r="L58" s="65">
        <v>6.2</v>
      </c>
      <c r="M58" s="65">
        <v>6.2</v>
      </c>
      <c r="N58" s="65">
        <v>6.2</v>
      </c>
      <c r="O58" s="65">
        <v>6.2</v>
      </c>
      <c r="P58" s="65">
        <v>6.2</v>
      </c>
      <c r="Q58" s="65">
        <v>6.2</v>
      </c>
      <c r="R58" s="65">
        <v>6.2</v>
      </c>
      <c r="S58" s="65">
        <v>6.2</v>
      </c>
      <c r="T58" s="65">
        <v>6.2</v>
      </c>
      <c r="U58" s="65">
        <v>6.2</v>
      </c>
      <c r="V58" s="65">
        <v>6.2</v>
      </c>
      <c r="W58" s="65">
        <v>6.2</v>
      </c>
      <c r="X58" s="65">
        <v>6.2</v>
      </c>
      <c r="Y58" s="65">
        <v>6.2</v>
      </c>
      <c r="Z58" s="65">
        <v>6.2</v>
      </c>
      <c r="AA58" s="65">
        <v>6.2</v>
      </c>
      <c r="AB58" s="65">
        <v>5.5</v>
      </c>
      <c r="AC58" s="65">
        <v>5.5</v>
      </c>
      <c r="AD58" s="65">
        <v>5.5</v>
      </c>
      <c r="AE58" s="65">
        <v>5.5</v>
      </c>
      <c r="AF58" s="65">
        <v>5.5</v>
      </c>
      <c r="AG58" s="55">
        <v>14</v>
      </c>
      <c r="AH58" s="48">
        <f t="shared" si="2"/>
        <v>6.2</v>
      </c>
      <c r="AI58" s="49">
        <f t="shared" si="3"/>
        <v>5.5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0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6.2</v>
      </c>
      <c r="C60" s="65">
        <v>6.2</v>
      </c>
      <c r="D60" s="65">
        <v>6.2</v>
      </c>
      <c r="E60" s="65">
        <v>6.2</v>
      </c>
      <c r="F60" s="65">
        <v>6.2</v>
      </c>
      <c r="G60" s="65">
        <v>6.2</v>
      </c>
      <c r="H60" s="65">
        <v>6.2</v>
      </c>
      <c r="I60" s="65">
        <v>6.2</v>
      </c>
      <c r="J60" s="65">
        <v>6.2</v>
      </c>
      <c r="K60" s="65">
        <v>6.2</v>
      </c>
      <c r="L60" s="65">
        <v>6.2</v>
      </c>
      <c r="M60" s="65">
        <v>6.2</v>
      </c>
      <c r="N60" s="65">
        <v>6.2</v>
      </c>
      <c r="O60" s="65">
        <v>6.2</v>
      </c>
      <c r="P60" s="65">
        <v>6.2</v>
      </c>
      <c r="Q60" s="65">
        <v>6.2</v>
      </c>
      <c r="R60" s="65">
        <v>6.2</v>
      </c>
      <c r="S60" s="65">
        <v>6.2</v>
      </c>
      <c r="T60" s="65">
        <v>6.2</v>
      </c>
      <c r="U60" s="65">
        <v>6.2</v>
      </c>
      <c r="V60" s="65">
        <v>6.2</v>
      </c>
      <c r="W60" s="65">
        <v>6.2</v>
      </c>
      <c r="X60" s="65">
        <v>6.2</v>
      </c>
      <c r="Y60" s="65">
        <v>6.2</v>
      </c>
      <c r="Z60" s="65">
        <v>6.2</v>
      </c>
      <c r="AA60" s="65">
        <v>6.2</v>
      </c>
      <c r="AB60" s="65">
        <v>3</v>
      </c>
      <c r="AC60" s="65">
        <v>3</v>
      </c>
      <c r="AD60" s="65">
        <v>3</v>
      </c>
      <c r="AE60" s="65">
        <v>3</v>
      </c>
      <c r="AF60" s="65">
        <v>3</v>
      </c>
      <c r="AG60" s="55">
        <v>6.2</v>
      </c>
      <c r="AH60" s="48">
        <f t="shared" si="2"/>
        <v>6.2</v>
      </c>
      <c r="AI60" s="49">
        <f t="shared" si="3"/>
        <v>3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v>136.74</v>
      </c>
      <c r="C62" s="61">
        <f t="shared" ref="C62:AG62" si="7">SUM(C49:C61)</f>
        <v>154.04</v>
      </c>
      <c r="D62" s="61">
        <f t="shared" si="7"/>
        <v>135.13999999999999</v>
      </c>
      <c r="E62" s="61">
        <f t="shared" si="7"/>
        <v>127.04</v>
      </c>
      <c r="F62" s="61">
        <f t="shared" si="7"/>
        <v>111.34</v>
      </c>
      <c r="G62" s="61">
        <f t="shared" si="7"/>
        <v>111.34</v>
      </c>
      <c r="H62" s="61">
        <f t="shared" si="7"/>
        <v>111.34</v>
      </c>
      <c r="I62" s="61">
        <f t="shared" si="7"/>
        <v>227.33999999999997</v>
      </c>
      <c r="J62" s="61">
        <f t="shared" si="7"/>
        <v>259.64</v>
      </c>
      <c r="K62" s="61">
        <f t="shared" si="7"/>
        <v>304.23999999999995</v>
      </c>
      <c r="L62" s="61">
        <f t="shared" si="7"/>
        <v>372.73999999999995</v>
      </c>
      <c r="M62" s="61">
        <f t="shared" si="7"/>
        <v>400.13999999999993</v>
      </c>
      <c r="N62" s="61">
        <f t="shared" si="7"/>
        <v>412.73999999999995</v>
      </c>
      <c r="O62" s="61">
        <f t="shared" si="7"/>
        <v>411.93999999999994</v>
      </c>
      <c r="P62" s="61">
        <f t="shared" si="7"/>
        <v>402.23999999999995</v>
      </c>
      <c r="Q62" s="61">
        <f t="shared" si="7"/>
        <v>306.03999999999996</v>
      </c>
      <c r="R62" s="61">
        <f t="shared" si="7"/>
        <v>229.03999999999994</v>
      </c>
      <c r="S62" s="61">
        <f t="shared" si="7"/>
        <v>197.23999999999995</v>
      </c>
      <c r="T62" s="61">
        <f t="shared" si="7"/>
        <v>229.93999999999994</v>
      </c>
      <c r="U62" s="61">
        <f t="shared" si="7"/>
        <v>259.03999999999996</v>
      </c>
      <c r="V62" s="61">
        <f t="shared" si="7"/>
        <v>395.53999999999996</v>
      </c>
      <c r="W62" s="61">
        <f t="shared" si="7"/>
        <v>397.84</v>
      </c>
      <c r="X62" s="61">
        <v>397.84</v>
      </c>
      <c r="Y62" s="61">
        <f t="shared" si="7"/>
        <v>399.14</v>
      </c>
      <c r="Z62" s="61">
        <f t="shared" si="7"/>
        <v>399.14</v>
      </c>
      <c r="AA62" s="61">
        <f t="shared" si="7"/>
        <v>399.84</v>
      </c>
      <c r="AB62" s="61">
        <f t="shared" si="7"/>
        <v>385.84</v>
      </c>
      <c r="AC62" s="61">
        <f t="shared" si="7"/>
        <v>347.24</v>
      </c>
      <c r="AD62" s="61">
        <f t="shared" si="7"/>
        <v>269.44</v>
      </c>
      <c r="AE62" s="61">
        <f t="shared" si="7"/>
        <v>157.44</v>
      </c>
      <c r="AF62" s="61">
        <f t="shared" si="7"/>
        <v>127.44000000000001</v>
      </c>
      <c r="AG62" s="62">
        <f t="shared" si="7"/>
        <v>489.91</v>
      </c>
      <c r="AH62" s="48">
        <f t="shared" si="2"/>
        <v>412.73999999999995</v>
      </c>
      <c r="AI62" s="49">
        <f t="shared" si="3"/>
        <v>111.34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40</v>
      </c>
      <c r="L63" s="45">
        <v>45</v>
      </c>
      <c r="M63" s="45">
        <v>50</v>
      </c>
      <c r="N63" s="45">
        <v>60</v>
      </c>
      <c r="O63" s="45">
        <v>60</v>
      </c>
      <c r="P63" s="45">
        <v>60</v>
      </c>
      <c r="Q63" s="45">
        <v>60</v>
      </c>
      <c r="R63" s="45">
        <v>20</v>
      </c>
      <c r="S63" s="45">
        <v>0</v>
      </c>
      <c r="T63" s="45">
        <v>0</v>
      </c>
      <c r="U63" s="45">
        <v>0</v>
      </c>
      <c r="V63" s="45">
        <v>0</v>
      </c>
      <c r="W63" s="45">
        <v>60</v>
      </c>
      <c r="X63" s="45">
        <v>60</v>
      </c>
      <c r="Y63" s="45">
        <v>60</v>
      </c>
      <c r="Z63" s="45">
        <v>60</v>
      </c>
      <c r="AA63" s="45">
        <v>60</v>
      </c>
      <c r="AB63" s="45">
        <v>60</v>
      </c>
      <c r="AC63" s="45">
        <v>60</v>
      </c>
      <c r="AD63" s="45">
        <v>60</v>
      </c>
      <c r="AE63" s="45">
        <v>40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20</v>
      </c>
      <c r="L64" s="65">
        <v>22.6</v>
      </c>
      <c r="M64" s="65">
        <v>22.5</v>
      </c>
      <c r="N64" s="65">
        <v>27.4</v>
      </c>
      <c r="O64" s="65">
        <v>27.9</v>
      </c>
      <c r="P64" s="65">
        <v>12.8</v>
      </c>
      <c r="Q64" s="45">
        <v>20.7</v>
      </c>
      <c r="R64" s="45">
        <v>9.3000000000000007</v>
      </c>
      <c r="S64" s="65">
        <v>0</v>
      </c>
      <c r="T64" s="65">
        <v>0</v>
      </c>
      <c r="U64" s="65">
        <v>0</v>
      </c>
      <c r="V64" s="65">
        <v>0</v>
      </c>
      <c r="W64" s="65">
        <v>27.2</v>
      </c>
      <c r="X64" s="65">
        <v>27.2</v>
      </c>
      <c r="Y64" s="65">
        <v>27.9</v>
      </c>
      <c r="Z64" s="65">
        <v>27.9</v>
      </c>
      <c r="AA64" s="65">
        <v>28</v>
      </c>
      <c r="AB64" s="65">
        <v>27.6</v>
      </c>
      <c r="AC64" s="65">
        <v>27.6</v>
      </c>
      <c r="AD64" s="65">
        <v>27.9</v>
      </c>
      <c r="AE64" s="65">
        <v>25</v>
      </c>
      <c r="AF64" s="45">
        <v>0</v>
      </c>
      <c r="AG64" s="55">
        <v>32</v>
      </c>
      <c r="AH64" s="48">
        <f t="shared" si="2"/>
        <v>28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8.6</v>
      </c>
      <c r="L65" s="67">
        <v>8.3000000000000007</v>
      </c>
      <c r="M65" s="67">
        <v>8.1999999999999993</v>
      </c>
      <c r="N65" s="67">
        <v>10</v>
      </c>
      <c r="O65" s="67">
        <v>10.199999999999999</v>
      </c>
      <c r="P65" s="67">
        <v>10.1</v>
      </c>
      <c r="Q65" s="45">
        <v>7.5</v>
      </c>
      <c r="R65" s="45">
        <v>3.4</v>
      </c>
      <c r="S65" s="67">
        <v>0</v>
      </c>
      <c r="T65" s="67">
        <v>0</v>
      </c>
      <c r="U65" s="67">
        <v>0</v>
      </c>
      <c r="V65" s="67">
        <v>0</v>
      </c>
      <c r="W65" s="67">
        <v>9</v>
      </c>
      <c r="X65" s="67">
        <v>9</v>
      </c>
      <c r="Y65" s="67">
        <v>9</v>
      </c>
      <c r="Z65" s="67">
        <v>9</v>
      </c>
      <c r="AA65" s="67">
        <v>10.3</v>
      </c>
      <c r="AB65" s="67">
        <v>10.199999999999999</v>
      </c>
      <c r="AC65" s="67">
        <v>10.199999999999999</v>
      </c>
      <c r="AD65" s="67">
        <v>10.199999999999999</v>
      </c>
      <c r="AE65" s="67">
        <v>8.6</v>
      </c>
      <c r="AF65" s="45">
        <v>0</v>
      </c>
      <c r="AG65" s="68">
        <v>14</v>
      </c>
      <c r="AH65" s="48">
        <f t="shared" si="2"/>
        <v>10.3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75.899999999999991</v>
      </c>
      <c r="M66" s="61">
        <f t="shared" ref="M66:AF66" si="8">M63+M64+M65</f>
        <v>80.7</v>
      </c>
      <c r="N66" s="61">
        <f t="shared" si="8"/>
        <v>97.4</v>
      </c>
      <c r="O66" s="61">
        <f t="shared" si="8"/>
        <v>98.100000000000009</v>
      </c>
      <c r="P66" s="61">
        <f t="shared" si="8"/>
        <v>82.899999999999991</v>
      </c>
      <c r="Q66" s="61">
        <f t="shared" si="8"/>
        <v>88.2</v>
      </c>
      <c r="R66" s="61">
        <f t="shared" si="8"/>
        <v>32.700000000000003</v>
      </c>
      <c r="S66" s="61">
        <f t="shared" si="8"/>
        <v>0</v>
      </c>
      <c r="T66" s="61">
        <f t="shared" si="8"/>
        <v>0</v>
      </c>
      <c r="U66" s="61">
        <f t="shared" si="8"/>
        <v>0</v>
      </c>
      <c r="V66" s="61">
        <f t="shared" si="8"/>
        <v>0</v>
      </c>
      <c r="W66" s="61">
        <v>9</v>
      </c>
      <c r="X66" s="61">
        <v>96.2</v>
      </c>
      <c r="Y66" s="61">
        <f t="shared" si="8"/>
        <v>96.9</v>
      </c>
      <c r="Z66" s="61">
        <f t="shared" si="8"/>
        <v>96.9</v>
      </c>
      <c r="AA66" s="61">
        <f t="shared" si="8"/>
        <v>98.3</v>
      </c>
      <c r="AB66" s="61">
        <f t="shared" si="8"/>
        <v>97.8</v>
      </c>
      <c r="AC66" s="61">
        <f t="shared" si="8"/>
        <v>97.8</v>
      </c>
      <c r="AD66" s="61">
        <f t="shared" si="8"/>
        <v>98.100000000000009</v>
      </c>
      <c r="AE66" s="61">
        <f t="shared" si="8"/>
        <v>73.599999999999994</v>
      </c>
      <c r="AF66" s="61">
        <f t="shared" si="8"/>
        <v>0</v>
      </c>
      <c r="AG66" s="62">
        <f t="shared" ref="AG66" si="9">SUM(AG63:AG65)</f>
        <v>106</v>
      </c>
      <c r="AH66" s="48">
        <f t="shared" si="2"/>
        <v>98.3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64</v>
      </c>
      <c r="C67" s="45">
        <v>64</v>
      </c>
      <c r="D67" s="45">
        <v>64</v>
      </c>
      <c r="E67" s="45">
        <v>70</v>
      </c>
      <c r="F67" s="45">
        <v>69</v>
      </c>
      <c r="G67" s="45">
        <v>66</v>
      </c>
      <c r="H67" s="45">
        <v>65</v>
      </c>
      <c r="I67" s="45"/>
      <c r="J67" s="45">
        <v>64</v>
      </c>
      <c r="K67" s="45">
        <v>50</v>
      </c>
      <c r="L67" s="45">
        <v>52</v>
      </c>
      <c r="M67" s="45">
        <v>43.7</v>
      </c>
      <c r="N67" s="45">
        <v>44.1</v>
      </c>
      <c r="O67" s="45">
        <v>45.1</v>
      </c>
      <c r="P67" s="45">
        <v>61.8</v>
      </c>
      <c r="Q67" s="45">
        <v>59.3</v>
      </c>
      <c r="R67" s="45">
        <v>70</v>
      </c>
      <c r="S67" s="45">
        <v>59.5</v>
      </c>
      <c r="T67" s="45">
        <v>58.4</v>
      </c>
      <c r="U67" s="45">
        <v>64</v>
      </c>
      <c r="V67" s="45">
        <v>49.5</v>
      </c>
      <c r="W67" s="45">
        <v>50</v>
      </c>
      <c r="X67" s="45">
        <v>63</v>
      </c>
      <c r="Y67" s="45">
        <v>63</v>
      </c>
      <c r="Z67" s="45">
        <v>72.400000000000006</v>
      </c>
      <c r="AA67" s="45">
        <v>66.8</v>
      </c>
      <c r="AB67" s="45">
        <v>62.8</v>
      </c>
      <c r="AC67" s="45">
        <v>71.3</v>
      </c>
      <c r="AD67" s="45">
        <v>64.099999999999994</v>
      </c>
      <c r="AE67" s="45">
        <v>61.6</v>
      </c>
      <c r="AF67" s="45">
        <v>64.900000000000006</v>
      </c>
      <c r="AG67" s="52"/>
      <c r="AH67" s="48">
        <f t="shared" si="2"/>
        <v>72.400000000000006</v>
      </c>
      <c r="AI67" s="49">
        <f t="shared" si="3"/>
        <v>43.7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/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275</v>
      </c>
      <c r="C69" s="65">
        <v>209</v>
      </c>
      <c r="D69" s="65">
        <v>205</v>
      </c>
      <c r="E69" s="65">
        <v>211</v>
      </c>
      <c r="F69" s="65">
        <v>298</v>
      </c>
      <c r="G69" s="65">
        <v>335</v>
      </c>
      <c r="H69" s="65">
        <v>340</v>
      </c>
      <c r="I69" s="65"/>
      <c r="J69" s="65">
        <v>332</v>
      </c>
      <c r="K69" s="65">
        <v>80</v>
      </c>
      <c r="L69" s="65">
        <v>39</v>
      </c>
      <c r="M69" s="65">
        <v>40</v>
      </c>
      <c r="N69" s="65">
        <v>12</v>
      </c>
      <c r="O69" s="65">
        <v>12.3</v>
      </c>
      <c r="P69" s="65">
        <v>99.2</v>
      </c>
      <c r="Q69" s="65">
        <v>121.2</v>
      </c>
      <c r="R69" s="65">
        <v>230</v>
      </c>
      <c r="S69" s="65">
        <v>201</v>
      </c>
      <c r="T69" s="65">
        <v>315</v>
      </c>
      <c r="U69" s="65">
        <v>250</v>
      </c>
      <c r="V69" s="65">
        <v>71</v>
      </c>
      <c r="W69" s="65">
        <v>80</v>
      </c>
      <c r="X69" s="65">
        <v>60</v>
      </c>
      <c r="Y69" s="65">
        <v>60</v>
      </c>
      <c r="Z69" s="65">
        <v>46</v>
      </c>
      <c r="AA69" s="65">
        <v>67.2</v>
      </c>
      <c r="AB69" s="65">
        <v>183.2</v>
      </c>
      <c r="AC69" s="65">
        <v>176.9</v>
      </c>
      <c r="AD69" s="65">
        <v>276.10000000000002</v>
      </c>
      <c r="AE69" s="65">
        <v>297</v>
      </c>
      <c r="AF69" s="65">
        <v>313.60000000000002</v>
      </c>
      <c r="AG69" s="75"/>
      <c r="AH69" s="48">
        <f t="shared" si="2"/>
        <v>340</v>
      </c>
      <c r="AI69" s="49">
        <f t="shared" si="3"/>
        <v>12</v>
      </c>
      <c r="AK69" s="50"/>
    </row>
    <row r="70" spans="1:40" x14ac:dyDescent="0.25">
      <c r="A70" s="54" t="s">
        <v>78</v>
      </c>
      <c r="B70" s="76">
        <v>65.7</v>
      </c>
      <c r="C70" s="76">
        <v>65.7</v>
      </c>
      <c r="D70" s="76">
        <v>66.5</v>
      </c>
      <c r="E70" s="76">
        <v>70.3</v>
      </c>
      <c r="F70" s="76">
        <v>7</v>
      </c>
      <c r="G70" s="76">
        <v>29.7</v>
      </c>
      <c r="H70" s="76">
        <v>44.2</v>
      </c>
      <c r="I70" s="76"/>
      <c r="J70" s="76">
        <v>45</v>
      </c>
      <c r="K70" s="76">
        <v>49.8</v>
      </c>
      <c r="L70" s="76">
        <v>54.34</v>
      </c>
      <c r="M70" s="76">
        <v>63.2</v>
      </c>
      <c r="N70" s="76">
        <v>64.599999999999994</v>
      </c>
      <c r="O70" s="76">
        <v>58.5</v>
      </c>
      <c r="P70" s="76">
        <v>51.9</v>
      </c>
      <c r="Q70" s="76">
        <v>51</v>
      </c>
      <c r="R70" s="76">
        <v>48</v>
      </c>
      <c r="S70" s="76">
        <v>51.6</v>
      </c>
      <c r="T70" s="76">
        <v>52</v>
      </c>
      <c r="U70" s="76">
        <v>57</v>
      </c>
      <c r="V70" s="76">
        <v>47</v>
      </c>
      <c r="W70" s="76">
        <v>50.3</v>
      </c>
      <c r="X70" s="65">
        <v>50.3</v>
      </c>
      <c r="Y70" s="65">
        <v>50.3</v>
      </c>
      <c r="Z70" s="65">
        <v>50.3</v>
      </c>
      <c r="AA70" s="65">
        <v>55.8</v>
      </c>
      <c r="AB70" s="65">
        <v>55.4</v>
      </c>
      <c r="AC70" s="65">
        <v>54.5</v>
      </c>
      <c r="AD70" s="65">
        <v>60.3</v>
      </c>
      <c r="AE70" s="65">
        <v>48.7</v>
      </c>
      <c r="AF70" s="65">
        <v>53.3</v>
      </c>
      <c r="AG70" s="75"/>
      <c r="AH70" s="48">
        <f t="shared" si="2"/>
        <v>70.3</v>
      </c>
      <c r="AI70" s="49">
        <f t="shared" si="3"/>
        <v>7</v>
      </c>
      <c r="AK70" s="50"/>
    </row>
    <row r="71" spans="1:40" x14ac:dyDescent="0.25">
      <c r="A71" s="54" t="s">
        <v>79</v>
      </c>
      <c r="B71" s="45">
        <v>31</v>
      </c>
      <c r="C71" s="45">
        <v>31</v>
      </c>
      <c r="D71" s="45">
        <v>31</v>
      </c>
      <c r="E71" s="45">
        <v>22.5</v>
      </c>
      <c r="F71" s="45">
        <v>22</v>
      </c>
      <c r="G71" s="45">
        <v>24</v>
      </c>
      <c r="H71" s="45">
        <v>23</v>
      </c>
      <c r="I71" s="45"/>
      <c r="J71" s="45">
        <v>26</v>
      </c>
      <c r="K71" s="45">
        <v>25</v>
      </c>
      <c r="L71" s="45">
        <v>23</v>
      </c>
      <c r="M71" s="45">
        <v>30</v>
      </c>
      <c r="N71" s="45">
        <v>30</v>
      </c>
      <c r="O71" s="45">
        <v>29</v>
      </c>
      <c r="P71" s="45">
        <v>30</v>
      </c>
      <c r="Q71" s="45">
        <v>30</v>
      </c>
      <c r="R71" s="45">
        <v>30</v>
      </c>
      <c r="S71" s="45">
        <v>30</v>
      </c>
      <c r="T71" s="45">
        <v>30</v>
      </c>
      <c r="U71" s="45">
        <v>30</v>
      </c>
      <c r="V71" s="45">
        <v>30</v>
      </c>
      <c r="W71" s="45">
        <v>30</v>
      </c>
      <c r="X71" s="45">
        <v>30</v>
      </c>
      <c r="Y71" s="45">
        <v>30</v>
      </c>
      <c r="Z71" s="45">
        <v>30</v>
      </c>
      <c r="AA71" s="45">
        <v>31</v>
      </c>
      <c r="AB71" s="45">
        <v>30</v>
      </c>
      <c r="AC71" s="45">
        <v>30</v>
      </c>
      <c r="AD71" s="45">
        <v>30</v>
      </c>
      <c r="AE71" s="45">
        <v>30</v>
      </c>
      <c r="AF71" s="45">
        <v>30</v>
      </c>
      <c r="AG71" s="75"/>
      <c r="AH71" s="48">
        <f t="shared" si="2"/>
        <v>31</v>
      </c>
      <c r="AI71" s="49">
        <f t="shared" si="3"/>
        <v>22</v>
      </c>
      <c r="AK71" s="50"/>
    </row>
    <row r="72" spans="1:40" x14ac:dyDescent="0.25">
      <c r="A72" s="54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/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5</v>
      </c>
      <c r="AI72" s="49">
        <f t="shared" si="3"/>
        <v>5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167"/>
      <c r="AL74" s="168" t="s">
        <v>278</v>
      </c>
      <c r="AM74" s="188" t="s">
        <v>277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10">MAX(B75:AF75)</f>
        <v>0</v>
      </c>
      <c r="AI75" s="49">
        <f t="shared" ref="AI75:AI113" si="11">MIN(B75:AF75)</f>
        <v>0</v>
      </c>
      <c r="AK75" s="170" t="s">
        <v>253</v>
      </c>
      <c r="AL75" s="65"/>
      <c r="AM75" s="76">
        <v>52184.61</v>
      </c>
      <c r="AN75" s="171"/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10"/>
        <v>0</v>
      </c>
      <c r="AI76" s="49">
        <f t="shared" si="11"/>
        <v>0</v>
      </c>
      <c r="AK76" s="170" t="s">
        <v>254</v>
      </c>
      <c r="AL76" s="76"/>
      <c r="AM76" s="76">
        <v>395790.08000000002</v>
      </c>
      <c r="AN76" s="171"/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10"/>
        <v>0</v>
      </c>
      <c r="AI77" s="49">
        <f t="shared" si="11"/>
        <v>0</v>
      </c>
      <c r="AK77" s="172"/>
      <c r="AL77" s="45"/>
      <c r="AM77" s="45"/>
      <c r="AN77" s="177">
        <f>AN75+AN76</f>
        <v>0</v>
      </c>
    </row>
    <row r="78" spans="1:40" ht="15.75" thickBot="1" x14ac:dyDescent="0.3">
      <c r="A78" s="74" t="s">
        <v>86</v>
      </c>
      <c r="B78" s="61">
        <v>470.7</v>
      </c>
      <c r="C78" s="61">
        <f t="shared" ref="C78:AF78" si="12">SUMIF(C67:C77,"&gt;0")</f>
        <v>374.7</v>
      </c>
      <c r="D78" s="61">
        <f t="shared" si="12"/>
        <v>371.5</v>
      </c>
      <c r="E78" s="61">
        <f t="shared" si="12"/>
        <v>378.8</v>
      </c>
      <c r="F78" s="61">
        <f t="shared" si="12"/>
        <v>401</v>
      </c>
      <c r="G78" s="61">
        <f t="shared" si="12"/>
        <v>459.7</v>
      </c>
      <c r="H78" s="61">
        <f t="shared" si="12"/>
        <v>477.2</v>
      </c>
      <c r="I78" s="61">
        <f t="shared" si="12"/>
        <v>0</v>
      </c>
      <c r="J78" s="61">
        <f t="shared" si="12"/>
        <v>472</v>
      </c>
      <c r="K78" s="61">
        <f t="shared" si="12"/>
        <v>209.8</v>
      </c>
      <c r="L78" s="61">
        <f t="shared" si="12"/>
        <v>173.34</v>
      </c>
      <c r="M78" s="61">
        <f t="shared" si="12"/>
        <v>181.9</v>
      </c>
      <c r="N78" s="61">
        <f t="shared" si="12"/>
        <v>155.69999999999999</v>
      </c>
      <c r="O78" s="61">
        <f t="shared" si="12"/>
        <v>149.9</v>
      </c>
      <c r="P78" s="61">
        <f t="shared" si="12"/>
        <v>247.9</v>
      </c>
      <c r="Q78" s="61">
        <f t="shared" si="12"/>
        <v>266.5</v>
      </c>
      <c r="R78" s="61">
        <f t="shared" si="12"/>
        <v>383</v>
      </c>
      <c r="S78" s="61">
        <f t="shared" si="12"/>
        <v>347.1</v>
      </c>
      <c r="T78" s="61">
        <f t="shared" si="12"/>
        <v>460.4</v>
      </c>
      <c r="U78" s="61">
        <f t="shared" si="12"/>
        <v>406</v>
      </c>
      <c r="V78" s="61">
        <f t="shared" si="12"/>
        <v>202.5</v>
      </c>
      <c r="W78" s="61">
        <f t="shared" si="12"/>
        <v>215.3</v>
      </c>
      <c r="X78" s="61">
        <v>214.3</v>
      </c>
      <c r="Y78" s="61">
        <f t="shared" si="12"/>
        <v>208.3</v>
      </c>
      <c r="Z78" s="61">
        <f t="shared" si="12"/>
        <v>203.7</v>
      </c>
      <c r="AA78" s="61">
        <f t="shared" si="12"/>
        <v>225.8</v>
      </c>
      <c r="AB78" s="61">
        <f t="shared" si="12"/>
        <v>336.4</v>
      </c>
      <c r="AC78" s="61">
        <f t="shared" si="12"/>
        <v>337.7</v>
      </c>
      <c r="AD78" s="61">
        <f t="shared" si="12"/>
        <v>435.50000000000006</v>
      </c>
      <c r="AE78" s="61">
        <f t="shared" si="12"/>
        <v>442.3</v>
      </c>
      <c r="AF78" s="61">
        <f t="shared" si="12"/>
        <v>466.8</v>
      </c>
      <c r="AG78" s="81">
        <f>SUM(AG67:AG77)</f>
        <v>0</v>
      </c>
      <c r="AH78" s="48">
        <f t="shared" si="10"/>
        <v>477.2</v>
      </c>
      <c r="AI78" s="49">
        <f t="shared" si="11"/>
        <v>0</v>
      </c>
      <c r="AK78" s="172"/>
      <c r="AL78" s="77"/>
      <c r="AM78" s="176"/>
      <c r="AN78" s="215">
        <f>AN77/4</f>
        <v>0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10"/>
        <v>0</v>
      </c>
      <c r="AI79" s="49">
        <f t="shared" si="11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10"/>
        <v>0</v>
      </c>
      <c r="AI80" s="49">
        <f t="shared" si="11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0"/>
        <v>0</v>
      </c>
      <c r="AI81" s="49">
        <f t="shared" si="11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10"/>
        <v>0</v>
      </c>
      <c r="AI82" s="49">
        <f t="shared" si="11"/>
        <v>0</v>
      </c>
    </row>
    <row r="83" spans="1:37" ht="15.75" thickBot="1" x14ac:dyDescent="0.3">
      <c r="A83" s="74" t="s">
        <v>91</v>
      </c>
      <c r="B83" s="83">
        <v>1137.94</v>
      </c>
      <c r="C83" s="83">
        <f t="shared" ref="C83:AG83" si="13">C44+C48+C66+C62+C78+C82</f>
        <v>1052.74</v>
      </c>
      <c r="D83" s="83">
        <f t="shared" si="13"/>
        <v>1030.6399999999999</v>
      </c>
      <c r="E83" s="83">
        <f t="shared" si="13"/>
        <v>1029.8399999999999</v>
      </c>
      <c r="F83" s="83">
        <f t="shared" si="13"/>
        <v>1036.3400000000001</v>
      </c>
      <c r="G83" s="83">
        <f t="shared" si="13"/>
        <v>1095.04</v>
      </c>
      <c r="H83" s="83">
        <f t="shared" si="13"/>
        <v>1113.54</v>
      </c>
      <c r="I83" s="83">
        <f t="shared" si="13"/>
        <v>752.33999999999992</v>
      </c>
      <c r="J83" s="83">
        <f t="shared" si="13"/>
        <v>1376.6399999999999</v>
      </c>
      <c r="K83" s="83">
        <f t="shared" si="13"/>
        <v>1327.54</v>
      </c>
      <c r="L83" s="83">
        <f t="shared" si="13"/>
        <v>1465.58</v>
      </c>
      <c r="M83" s="83">
        <f t="shared" si="13"/>
        <v>1568.24</v>
      </c>
      <c r="N83" s="83">
        <f t="shared" si="13"/>
        <v>1556.34</v>
      </c>
      <c r="O83" s="83">
        <f t="shared" si="13"/>
        <v>1499.8400000000001</v>
      </c>
      <c r="P83" s="83">
        <f t="shared" si="13"/>
        <v>1378.04</v>
      </c>
      <c r="Q83" s="83">
        <f t="shared" si="13"/>
        <v>1285.74</v>
      </c>
      <c r="R83" s="83">
        <f t="shared" si="13"/>
        <v>1249.74</v>
      </c>
      <c r="S83" s="83">
        <f t="shared" si="13"/>
        <v>1149.3400000000001</v>
      </c>
      <c r="T83" s="83">
        <f t="shared" si="13"/>
        <v>1214.54</v>
      </c>
      <c r="U83" s="83">
        <f t="shared" si="13"/>
        <v>1190.04</v>
      </c>
      <c r="V83" s="83">
        <f t="shared" si="13"/>
        <v>1123.04</v>
      </c>
      <c r="W83" s="83">
        <f t="shared" si="13"/>
        <v>1223.1399999999999</v>
      </c>
      <c r="X83" s="83">
        <v>1453.34</v>
      </c>
      <c r="Y83" s="83">
        <f t="shared" si="13"/>
        <v>1540.54</v>
      </c>
      <c r="Z83" s="83">
        <f t="shared" si="13"/>
        <v>1529.44</v>
      </c>
      <c r="AA83" s="83">
        <f t="shared" si="13"/>
        <v>1522.6399999999999</v>
      </c>
      <c r="AB83" s="83">
        <f t="shared" si="13"/>
        <v>1471.44</v>
      </c>
      <c r="AC83" s="83">
        <f t="shared" si="13"/>
        <v>1417.94</v>
      </c>
      <c r="AD83" s="83">
        <f t="shared" si="13"/>
        <v>1358.24</v>
      </c>
      <c r="AE83" s="83">
        <f t="shared" si="13"/>
        <v>1198.54</v>
      </c>
      <c r="AF83" s="83">
        <f t="shared" si="13"/>
        <v>1119.44</v>
      </c>
      <c r="AG83" s="62">
        <f t="shared" si="13"/>
        <v>2004.1900000000003</v>
      </c>
      <c r="AH83" s="48">
        <f>MAX(B83:AF83)</f>
        <v>1568.24</v>
      </c>
      <c r="AI83" s="49">
        <f>MIN(B83:AF83)</f>
        <v>752.33999999999992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>
        <v>60</v>
      </c>
      <c r="N84" s="85">
        <v>60</v>
      </c>
      <c r="O84" s="85">
        <v>60</v>
      </c>
      <c r="P84" s="85">
        <v>60</v>
      </c>
      <c r="Q84" s="85">
        <v>60</v>
      </c>
      <c r="R84" s="85"/>
      <c r="S84" s="85"/>
      <c r="T84" s="85"/>
      <c r="U84" s="85"/>
      <c r="V84" s="85">
        <v>100</v>
      </c>
      <c r="W84" s="85">
        <v>100</v>
      </c>
      <c r="X84" s="85">
        <v>120</v>
      </c>
      <c r="Y84" s="85">
        <v>100</v>
      </c>
      <c r="Z84" s="85">
        <v>100</v>
      </c>
      <c r="AA84" s="85">
        <v>100</v>
      </c>
      <c r="AB84" s="85">
        <v>100</v>
      </c>
      <c r="AC84" s="85">
        <v>90</v>
      </c>
      <c r="AD84" s="85"/>
      <c r="AE84" s="85"/>
      <c r="AF84" s="85"/>
      <c r="AG84" s="81"/>
      <c r="AH84" s="48">
        <f t="shared" si="10"/>
        <v>120</v>
      </c>
      <c r="AI84" s="49">
        <f t="shared" si="11"/>
        <v>60</v>
      </c>
    </row>
    <row r="85" spans="1:37" ht="15.75" thickBot="1" x14ac:dyDescent="0.3">
      <c r="A85" s="74" t="s">
        <v>93</v>
      </c>
      <c r="B85" s="83">
        <v>1137.94</v>
      </c>
      <c r="C85" s="83">
        <f t="shared" ref="C85:AF85" si="14">C83+C84</f>
        <v>1052.74</v>
      </c>
      <c r="D85" s="83">
        <f t="shared" si="14"/>
        <v>1030.6399999999999</v>
      </c>
      <c r="E85" s="83">
        <f t="shared" si="14"/>
        <v>1029.8399999999999</v>
      </c>
      <c r="F85" s="83">
        <f t="shared" si="14"/>
        <v>1036.3400000000001</v>
      </c>
      <c r="G85" s="83">
        <f t="shared" si="14"/>
        <v>1095.04</v>
      </c>
      <c r="H85" s="83">
        <f t="shared" si="14"/>
        <v>1113.54</v>
      </c>
      <c r="I85" s="83">
        <f t="shared" si="14"/>
        <v>752.33999999999992</v>
      </c>
      <c r="J85" s="83">
        <f t="shared" si="14"/>
        <v>1376.6399999999999</v>
      </c>
      <c r="K85" s="83">
        <f t="shared" si="14"/>
        <v>1327.54</v>
      </c>
      <c r="L85" s="83">
        <f t="shared" si="14"/>
        <v>1465.58</v>
      </c>
      <c r="M85" s="83">
        <f t="shared" si="14"/>
        <v>1628.24</v>
      </c>
      <c r="N85" s="83">
        <f t="shared" si="14"/>
        <v>1616.34</v>
      </c>
      <c r="O85" s="83">
        <f t="shared" si="14"/>
        <v>1559.8400000000001</v>
      </c>
      <c r="P85" s="83">
        <f t="shared" si="14"/>
        <v>1438.04</v>
      </c>
      <c r="Q85" s="83">
        <f t="shared" si="14"/>
        <v>1345.74</v>
      </c>
      <c r="R85" s="83">
        <f t="shared" si="14"/>
        <v>1249.74</v>
      </c>
      <c r="S85" s="83">
        <f t="shared" si="14"/>
        <v>1149.3400000000001</v>
      </c>
      <c r="T85" s="83">
        <f t="shared" si="14"/>
        <v>1214.54</v>
      </c>
      <c r="U85" s="83">
        <f t="shared" si="14"/>
        <v>1190.04</v>
      </c>
      <c r="V85" s="83">
        <f t="shared" si="14"/>
        <v>1223.04</v>
      </c>
      <c r="W85" s="83">
        <f t="shared" si="14"/>
        <v>1323.1399999999999</v>
      </c>
      <c r="X85" s="83">
        <v>1573.34</v>
      </c>
      <c r="Y85" s="83">
        <f t="shared" si="14"/>
        <v>1640.54</v>
      </c>
      <c r="Z85" s="83">
        <f t="shared" si="14"/>
        <v>1629.44</v>
      </c>
      <c r="AA85" s="83">
        <f t="shared" si="14"/>
        <v>1622.6399999999999</v>
      </c>
      <c r="AB85" s="83">
        <f t="shared" si="14"/>
        <v>1571.44</v>
      </c>
      <c r="AC85" s="83">
        <f t="shared" si="14"/>
        <v>1507.94</v>
      </c>
      <c r="AD85" s="83">
        <f t="shared" si="14"/>
        <v>1358.24</v>
      </c>
      <c r="AE85" s="83">
        <f t="shared" si="14"/>
        <v>1198.54</v>
      </c>
      <c r="AF85" s="83">
        <f t="shared" si="14"/>
        <v>1119.44</v>
      </c>
      <c r="AG85" s="81">
        <f>AG82+AG78+AG66+AG62+AG44+AG84</f>
        <v>1466.0900000000001</v>
      </c>
      <c r="AH85" s="48">
        <f t="shared" si="10"/>
        <v>1640.54</v>
      </c>
      <c r="AI85" s="49">
        <f t="shared" si="11"/>
        <v>752.33999999999992</v>
      </c>
    </row>
    <row r="86" spans="1:37" ht="15.75" thickBot="1" x14ac:dyDescent="0.3">
      <c r="A86" s="74" t="s">
        <v>94</v>
      </c>
      <c r="B86" s="83">
        <v>1137.94</v>
      </c>
      <c r="C86" s="83">
        <f t="shared" ref="C86:AF86" si="15">C85-C93</f>
        <v>1052.74</v>
      </c>
      <c r="D86" s="83">
        <f t="shared" si="15"/>
        <v>1030.6399999999999</v>
      </c>
      <c r="E86" s="83">
        <f t="shared" si="15"/>
        <v>1029.8399999999999</v>
      </c>
      <c r="F86" s="83">
        <f t="shared" si="15"/>
        <v>1036.3400000000001</v>
      </c>
      <c r="G86" s="83">
        <f t="shared" si="15"/>
        <v>1095.04</v>
      </c>
      <c r="H86" s="83">
        <f t="shared" si="15"/>
        <v>1113.54</v>
      </c>
      <c r="I86" s="83">
        <f t="shared" si="15"/>
        <v>752.33999999999992</v>
      </c>
      <c r="J86" s="83">
        <f t="shared" si="15"/>
        <v>1376.6399999999999</v>
      </c>
      <c r="K86" s="83">
        <f t="shared" si="15"/>
        <v>1327.54</v>
      </c>
      <c r="L86" s="83">
        <f t="shared" si="15"/>
        <v>1465.58</v>
      </c>
      <c r="M86" s="83">
        <f t="shared" si="15"/>
        <v>1628.24</v>
      </c>
      <c r="N86" s="83">
        <f t="shared" si="15"/>
        <v>1616.34</v>
      </c>
      <c r="O86" s="83">
        <f t="shared" si="15"/>
        <v>1559.8400000000001</v>
      </c>
      <c r="P86" s="83">
        <f t="shared" si="15"/>
        <v>1438.04</v>
      </c>
      <c r="Q86" s="83">
        <f t="shared" si="15"/>
        <v>1345.74</v>
      </c>
      <c r="R86" s="83">
        <f t="shared" si="15"/>
        <v>1249.74</v>
      </c>
      <c r="S86" s="83">
        <f t="shared" si="15"/>
        <v>1149.3400000000001</v>
      </c>
      <c r="T86" s="83">
        <f t="shared" si="15"/>
        <v>1214.54</v>
      </c>
      <c r="U86" s="83">
        <f t="shared" si="15"/>
        <v>1190.04</v>
      </c>
      <c r="V86" s="83">
        <f t="shared" si="15"/>
        <v>1223.04</v>
      </c>
      <c r="W86" s="83">
        <f t="shared" si="15"/>
        <v>1323.1399999999999</v>
      </c>
      <c r="X86" s="83">
        <v>1573.34</v>
      </c>
      <c r="Y86" s="83">
        <f t="shared" si="15"/>
        <v>1590.54</v>
      </c>
      <c r="Z86" s="83">
        <f t="shared" si="15"/>
        <v>1629.44</v>
      </c>
      <c r="AA86" s="83">
        <f t="shared" si="15"/>
        <v>1622.6399999999999</v>
      </c>
      <c r="AB86" s="83">
        <f t="shared" si="15"/>
        <v>1571.44</v>
      </c>
      <c r="AC86" s="83">
        <f t="shared" si="15"/>
        <v>1507.94</v>
      </c>
      <c r="AD86" s="83">
        <f t="shared" si="15"/>
        <v>1358.24</v>
      </c>
      <c r="AE86" s="83">
        <f t="shared" si="15"/>
        <v>1198.54</v>
      </c>
      <c r="AF86" s="83">
        <f t="shared" si="15"/>
        <v>1119.44</v>
      </c>
      <c r="AG86" s="81"/>
      <c r="AH86" s="48">
        <f t="shared" si="10"/>
        <v>1629.44</v>
      </c>
      <c r="AI86" s="49">
        <f t="shared" si="11"/>
        <v>752.33999999999992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10"/>
        <v>0</v>
      </c>
      <c r="AI87" s="49">
        <f t="shared" si="11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10"/>
        <v>0</v>
      </c>
      <c r="AI88" s="49">
        <f t="shared" si="11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10"/>
        <v>0</v>
      </c>
      <c r="AI89" s="49">
        <f t="shared" si="11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10"/>
        <v>0</v>
      </c>
      <c r="AI90" s="49">
        <f t="shared" si="11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10"/>
        <v>0</v>
      </c>
      <c r="AI91" s="49">
        <f t="shared" si="11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10"/>
        <v>0</v>
      </c>
      <c r="AI92" s="49">
        <f t="shared" si="11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>
        <v>50</v>
      </c>
      <c r="Z93" s="61"/>
      <c r="AA93" s="61"/>
      <c r="AB93" s="61"/>
      <c r="AC93" s="61"/>
      <c r="AD93" s="61"/>
      <c r="AE93" s="61"/>
      <c r="AF93" s="61"/>
      <c r="AG93" s="81"/>
      <c r="AH93" s="48">
        <f t="shared" si="10"/>
        <v>50</v>
      </c>
      <c r="AI93" s="49">
        <f t="shared" si="11"/>
        <v>0</v>
      </c>
      <c r="AK93" s="50"/>
    </row>
    <row r="94" spans="1:37" ht="15.75" thickBot="1" x14ac:dyDescent="0.3">
      <c r="A94" s="74" t="s">
        <v>99</v>
      </c>
      <c r="B94" s="61">
        <v>470.7</v>
      </c>
      <c r="C94" s="61">
        <f t="shared" ref="C94:AF94" si="16">C78-C93</f>
        <v>374.7</v>
      </c>
      <c r="D94" s="61">
        <f t="shared" si="16"/>
        <v>371.5</v>
      </c>
      <c r="E94" s="61">
        <f t="shared" si="16"/>
        <v>378.8</v>
      </c>
      <c r="F94" s="61">
        <f t="shared" si="16"/>
        <v>401</v>
      </c>
      <c r="G94" s="61">
        <f t="shared" si="16"/>
        <v>459.7</v>
      </c>
      <c r="H94" s="61">
        <f t="shared" si="16"/>
        <v>477.2</v>
      </c>
      <c r="I94" s="61">
        <f t="shared" si="16"/>
        <v>0</v>
      </c>
      <c r="J94" s="61">
        <f t="shared" si="16"/>
        <v>472</v>
      </c>
      <c r="K94" s="61">
        <f t="shared" si="16"/>
        <v>209.8</v>
      </c>
      <c r="L94" s="61">
        <f t="shared" si="16"/>
        <v>173.34</v>
      </c>
      <c r="M94" s="61">
        <f t="shared" si="16"/>
        <v>181.9</v>
      </c>
      <c r="N94" s="61">
        <f t="shared" si="16"/>
        <v>155.69999999999999</v>
      </c>
      <c r="O94" s="61">
        <f t="shared" si="16"/>
        <v>149.9</v>
      </c>
      <c r="P94" s="61">
        <f t="shared" si="16"/>
        <v>247.9</v>
      </c>
      <c r="Q94" s="61">
        <f t="shared" si="16"/>
        <v>266.5</v>
      </c>
      <c r="R94" s="61">
        <f t="shared" si="16"/>
        <v>383</v>
      </c>
      <c r="S94" s="61">
        <f t="shared" si="16"/>
        <v>347.1</v>
      </c>
      <c r="T94" s="61">
        <f t="shared" si="16"/>
        <v>460.4</v>
      </c>
      <c r="U94" s="61">
        <f t="shared" si="16"/>
        <v>406</v>
      </c>
      <c r="V94" s="61">
        <f t="shared" si="16"/>
        <v>202.5</v>
      </c>
      <c r="W94" s="61">
        <f t="shared" si="16"/>
        <v>215.3</v>
      </c>
      <c r="X94" s="61">
        <v>214.3</v>
      </c>
      <c r="Y94" s="61">
        <f t="shared" si="16"/>
        <v>158.30000000000001</v>
      </c>
      <c r="Z94" s="61">
        <f t="shared" si="16"/>
        <v>203.7</v>
      </c>
      <c r="AA94" s="61">
        <f t="shared" si="16"/>
        <v>225.8</v>
      </c>
      <c r="AB94" s="61">
        <f t="shared" si="16"/>
        <v>336.4</v>
      </c>
      <c r="AC94" s="61">
        <f t="shared" si="16"/>
        <v>337.7</v>
      </c>
      <c r="AD94" s="61">
        <f t="shared" si="16"/>
        <v>435.50000000000006</v>
      </c>
      <c r="AE94" s="61">
        <f t="shared" si="16"/>
        <v>442.3</v>
      </c>
      <c r="AF94" s="61">
        <f t="shared" si="16"/>
        <v>466.8</v>
      </c>
      <c r="AG94" s="81"/>
      <c r="AH94" s="48">
        <f t="shared" si="10"/>
        <v>477.2</v>
      </c>
      <c r="AI94" s="49">
        <f t="shared" si="11"/>
        <v>0</v>
      </c>
    </row>
    <row r="95" spans="1:37" x14ac:dyDescent="0.25">
      <c r="A95" s="88" t="s">
        <v>100</v>
      </c>
      <c r="B95" s="89">
        <v>49.85</v>
      </c>
      <c r="C95" s="89">
        <v>49.9</v>
      </c>
      <c r="D95" s="89">
        <v>49.81</v>
      </c>
      <c r="E95" s="89">
        <v>50.008000000000003</v>
      </c>
      <c r="F95" s="89">
        <v>50.067999999999998</v>
      </c>
      <c r="G95" s="89">
        <v>49.993000000000002</v>
      </c>
      <c r="H95" s="89">
        <v>49.954000000000001</v>
      </c>
      <c r="I95" s="89">
        <v>49.954000000000001</v>
      </c>
      <c r="J95" s="89">
        <v>49.997999999999998</v>
      </c>
      <c r="K95" s="89">
        <v>50.015000000000001</v>
      </c>
      <c r="L95" s="89">
        <v>49.976999999999997</v>
      </c>
      <c r="M95" s="89">
        <v>50.024000000000001</v>
      </c>
      <c r="N95" s="89">
        <v>49.862000000000002</v>
      </c>
      <c r="O95" s="89">
        <v>49.758000000000003</v>
      </c>
      <c r="P95" s="89">
        <v>50.030999999999999</v>
      </c>
      <c r="Q95" s="89">
        <v>49.951000000000001</v>
      </c>
      <c r="R95" s="89">
        <v>49.472999999999999</v>
      </c>
      <c r="S95" s="89">
        <v>49.86</v>
      </c>
      <c r="T95" s="89">
        <v>50</v>
      </c>
      <c r="U95" s="89">
        <v>50</v>
      </c>
      <c r="V95" s="89">
        <v>49.88</v>
      </c>
      <c r="W95" s="89">
        <v>50.08</v>
      </c>
      <c r="X95" s="89">
        <v>49.83</v>
      </c>
      <c r="Y95" s="89">
        <v>49.89</v>
      </c>
      <c r="Z95" s="89">
        <v>49.93</v>
      </c>
      <c r="AA95" s="89">
        <v>49.9</v>
      </c>
      <c r="AB95" s="89">
        <v>50.015000000000001</v>
      </c>
      <c r="AC95" s="89">
        <v>49.98</v>
      </c>
      <c r="AD95" s="89">
        <v>50.076000000000001</v>
      </c>
      <c r="AE95" s="89">
        <v>50.018000000000001</v>
      </c>
      <c r="AF95" s="89">
        <v>50.018000000000001</v>
      </c>
      <c r="AG95" s="90"/>
      <c r="AH95" s="48">
        <f t="shared" si="10"/>
        <v>50.08</v>
      </c>
      <c r="AI95" s="49">
        <f t="shared" si="11"/>
        <v>49.472999999999999</v>
      </c>
    </row>
    <row r="96" spans="1:37" x14ac:dyDescent="0.25">
      <c r="A96" s="91" t="s">
        <v>101</v>
      </c>
      <c r="B96" s="65">
        <v>128.5</v>
      </c>
      <c r="C96" s="65">
        <v>129</v>
      </c>
      <c r="D96" s="65">
        <v>129.1</v>
      </c>
      <c r="E96" s="65">
        <v>128.80000000000001</v>
      </c>
      <c r="F96" s="65">
        <v>126.9</v>
      </c>
      <c r="G96" s="65">
        <v>124.4</v>
      </c>
      <c r="H96" s="65">
        <v>124.1</v>
      </c>
      <c r="I96" s="65">
        <v>124.1</v>
      </c>
      <c r="J96" s="65">
        <v>126.8</v>
      </c>
      <c r="K96" s="65">
        <v>126.6</v>
      </c>
      <c r="L96" s="65">
        <v>125.9</v>
      </c>
      <c r="M96" s="65">
        <v>124.4</v>
      </c>
      <c r="N96" s="65">
        <v>125.8</v>
      </c>
      <c r="O96" s="65">
        <v>125.5</v>
      </c>
      <c r="P96" s="65">
        <v>127.8</v>
      </c>
      <c r="Q96" s="65">
        <v>127.9</v>
      </c>
      <c r="R96" s="65">
        <v>126.3</v>
      </c>
      <c r="S96" s="65">
        <v>126.1</v>
      </c>
      <c r="T96" s="65">
        <v>127.1</v>
      </c>
      <c r="U96" s="65">
        <v>127.1</v>
      </c>
      <c r="V96" s="65">
        <v>129.19999999999999</v>
      </c>
      <c r="W96" s="65">
        <v>129.19999999999999</v>
      </c>
      <c r="X96" s="65">
        <v>128.80000000000001</v>
      </c>
      <c r="Y96" s="65">
        <v>128.1</v>
      </c>
      <c r="Z96" s="65">
        <v>128.9</v>
      </c>
      <c r="AA96" s="65">
        <v>129.1</v>
      </c>
      <c r="AB96" s="65">
        <v>129.6</v>
      </c>
      <c r="AC96" s="65">
        <v>129.19999999999999</v>
      </c>
      <c r="AD96" s="65">
        <v>129.19999999999999</v>
      </c>
      <c r="AE96" s="65">
        <v>129.1</v>
      </c>
      <c r="AF96" s="65">
        <v>128</v>
      </c>
      <c r="AG96" s="92"/>
      <c r="AH96" s="48">
        <f t="shared" si="10"/>
        <v>129.6</v>
      </c>
      <c r="AI96" s="49">
        <f t="shared" si="11"/>
        <v>124.1</v>
      </c>
    </row>
    <row r="97" spans="1:35" x14ac:dyDescent="0.25">
      <c r="A97" s="91" t="s">
        <v>102</v>
      </c>
      <c r="B97" s="65">
        <v>132.9</v>
      </c>
      <c r="C97" s="65">
        <v>132.80000000000001</v>
      </c>
      <c r="D97" s="65">
        <v>132.80000000000001</v>
      </c>
      <c r="E97" s="65">
        <v>132.80000000000001</v>
      </c>
      <c r="F97" s="65">
        <v>130.9</v>
      </c>
      <c r="G97" s="65">
        <v>128.80000000000001</v>
      </c>
      <c r="H97" s="65">
        <v>128.69999999999999</v>
      </c>
      <c r="I97" s="65">
        <v>128.69999999999999</v>
      </c>
      <c r="J97" s="65">
        <v>130.6</v>
      </c>
      <c r="K97" s="65">
        <v>129.30000000000001</v>
      </c>
      <c r="L97" s="65">
        <v>128.30000000000001</v>
      </c>
      <c r="M97" s="65">
        <v>127.3</v>
      </c>
      <c r="N97" s="65">
        <v>127.9</v>
      </c>
      <c r="O97" s="65">
        <v>128.30000000000001</v>
      </c>
      <c r="P97" s="65">
        <v>130.5</v>
      </c>
      <c r="Q97" s="65">
        <v>130.80000000000001</v>
      </c>
      <c r="R97" s="65">
        <v>129.69999999999999</v>
      </c>
      <c r="S97" s="65">
        <v>129.19999999999999</v>
      </c>
      <c r="T97" s="65">
        <v>130.5</v>
      </c>
      <c r="U97" s="65">
        <v>130.5</v>
      </c>
      <c r="V97" s="65">
        <v>131.30000000000001</v>
      </c>
      <c r="W97" s="65">
        <v>130.9</v>
      </c>
      <c r="X97" s="65">
        <v>130.80000000000001</v>
      </c>
      <c r="Y97" s="65">
        <v>128.80000000000001</v>
      </c>
      <c r="Z97" s="65">
        <v>129.69999999999999</v>
      </c>
      <c r="AA97" s="65">
        <v>129.9</v>
      </c>
      <c r="AB97" s="65">
        <v>130.5</v>
      </c>
      <c r="AC97" s="65">
        <v>130.30000000000001</v>
      </c>
      <c r="AD97" s="65">
        <v>130.80000000000001</v>
      </c>
      <c r="AE97" s="65">
        <v>131.6</v>
      </c>
      <c r="AF97" s="65">
        <v>131.6</v>
      </c>
      <c r="AG97" s="92"/>
      <c r="AH97" s="48">
        <f t="shared" si="10"/>
        <v>132.9</v>
      </c>
      <c r="AI97" s="49">
        <f t="shared" si="11"/>
        <v>127.3</v>
      </c>
    </row>
    <row r="98" spans="1:35" x14ac:dyDescent="0.25">
      <c r="A98" s="91" t="s">
        <v>103</v>
      </c>
      <c r="B98" s="65">
        <v>131.19999999999999</v>
      </c>
      <c r="C98" s="65">
        <v>132.19999999999999</v>
      </c>
      <c r="D98" s="65">
        <v>131.69999999999999</v>
      </c>
      <c r="E98" s="65">
        <v>130.99</v>
      </c>
      <c r="F98" s="65">
        <v>131.30000000000001</v>
      </c>
      <c r="G98" s="65">
        <v>128.6</v>
      </c>
      <c r="H98" s="65">
        <v>128.69999999999999</v>
      </c>
      <c r="I98" s="65">
        <v>128.69999999999999</v>
      </c>
      <c r="J98" s="65">
        <v>129.4</v>
      </c>
      <c r="K98" s="65">
        <v>129.69999999999999</v>
      </c>
      <c r="L98" s="65">
        <v>128.1</v>
      </c>
      <c r="M98" s="65">
        <v>127.2</v>
      </c>
      <c r="N98" s="65">
        <v>131.5</v>
      </c>
      <c r="O98" s="65">
        <v>132.19999999999999</v>
      </c>
      <c r="P98" s="65">
        <v>133.1</v>
      </c>
      <c r="Q98" s="65">
        <v>132.9</v>
      </c>
      <c r="R98" s="65">
        <v>130.4</v>
      </c>
      <c r="S98" s="65">
        <v>132.1</v>
      </c>
      <c r="T98" s="65">
        <v>132.4</v>
      </c>
      <c r="U98" s="65">
        <v>132.4</v>
      </c>
      <c r="V98" s="65">
        <v>131.80000000000001</v>
      </c>
      <c r="W98" s="65">
        <v>129.6</v>
      </c>
      <c r="X98" s="65">
        <v>126.7</v>
      </c>
      <c r="Y98" s="65">
        <v>131.1</v>
      </c>
      <c r="Z98" s="65">
        <v>132.69999999999999</v>
      </c>
      <c r="AA98" s="65">
        <v>131.4</v>
      </c>
      <c r="AB98" s="65">
        <v>132.30000000000001</v>
      </c>
      <c r="AC98" s="65">
        <v>130.80000000000001</v>
      </c>
      <c r="AD98" s="65">
        <v>131.19999999999999</v>
      </c>
      <c r="AE98" s="65">
        <v>130.6</v>
      </c>
      <c r="AF98" s="65">
        <v>131.6</v>
      </c>
      <c r="AG98" s="92"/>
      <c r="AH98" s="48">
        <f t="shared" si="10"/>
        <v>133.1</v>
      </c>
      <c r="AI98" s="49">
        <f t="shared" si="11"/>
        <v>126.7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0"/>
        <v>0</v>
      </c>
      <c r="AI99" s="49">
        <f t="shared" si="11"/>
        <v>0</v>
      </c>
    </row>
    <row r="100" spans="1:35" x14ac:dyDescent="0.25">
      <c r="A100" s="93" t="s">
        <v>105</v>
      </c>
      <c r="B100" s="94">
        <v>135</v>
      </c>
      <c r="C100" s="94">
        <v>132.69999999999999</v>
      </c>
      <c r="D100" s="94">
        <v>133.4</v>
      </c>
      <c r="E100" s="94">
        <v>134</v>
      </c>
      <c r="F100" s="94">
        <v>131.6</v>
      </c>
      <c r="G100" s="94">
        <v>131.6</v>
      </c>
      <c r="H100" s="94">
        <v>130.6</v>
      </c>
      <c r="I100" s="94">
        <v>130.6</v>
      </c>
      <c r="J100" s="94">
        <v>136</v>
      </c>
      <c r="K100" s="94">
        <v>132.80000000000001</v>
      </c>
      <c r="L100" s="94">
        <v>131.19999999999999</v>
      </c>
      <c r="M100" s="94">
        <v>133</v>
      </c>
      <c r="N100" s="94">
        <v>142</v>
      </c>
      <c r="O100" s="94">
        <v>141.6</v>
      </c>
      <c r="P100" s="94">
        <v>136.6</v>
      </c>
      <c r="Q100" s="94">
        <v>132.4</v>
      </c>
      <c r="R100" s="94">
        <v>133.69999999999999</v>
      </c>
      <c r="S100" s="94">
        <v>130.30000000000001</v>
      </c>
      <c r="T100" s="94">
        <v>134.5</v>
      </c>
      <c r="U100" s="94">
        <v>134.5</v>
      </c>
      <c r="V100" s="94">
        <v>131.1</v>
      </c>
      <c r="W100" s="94">
        <v>140.1</v>
      </c>
      <c r="X100" s="94">
        <v>136.69999999999999</v>
      </c>
      <c r="Y100" s="94">
        <v>133.1</v>
      </c>
      <c r="Z100" s="94">
        <v>136</v>
      </c>
      <c r="AA100" s="94">
        <v>134</v>
      </c>
      <c r="AB100" s="94">
        <v>134.30000000000001</v>
      </c>
      <c r="AC100" s="94">
        <v>135.1</v>
      </c>
      <c r="AD100" s="94">
        <v>134.19999999999999</v>
      </c>
      <c r="AE100" s="94">
        <v>132.1</v>
      </c>
      <c r="AF100" s="94">
        <v>132.4</v>
      </c>
      <c r="AG100" s="95"/>
      <c r="AH100" s="48">
        <f t="shared" si="10"/>
        <v>142</v>
      </c>
      <c r="AI100" s="49">
        <f t="shared" si="11"/>
        <v>130.30000000000001</v>
      </c>
    </row>
    <row r="101" spans="1:35" x14ac:dyDescent="0.25">
      <c r="A101" s="91" t="s">
        <v>106</v>
      </c>
      <c r="B101" s="65">
        <v>136.69999999999999</v>
      </c>
      <c r="C101" s="65">
        <v>134.30000000000001</v>
      </c>
      <c r="D101" s="65">
        <v>136.69999999999999</v>
      </c>
      <c r="E101" s="65">
        <v>128</v>
      </c>
      <c r="F101" s="65">
        <v>127.1</v>
      </c>
      <c r="G101" s="65">
        <v>127.1</v>
      </c>
      <c r="H101" s="65">
        <v>136</v>
      </c>
      <c r="I101" s="65">
        <v>136</v>
      </c>
      <c r="J101" s="65"/>
      <c r="K101" s="65"/>
      <c r="L101" s="65"/>
      <c r="M101" s="65">
        <v>130.4</v>
      </c>
      <c r="N101" s="65">
        <v>123.8</v>
      </c>
      <c r="O101" s="65">
        <v>124.1</v>
      </c>
      <c r="P101" s="65">
        <v>128.4</v>
      </c>
      <c r="Q101" s="65">
        <v>133.80000000000001</v>
      </c>
      <c r="R101" s="65">
        <v>124.2</v>
      </c>
      <c r="S101" s="65">
        <v>130.19999999999999</v>
      </c>
      <c r="T101" s="65">
        <v>127.3</v>
      </c>
      <c r="U101" s="65">
        <v>127.3</v>
      </c>
      <c r="V101" s="65">
        <v>133.4</v>
      </c>
      <c r="W101" s="65">
        <v>133.9</v>
      </c>
      <c r="X101" s="65">
        <v>128.4</v>
      </c>
      <c r="Y101" s="65">
        <v>132.30000000000001</v>
      </c>
      <c r="Z101" s="65">
        <v>129.6</v>
      </c>
      <c r="AA101" s="65">
        <v>134.1</v>
      </c>
      <c r="AB101" s="65">
        <v>130.6</v>
      </c>
      <c r="AC101" s="65">
        <v>132.19999999999999</v>
      </c>
      <c r="AD101" s="65">
        <v>132.5</v>
      </c>
      <c r="AE101" s="65">
        <v>132.6</v>
      </c>
      <c r="AF101" s="65">
        <v>131.4</v>
      </c>
      <c r="AG101" s="92"/>
      <c r="AH101" s="48">
        <f t="shared" si="10"/>
        <v>136.69999999999999</v>
      </c>
      <c r="AI101" s="49">
        <f t="shared" si="11"/>
        <v>123.8</v>
      </c>
    </row>
    <row r="102" spans="1:35" ht="15.75" thickBot="1" x14ac:dyDescent="0.3">
      <c r="A102" s="91" t="s">
        <v>107</v>
      </c>
      <c r="B102" s="96">
        <v>66.7</v>
      </c>
      <c r="C102" s="96">
        <v>66.599999999999994</v>
      </c>
      <c r="D102" s="96">
        <v>66.599999999999994</v>
      </c>
      <c r="E102" s="96">
        <v>66.5</v>
      </c>
      <c r="F102" s="96">
        <v>65.7</v>
      </c>
      <c r="G102" s="96">
        <v>65.7</v>
      </c>
      <c r="H102" s="96">
        <v>64.5</v>
      </c>
      <c r="I102" s="96">
        <v>64.5</v>
      </c>
      <c r="J102" s="96">
        <v>65.5</v>
      </c>
      <c r="K102" s="96">
        <v>65</v>
      </c>
      <c r="L102" s="96">
        <v>64.400000000000006</v>
      </c>
      <c r="M102" s="96">
        <v>63.41</v>
      </c>
      <c r="N102" s="96">
        <v>63.7</v>
      </c>
      <c r="O102" s="96">
        <v>63.8</v>
      </c>
      <c r="P102" s="96">
        <v>65</v>
      </c>
      <c r="Q102" s="96">
        <v>65.3</v>
      </c>
      <c r="R102" s="96">
        <v>64.900000000000006</v>
      </c>
      <c r="S102" s="96">
        <v>64.5</v>
      </c>
      <c r="T102" s="96">
        <v>65.400000000000006</v>
      </c>
      <c r="U102" s="96">
        <v>65.400000000000006</v>
      </c>
      <c r="V102" s="96">
        <v>65.7</v>
      </c>
      <c r="W102" s="96">
        <v>65.599999999999994</v>
      </c>
      <c r="X102" s="96">
        <v>65.3</v>
      </c>
      <c r="Y102" s="96">
        <v>64.400000000000006</v>
      </c>
      <c r="Z102" s="96">
        <v>64.7</v>
      </c>
      <c r="AA102" s="96">
        <v>64.599999999999994</v>
      </c>
      <c r="AB102" s="96">
        <v>65.099999999999994</v>
      </c>
      <c r="AC102" s="96">
        <v>64.8</v>
      </c>
      <c r="AD102" s="96">
        <v>65.400000000000006</v>
      </c>
      <c r="AE102" s="96">
        <v>66.099999999999994</v>
      </c>
      <c r="AF102" s="96">
        <v>65.900000000000006</v>
      </c>
      <c r="AG102" s="97"/>
      <c r="AH102" s="48">
        <f t="shared" si="10"/>
        <v>66.7</v>
      </c>
      <c r="AI102" s="49">
        <f t="shared" si="11"/>
        <v>63.41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0"/>
        <v>0</v>
      </c>
      <c r="AI103" s="49">
        <f t="shared" si="11"/>
        <v>0</v>
      </c>
    </row>
    <row r="104" spans="1:35" ht="15.75" thickBot="1" x14ac:dyDescent="0.3">
      <c r="A104" s="99" t="s">
        <v>108</v>
      </c>
      <c r="B104" s="100">
        <v>172.2</v>
      </c>
      <c r="C104" s="100">
        <f t="shared" ref="C104:AF104" si="17">SUM(C16,C22,C25:C26,C52,C54:C55,C57,C59,C105:C109,C131,C137,C143,C152,C154,C166,C173,C176:C177,C184,C186,C188,C192:C194,C196:C198,C203,C209:C210,C212:C214,C222,C227)</f>
        <v>137.04</v>
      </c>
      <c r="D104" s="100">
        <f t="shared" si="17"/>
        <v>123.94</v>
      </c>
      <c r="E104" s="100">
        <f t="shared" si="17"/>
        <v>118.53999999999999</v>
      </c>
      <c r="F104" s="100">
        <f t="shared" si="17"/>
        <v>128.23999999999998</v>
      </c>
      <c r="G104" s="100">
        <f t="shared" si="17"/>
        <v>168.23999999999998</v>
      </c>
      <c r="H104" s="100">
        <f t="shared" si="17"/>
        <v>186.34</v>
      </c>
      <c r="I104" s="100">
        <f t="shared" si="17"/>
        <v>241.04</v>
      </c>
      <c r="J104" s="100">
        <f t="shared" si="17"/>
        <v>235.54</v>
      </c>
      <c r="K104" s="100">
        <f t="shared" si="17"/>
        <v>271.83999999999997</v>
      </c>
      <c r="L104" s="100">
        <f t="shared" si="17"/>
        <v>312.94</v>
      </c>
      <c r="M104" s="100">
        <f t="shared" si="17"/>
        <v>375.44</v>
      </c>
      <c r="N104" s="100">
        <f t="shared" si="17"/>
        <v>363.73999999999995</v>
      </c>
      <c r="O104" s="100">
        <f t="shared" si="17"/>
        <v>346.73999999999995</v>
      </c>
      <c r="P104" s="100">
        <v>42</v>
      </c>
      <c r="Q104" s="100">
        <f t="shared" si="17"/>
        <v>259.10000000000002</v>
      </c>
      <c r="R104" s="100">
        <f t="shared" si="17"/>
        <v>227.39999999999998</v>
      </c>
      <c r="S104" s="100">
        <f t="shared" si="17"/>
        <v>218.6</v>
      </c>
      <c r="T104" s="100">
        <f t="shared" si="17"/>
        <v>217.1</v>
      </c>
      <c r="U104" s="100">
        <f t="shared" si="17"/>
        <v>223.5</v>
      </c>
      <c r="V104" s="100">
        <f t="shared" si="17"/>
        <v>234.5</v>
      </c>
      <c r="W104" s="100">
        <f t="shared" si="17"/>
        <v>236.90000000000003</v>
      </c>
      <c r="X104" s="100">
        <v>459.39708333333328</v>
      </c>
      <c r="Y104" s="100">
        <f t="shared" si="17"/>
        <v>344.9</v>
      </c>
      <c r="Z104" s="100">
        <f t="shared" si="17"/>
        <v>386.21000000000004</v>
      </c>
      <c r="AA104" s="100">
        <f t="shared" si="17"/>
        <v>345.70000000000005</v>
      </c>
      <c r="AB104" s="100">
        <f t="shared" si="17"/>
        <v>373.6</v>
      </c>
      <c r="AC104" s="100">
        <f t="shared" si="17"/>
        <v>341.70000000000005</v>
      </c>
      <c r="AD104" s="100">
        <f t="shared" si="17"/>
        <v>300.8</v>
      </c>
      <c r="AE104" s="100">
        <f t="shared" si="17"/>
        <v>188.79999999999998</v>
      </c>
      <c r="AF104" s="100">
        <f t="shared" si="17"/>
        <v>185.79999999999998</v>
      </c>
      <c r="AG104" s="101"/>
      <c r="AH104" s="48">
        <f t="shared" si="10"/>
        <v>459.39708333333328</v>
      </c>
      <c r="AI104" s="49">
        <f t="shared" si="11"/>
        <v>42</v>
      </c>
    </row>
    <row r="105" spans="1:35" x14ac:dyDescent="0.25">
      <c r="A105" s="88" t="s">
        <v>109</v>
      </c>
      <c r="B105" s="102">
        <v>2.7</v>
      </c>
      <c r="C105" s="102">
        <v>3.1</v>
      </c>
      <c r="D105" s="102">
        <v>-2.2000000000000002</v>
      </c>
      <c r="E105" s="102">
        <v>1.3</v>
      </c>
      <c r="F105" s="102">
        <v>-19.399999999999999</v>
      </c>
      <c r="G105" s="102">
        <v>-19.7</v>
      </c>
      <c r="H105" s="102">
        <v>-10.8</v>
      </c>
      <c r="I105" s="102">
        <v>3</v>
      </c>
      <c r="J105" s="102">
        <v>14.1</v>
      </c>
      <c r="K105" s="102">
        <v>15.5</v>
      </c>
      <c r="L105" s="102">
        <v>24.5</v>
      </c>
      <c r="M105" s="102">
        <v>28.3</v>
      </c>
      <c r="N105" s="102">
        <v>34.5</v>
      </c>
      <c r="O105" s="102">
        <v>34.299999999999997</v>
      </c>
      <c r="P105" s="102">
        <v>36.4</v>
      </c>
      <c r="Q105" s="102">
        <v>19.100000000000001</v>
      </c>
      <c r="R105" s="102">
        <v>6.1</v>
      </c>
      <c r="S105" s="102">
        <v>0.9</v>
      </c>
      <c r="T105" s="102">
        <v>8.6999999999999993</v>
      </c>
      <c r="U105" s="102">
        <v>16</v>
      </c>
      <c r="V105" s="102">
        <v>52</v>
      </c>
      <c r="W105" s="102">
        <v>47.3</v>
      </c>
      <c r="X105" s="102">
        <v>46.4</v>
      </c>
      <c r="Y105" s="102">
        <v>46</v>
      </c>
      <c r="Z105" s="102">
        <v>46.3</v>
      </c>
      <c r="AA105" s="102">
        <v>41.9</v>
      </c>
      <c r="AB105" s="102">
        <v>42.5</v>
      </c>
      <c r="AC105" s="102">
        <v>38.299999999999997</v>
      </c>
      <c r="AD105" s="102">
        <v>22.8</v>
      </c>
      <c r="AE105" s="102">
        <v>-9.5</v>
      </c>
      <c r="AF105" s="102">
        <v>-8.6999999999999993</v>
      </c>
      <c r="AG105" s="103">
        <v>75</v>
      </c>
      <c r="AH105" s="48">
        <f t="shared" si="10"/>
        <v>52</v>
      </c>
      <c r="AI105" s="49">
        <f t="shared" si="11"/>
        <v>-19.7</v>
      </c>
    </row>
    <row r="106" spans="1:35" x14ac:dyDescent="0.25">
      <c r="A106" s="91" t="s">
        <v>110</v>
      </c>
      <c r="B106" s="104">
        <v>6.5</v>
      </c>
      <c r="C106" s="104">
        <v>4.5</v>
      </c>
      <c r="D106" s="104">
        <v>2.7</v>
      </c>
      <c r="E106" s="104">
        <v>8.1</v>
      </c>
      <c r="F106" s="104">
        <v>-20.100000000000001</v>
      </c>
      <c r="G106" s="104">
        <v>-22.2</v>
      </c>
      <c r="H106" s="104">
        <v>-11.6</v>
      </c>
      <c r="I106" s="104">
        <v>22</v>
      </c>
      <c r="J106" s="104">
        <v>23.5</v>
      </c>
      <c r="K106" s="104">
        <v>26.6</v>
      </c>
      <c r="L106" s="104">
        <v>39</v>
      </c>
      <c r="M106" s="104">
        <v>42.1</v>
      </c>
      <c r="N106" s="104">
        <v>51.7</v>
      </c>
      <c r="O106" s="104">
        <v>52.1</v>
      </c>
      <c r="P106" s="104">
        <v>56.9</v>
      </c>
      <c r="Q106" s="104">
        <v>36.1</v>
      </c>
      <c r="R106" s="104">
        <v>13</v>
      </c>
      <c r="S106" s="104">
        <v>6.2</v>
      </c>
      <c r="T106" s="104">
        <v>15.7</v>
      </c>
      <c r="U106" s="104">
        <v>29</v>
      </c>
      <c r="V106" s="104">
        <v>73</v>
      </c>
      <c r="W106" s="104">
        <v>64.3</v>
      </c>
      <c r="X106" s="104">
        <v>61.6</v>
      </c>
      <c r="Y106" s="104">
        <v>58.9</v>
      </c>
      <c r="Z106" s="104">
        <v>58.9</v>
      </c>
      <c r="AA106" s="104">
        <v>54.2</v>
      </c>
      <c r="AB106" s="104">
        <v>53.9</v>
      </c>
      <c r="AC106" s="104">
        <v>47</v>
      </c>
      <c r="AD106" s="104">
        <v>26.4</v>
      </c>
      <c r="AE106" s="104">
        <v>-12.5</v>
      </c>
      <c r="AF106" s="104">
        <v>-8.9</v>
      </c>
      <c r="AG106" s="103">
        <v>240</v>
      </c>
      <c r="AH106" s="48">
        <f t="shared" si="10"/>
        <v>73</v>
      </c>
      <c r="AI106" s="49">
        <f t="shared" si="11"/>
        <v>-22.2</v>
      </c>
    </row>
    <row r="107" spans="1:35" x14ac:dyDescent="0.25">
      <c r="A107" s="91" t="s">
        <v>111</v>
      </c>
      <c r="B107" s="104">
        <f>-29-28</f>
        <v>-57</v>
      </c>
      <c r="C107" s="104">
        <f>-29-29.1</f>
        <v>-58.1</v>
      </c>
      <c r="D107" s="104">
        <f>-26.8-28.7</f>
        <v>-55.5</v>
      </c>
      <c r="E107" s="104">
        <v>-64.5</v>
      </c>
      <c r="F107" s="104">
        <v>-41.5</v>
      </c>
      <c r="G107" s="104">
        <v>-26.9</v>
      </c>
      <c r="H107" s="104">
        <v>-27</v>
      </c>
      <c r="I107" s="104">
        <v>-29</v>
      </c>
      <c r="J107" s="104">
        <v>-46.2</v>
      </c>
      <c r="K107" s="104">
        <v>-37</v>
      </c>
      <c r="L107" s="104">
        <v>-19</v>
      </c>
      <c r="M107" s="104">
        <v>16.399999999999999</v>
      </c>
      <c r="N107" s="104">
        <v>7</v>
      </c>
      <c r="O107" s="104">
        <v>-5.3</v>
      </c>
      <c r="P107" s="104">
        <f>-8-18</f>
        <v>-26</v>
      </c>
      <c r="Q107" s="104">
        <f>-14-21</f>
        <v>-35</v>
      </c>
      <c r="R107" s="104">
        <v>-18</v>
      </c>
      <c r="S107" s="104">
        <f>-15.5-7.9</f>
        <v>-23.4</v>
      </c>
      <c r="T107" s="104">
        <f>-12.6-13.5</f>
        <v>-26.1</v>
      </c>
      <c r="U107" s="104">
        <v>-24</v>
      </c>
      <c r="V107" s="104">
        <f>-41.5-18.1</f>
        <v>-59.6</v>
      </c>
      <c r="W107" s="104">
        <f>-40.1-10.1</f>
        <v>-50.2</v>
      </c>
      <c r="X107" s="104">
        <v>0.80000000000000071</v>
      </c>
      <c r="Y107" s="104">
        <f>-15.5+16.2</f>
        <v>0.69999999999999929</v>
      </c>
      <c r="Z107" s="104">
        <f>-17+15.6</f>
        <v>-1.4000000000000004</v>
      </c>
      <c r="AA107" s="104">
        <v>-31.5</v>
      </c>
      <c r="AB107" s="104">
        <v>1</v>
      </c>
      <c r="AC107" s="104">
        <v>-11.2</v>
      </c>
      <c r="AD107" s="104">
        <v>-17</v>
      </c>
      <c r="AE107" s="104">
        <v>-38</v>
      </c>
      <c r="AF107" s="104">
        <v>-26</v>
      </c>
      <c r="AG107" s="103">
        <v>240</v>
      </c>
      <c r="AH107" s="48">
        <f t="shared" si="10"/>
        <v>16.399999999999999</v>
      </c>
      <c r="AI107" s="49">
        <f t="shared" si="11"/>
        <v>-64.5</v>
      </c>
    </row>
    <row r="108" spans="1:35" x14ac:dyDescent="0.25">
      <c r="A108" s="91" t="s">
        <v>112</v>
      </c>
      <c r="B108" s="104">
        <v>-2.5</v>
      </c>
      <c r="C108" s="104">
        <v>-4.2</v>
      </c>
      <c r="D108" s="104">
        <v>-5.7</v>
      </c>
      <c r="E108" s="104">
        <v>-7.5</v>
      </c>
      <c r="F108" s="104">
        <v>-6.2</v>
      </c>
      <c r="G108" s="104">
        <v>1</v>
      </c>
      <c r="H108" s="104">
        <v>-2.2999999999999998</v>
      </c>
      <c r="I108" s="104">
        <v>12</v>
      </c>
      <c r="J108" s="104">
        <v>24</v>
      </c>
      <c r="K108" s="104">
        <v>31.6</v>
      </c>
      <c r="L108" s="104">
        <v>42</v>
      </c>
      <c r="M108" s="104">
        <v>46.3</v>
      </c>
      <c r="N108" s="104">
        <v>49.4</v>
      </c>
      <c r="O108" s="104">
        <v>48</v>
      </c>
      <c r="P108" s="104">
        <v>44.6</v>
      </c>
      <c r="Q108" s="104">
        <v>51.4</v>
      </c>
      <c r="R108" s="104">
        <v>7.1</v>
      </c>
      <c r="S108" s="104">
        <v>3.6</v>
      </c>
      <c r="T108" s="104">
        <v>2.7</v>
      </c>
      <c r="U108" s="104">
        <v>3</v>
      </c>
      <c r="V108" s="104">
        <v>32.799999999999997</v>
      </c>
      <c r="W108" s="104">
        <v>49</v>
      </c>
      <c r="X108" s="104">
        <v>52</v>
      </c>
      <c r="Y108" s="104">
        <v>58.4</v>
      </c>
      <c r="Z108" s="104">
        <v>59.8</v>
      </c>
      <c r="AA108" s="104">
        <v>59.2</v>
      </c>
      <c r="AB108" s="104">
        <v>60.3</v>
      </c>
      <c r="AC108" s="104">
        <v>57.7</v>
      </c>
      <c r="AD108" s="104">
        <v>56.7</v>
      </c>
      <c r="AE108" s="104">
        <v>22.1</v>
      </c>
      <c r="AF108" s="104">
        <v>3.2</v>
      </c>
      <c r="AG108" s="103">
        <v>60</v>
      </c>
      <c r="AH108" s="48">
        <f t="shared" si="10"/>
        <v>60.3</v>
      </c>
      <c r="AI108" s="49">
        <f t="shared" si="11"/>
        <v>-7.5</v>
      </c>
    </row>
    <row r="109" spans="1:35" x14ac:dyDescent="0.25">
      <c r="A109" s="105" t="s">
        <v>113</v>
      </c>
      <c r="B109" s="106">
        <v>65</v>
      </c>
      <c r="C109" s="106">
        <v>60.1</v>
      </c>
      <c r="D109" s="106">
        <v>54.9</v>
      </c>
      <c r="E109" s="106">
        <v>52</v>
      </c>
      <c r="F109" s="106">
        <v>86.4</v>
      </c>
      <c r="G109" s="106">
        <v>107</v>
      </c>
      <c r="H109" s="106">
        <v>109</v>
      </c>
      <c r="I109" s="106">
        <v>104</v>
      </c>
      <c r="J109" s="106">
        <v>91.4</v>
      </c>
      <c r="K109" s="106">
        <v>105</v>
      </c>
      <c r="L109" s="106">
        <v>96.3</v>
      </c>
      <c r="M109" s="106">
        <v>112.2</v>
      </c>
      <c r="N109" s="106">
        <v>91.7</v>
      </c>
      <c r="O109" s="106">
        <v>88.5</v>
      </c>
      <c r="P109" s="106">
        <v>56.3</v>
      </c>
      <c r="Q109" s="106">
        <v>59.5</v>
      </c>
      <c r="R109" s="106">
        <v>91.2</v>
      </c>
      <c r="S109" s="106">
        <v>107.4</v>
      </c>
      <c r="T109" s="106">
        <v>92.2</v>
      </c>
      <c r="U109" s="106">
        <v>73</v>
      </c>
      <c r="V109" s="106">
        <v>9.8000000000000007</v>
      </c>
      <c r="W109" s="106" t="s">
        <v>279</v>
      </c>
      <c r="X109" s="106">
        <v>100</v>
      </c>
      <c r="Y109" s="106">
        <v>54.4</v>
      </c>
      <c r="Z109" s="106">
        <v>96.11</v>
      </c>
      <c r="AA109" s="106">
        <v>95.4</v>
      </c>
      <c r="AB109" s="106">
        <v>90</v>
      </c>
      <c r="AC109" s="106">
        <v>83.3</v>
      </c>
      <c r="AD109" s="106">
        <v>81.2</v>
      </c>
      <c r="AE109" s="106">
        <v>96</v>
      </c>
      <c r="AF109" s="106">
        <v>95.5</v>
      </c>
      <c r="AG109" s="107">
        <v>120</v>
      </c>
      <c r="AH109" s="48">
        <f t="shared" si="10"/>
        <v>112.2</v>
      </c>
      <c r="AI109" s="49">
        <f t="shared" si="11"/>
        <v>9.8000000000000007</v>
      </c>
    </row>
    <row r="110" spans="1:35" x14ac:dyDescent="0.25">
      <c r="A110" s="105" t="s">
        <v>115</v>
      </c>
      <c r="B110" s="106">
        <v>62</v>
      </c>
      <c r="C110" s="106">
        <v>70.5</v>
      </c>
      <c r="D110" s="106">
        <v>63.4</v>
      </c>
      <c r="E110" s="106">
        <v>59.8</v>
      </c>
      <c r="F110" s="106">
        <v>91</v>
      </c>
      <c r="G110" s="106">
        <v>106</v>
      </c>
      <c r="H110" s="106">
        <v>107</v>
      </c>
      <c r="I110" s="106">
        <v>106</v>
      </c>
      <c r="J110" s="106">
        <v>78</v>
      </c>
      <c r="K110" s="106">
        <v>89</v>
      </c>
      <c r="L110" s="106">
        <v>82.5</v>
      </c>
      <c r="M110" s="106">
        <v>87.5</v>
      </c>
      <c r="N110" s="106">
        <v>67</v>
      </c>
      <c r="O110" s="106">
        <v>68.7</v>
      </c>
      <c r="P110" s="106">
        <v>45.4</v>
      </c>
      <c r="Q110" s="106">
        <v>48.1</v>
      </c>
      <c r="R110" s="106">
        <v>81.7</v>
      </c>
      <c r="S110" s="106">
        <v>94.4</v>
      </c>
      <c r="T110" s="106">
        <v>91.2</v>
      </c>
      <c r="U110" s="106">
        <v>69</v>
      </c>
      <c r="V110" s="106">
        <v>0</v>
      </c>
      <c r="W110" s="106">
        <v>14</v>
      </c>
      <c r="X110" s="106">
        <v>50</v>
      </c>
      <c r="Y110" s="106">
        <v>50</v>
      </c>
      <c r="Z110" s="106">
        <v>53.2</v>
      </c>
      <c r="AA110" s="106">
        <v>56</v>
      </c>
      <c r="AB110" s="106">
        <v>51</v>
      </c>
      <c r="AC110" s="106">
        <v>53.1</v>
      </c>
      <c r="AD110" s="106">
        <v>60.8</v>
      </c>
      <c r="AE110" s="106">
        <v>90.8</v>
      </c>
      <c r="AF110" s="106">
        <v>94.4</v>
      </c>
      <c r="AG110" s="107"/>
      <c r="AH110" s="48">
        <f t="shared" si="10"/>
        <v>107</v>
      </c>
      <c r="AI110" s="49">
        <f t="shared" si="11"/>
        <v>0</v>
      </c>
    </row>
    <row r="111" spans="1:35" x14ac:dyDescent="0.25">
      <c r="A111" s="105" t="s">
        <v>116</v>
      </c>
      <c r="B111" s="106">
        <v>31</v>
      </c>
      <c r="C111" s="106">
        <v>30.8</v>
      </c>
      <c r="D111" s="106">
        <v>31.2</v>
      </c>
      <c r="E111" s="106">
        <v>22.7</v>
      </c>
      <c r="F111" s="106">
        <v>47.1</v>
      </c>
      <c r="G111" s="106">
        <v>44.3</v>
      </c>
      <c r="H111" s="106">
        <v>39.700000000000003</v>
      </c>
      <c r="I111" s="106">
        <v>30</v>
      </c>
      <c r="J111" s="106">
        <v>26.6</v>
      </c>
      <c r="K111" s="106">
        <v>31.1</v>
      </c>
      <c r="L111" s="106">
        <v>23.8</v>
      </c>
      <c r="M111" s="106">
        <v>20.9</v>
      </c>
      <c r="N111" s="106">
        <v>16.7</v>
      </c>
      <c r="O111" s="106">
        <v>18.3</v>
      </c>
      <c r="P111" s="106">
        <v>14.9</v>
      </c>
      <c r="Q111" s="106">
        <v>22.6</v>
      </c>
      <c r="R111" s="106">
        <v>33</v>
      </c>
      <c r="S111" s="106">
        <v>42.8</v>
      </c>
      <c r="T111" s="106">
        <v>36.5</v>
      </c>
      <c r="U111" s="106">
        <v>22</v>
      </c>
      <c r="V111" s="106">
        <v>1.8</v>
      </c>
      <c r="W111" s="106">
        <v>7.8</v>
      </c>
      <c r="X111" s="106">
        <v>8</v>
      </c>
      <c r="Y111" s="106">
        <v>8</v>
      </c>
      <c r="Z111" s="106">
        <v>9.4</v>
      </c>
      <c r="AA111" s="106">
        <v>18.2</v>
      </c>
      <c r="AB111" s="106">
        <v>16.600000000000001</v>
      </c>
      <c r="AC111" s="106">
        <v>14.8</v>
      </c>
      <c r="AD111" s="106">
        <v>20.8</v>
      </c>
      <c r="AE111" s="106">
        <v>41.1</v>
      </c>
      <c r="AF111" s="106">
        <v>40.1</v>
      </c>
      <c r="AG111" s="108"/>
      <c r="AH111" s="48">
        <f t="shared" si="10"/>
        <v>47.1</v>
      </c>
      <c r="AI111" s="49">
        <f t="shared" si="11"/>
        <v>1.8</v>
      </c>
    </row>
    <row r="112" spans="1:35" x14ac:dyDescent="0.25">
      <c r="A112" s="109" t="s">
        <v>117</v>
      </c>
      <c r="B112" s="94">
        <v>38</v>
      </c>
      <c r="C112" s="94">
        <v>40.4</v>
      </c>
      <c r="D112" s="94">
        <v>45.1</v>
      </c>
      <c r="E112" s="94">
        <v>46</v>
      </c>
      <c r="F112" s="94">
        <v>47</v>
      </c>
      <c r="G112" s="94">
        <v>44</v>
      </c>
      <c r="H112" s="94">
        <v>36.299999999999997</v>
      </c>
      <c r="I112" s="94">
        <v>20</v>
      </c>
      <c r="J112" s="94">
        <v>16</v>
      </c>
      <c r="K112" s="94">
        <v>2.9</v>
      </c>
      <c r="L112" s="94">
        <v>-7</v>
      </c>
      <c r="M112" s="94">
        <v>-13.7</v>
      </c>
      <c r="N112" s="94">
        <v>8.1</v>
      </c>
      <c r="O112" s="94">
        <v>10.1</v>
      </c>
      <c r="P112" s="94">
        <v>17.2</v>
      </c>
      <c r="Q112" s="94">
        <v>28.3</v>
      </c>
      <c r="R112" s="94">
        <v>21.5</v>
      </c>
      <c r="S112" s="94">
        <v>34.5</v>
      </c>
      <c r="T112" s="94">
        <v>28</v>
      </c>
      <c r="U112" s="94">
        <v>18</v>
      </c>
      <c r="V112" s="94">
        <v>7.5</v>
      </c>
      <c r="W112" s="94">
        <v>-19.600000000000001</v>
      </c>
      <c r="X112" s="94">
        <v>-20.5</v>
      </c>
      <c r="Y112" s="94">
        <v>-23.4</v>
      </c>
      <c r="Z112" s="94">
        <v>-16.8</v>
      </c>
      <c r="AA112" s="94">
        <v>-6.9</v>
      </c>
      <c r="AB112" s="94">
        <v>0</v>
      </c>
      <c r="AC112" s="94">
        <v>6.4</v>
      </c>
      <c r="AD112" s="94">
        <v>16.8</v>
      </c>
      <c r="AE112" s="94">
        <v>36.700000000000003</v>
      </c>
      <c r="AF112" s="94">
        <v>45</v>
      </c>
      <c r="AG112" s="108"/>
      <c r="AH112" s="48">
        <f t="shared" si="10"/>
        <v>47</v>
      </c>
      <c r="AI112" s="49">
        <f t="shared" si="11"/>
        <v>-23.4</v>
      </c>
    </row>
    <row r="113" spans="1:37" ht="15.75" thickBot="1" x14ac:dyDescent="0.3">
      <c r="A113" s="109" t="s">
        <v>118</v>
      </c>
      <c r="B113" s="94">
        <v>-32</v>
      </c>
      <c r="C113" s="94">
        <v>27.9</v>
      </c>
      <c r="D113" s="94">
        <v>27</v>
      </c>
      <c r="E113" s="94">
        <v>33.6</v>
      </c>
      <c r="F113" s="94">
        <v>8.6999999999999993</v>
      </c>
      <c r="G113" s="94">
        <v>-2.4</v>
      </c>
      <c r="H113" s="94">
        <v>6.7</v>
      </c>
      <c r="I113" s="94">
        <v>30.6</v>
      </c>
      <c r="J113" s="94">
        <v>26.3</v>
      </c>
      <c r="K113" s="94">
        <v>14.1</v>
      </c>
      <c r="L113" s="94">
        <v>8</v>
      </c>
      <c r="M113" s="94">
        <v>9.4</v>
      </c>
      <c r="N113" s="94">
        <v>31.9</v>
      </c>
      <c r="O113" s="94">
        <v>30.4</v>
      </c>
      <c r="P113" s="94">
        <v>46.2</v>
      </c>
      <c r="Q113" s="94">
        <v>25.6</v>
      </c>
      <c r="R113" s="94">
        <v>8.1</v>
      </c>
      <c r="S113" s="94">
        <v>1.1000000000000001</v>
      </c>
      <c r="T113" s="94">
        <v>8.8000000000000007</v>
      </c>
      <c r="U113" s="94">
        <v>10</v>
      </c>
      <c r="V113" s="94">
        <v>45</v>
      </c>
      <c r="W113" s="94">
        <v>35</v>
      </c>
      <c r="X113" s="94">
        <v>-10</v>
      </c>
      <c r="Y113" s="94">
        <v>0</v>
      </c>
      <c r="Z113" s="94">
        <v>0</v>
      </c>
      <c r="AA113" s="94">
        <v>0</v>
      </c>
      <c r="AB113" s="94">
        <v>0.7</v>
      </c>
      <c r="AC113" s="94">
        <v>6.2</v>
      </c>
      <c r="AD113" s="94">
        <v>8.6</v>
      </c>
      <c r="AE113" s="94">
        <v>5.9</v>
      </c>
      <c r="AF113" s="94">
        <v>3.8</v>
      </c>
      <c r="AG113" s="108"/>
      <c r="AH113" s="48">
        <f t="shared" si="10"/>
        <v>46.2</v>
      </c>
      <c r="AI113" s="49">
        <f t="shared" si="11"/>
        <v>-32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18">SUM(B115:B219)</f>
        <v>0</v>
      </c>
      <c r="C220" s="125">
        <f t="shared" si="18"/>
        <v>0</v>
      </c>
      <c r="D220" s="125">
        <f t="shared" si="18"/>
        <v>0</v>
      </c>
      <c r="E220" s="125">
        <f t="shared" si="18"/>
        <v>0</v>
      </c>
      <c r="F220" s="125">
        <f t="shared" si="18"/>
        <v>0</v>
      </c>
      <c r="G220" s="125">
        <f t="shared" si="18"/>
        <v>0</v>
      </c>
      <c r="H220" s="125">
        <f t="shared" si="18"/>
        <v>0</v>
      </c>
      <c r="I220" s="125">
        <f t="shared" si="18"/>
        <v>0</v>
      </c>
      <c r="J220" s="125">
        <f t="shared" si="18"/>
        <v>0</v>
      </c>
      <c r="K220" s="125">
        <f t="shared" si="18"/>
        <v>0</v>
      </c>
      <c r="L220" s="125">
        <f t="shared" si="18"/>
        <v>0</v>
      </c>
      <c r="M220" s="125">
        <f t="shared" si="18"/>
        <v>0</v>
      </c>
      <c r="N220" s="125">
        <f t="shared" si="18"/>
        <v>0</v>
      </c>
      <c r="O220" s="125">
        <f t="shared" si="18"/>
        <v>0</v>
      </c>
      <c r="P220" s="125">
        <f t="shared" si="18"/>
        <v>0</v>
      </c>
      <c r="Q220" s="125">
        <f t="shared" si="18"/>
        <v>0</v>
      </c>
      <c r="R220" s="125">
        <f t="shared" si="18"/>
        <v>0</v>
      </c>
      <c r="S220" s="125">
        <f t="shared" si="18"/>
        <v>0</v>
      </c>
      <c r="T220" s="125">
        <f t="shared" si="18"/>
        <v>0</v>
      </c>
      <c r="U220" s="125">
        <f t="shared" si="18"/>
        <v>0</v>
      </c>
      <c r="V220" s="125">
        <f t="shared" si="18"/>
        <v>0</v>
      </c>
      <c r="W220" s="125">
        <f t="shared" si="18"/>
        <v>0</v>
      </c>
      <c r="X220" s="125">
        <f t="shared" si="18"/>
        <v>0</v>
      </c>
      <c r="Y220" s="125">
        <f t="shared" si="18"/>
        <v>0</v>
      </c>
      <c r="Z220" s="125">
        <f t="shared" si="18"/>
        <v>0</v>
      </c>
      <c r="AA220" s="125">
        <f t="shared" si="18"/>
        <v>0</v>
      </c>
      <c r="AB220" s="125">
        <f t="shared" si="18"/>
        <v>0</v>
      </c>
      <c r="AC220" s="125">
        <f t="shared" si="18"/>
        <v>0</v>
      </c>
      <c r="AD220" s="125">
        <f t="shared" si="18"/>
        <v>0</v>
      </c>
      <c r="AE220" s="125">
        <f t="shared" si="18"/>
        <v>0</v>
      </c>
      <c r="AF220" s="126">
        <f t="shared" si="18"/>
        <v>0</v>
      </c>
      <c r="AG220" s="127">
        <f t="shared" si="18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19">AF222</f>
        <v>0</v>
      </c>
      <c r="C222" s="129">
        <v>0.3</v>
      </c>
      <c r="D222" s="129">
        <f t="shared" ref="D222:P227" si="20">C222</f>
        <v>0.3</v>
      </c>
      <c r="E222" s="129">
        <f t="shared" si="20"/>
        <v>0.3</v>
      </c>
      <c r="F222" s="129">
        <f t="shared" si="20"/>
        <v>0.3</v>
      </c>
      <c r="G222" s="129">
        <f t="shared" si="20"/>
        <v>0.3</v>
      </c>
      <c r="H222" s="129">
        <f t="shared" si="20"/>
        <v>0.3</v>
      </c>
      <c r="I222" s="129">
        <f t="shared" si="20"/>
        <v>0.3</v>
      </c>
      <c r="J222" s="129">
        <f t="shared" si="20"/>
        <v>0.3</v>
      </c>
      <c r="K222" s="129">
        <f t="shared" si="20"/>
        <v>0.3</v>
      </c>
      <c r="L222" s="129">
        <f t="shared" si="20"/>
        <v>0.3</v>
      </c>
      <c r="M222" s="129">
        <f t="shared" si="20"/>
        <v>0.3</v>
      </c>
      <c r="N222" s="129">
        <f t="shared" si="20"/>
        <v>0.3</v>
      </c>
      <c r="O222" s="129">
        <f t="shared" si="20"/>
        <v>0.3</v>
      </c>
      <c r="P222" s="129">
        <f t="shared" si="20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19"/>
        <v>0</v>
      </c>
      <c r="C223" s="117">
        <v>0.4</v>
      </c>
      <c r="D223" s="117">
        <f t="shared" si="20"/>
        <v>0.4</v>
      </c>
      <c r="E223" s="117">
        <f t="shared" si="20"/>
        <v>0.4</v>
      </c>
      <c r="F223" s="117">
        <f t="shared" si="20"/>
        <v>0.4</v>
      </c>
      <c r="G223" s="117">
        <f t="shared" si="20"/>
        <v>0.4</v>
      </c>
      <c r="H223" s="117">
        <f t="shared" si="20"/>
        <v>0.4</v>
      </c>
      <c r="I223" s="117">
        <f t="shared" si="20"/>
        <v>0.4</v>
      </c>
      <c r="J223" s="117">
        <f t="shared" si="20"/>
        <v>0.4</v>
      </c>
      <c r="K223" s="117">
        <f t="shared" si="20"/>
        <v>0.4</v>
      </c>
      <c r="L223" s="117">
        <f t="shared" si="20"/>
        <v>0.4</v>
      </c>
      <c r="M223" s="117">
        <f t="shared" si="20"/>
        <v>0.4</v>
      </c>
      <c r="N223" s="117">
        <f t="shared" si="20"/>
        <v>0.4</v>
      </c>
      <c r="O223" s="117">
        <f t="shared" si="20"/>
        <v>0.4</v>
      </c>
      <c r="P223" s="117">
        <f t="shared" si="20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19"/>
        <v>0</v>
      </c>
      <c r="C224" s="117">
        <v>1.5</v>
      </c>
      <c r="D224" s="117">
        <f t="shared" si="20"/>
        <v>1.5</v>
      </c>
      <c r="E224" s="117">
        <f t="shared" si="20"/>
        <v>1.5</v>
      </c>
      <c r="F224" s="117">
        <f t="shared" si="20"/>
        <v>1.5</v>
      </c>
      <c r="G224" s="117">
        <f t="shared" si="20"/>
        <v>1.5</v>
      </c>
      <c r="H224" s="117">
        <f t="shared" si="20"/>
        <v>1.5</v>
      </c>
      <c r="I224" s="100">
        <f t="shared" ref="I224" ca="1" si="21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20"/>
        <v>1.5</v>
      </c>
      <c r="K224" s="117">
        <f t="shared" ca="1" si="20"/>
        <v>1.5</v>
      </c>
      <c r="L224" s="117">
        <f t="shared" ca="1" si="20"/>
        <v>1.5</v>
      </c>
      <c r="M224" s="117">
        <f t="shared" ca="1" si="20"/>
        <v>1.5</v>
      </c>
      <c r="N224" s="117">
        <f t="shared" ca="1" si="20"/>
        <v>1.5</v>
      </c>
      <c r="O224" s="117">
        <f t="shared" ca="1" si="20"/>
        <v>1.5</v>
      </c>
      <c r="P224" s="117">
        <f t="shared" ca="1" si="20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19"/>
        <v>0</v>
      </c>
      <c r="C225" s="117">
        <v>0.3</v>
      </c>
      <c r="D225" s="117">
        <f t="shared" si="20"/>
        <v>0.3</v>
      </c>
      <c r="E225" s="117">
        <f t="shared" si="20"/>
        <v>0.3</v>
      </c>
      <c r="F225" s="117">
        <f t="shared" si="20"/>
        <v>0.3</v>
      </c>
      <c r="G225" s="117">
        <f t="shared" si="20"/>
        <v>0.3</v>
      </c>
      <c r="H225" s="117">
        <f t="shared" si="20"/>
        <v>0.3</v>
      </c>
      <c r="I225" s="117">
        <f t="shared" si="20"/>
        <v>0.3</v>
      </c>
      <c r="J225" s="117">
        <f t="shared" si="20"/>
        <v>0.3</v>
      </c>
      <c r="K225" s="117">
        <f t="shared" si="20"/>
        <v>0.3</v>
      </c>
      <c r="L225" s="117">
        <f t="shared" si="20"/>
        <v>0.3</v>
      </c>
      <c r="M225" s="117">
        <f t="shared" si="20"/>
        <v>0.3</v>
      </c>
      <c r="N225" s="117">
        <f t="shared" si="20"/>
        <v>0.3</v>
      </c>
      <c r="O225" s="117">
        <f t="shared" si="20"/>
        <v>0.3</v>
      </c>
      <c r="P225" s="117">
        <f t="shared" si="20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19"/>
        <v>0</v>
      </c>
      <c r="C226" s="117">
        <v>0.4</v>
      </c>
      <c r="D226" s="117">
        <f t="shared" si="20"/>
        <v>0.4</v>
      </c>
      <c r="E226" s="117">
        <f t="shared" si="20"/>
        <v>0.4</v>
      </c>
      <c r="F226" s="117">
        <f t="shared" si="20"/>
        <v>0.4</v>
      </c>
      <c r="G226" s="117">
        <f t="shared" si="20"/>
        <v>0.4</v>
      </c>
      <c r="H226" s="117">
        <f t="shared" si="20"/>
        <v>0.4</v>
      </c>
      <c r="I226" s="117">
        <f t="shared" si="20"/>
        <v>0.4</v>
      </c>
      <c r="J226" s="117">
        <f t="shared" si="20"/>
        <v>0.4</v>
      </c>
      <c r="K226" s="117">
        <f t="shared" si="20"/>
        <v>0.4</v>
      </c>
      <c r="L226" s="117">
        <f t="shared" si="20"/>
        <v>0.4</v>
      </c>
      <c r="M226" s="117">
        <f t="shared" si="20"/>
        <v>0.4</v>
      </c>
      <c r="N226" s="117">
        <f t="shared" si="20"/>
        <v>0.4</v>
      </c>
      <c r="O226" s="117">
        <f t="shared" si="20"/>
        <v>0.4</v>
      </c>
      <c r="P226" s="117">
        <f t="shared" si="20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19"/>
        <v>0</v>
      </c>
      <c r="C227" s="121">
        <v>0.64</v>
      </c>
      <c r="D227" s="121">
        <f t="shared" si="20"/>
        <v>0.64</v>
      </c>
      <c r="E227" s="121">
        <f t="shared" si="20"/>
        <v>0.64</v>
      </c>
      <c r="F227" s="121">
        <f t="shared" si="20"/>
        <v>0.64</v>
      </c>
      <c r="G227" s="121">
        <f t="shared" si="20"/>
        <v>0.64</v>
      </c>
      <c r="H227" s="121">
        <f t="shared" si="20"/>
        <v>0.64</v>
      </c>
      <c r="I227" s="121">
        <f t="shared" si="20"/>
        <v>0.64</v>
      </c>
      <c r="J227" s="121">
        <f t="shared" si="20"/>
        <v>0.64</v>
      </c>
      <c r="K227" s="121">
        <f t="shared" si="20"/>
        <v>0.64</v>
      </c>
      <c r="L227" s="121">
        <f t="shared" si="20"/>
        <v>0.64</v>
      </c>
      <c r="M227" s="121">
        <f t="shared" si="20"/>
        <v>0.64</v>
      </c>
      <c r="N227" s="121">
        <f t="shared" si="20"/>
        <v>0.64</v>
      </c>
      <c r="O227" s="121">
        <f t="shared" si="20"/>
        <v>0.64</v>
      </c>
      <c r="P227" s="121">
        <f t="shared" si="20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2">SUM(B222:B227)</f>
        <v>0</v>
      </c>
      <c r="C228" s="125">
        <f t="shared" si="22"/>
        <v>3.54</v>
      </c>
      <c r="D228" s="125">
        <f t="shared" si="22"/>
        <v>3.54</v>
      </c>
      <c r="E228" s="125">
        <f t="shared" si="22"/>
        <v>3.54</v>
      </c>
      <c r="F228" s="125">
        <f t="shared" si="22"/>
        <v>3.54</v>
      </c>
      <c r="G228" s="125">
        <f t="shared" si="22"/>
        <v>3.54</v>
      </c>
      <c r="H228" s="125">
        <f t="shared" si="22"/>
        <v>3.54</v>
      </c>
      <c r="I228" s="125">
        <f t="shared" ca="1" si="22"/>
        <v>3.54</v>
      </c>
      <c r="J228" s="125">
        <f t="shared" ca="1" si="22"/>
        <v>3.54</v>
      </c>
      <c r="K228" s="125">
        <f t="shared" ca="1" si="22"/>
        <v>3.54</v>
      </c>
      <c r="L228" s="125">
        <f t="shared" ca="1" si="22"/>
        <v>3.54</v>
      </c>
      <c r="M228" s="125">
        <f t="shared" ca="1" si="22"/>
        <v>3.54</v>
      </c>
      <c r="N228" s="125">
        <f t="shared" ca="1" si="22"/>
        <v>3.54</v>
      </c>
      <c r="O228" s="125">
        <f t="shared" ca="1" si="22"/>
        <v>3.54</v>
      </c>
      <c r="P228" s="125">
        <f t="shared" ca="1" si="22"/>
        <v>3.54</v>
      </c>
      <c r="Q228" s="125">
        <f t="shared" si="22"/>
        <v>0</v>
      </c>
      <c r="R228" s="125">
        <f t="shared" si="22"/>
        <v>0</v>
      </c>
      <c r="S228" s="125">
        <f t="shared" si="22"/>
        <v>0</v>
      </c>
      <c r="T228" s="125">
        <f t="shared" si="22"/>
        <v>0</v>
      </c>
      <c r="U228" s="125">
        <f t="shared" si="22"/>
        <v>0</v>
      </c>
      <c r="V228" s="125">
        <f t="shared" si="22"/>
        <v>0</v>
      </c>
      <c r="W228" s="125">
        <f t="shared" si="22"/>
        <v>0</v>
      </c>
      <c r="X228" s="125">
        <f t="shared" si="22"/>
        <v>0</v>
      </c>
      <c r="Y228" s="125">
        <f t="shared" si="22"/>
        <v>0</v>
      </c>
      <c r="Z228" s="125">
        <f t="shared" si="22"/>
        <v>0</v>
      </c>
      <c r="AA228" s="125">
        <f t="shared" si="22"/>
        <v>0</v>
      </c>
      <c r="AB228" s="125">
        <f t="shared" si="22"/>
        <v>0</v>
      </c>
      <c r="AC228" s="125">
        <f t="shared" si="22"/>
        <v>0</v>
      </c>
      <c r="AD228" s="125">
        <f t="shared" si="22"/>
        <v>0</v>
      </c>
      <c r="AE228" s="125">
        <f t="shared" si="22"/>
        <v>0</v>
      </c>
      <c r="AF228" s="125">
        <f t="shared" si="22"/>
        <v>0</v>
      </c>
      <c r="AG228" s="134">
        <f t="shared" si="22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1628.24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23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2079/09/23)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2079/09/23)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3">B85</f>
        <v>1137.94</v>
      </c>
      <c r="U242" s="159">
        <f t="shared" si="23"/>
        <v>1052.74</v>
      </c>
      <c r="V242" s="159">
        <f t="shared" si="23"/>
        <v>1030.6399999999999</v>
      </c>
      <c r="W242" s="159">
        <f t="shared" si="23"/>
        <v>1029.8399999999999</v>
      </c>
      <c r="X242" s="159">
        <f t="shared" si="23"/>
        <v>1036.3400000000001</v>
      </c>
      <c r="Y242" s="159">
        <f t="shared" si="23"/>
        <v>1095.04</v>
      </c>
      <c r="Z242" s="159">
        <f t="shared" si="23"/>
        <v>1113.54</v>
      </c>
      <c r="AA242" s="159">
        <f t="shared" si="23"/>
        <v>752.33999999999992</v>
      </c>
      <c r="AB242" s="159">
        <f t="shared" si="23"/>
        <v>1376.6399999999999</v>
      </c>
      <c r="AC242" s="159">
        <f t="shared" si="23"/>
        <v>1327.54</v>
      </c>
      <c r="AD242" s="159">
        <f t="shared" si="23"/>
        <v>1465.58</v>
      </c>
      <c r="AE242" s="159">
        <f t="shared" si="23"/>
        <v>1628.24</v>
      </c>
      <c r="AF242" s="159">
        <f t="shared" si="23"/>
        <v>1616.34</v>
      </c>
      <c r="AG242" s="159">
        <f t="shared" si="23"/>
        <v>1559.8400000000001</v>
      </c>
      <c r="AH242" s="159">
        <f t="shared" si="23"/>
        <v>1438.04</v>
      </c>
      <c r="AI242" s="159">
        <f t="shared" si="23"/>
        <v>1345.74</v>
      </c>
      <c r="AJ242" s="159">
        <f t="shared" si="23"/>
        <v>1249.74</v>
      </c>
      <c r="AK242" s="159">
        <f t="shared" si="23"/>
        <v>1149.3400000000001</v>
      </c>
      <c r="AL242" s="159">
        <f t="shared" si="23"/>
        <v>1214.54</v>
      </c>
      <c r="AM242" s="159">
        <f t="shared" si="23"/>
        <v>1190.04</v>
      </c>
      <c r="AN242" s="159">
        <f t="shared" si="23"/>
        <v>1223.04</v>
      </c>
      <c r="AO242" s="159">
        <f t="shared" si="23"/>
        <v>1323.1399999999999</v>
      </c>
      <c r="AP242" s="159">
        <f t="shared" si="23"/>
        <v>1573.34</v>
      </c>
      <c r="AQ242" s="159">
        <f t="shared" si="23"/>
        <v>1640.54</v>
      </c>
      <c r="AR242" s="159">
        <f t="shared" si="23"/>
        <v>1629.44</v>
      </c>
      <c r="AS242" s="159">
        <f t="shared" si="23"/>
        <v>1622.6399999999999</v>
      </c>
      <c r="AT242" s="159">
        <f t="shared" si="23"/>
        <v>1571.44</v>
      </c>
      <c r="AU242" s="159">
        <f t="shared" si="23"/>
        <v>1507.94</v>
      </c>
      <c r="AV242" s="159">
        <f t="shared" si="23"/>
        <v>1358.24</v>
      </c>
      <c r="AW242" s="159">
        <f t="shared" si="23"/>
        <v>1198.54</v>
      </c>
      <c r="AX242" s="159">
        <f t="shared" si="23"/>
        <v>1119.44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4">C227</f>
        <v>0.64</v>
      </c>
      <c r="C263" s="162">
        <f t="shared" si="24"/>
        <v>0.64</v>
      </c>
      <c r="D263" s="162">
        <f t="shared" si="24"/>
        <v>0.64</v>
      </c>
      <c r="E263" s="162">
        <f t="shared" si="24"/>
        <v>0.64</v>
      </c>
      <c r="F263" s="162">
        <f t="shared" si="24"/>
        <v>0.64</v>
      </c>
      <c r="G263" s="162">
        <f t="shared" si="24"/>
        <v>0.64</v>
      </c>
      <c r="H263" s="162">
        <f t="shared" si="24"/>
        <v>0.64</v>
      </c>
      <c r="I263" s="162">
        <f t="shared" si="24"/>
        <v>0.64</v>
      </c>
      <c r="J263" s="162">
        <f t="shared" si="24"/>
        <v>0.64</v>
      </c>
      <c r="K263" s="162">
        <f t="shared" si="24"/>
        <v>0.64</v>
      </c>
      <c r="L263" s="162">
        <f t="shared" si="24"/>
        <v>0.64</v>
      </c>
      <c r="M263" s="162">
        <f t="shared" si="24"/>
        <v>0.64</v>
      </c>
      <c r="N263" s="162">
        <f t="shared" si="24"/>
        <v>0.64</v>
      </c>
      <c r="O263" s="162">
        <f t="shared" si="24"/>
        <v>0.64</v>
      </c>
      <c r="P263" s="162">
        <f t="shared" si="24"/>
        <v>0</v>
      </c>
      <c r="Q263" s="162">
        <f t="shared" si="24"/>
        <v>0</v>
      </c>
      <c r="R263" s="162">
        <f t="shared" si="24"/>
        <v>0</v>
      </c>
      <c r="S263" s="162">
        <f t="shared" si="24"/>
        <v>0</v>
      </c>
      <c r="T263" s="162">
        <f t="shared" si="24"/>
        <v>0</v>
      </c>
      <c r="U263" s="162">
        <f t="shared" si="24"/>
        <v>0</v>
      </c>
      <c r="V263" s="162">
        <f t="shared" si="24"/>
        <v>0</v>
      </c>
      <c r="W263" s="162">
        <f t="shared" si="24"/>
        <v>0</v>
      </c>
      <c r="X263" s="162">
        <f t="shared" si="24"/>
        <v>0</v>
      </c>
      <c r="Y263" s="162">
        <f t="shared" si="24"/>
        <v>0</v>
      </c>
      <c r="Z263" s="162">
        <f t="shared" si="24"/>
        <v>0</v>
      </c>
      <c r="AA263" s="162">
        <f t="shared" si="24"/>
        <v>0</v>
      </c>
      <c r="AB263" s="162">
        <f t="shared" si="24"/>
        <v>0</v>
      </c>
      <c r="AC263" s="162">
        <f t="shared" si="24"/>
        <v>0</v>
      </c>
      <c r="AD263" s="162">
        <f t="shared" si="24"/>
        <v>0</v>
      </c>
      <c r="AE263" s="162">
        <f t="shared" si="24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5">IF(B231&lt;100,"",B231-520)</f>
        <v/>
      </c>
      <c r="C264" s="163" t="str">
        <f t="shared" si="25"/>
        <v/>
      </c>
      <c r="D264" s="163" t="str">
        <f t="shared" si="25"/>
        <v/>
      </c>
      <c r="E264" s="163" t="str">
        <f t="shared" si="25"/>
        <v/>
      </c>
      <c r="F264" s="163" t="str">
        <f t="shared" si="25"/>
        <v/>
      </c>
      <c r="G264" s="163" t="str">
        <f t="shared" si="25"/>
        <v/>
      </c>
      <c r="H264" s="163" t="str">
        <f t="shared" si="25"/>
        <v/>
      </c>
      <c r="I264" s="163" t="str">
        <f t="shared" si="25"/>
        <v/>
      </c>
      <c r="J264" s="163" t="str">
        <f t="shared" si="25"/>
        <v/>
      </c>
      <c r="K264" s="163" t="str">
        <f t="shared" si="25"/>
        <v/>
      </c>
      <c r="L264" s="163" t="str">
        <f t="shared" si="25"/>
        <v/>
      </c>
      <c r="M264" s="163" t="str">
        <f t="shared" si="25"/>
        <v/>
      </c>
      <c r="N264" s="163" t="str">
        <f t="shared" si="25"/>
        <v/>
      </c>
      <c r="O264" s="163" t="str">
        <f t="shared" si="25"/>
        <v/>
      </c>
      <c r="P264" s="163" t="str">
        <f t="shared" si="25"/>
        <v/>
      </c>
      <c r="Q264" s="163" t="str">
        <f t="shared" si="25"/>
        <v/>
      </c>
      <c r="R264" s="163" t="str">
        <f t="shared" si="25"/>
        <v/>
      </c>
      <c r="S264" s="163" t="str">
        <f t="shared" si="25"/>
        <v/>
      </c>
      <c r="T264" s="163" t="str">
        <f t="shared" si="25"/>
        <v/>
      </c>
      <c r="U264" s="163" t="str">
        <f t="shared" si="25"/>
        <v/>
      </c>
      <c r="V264" s="163" t="str">
        <f t="shared" si="25"/>
        <v/>
      </c>
      <c r="W264" s="163" t="str">
        <f t="shared" si="25"/>
        <v/>
      </c>
      <c r="X264" s="163" t="str">
        <f t="shared" si="25"/>
        <v/>
      </c>
      <c r="Y264" s="163" t="str">
        <f t="shared" si="25"/>
        <v/>
      </c>
      <c r="Z264" s="163" t="str">
        <f t="shared" si="25"/>
        <v/>
      </c>
      <c r="AA264" s="163" t="str">
        <f t="shared" si="25"/>
        <v/>
      </c>
      <c r="AB264" s="163" t="str">
        <f t="shared" si="25"/>
        <v/>
      </c>
      <c r="AC264" s="163" t="str">
        <f t="shared" si="25"/>
        <v/>
      </c>
      <c r="AD264" s="163" t="str">
        <f t="shared" si="25"/>
        <v/>
      </c>
      <c r="AE264" s="163" t="str">
        <f t="shared" si="25"/>
        <v/>
      </c>
      <c r="AF264" s="163" t="str">
        <f t="shared" si="25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6">IF(B232&lt;100,"",B232-620)</f>
        <v/>
      </c>
      <c r="C265" s="163" t="str">
        <f t="shared" si="26"/>
        <v/>
      </c>
      <c r="D265" s="163" t="str">
        <f t="shared" si="26"/>
        <v/>
      </c>
      <c r="E265" s="163" t="str">
        <f t="shared" si="26"/>
        <v/>
      </c>
      <c r="F265" s="163" t="str">
        <f t="shared" si="26"/>
        <v/>
      </c>
      <c r="G265" s="163" t="str">
        <f t="shared" si="26"/>
        <v/>
      </c>
      <c r="H265" s="163" t="str">
        <f t="shared" si="26"/>
        <v/>
      </c>
      <c r="I265" s="163" t="str">
        <f t="shared" si="26"/>
        <v/>
      </c>
      <c r="J265" s="163" t="str">
        <f t="shared" si="26"/>
        <v/>
      </c>
      <c r="K265" s="163" t="str">
        <f t="shared" si="26"/>
        <v/>
      </c>
      <c r="L265" s="163" t="str">
        <f t="shared" si="26"/>
        <v/>
      </c>
      <c r="M265" s="163" t="str">
        <f t="shared" si="26"/>
        <v/>
      </c>
      <c r="N265" s="163" t="str">
        <f t="shared" si="26"/>
        <v/>
      </c>
      <c r="O265" s="163" t="str">
        <f t="shared" si="26"/>
        <v/>
      </c>
      <c r="P265" s="163" t="str">
        <f t="shared" si="26"/>
        <v/>
      </c>
      <c r="Q265" s="163" t="str">
        <f t="shared" si="26"/>
        <v/>
      </c>
      <c r="R265" s="163" t="str">
        <f t="shared" si="26"/>
        <v/>
      </c>
      <c r="S265" s="163" t="str">
        <f t="shared" si="26"/>
        <v/>
      </c>
      <c r="T265" s="163" t="str">
        <f t="shared" si="26"/>
        <v/>
      </c>
      <c r="U265" s="163" t="str">
        <f t="shared" si="26"/>
        <v/>
      </c>
      <c r="V265" s="163" t="str">
        <f t="shared" si="26"/>
        <v/>
      </c>
      <c r="W265" s="163" t="str">
        <f t="shared" si="26"/>
        <v/>
      </c>
      <c r="X265" s="163" t="str">
        <f t="shared" si="26"/>
        <v/>
      </c>
      <c r="Y265" s="163" t="str">
        <f t="shared" si="26"/>
        <v/>
      </c>
      <c r="Z265" s="163" t="str">
        <f t="shared" si="26"/>
        <v/>
      </c>
      <c r="AA265" s="163" t="str">
        <f t="shared" si="26"/>
        <v/>
      </c>
      <c r="AB265" s="163" t="str">
        <f t="shared" si="26"/>
        <v/>
      </c>
      <c r="AC265" s="163" t="str">
        <f t="shared" si="26"/>
        <v/>
      </c>
      <c r="AD265" s="163" t="str">
        <f t="shared" si="26"/>
        <v/>
      </c>
      <c r="AE265" s="163" t="str">
        <f t="shared" si="26"/>
        <v/>
      </c>
      <c r="AF265" s="163" t="str">
        <f t="shared" si="26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27">IF(B233&lt;100,"",B233-330)</f>
        <v/>
      </c>
      <c r="C266" s="163" t="str">
        <f t="shared" si="27"/>
        <v/>
      </c>
      <c r="D266" s="163" t="str">
        <f t="shared" si="27"/>
        <v/>
      </c>
      <c r="E266" s="163" t="str">
        <f t="shared" si="27"/>
        <v/>
      </c>
      <c r="F266" s="163" t="str">
        <f t="shared" si="27"/>
        <v/>
      </c>
      <c r="G266" s="163" t="str">
        <f t="shared" si="27"/>
        <v/>
      </c>
      <c r="H266" s="163" t="str">
        <f t="shared" si="27"/>
        <v/>
      </c>
      <c r="I266" s="163" t="str">
        <f t="shared" si="27"/>
        <v/>
      </c>
      <c r="J266" s="163" t="str">
        <f t="shared" si="27"/>
        <v/>
      </c>
      <c r="K266" s="163" t="str">
        <f t="shared" si="27"/>
        <v/>
      </c>
      <c r="L266" s="163" t="str">
        <f t="shared" si="27"/>
        <v/>
      </c>
      <c r="M266" s="163" t="str">
        <f t="shared" si="27"/>
        <v/>
      </c>
      <c r="N266" s="163" t="str">
        <f t="shared" si="27"/>
        <v/>
      </c>
      <c r="O266" s="163" t="str">
        <f t="shared" si="27"/>
        <v/>
      </c>
      <c r="P266" s="163" t="str">
        <f t="shared" si="27"/>
        <v/>
      </c>
      <c r="Q266" s="163" t="str">
        <f t="shared" si="27"/>
        <v/>
      </c>
      <c r="R266" s="163" t="str">
        <f t="shared" si="27"/>
        <v/>
      </c>
      <c r="S266" s="163" t="str">
        <f t="shared" si="27"/>
        <v/>
      </c>
      <c r="T266" s="163" t="str">
        <f t="shared" si="27"/>
        <v/>
      </c>
      <c r="U266" s="163" t="str">
        <f t="shared" si="27"/>
        <v/>
      </c>
      <c r="V266" s="163" t="str">
        <f t="shared" si="27"/>
        <v/>
      </c>
      <c r="W266" s="163" t="str">
        <f t="shared" si="27"/>
        <v/>
      </c>
      <c r="X266" s="163" t="str">
        <f t="shared" si="27"/>
        <v/>
      </c>
      <c r="Y266" s="163" t="str">
        <f t="shared" si="27"/>
        <v/>
      </c>
      <c r="Z266" s="163" t="str">
        <f t="shared" si="27"/>
        <v/>
      </c>
      <c r="AA266" s="163" t="str">
        <f t="shared" si="27"/>
        <v/>
      </c>
      <c r="AB266" s="163" t="str">
        <f t="shared" si="27"/>
        <v/>
      </c>
      <c r="AC266" s="163" t="str">
        <f t="shared" si="27"/>
        <v/>
      </c>
      <c r="AD266" s="163" t="str">
        <f t="shared" si="27"/>
        <v/>
      </c>
      <c r="AE266" s="163" t="str">
        <f t="shared" si="27"/>
        <v/>
      </c>
      <c r="AF266" s="163" t="str">
        <f t="shared" si="27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28">IF(B234&lt;100,"",B234-1500)</f>
        <v/>
      </c>
      <c r="C267" s="163" t="str">
        <f t="shared" si="28"/>
        <v/>
      </c>
      <c r="D267" s="163" t="str">
        <f t="shared" si="28"/>
        <v/>
      </c>
      <c r="E267" s="163" t="str">
        <f t="shared" si="28"/>
        <v/>
      </c>
      <c r="F267" s="163" t="str">
        <f t="shared" si="28"/>
        <v/>
      </c>
      <c r="G267" s="163" t="str">
        <f t="shared" si="28"/>
        <v/>
      </c>
      <c r="H267" s="163" t="str">
        <f t="shared" si="28"/>
        <v/>
      </c>
      <c r="I267" s="163" t="str">
        <f t="shared" si="28"/>
        <v/>
      </c>
      <c r="J267" s="163" t="str">
        <f t="shared" si="28"/>
        <v/>
      </c>
      <c r="K267" s="163" t="str">
        <f t="shared" si="28"/>
        <v/>
      </c>
      <c r="L267" s="163" t="str">
        <f t="shared" si="28"/>
        <v/>
      </c>
      <c r="M267" s="163" t="str">
        <f t="shared" si="28"/>
        <v/>
      </c>
      <c r="N267" s="163" t="str">
        <f t="shared" si="28"/>
        <v/>
      </c>
      <c r="O267" s="163" t="str">
        <f t="shared" si="28"/>
        <v/>
      </c>
      <c r="P267" s="163" t="str">
        <f t="shared" si="28"/>
        <v/>
      </c>
      <c r="Q267" s="163" t="str">
        <f t="shared" si="28"/>
        <v/>
      </c>
      <c r="R267" s="163" t="str">
        <f t="shared" si="28"/>
        <v/>
      </c>
      <c r="S267" s="163" t="str">
        <f t="shared" si="28"/>
        <v/>
      </c>
      <c r="T267" s="163" t="str">
        <f t="shared" si="28"/>
        <v/>
      </c>
      <c r="U267" s="163" t="str">
        <f t="shared" si="28"/>
        <v/>
      </c>
      <c r="V267" s="163" t="str">
        <f t="shared" si="28"/>
        <v/>
      </c>
      <c r="W267" s="163" t="str">
        <f t="shared" si="28"/>
        <v/>
      </c>
      <c r="X267" s="163" t="str">
        <f t="shared" si="28"/>
        <v/>
      </c>
      <c r="Y267" s="163" t="str">
        <f t="shared" si="28"/>
        <v/>
      </c>
      <c r="Z267" s="163" t="str">
        <f t="shared" si="28"/>
        <v/>
      </c>
      <c r="AA267" s="163" t="str">
        <f t="shared" si="28"/>
        <v/>
      </c>
      <c r="AB267" s="163" t="str">
        <f t="shared" si="28"/>
        <v/>
      </c>
      <c r="AC267" s="163" t="str">
        <f t="shared" si="28"/>
        <v/>
      </c>
      <c r="AD267" s="163" t="str">
        <f t="shared" si="28"/>
        <v/>
      </c>
      <c r="AE267" s="163" t="str">
        <f t="shared" si="28"/>
        <v/>
      </c>
      <c r="AF267" s="163" t="str">
        <f t="shared" si="28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">
    <cfRule type="expression" dxfId="4806" priority="234">
      <formula>B$9&gt;=20/24</formula>
    </cfRule>
    <cfRule type="expression" dxfId="4805" priority="235">
      <formula>AND(B$9&gt;=14/24,B$9&lt;20/24)</formula>
    </cfRule>
    <cfRule type="expression" dxfId="4804" priority="236">
      <formula>AND(B$9&gt;=8/24,B$9&lt;14/24)</formula>
    </cfRule>
    <cfRule type="expression" dxfId="4803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">
    <cfRule type="expression" dxfId="4802" priority="232">
      <formula>AG61&gt;$AG61</formula>
    </cfRule>
  </conditionalFormatting>
  <conditionalFormatting sqref="A95:A105 A55:A82 A91:A93 A198:A228 A42:A53 A114:A185 A38:A39 A87:A89 A84:A85 A107:A109 A35:A36 A17:A18 A11:A15 A20:A33">
    <cfRule type="expression" dxfId="4801" priority="231">
      <formula>$AH11=0</formula>
    </cfRule>
  </conditionalFormatting>
  <conditionalFormatting sqref="A110">
    <cfRule type="expression" dxfId="4800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4799" priority="228">
      <formula>$AH41=0</formula>
    </cfRule>
  </conditionalFormatting>
  <conditionalFormatting sqref="A94">
    <cfRule type="expression" dxfId="4798" priority="227">
      <formula>$AH94=0</formula>
    </cfRule>
  </conditionalFormatting>
  <conditionalFormatting sqref="A16">
    <cfRule type="expression" dxfId="4797" priority="226">
      <formula>$AH16=0</formula>
    </cfRule>
  </conditionalFormatting>
  <conditionalFormatting sqref="A192:A197">
    <cfRule type="expression" dxfId="4796" priority="225">
      <formula>$AH192=0</formula>
    </cfRule>
  </conditionalFormatting>
  <conditionalFormatting sqref="A186:A191">
    <cfRule type="expression" dxfId="4795" priority="224">
      <formula>$AH186=0</formula>
    </cfRule>
  </conditionalFormatting>
  <conditionalFormatting sqref="A54">
    <cfRule type="expression" dxfId="4794" priority="223">
      <formula>$AH54=0</formula>
    </cfRule>
  </conditionalFormatting>
  <conditionalFormatting sqref="A90">
    <cfRule type="expression" dxfId="4793" priority="222">
      <formula>$AH90=0</formula>
    </cfRule>
  </conditionalFormatting>
  <conditionalFormatting sqref="AD95:AF95 E95:X95">
    <cfRule type="expression" dxfId="4792" priority="218">
      <formula>E$9&gt;=20/24</formula>
    </cfRule>
    <cfRule type="expression" dxfId="4791" priority="219">
      <formula>AND(E$9&gt;=14/24,E$9&lt;20/24)</formula>
    </cfRule>
    <cfRule type="expression" dxfId="4790" priority="220">
      <formula>AND(E$9&gt;=8/24,E$9&lt;14/24)</formula>
    </cfRule>
    <cfRule type="expression" dxfId="4789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788" priority="240">
      <formula>C$9&gt;=20/24</formula>
    </cfRule>
    <cfRule type="expression" dxfId="4787" priority="241">
      <formula>AND(C$9&gt;=14/24,C$9&lt;20/24)</formula>
    </cfRule>
    <cfRule type="expression" dxfId="4786" priority="242">
      <formula>AND(C$9&gt;=8/24,C$9&lt;14/24)</formula>
    </cfRule>
    <cfRule type="expression" dxfId="4785" priority="243">
      <formula>C$9&lt;8/24</formula>
    </cfRule>
  </conditionalFormatting>
  <conditionalFormatting sqref="A229">
    <cfRule type="expression" dxfId="4784" priority="244">
      <formula>$AH229=0</formula>
    </cfRule>
  </conditionalFormatting>
  <conditionalFormatting sqref="AG241">
    <cfRule type="expression" dxfId="4783" priority="245">
      <formula>B$9&gt;=20/24</formula>
    </cfRule>
    <cfRule type="expression" dxfId="4782" priority="246">
      <formula>AND(B$9&gt;=14/24,B$9&lt;20/24)</formula>
    </cfRule>
    <cfRule type="expression" dxfId="4781" priority="247">
      <formula>AND(B$9&gt;=8/24,B$9&lt;14/24)</formula>
    </cfRule>
    <cfRule type="expression" dxfId="4780" priority="248">
      <formula>B$9&lt;8/24</formula>
    </cfRule>
  </conditionalFormatting>
  <conditionalFormatting sqref="S8">
    <cfRule type="expression" dxfId="4779" priority="213">
      <formula>U$9&gt;=20/24</formula>
    </cfRule>
    <cfRule type="expression" dxfId="4778" priority="214">
      <formula>AND(U$9&gt;=14/24,U$9&lt;20/24)</formula>
    </cfRule>
    <cfRule type="expression" dxfId="4777" priority="215">
      <formula>AND(U$9&gt;=8/24,U$9&lt;14/24)</formula>
    </cfRule>
    <cfRule type="expression" dxfId="4776" priority="216">
      <formula>U$9&lt;8/24</formula>
    </cfRule>
  </conditionalFormatting>
  <conditionalFormatting sqref="AB8">
    <cfRule type="expression" dxfId="4775" priority="209">
      <formula>AD$9&gt;=20/24</formula>
    </cfRule>
    <cfRule type="expression" dxfId="4774" priority="210">
      <formula>AND(AD$9&gt;=14/24,AD$9&lt;20/24)</formula>
    </cfRule>
    <cfRule type="expression" dxfId="4773" priority="211">
      <formula>AND(AD$9&gt;=8/24,AD$9&lt;14/24)</formula>
    </cfRule>
    <cfRule type="expression" dxfId="4772" priority="212">
      <formula>AD$9&lt;8/24</formula>
    </cfRule>
  </conditionalFormatting>
  <conditionalFormatting sqref="AH241:AX241">
    <cfRule type="expression" dxfId="4771" priority="249">
      <formula>AG$9&gt;=20/24</formula>
    </cfRule>
    <cfRule type="expression" dxfId="4770" priority="250">
      <formula>AND(AG$9&gt;=14/24,AG$9&lt;20/24)</formula>
    </cfRule>
    <cfRule type="expression" dxfId="4769" priority="251">
      <formula>AND(AG$9&gt;=8/24,AG$9&lt;14/24)</formula>
    </cfRule>
    <cfRule type="expression" dxfId="4768" priority="252">
      <formula>AG$9&lt;8/24</formula>
    </cfRule>
  </conditionalFormatting>
  <conditionalFormatting sqref="T241">
    <cfRule type="expression" dxfId="4767" priority="253">
      <formula>AX$9&gt;=20/24</formula>
    </cfRule>
    <cfRule type="expression" dxfId="4766" priority="254">
      <formula>AND(AX$9&gt;=14/24,AX$9&lt;20/24)</formula>
    </cfRule>
    <cfRule type="expression" dxfId="4765" priority="255">
      <formula>AND(AX$9&gt;=8/24,AX$9&lt;14/24)</formula>
    </cfRule>
    <cfRule type="expression" dxfId="4764" priority="256">
      <formula>AX$9&lt;8/24</formula>
    </cfRule>
  </conditionalFormatting>
  <conditionalFormatting sqref="A111:A112">
    <cfRule type="expression" dxfId="4763" priority="208">
      <formula>$AH111=0</formula>
    </cfRule>
  </conditionalFormatting>
  <conditionalFormatting sqref="N50:T53 E67:AF67 X53:AA53 U52:AA52 AC50:AF51 AB52:AF53">
    <cfRule type="expression" dxfId="4762" priority="204">
      <formula>E$9&gt;=20/24</formula>
    </cfRule>
    <cfRule type="expression" dxfId="4761" priority="205">
      <formula>AND(E$9&gt;=14/24,E$9&lt;20/24)</formula>
    </cfRule>
    <cfRule type="expression" dxfId="4760" priority="206">
      <formula>AND(E$9&gt;=8/24,E$9&lt;14/24)</formula>
    </cfRule>
    <cfRule type="expression" dxfId="4759" priority="207">
      <formula>E$9&lt;8/24</formula>
    </cfRule>
  </conditionalFormatting>
  <conditionalFormatting sqref="M49:T49 AC49:AF49">
    <cfRule type="expression" dxfId="4758" priority="200">
      <formula>M$9&gt;=20/24</formula>
    </cfRule>
    <cfRule type="expression" dxfId="4757" priority="201">
      <formula>AND(M$9&gt;=14/24,M$9&lt;20/24)</formula>
    </cfRule>
    <cfRule type="expression" dxfId="4756" priority="202">
      <formula>AND(M$9&gt;=8/24,M$9&lt;14/24)</formula>
    </cfRule>
    <cfRule type="expression" dxfId="4755" priority="203">
      <formula>M$9&lt;8/24</formula>
    </cfRule>
  </conditionalFormatting>
  <conditionalFormatting sqref="M49:Q49 N50:Q53 R49:T53 X53:AA53 U52:AA52 AC49:AF51 AB52:AF53">
    <cfRule type="expression" dxfId="4754" priority="199">
      <formula>M49&gt;$AG49</formula>
    </cfRule>
  </conditionalFormatting>
  <conditionalFormatting sqref="D82:AF82 E69:X69 X70 X92:AF92 AD96:AF102 M96:X102 Y69:AF70 X43:AF43 E68:AF68 X63:AF65">
    <cfRule type="expression" dxfId="4753" priority="195">
      <formula>D$9&gt;=20/24</formula>
    </cfRule>
    <cfRule type="expression" dxfId="4752" priority="196">
      <formula>AND(D$9&gt;=14/24,D$9&lt;20/24)</formula>
    </cfRule>
    <cfRule type="expression" dxfId="4751" priority="197">
      <formula>AND(D$9&gt;=8/24,D$9&lt;14/24)</formula>
    </cfRule>
    <cfRule type="expression" dxfId="4750" priority="198">
      <formula>D$9&lt;8/24</formula>
    </cfRule>
  </conditionalFormatting>
  <conditionalFormatting sqref="X43:AF43 X63:AF65">
    <cfRule type="expression" dxfId="4749" priority="194">
      <formula>X43&gt;$AG43</formula>
    </cfRule>
  </conditionalFormatting>
  <conditionalFormatting sqref="U53:W53 U49:AB51">
    <cfRule type="expression" dxfId="4748" priority="190">
      <formula>U$9&gt;=20/24</formula>
    </cfRule>
    <cfRule type="expression" dxfId="4747" priority="191">
      <formula>AND(U$9&gt;=14/24,U$9&lt;20/24)</formula>
    </cfRule>
    <cfRule type="expression" dxfId="4746" priority="192">
      <formula>AND(U$9&gt;=8/24,U$9&lt;14/24)</formula>
    </cfRule>
    <cfRule type="expression" dxfId="4745" priority="193">
      <formula>U$9&lt;8/24</formula>
    </cfRule>
  </conditionalFormatting>
  <conditionalFormatting sqref="U53:W53 U49:AB51">
    <cfRule type="expression" dxfId="4744" priority="189">
      <formula>U49&gt;$AG49</formula>
    </cfRule>
  </conditionalFormatting>
  <conditionalFormatting sqref="C93:AF93 C84:AF84">
    <cfRule type="expression" dxfId="4743" priority="185">
      <formula>C$9&gt;=20/24</formula>
    </cfRule>
    <cfRule type="expression" dxfId="4742" priority="186">
      <formula>AND(C$9&gt;=14/24,C$9&lt;20/24)</formula>
    </cfRule>
    <cfRule type="expression" dxfId="4741" priority="187">
      <formula>AND(C$9&gt;=8/24,C$9&lt;14/24)</formula>
    </cfRule>
    <cfRule type="expression" dxfId="4740" priority="188">
      <formula>C$9&lt;8/24</formula>
    </cfRule>
  </conditionalFormatting>
  <conditionalFormatting sqref="T43:W43">
    <cfRule type="expression" dxfId="4739" priority="181">
      <formula>T$9&gt;=20/24</formula>
    </cfRule>
    <cfRule type="expression" dxfId="4738" priority="182">
      <formula>AND(T$9&gt;=14/24,T$9&lt;20/24)</formula>
    </cfRule>
    <cfRule type="expression" dxfId="4737" priority="183">
      <formula>AND(T$9&gt;=8/24,T$9&lt;14/24)</formula>
    </cfRule>
    <cfRule type="expression" dxfId="4736" priority="184">
      <formula>T$9&lt;8/24</formula>
    </cfRule>
  </conditionalFormatting>
  <conditionalFormatting sqref="T43:W43">
    <cfRule type="expression" dxfId="4735" priority="180">
      <formula>T43&gt;$AG43</formula>
    </cfRule>
  </conditionalFormatting>
  <conditionalFormatting sqref="F50:M51">
    <cfRule type="expression" dxfId="4734" priority="176">
      <formula>F$9&gt;=20/24</formula>
    </cfRule>
    <cfRule type="expression" dxfId="4733" priority="177">
      <formula>AND(F$9&gt;=14/24,F$9&lt;20/24)</formula>
    </cfRule>
    <cfRule type="expression" dxfId="4732" priority="178">
      <formula>AND(F$9&gt;=8/24,F$9&lt;14/24)</formula>
    </cfRule>
    <cfRule type="expression" dxfId="4731" priority="179">
      <formula>F$9&lt;8/24</formula>
    </cfRule>
  </conditionalFormatting>
  <conditionalFormatting sqref="F49:L49">
    <cfRule type="expression" dxfId="4730" priority="172">
      <formula>F$9&gt;=20/24</formula>
    </cfRule>
    <cfRule type="expression" dxfId="4729" priority="173">
      <formula>AND(F$9&gt;=14/24,F$9&lt;20/24)</formula>
    </cfRule>
    <cfRule type="expression" dxfId="4728" priority="174">
      <formula>AND(F$9&gt;=8/24,F$9&lt;14/24)</formula>
    </cfRule>
    <cfRule type="expression" dxfId="4727" priority="175">
      <formula>F$9&lt;8/24</formula>
    </cfRule>
  </conditionalFormatting>
  <conditionalFormatting sqref="F49:L51 M50:M51">
    <cfRule type="expression" dxfId="4726" priority="171">
      <formula>F49&gt;$AG49</formula>
    </cfRule>
  </conditionalFormatting>
  <conditionalFormatting sqref="AG66 AG83 E96:L102 Q63:W65">
    <cfRule type="expression" dxfId="4725" priority="167">
      <formula>E$9&gt;=20/24</formula>
    </cfRule>
    <cfRule type="expression" dxfId="4724" priority="168">
      <formula>AND(E$9&gt;=14/24,E$9&lt;20/24)</formula>
    </cfRule>
    <cfRule type="expression" dxfId="4723" priority="169">
      <formula>AND(E$9&gt;=8/24,E$9&lt;14/24)</formula>
    </cfRule>
    <cfRule type="expression" dxfId="4722" priority="170">
      <formula>E$9&lt;8/24</formula>
    </cfRule>
  </conditionalFormatting>
  <conditionalFormatting sqref="AG44 AG62 AG66 Q63:W65">
    <cfRule type="expression" dxfId="4721" priority="166">
      <formula>Q44&gt;$AG44</formula>
    </cfRule>
  </conditionalFormatting>
  <conditionalFormatting sqref="X54:AF54">
    <cfRule type="expression" dxfId="4720" priority="162">
      <formula>X$9&gt;=20/24</formula>
    </cfRule>
    <cfRule type="expression" dxfId="4719" priority="163">
      <formula>AND(X$9&gt;=14/24,X$9&lt;20/24)</formula>
    </cfRule>
    <cfRule type="expression" dxfId="4718" priority="164">
      <formula>AND(X$9&gt;=8/24,X$9&lt;14/24)</formula>
    </cfRule>
    <cfRule type="expression" dxfId="4717" priority="165">
      <formula>X$9&lt;8/24</formula>
    </cfRule>
  </conditionalFormatting>
  <conditionalFormatting sqref="X54:AF54">
    <cfRule type="expression" dxfId="4716" priority="161">
      <formula>X54&gt;$AG54</formula>
    </cfRule>
  </conditionalFormatting>
  <conditionalFormatting sqref="A40">
    <cfRule type="expression" dxfId="4715" priority="160">
      <formula>$AH40=0</formula>
    </cfRule>
  </conditionalFormatting>
  <conditionalFormatting sqref="X87:AF91">
    <cfRule type="expression" dxfId="4714" priority="156">
      <formula>X$9&gt;=20/24</formula>
    </cfRule>
    <cfRule type="expression" dxfId="4713" priority="157">
      <formula>AND(X$9&gt;=14/24,X$9&lt;20/24)</formula>
    </cfRule>
    <cfRule type="expression" dxfId="4712" priority="158">
      <formula>AND(X$9&gt;=8/24,X$9&lt;14/24)</formula>
    </cfRule>
    <cfRule type="expression" dxfId="4711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F45:G45 H45:AF47">
    <cfRule type="expression" dxfId="4710" priority="152">
      <formula>F$9&gt;=20/24</formula>
    </cfRule>
    <cfRule type="expression" dxfId="4709" priority="153">
      <formula>AND(F$9&gt;=14/24,F$9&lt;20/24)</formula>
    </cfRule>
    <cfRule type="expression" dxfId="4708" priority="154">
      <formula>AND(F$9&gt;=8/24,F$9&lt;14/24)</formula>
    </cfRule>
    <cfRule type="expression" dxfId="4707" priority="155">
      <formula>F$9&lt;8/24</formula>
    </cfRule>
  </conditionalFormatting>
  <conditionalFormatting sqref="F45:G45 H45:AF47">
    <cfRule type="expression" dxfId="4706" priority="151">
      <formula>F45&gt;$AG45</formula>
    </cfRule>
  </conditionalFormatting>
  <conditionalFormatting sqref="AG48">
    <cfRule type="expression" dxfId="4705" priority="147">
      <formula>AG$9&gt;=20/24</formula>
    </cfRule>
    <cfRule type="expression" dxfId="4704" priority="148">
      <formula>AND(AG$9&gt;=14/24,AG$9&lt;20/24)</formula>
    </cfRule>
    <cfRule type="expression" dxfId="4703" priority="149">
      <formula>AND(AG$9&gt;=8/24,AG$9&lt;14/24)</formula>
    </cfRule>
    <cfRule type="expression" dxfId="4702" priority="150">
      <formula>AG$9&lt;8/24</formula>
    </cfRule>
  </conditionalFormatting>
  <conditionalFormatting sqref="AG48">
    <cfRule type="expression" dxfId="4701" priority="146">
      <formula>AG48&gt;$AG48</formula>
    </cfRule>
  </conditionalFormatting>
  <conditionalFormatting sqref="C103:AF103">
    <cfRule type="expression" dxfId="4700" priority="142">
      <formula>C$9&gt;=20/24</formula>
    </cfRule>
    <cfRule type="expression" dxfId="4699" priority="143">
      <formula>AND(C$9&gt;=14/24,C$9&lt;20/24)</formula>
    </cfRule>
    <cfRule type="expression" dxfId="4698" priority="144">
      <formula>AND(C$9&gt;=8/24,C$9&lt;14/24)</formula>
    </cfRule>
    <cfRule type="expression" dxfId="4697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696" priority="140">
      <formula>$AH37=0</formula>
    </cfRule>
  </conditionalFormatting>
  <conditionalFormatting sqref="A86">
    <cfRule type="expression" dxfId="4695" priority="138">
      <formula>$AH86=0</formula>
    </cfRule>
  </conditionalFormatting>
  <conditionalFormatting sqref="A83">
    <cfRule type="expression" dxfId="4694" priority="139">
      <formula>$AH83=0</formula>
    </cfRule>
  </conditionalFormatting>
  <conditionalFormatting sqref="A113">
    <cfRule type="expression" dxfId="4693" priority="129">
      <formula>$AH113=0</formula>
    </cfRule>
  </conditionalFormatting>
  <conditionalFormatting sqref="D106:AF106">
    <cfRule type="expression" dxfId="4692" priority="125">
      <formula>D$9&gt;=20/24</formula>
    </cfRule>
    <cfRule type="expression" dxfId="4691" priority="126">
      <formula>AND(D$9&gt;=14/24,D$9&lt;20/24)</formula>
    </cfRule>
    <cfRule type="expression" dxfId="4690" priority="127">
      <formula>AND(D$9&gt;=8/24,D$9&lt;14/24)</formula>
    </cfRule>
    <cfRule type="expression" dxfId="4689" priority="128">
      <formula>D$9&lt;8/24</formula>
    </cfRule>
  </conditionalFormatting>
  <conditionalFormatting sqref="A106">
    <cfRule type="expression" dxfId="4688" priority="124">
      <formula>$AH106=0</formula>
    </cfRule>
  </conditionalFormatting>
  <conditionalFormatting sqref="A19">
    <cfRule type="expression" dxfId="4687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686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4685" priority="116">
      <formula>Y$9&gt;=20/24</formula>
    </cfRule>
    <cfRule type="expression" dxfId="4684" priority="117">
      <formula>AND(Y$9&gt;=14/24,Y$9&lt;20/24)</formula>
    </cfRule>
    <cfRule type="expression" dxfId="4683" priority="118">
      <formula>AND(Y$9&gt;=8/24,Y$9&lt;14/24)</formula>
    </cfRule>
    <cfRule type="expression" dxfId="4682" priority="119">
      <formula>Y$9&lt;8/24</formula>
    </cfRule>
  </conditionalFormatting>
  <conditionalFormatting sqref="Y96:AC102">
    <cfRule type="expression" dxfId="4681" priority="112">
      <formula>Y$9&gt;=20/24</formula>
    </cfRule>
    <cfRule type="expression" dxfId="4680" priority="113">
      <formula>AND(Y$9&gt;=14/24,Y$9&lt;20/24)</formula>
    </cfRule>
    <cfRule type="expression" dxfId="4679" priority="114">
      <formula>AND(Y$9&gt;=8/24,Y$9&lt;14/24)</formula>
    </cfRule>
    <cfRule type="expression" dxfId="4678" priority="115">
      <formula>Y$9&lt;8/24</formula>
    </cfRule>
  </conditionalFormatting>
  <conditionalFormatting sqref="B105:C105 B107:C112 B15:AF40">
    <cfRule type="expression" dxfId="4677" priority="108">
      <formula>B$9&gt;=20/24</formula>
    </cfRule>
    <cfRule type="expression" dxfId="4676" priority="109">
      <formula>AND(B$9&gt;=14/24,B$9&lt;20/24)</formula>
    </cfRule>
    <cfRule type="expression" dxfId="4675" priority="110">
      <formula>AND(B$9&gt;=8/24,B$9&lt;14/24)</formula>
    </cfRule>
    <cfRule type="expression" dxfId="4674" priority="111">
      <formula>B$9&lt;8/24</formula>
    </cfRule>
  </conditionalFormatting>
  <conditionalFormatting sqref="B43:S43">
    <cfRule type="expression" dxfId="4673" priority="104">
      <formula>B$9&gt;=20/24</formula>
    </cfRule>
    <cfRule type="expression" dxfId="4672" priority="105">
      <formula>AND(B$9&gt;=14/24,B$9&lt;20/24)</formula>
    </cfRule>
    <cfRule type="expression" dxfId="4671" priority="106">
      <formula>AND(B$9&gt;=8/24,B$9&lt;14/24)</formula>
    </cfRule>
    <cfRule type="expression" dxfId="4670" priority="107">
      <formula>B$9&lt;8/24</formula>
    </cfRule>
  </conditionalFormatting>
  <conditionalFormatting sqref="B43:S43 B15:AF40">
    <cfRule type="expression" dxfId="4669" priority="103">
      <formula>B15&gt;$AG15</formula>
    </cfRule>
  </conditionalFormatting>
  <conditionalFormatting sqref="B95:D95">
    <cfRule type="expression" dxfId="4668" priority="99">
      <formula>B$9&gt;=20/24</formula>
    </cfRule>
    <cfRule type="expression" dxfId="4667" priority="100">
      <formula>AND(B$9&gt;=14/24,B$9&lt;20/24)</formula>
    </cfRule>
    <cfRule type="expression" dxfId="4666" priority="101">
      <formula>AND(B$9&gt;=8/24,B$9&lt;14/24)</formula>
    </cfRule>
    <cfRule type="expression" dxfId="4665" priority="102">
      <formula>B$9&lt;8/24</formula>
    </cfRule>
  </conditionalFormatting>
  <conditionalFormatting sqref="B67:D67 B50:E51">
    <cfRule type="expression" dxfId="4664" priority="95">
      <formula>B$9&gt;=20/24</formula>
    </cfRule>
    <cfRule type="expression" dxfId="4663" priority="96">
      <formula>AND(B$9&gt;=14/24,B$9&lt;20/24)</formula>
    </cfRule>
    <cfRule type="expression" dxfId="4662" priority="97">
      <formula>AND(B$9&gt;=8/24,B$9&lt;14/24)</formula>
    </cfRule>
    <cfRule type="expression" dxfId="4661" priority="98">
      <formula>B$9&lt;8/24</formula>
    </cfRule>
  </conditionalFormatting>
  <conditionalFormatting sqref="B49:E49">
    <cfRule type="expression" dxfId="4660" priority="91">
      <formula>B$9&gt;=20/24</formula>
    </cfRule>
    <cfRule type="expression" dxfId="4659" priority="92">
      <formula>AND(B$9&gt;=14/24,B$9&lt;20/24)</formula>
    </cfRule>
    <cfRule type="expression" dxfId="4658" priority="93">
      <formula>AND(B$9&gt;=8/24,B$9&lt;14/24)</formula>
    </cfRule>
    <cfRule type="expression" dxfId="4657" priority="94">
      <formula>B$9&lt;8/24</formula>
    </cfRule>
  </conditionalFormatting>
  <conditionalFormatting sqref="B49:E51">
    <cfRule type="expression" dxfId="4656" priority="90">
      <formula>B49&gt;$AG49</formula>
    </cfRule>
  </conditionalFormatting>
  <conditionalFormatting sqref="B82:C82 B96:D102 B92:W92 B79:AF81 B68:D72 B63:P65 E70:W72 X71:AF72">
    <cfRule type="expression" dxfId="4655" priority="86">
      <formula>B$9&gt;=20/24</formula>
    </cfRule>
    <cfRule type="expression" dxfId="4654" priority="87">
      <formula>AND(B$9&gt;=14/24,B$9&lt;20/24)</formula>
    </cfRule>
    <cfRule type="expression" dxfId="4653" priority="88">
      <formula>AND(B$9&gt;=8/24,B$9&lt;14/24)</formula>
    </cfRule>
    <cfRule type="expression" dxfId="4652" priority="89">
      <formula>B$9&lt;8/24</formula>
    </cfRule>
  </conditionalFormatting>
  <conditionalFormatting sqref="B63:P65 B52:M53">
    <cfRule type="expression" dxfId="4651" priority="85">
      <formula>B52&gt;$AG52</formula>
    </cfRule>
  </conditionalFormatting>
  <conditionalFormatting sqref="B54:W54">
    <cfRule type="expression" dxfId="4650" priority="81">
      <formula>B$9&gt;=20/24</formula>
    </cfRule>
    <cfRule type="expression" dxfId="4649" priority="82">
      <formula>AND(B$9&gt;=14/24,B$9&lt;20/24)</formula>
    </cfRule>
    <cfRule type="expression" dxfId="4648" priority="83">
      <formula>AND(B$9&gt;=8/24,B$9&lt;14/24)</formula>
    </cfRule>
    <cfRule type="expression" dxfId="4647" priority="84">
      <formula>B$9&lt;8/24</formula>
    </cfRule>
  </conditionalFormatting>
  <conditionalFormatting sqref="B54:W54">
    <cfRule type="expression" dxfId="4646" priority="80">
      <formula>B54&gt;$AG54</formula>
    </cfRule>
  </conditionalFormatting>
  <conditionalFormatting sqref="B84 B93">
    <cfRule type="expression" dxfId="4645" priority="76">
      <formula>B$9&gt;=20/24</formula>
    </cfRule>
    <cfRule type="expression" dxfId="4644" priority="77">
      <formula>AND(B$9&gt;=14/24,B$9&lt;20/24)</formula>
    </cfRule>
    <cfRule type="expression" dxfId="4643" priority="78">
      <formula>AND(B$9&gt;=8/24,B$9&lt;14/24)</formula>
    </cfRule>
    <cfRule type="expression" dxfId="4642" priority="79">
      <formula>B$9&lt;8/24</formula>
    </cfRule>
  </conditionalFormatting>
  <conditionalFormatting sqref="B42:AF42">
    <cfRule type="expression" dxfId="4641" priority="72">
      <formula>B$9&gt;=20/24</formula>
    </cfRule>
    <cfRule type="expression" dxfId="4640" priority="73">
      <formula>AND(B$9&gt;=14/24,B$9&lt;20/24)</formula>
    </cfRule>
    <cfRule type="expression" dxfId="4639" priority="74">
      <formula>AND(B$9&gt;=8/24,B$9&lt;14/24)</formula>
    </cfRule>
    <cfRule type="expression" dxfId="4638" priority="75">
      <formula>B$9&lt;8/24</formula>
    </cfRule>
  </conditionalFormatting>
  <conditionalFormatting sqref="B42:AF42">
    <cfRule type="expression" dxfId="4637" priority="71">
      <formula>B42&gt;$AG42</formula>
    </cfRule>
  </conditionalFormatting>
  <conditionalFormatting sqref="B85:AF85 B94:AF94 B83:AF83 B66:AF66">
    <cfRule type="expression" dxfId="4636" priority="67">
      <formula>B$9&gt;=20/24</formula>
    </cfRule>
    <cfRule type="expression" dxfId="4635" priority="68">
      <formula>AND(B$9&gt;=14/24,B$9&lt;20/24)</formula>
    </cfRule>
    <cfRule type="expression" dxfId="4634" priority="69">
      <formula>AND(B$9&gt;=8/24,B$9&lt;14/24)</formula>
    </cfRule>
    <cfRule type="expression" dxfId="4633" priority="70">
      <formula>B$9&lt;8/24</formula>
    </cfRule>
  </conditionalFormatting>
  <conditionalFormatting sqref="B61:AF62 B66:AF66 B44:AF44">
    <cfRule type="expression" dxfId="4632" priority="66">
      <formula>B44&gt;$AG44</formula>
    </cfRule>
  </conditionalFormatting>
  <conditionalFormatting sqref="B78:AF78">
    <cfRule type="expression" dxfId="4631" priority="62">
      <formula>B$9&gt;=20/24</formula>
    </cfRule>
    <cfRule type="expression" dxfId="4630" priority="63">
      <formula>AND(B$9&gt;=14/24,B$9&lt;20/24)</formula>
    </cfRule>
    <cfRule type="expression" dxfId="4629" priority="64">
      <formula>AND(B$9&gt;=8/24,B$9&lt;14/24)</formula>
    </cfRule>
    <cfRule type="expression" dxfId="4628" priority="65">
      <formula>B$9&lt;8/24</formula>
    </cfRule>
  </conditionalFormatting>
  <conditionalFormatting sqref="B87:W91">
    <cfRule type="expression" dxfId="4627" priority="58">
      <formula>B$9&gt;=20/24</formula>
    </cfRule>
    <cfRule type="expression" dxfId="4626" priority="59">
      <formula>AND(B$9&gt;=14/24,B$9&lt;20/24)</formula>
    </cfRule>
    <cfRule type="expression" dxfId="4625" priority="60">
      <formula>AND(B$9&gt;=8/24,B$9&lt;14/24)</formula>
    </cfRule>
    <cfRule type="expression" dxfId="4624" priority="61">
      <formula>B$9&lt;8/24</formula>
    </cfRule>
  </conditionalFormatting>
  <conditionalFormatting sqref="B45:E46 B47:F47 F46 G46:G47">
    <cfRule type="expression" dxfId="4623" priority="54">
      <formula>B$9&gt;=20/24</formula>
    </cfRule>
    <cfRule type="expression" dxfId="4622" priority="55">
      <formula>AND(B$9&gt;=14/24,B$9&lt;20/24)</formula>
    </cfRule>
    <cfRule type="expression" dxfId="4621" priority="56">
      <formula>AND(B$9&gt;=8/24,B$9&lt;14/24)</formula>
    </cfRule>
    <cfRule type="expression" dxfId="4620" priority="57">
      <formula>B$9&lt;8/24</formula>
    </cfRule>
  </conditionalFormatting>
  <conditionalFormatting sqref="B45:E46 B47:F47 F46 G46:G47">
    <cfRule type="expression" dxfId="4619" priority="53">
      <formula>B45&gt;$AG45</formula>
    </cfRule>
  </conditionalFormatting>
  <conditionalFormatting sqref="B48:AF48">
    <cfRule type="expression" dxfId="4618" priority="49">
      <formula>B$9&gt;=20/24</formula>
    </cfRule>
    <cfRule type="expression" dxfId="4617" priority="50">
      <formula>AND(B$9&gt;=14/24,B$9&lt;20/24)</formula>
    </cfRule>
    <cfRule type="expression" dxfId="4616" priority="51">
      <formula>AND(B$9&gt;=8/24,B$9&lt;14/24)</formula>
    </cfRule>
    <cfRule type="expression" dxfId="4615" priority="52">
      <formula>B$9&lt;8/24</formula>
    </cfRule>
  </conditionalFormatting>
  <conditionalFormatting sqref="B48:AF48">
    <cfRule type="expression" dxfId="4614" priority="48">
      <formula>B48&gt;$AG48</formula>
    </cfRule>
  </conditionalFormatting>
  <conditionalFormatting sqref="B103">
    <cfRule type="expression" dxfId="4613" priority="44">
      <formula>B$9&gt;=20/24</formula>
    </cfRule>
    <cfRule type="expression" dxfId="4612" priority="45">
      <formula>AND(B$9&gt;=14/24,B$9&lt;20/24)</formula>
    </cfRule>
    <cfRule type="expression" dxfId="4611" priority="46">
      <formula>AND(B$9&gt;=8/24,B$9&lt;14/24)</formula>
    </cfRule>
    <cfRule type="expression" dxfId="4610" priority="47">
      <formula>B$9&lt;8/24</formula>
    </cfRule>
  </conditionalFormatting>
  <conditionalFormatting sqref="B106:C106">
    <cfRule type="expression" dxfId="4609" priority="32">
      <formula>B$9&gt;=20/24</formula>
    </cfRule>
    <cfRule type="expression" dxfId="4608" priority="33">
      <formula>AND(B$9&gt;=14/24,B$9&lt;20/24)</formula>
    </cfRule>
    <cfRule type="expression" dxfId="4607" priority="34">
      <formula>AND(B$9&gt;=8/24,B$9&lt;14/24)</formula>
    </cfRule>
    <cfRule type="expression" dxfId="4606" priority="35">
      <formula>B$9&lt;8/24</formula>
    </cfRule>
  </conditionalFormatting>
  <conditionalFormatting sqref="B55:AF60">
    <cfRule type="expression" dxfId="4605" priority="28">
      <formula>B$9&gt;=20/24</formula>
    </cfRule>
    <cfRule type="expression" dxfId="4604" priority="29">
      <formula>AND(B$9&gt;=14/24,B$9&lt;20/24)</formula>
    </cfRule>
    <cfRule type="expression" dxfId="4603" priority="30">
      <formula>AND(B$9&gt;=8/24,B$9&lt;14/24)</formula>
    </cfRule>
    <cfRule type="expression" dxfId="4602" priority="31">
      <formula>B$9&lt;8/24</formula>
    </cfRule>
  </conditionalFormatting>
  <conditionalFormatting sqref="B55:AF60">
    <cfRule type="expression" dxfId="4601" priority="27">
      <formula>B55&gt;$AG55</formula>
    </cfRule>
  </conditionalFormatting>
  <conditionalFormatting sqref="B41:AF41 B12:AF14">
    <cfRule type="expression" dxfId="4600" priority="26">
      <formula>B12&gt;$AG12</formula>
    </cfRule>
  </conditionalFormatting>
  <conditionalFormatting sqref="B11:AF11">
    <cfRule type="expression" dxfId="4599" priority="22">
      <formula>B$9&gt;=20/24</formula>
    </cfRule>
    <cfRule type="expression" dxfId="4598" priority="23">
      <formula>AND(B$9&gt;=14/24,B$9&lt;20/24)</formula>
    </cfRule>
    <cfRule type="expression" dxfId="4597" priority="24">
      <formula>AND(B$9&gt;=8/24,B$9&lt;14/24)</formula>
    </cfRule>
    <cfRule type="expression" dxfId="4596" priority="25">
      <formula>B$9&lt;8/24</formula>
    </cfRule>
  </conditionalFormatting>
  <conditionalFormatting sqref="B11:AF11">
    <cfRule type="expression" dxfId="4595" priority="21">
      <formula>B11&gt;$AG11</formula>
    </cfRule>
  </conditionalFormatting>
  <conditionalFormatting sqref="B12:AF14">
    <cfRule type="expression" dxfId="4594" priority="17">
      <formula>B$9&gt;=20/24</formula>
    </cfRule>
    <cfRule type="expression" dxfId="4593" priority="18">
      <formula>AND(B$9&gt;=14/24,B$9&lt;20/24)</formula>
    </cfRule>
    <cfRule type="expression" dxfId="4592" priority="19">
      <formula>AND(B$9&gt;=8/24,B$9&lt;14/24)</formula>
    </cfRule>
    <cfRule type="expression" dxfId="4591" priority="20">
      <formula>B$9&lt;8/24</formula>
    </cfRule>
  </conditionalFormatting>
  <conditionalFormatting sqref="B41:AF41">
    <cfRule type="expression" dxfId="4590" priority="13">
      <formula>B$9&gt;=20/24</formula>
    </cfRule>
    <cfRule type="expression" dxfId="4589" priority="14">
      <formula>AND(B$9&gt;=14/24,B$9&lt;20/24)</formula>
    </cfRule>
    <cfRule type="expression" dxfId="4588" priority="15">
      <formula>AND(B$9&gt;=8/24,B$9&lt;14/24)</formula>
    </cfRule>
    <cfRule type="expression" dxfId="4587" priority="16">
      <formula>B$9&lt;8/24</formula>
    </cfRule>
  </conditionalFormatting>
  <conditionalFormatting sqref="B73:AF77">
    <cfRule type="expression" dxfId="4586" priority="9">
      <formula>B$9&gt;=20/24</formula>
    </cfRule>
    <cfRule type="expression" dxfId="4585" priority="10">
      <formula>AND(B$9&gt;=14/24,B$9&lt;20/24)</formula>
    </cfRule>
    <cfRule type="expression" dxfId="4584" priority="11">
      <formula>AND(B$9&gt;=8/24,B$9&lt;14/24)</formula>
    </cfRule>
    <cfRule type="expression" dxfId="4583" priority="12">
      <formula>B$9&lt;8/24</formula>
    </cfRule>
  </conditionalFormatting>
  <conditionalFormatting sqref="AL74:AN74 AL80:AN80 AN75:AN76">
    <cfRule type="expression" dxfId="4582" priority="5">
      <formula>AL$9&gt;=20/24</formula>
    </cfRule>
    <cfRule type="expression" dxfId="4581" priority="6">
      <formula>AND(AL$9&gt;=14/24,AL$9&lt;20/24)</formula>
    </cfRule>
    <cfRule type="expression" dxfId="4580" priority="7">
      <formula>AND(AL$9&gt;=8/24,AL$9&lt;14/24)</formula>
    </cfRule>
    <cfRule type="expression" dxfId="4579" priority="8">
      <formula>AL$9&lt;8/24</formula>
    </cfRule>
  </conditionalFormatting>
  <conditionalFormatting sqref="AN77:AN78">
    <cfRule type="expression" dxfId="4578" priority="1">
      <formula>AN$9&gt;=20/24</formula>
    </cfRule>
    <cfRule type="expression" dxfId="4577" priority="2">
      <formula>AND(AN$9&gt;=14/24,AN$9&lt;20/24)</formula>
    </cfRule>
    <cfRule type="expression" dxfId="4576" priority="3">
      <formula>AND(AN$9&gt;=8/24,AN$9&lt;14/24)</formula>
    </cfRule>
    <cfRule type="expression" dxfId="4575" priority="4">
      <formula>AN$9&lt;8/24</formula>
    </cfRule>
  </conditionalFormatting>
  <conditionalFormatting sqref="AL75:AM79">
    <cfRule type="expression" dxfId="4574" priority="258">
      <formula>AJ$9&gt;=20/24</formula>
    </cfRule>
    <cfRule type="expression" dxfId="4573" priority="259">
      <formula>AND(AJ$9&gt;=14/24,AJ$9&lt;20/24)</formula>
    </cfRule>
    <cfRule type="expression" dxfId="4572" priority="260">
      <formula>AND(AJ$9&gt;=8/24,AJ$9&lt;14/24)</formula>
    </cfRule>
    <cfRule type="expression" dxfId="4571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36D2E9C1-CE26-4398-AF96-DA6BA4CC965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9BCA62EB-3EC9-4604-84E5-AECDD12830D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FC20FBE2-1D17-4207-A911-F7DF97DF50E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907E4F4E-B3E7-44D1-BE20-63282436FE6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CE9525FD-CF12-4D30-A548-BE346148A5B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4B8266CB-72DB-436E-80E1-710ED979DFD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58742429-F13C-459B-B340-871566697C1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8473D952-DB4D-4764-966E-83C476CF4F8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BFEAFE75-9548-43DB-A450-2875EFFC21C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FB4907B4-3B0F-4CAF-B36B-67C86827B65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49542C7D-67BE-421C-8EE3-7099CD85F65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567F47F1-8278-4B3E-9407-19FC5E20AAD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D8E25FC5-14FA-4AC9-9298-708C1C177D8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68C06A47-D211-4FA2-8C30-FDCBF2A363F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1F21B2AF-3223-471C-853E-72013456FBC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4B4404D8-0C39-4ADC-8292-5823246B201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J274"/>
  <sheetViews>
    <sheetView zoomScale="90" zoomScaleNormal="90" workbookViewId="0">
      <pane ySplit="10" topLeftCell="A35" activePane="bottomLeft" state="frozen"/>
      <selection pane="bottomLeft" activeCell="AB45" sqref="AB4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1" width="6.85546875" style="1" customWidth="1"/>
    <col min="32" max="32" width="7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2079/09/24</v>
      </c>
      <c r="C4" s="197"/>
      <c r="D4" s="197"/>
      <c r="E4" s="198" t="str">
        <f ca="1">"2079/"&amp;"09/"&amp;INT(MID(CELL("filename",G6),FIND("]",CELL("filename",G6))+1,200))</f>
        <v>2079/09/24</v>
      </c>
      <c r="F4" s="198"/>
      <c r="G4" s="198"/>
      <c r="H4" s="198" t="str">
        <f ca="1">TEXT(E4,"dddd")</f>
        <v>Sunday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355.5</v>
      </c>
      <c r="C5" s="30">
        <f t="shared" si="0"/>
        <v>338.5</v>
      </c>
      <c r="D5" s="30">
        <f t="shared" si="0"/>
        <v>345.9</v>
      </c>
      <c r="E5" s="30">
        <f t="shared" si="0"/>
        <v>333</v>
      </c>
      <c r="F5" s="30">
        <f t="shared" si="0"/>
        <v>397.09999999999997</v>
      </c>
      <c r="G5" s="30">
        <f t="shared" si="0"/>
        <v>400.4</v>
      </c>
      <c r="H5" s="30">
        <f t="shared" si="0"/>
        <v>456.4</v>
      </c>
      <c r="I5" s="30">
        <f t="shared" si="0"/>
        <v>449.4</v>
      </c>
      <c r="J5" s="30">
        <f t="shared" si="0"/>
        <v>461</v>
      </c>
      <c r="K5" s="30">
        <f t="shared" si="0"/>
        <v>473.7</v>
      </c>
      <c r="L5" s="30">
        <f t="shared" si="0"/>
        <v>462.4</v>
      </c>
      <c r="M5" s="30">
        <f t="shared" si="0"/>
        <v>387</v>
      </c>
      <c r="N5" s="30">
        <f t="shared" si="0"/>
        <v>419</v>
      </c>
      <c r="O5" s="30">
        <f t="shared" si="0"/>
        <v>500.9</v>
      </c>
      <c r="P5" s="30">
        <f t="shared" si="0"/>
        <v>480.3</v>
      </c>
      <c r="Q5" s="30">
        <f t="shared" si="0"/>
        <v>59</v>
      </c>
      <c r="R5" s="30">
        <f t="shared" si="0"/>
        <v>500.3</v>
      </c>
      <c r="S5" s="30">
        <f t="shared" si="0"/>
        <v>495.2</v>
      </c>
      <c r="T5" s="30">
        <f t="shared" si="0"/>
        <v>499</v>
      </c>
      <c r="U5" s="30">
        <f t="shared" si="0"/>
        <v>422.6</v>
      </c>
      <c r="V5" s="30">
        <f t="shared" si="0"/>
        <v>450.09999999999997</v>
      </c>
      <c r="W5" s="30">
        <f t="shared" si="0"/>
        <v>444.4</v>
      </c>
      <c r="X5" s="30">
        <f t="shared" si="0"/>
        <v>448.09999999999997</v>
      </c>
      <c r="Y5" s="30">
        <f t="shared" si="0"/>
        <v>458.5</v>
      </c>
      <c r="Z5" s="30">
        <f t="shared" si="0"/>
        <v>442.09999999999997</v>
      </c>
      <c r="AA5" s="30">
        <f t="shared" si="0"/>
        <v>438.7</v>
      </c>
      <c r="AB5" s="30">
        <f t="shared" si="0"/>
        <v>469.40000000000003</v>
      </c>
      <c r="AC5" s="30">
        <f t="shared" si="0"/>
        <v>460.7</v>
      </c>
      <c r="AD5" s="30">
        <f t="shared" si="0"/>
        <v>448</v>
      </c>
      <c r="AE5" s="30">
        <f t="shared" si="0"/>
        <v>429.4</v>
      </c>
      <c r="AF5" s="30">
        <f>B78</f>
        <v>373.90000000000003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1646MW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Load=244</v>
      </c>
      <c r="B7" s="35">
        <f t="shared" ref="B7:AF7" si="1">B85</f>
        <v>1031.1400000000001</v>
      </c>
      <c r="C7" s="35">
        <f t="shared" si="1"/>
        <v>1019.74</v>
      </c>
      <c r="D7" s="35">
        <f t="shared" si="1"/>
        <v>1003.24</v>
      </c>
      <c r="E7" s="35">
        <f t="shared" si="1"/>
        <v>995.74999999999989</v>
      </c>
      <c r="F7" s="35">
        <f t="shared" si="1"/>
        <v>982.84999999999991</v>
      </c>
      <c r="G7" s="35">
        <f t="shared" si="1"/>
        <v>1059.05</v>
      </c>
      <c r="H7" s="35">
        <f t="shared" si="1"/>
        <v>1067.04</v>
      </c>
      <c r="I7" s="35">
        <f t="shared" si="1"/>
        <v>1173.44</v>
      </c>
      <c r="J7" s="35">
        <f t="shared" si="1"/>
        <v>1328.7399999999998</v>
      </c>
      <c r="K7" s="35">
        <f t="shared" si="1"/>
        <v>1487.2399999999998</v>
      </c>
      <c r="L7" s="35">
        <f t="shared" si="1"/>
        <v>1637.84</v>
      </c>
      <c r="M7" s="35">
        <f t="shared" si="1"/>
        <v>1646.3400000000001</v>
      </c>
      <c r="N7" s="35">
        <f>N85</f>
        <v>1627.54</v>
      </c>
      <c r="O7" s="35">
        <f t="shared" si="1"/>
        <v>1612.94</v>
      </c>
      <c r="P7" s="35">
        <f t="shared" si="1"/>
        <v>1595.3400000000001</v>
      </c>
      <c r="Q7" s="35">
        <f t="shared" si="1"/>
        <v>1463.9399999999998</v>
      </c>
      <c r="R7" s="35">
        <f t="shared" si="1"/>
        <v>244.34</v>
      </c>
      <c r="S7" s="35">
        <f t="shared" si="1"/>
        <v>1414.0399999999997</v>
      </c>
      <c r="T7" s="35">
        <f t="shared" si="1"/>
        <v>1427.6399999999999</v>
      </c>
      <c r="U7" s="35">
        <f t="shared" si="1"/>
        <v>1414.85</v>
      </c>
      <c r="V7" s="35">
        <f t="shared" si="1"/>
        <v>1334.44</v>
      </c>
      <c r="W7" s="35">
        <f t="shared" si="1"/>
        <v>1475.5399999999997</v>
      </c>
      <c r="X7" s="35">
        <f t="shared" si="1"/>
        <v>1739.44</v>
      </c>
      <c r="Y7" s="35">
        <f t="shared" si="1"/>
        <v>1738.1399999999999</v>
      </c>
      <c r="Z7" s="35">
        <f t="shared" si="1"/>
        <v>1670.74</v>
      </c>
      <c r="AA7" s="35">
        <f t="shared" si="1"/>
        <v>1673.2399999999998</v>
      </c>
      <c r="AB7" s="35">
        <f t="shared" si="1"/>
        <v>1596.5399999999997</v>
      </c>
      <c r="AC7" s="35">
        <f t="shared" si="1"/>
        <v>1586.6399999999999</v>
      </c>
      <c r="AD7" s="35">
        <f t="shared" si="1"/>
        <v>1498.84</v>
      </c>
      <c r="AE7" s="35">
        <f t="shared" si="1"/>
        <v>1281.54</v>
      </c>
      <c r="AF7" s="35">
        <f t="shared" si="1"/>
        <v>1137.54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20.5</v>
      </c>
      <c r="C11" s="45">
        <v>20.5</v>
      </c>
      <c r="D11" s="45">
        <v>20.5</v>
      </c>
      <c r="E11" s="45">
        <v>22.7</v>
      </c>
      <c r="F11" s="45">
        <v>22.7</v>
      </c>
      <c r="G11" s="45">
        <v>22.7</v>
      </c>
      <c r="H11" s="45">
        <v>22.7</v>
      </c>
      <c r="I11" s="45">
        <v>22.7</v>
      </c>
      <c r="J11" s="45">
        <v>22.7</v>
      </c>
      <c r="K11" s="45">
        <v>22.7</v>
      </c>
      <c r="L11" s="45">
        <v>22.7</v>
      </c>
      <c r="M11" s="45">
        <v>22.7</v>
      </c>
      <c r="N11" s="45">
        <v>22.7</v>
      </c>
      <c r="O11" s="45">
        <v>22.7</v>
      </c>
      <c r="P11" s="45">
        <v>22.7</v>
      </c>
      <c r="Q11" s="45">
        <v>22.7</v>
      </c>
      <c r="R11" s="45" t="s">
        <v>280</v>
      </c>
      <c r="S11" s="45">
        <v>22.7</v>
      </c>
      <c r="T11" s="45">
        <v>22.7</v>
      </c>
      <c r="U11" s="45">
        <v>21</v>
      </c>
      <c r="V11" s="45">
        <v>21</v>
      </c>
      <c r="W11" s="45">
        <v>21.9</v>
      </c>
      <c r="X11" s="45">
        <v>21.8</v>
      </c>
      <c r="Y11" s="45">
        <v>21.8</v>
      </c>
      <c r="Z11" s="45">
        <v>21.8</v>
      </c>
      <c r="AA11" s="45">
        <v>21.8</v>
      </c>
      <c r="AB11" s="45">
        <v>21.8</v>
      </c>
      <c r="AC11" s="45">
        <v>21.8</v>
      </c>
      <c r="AD11" s="45">
        <v>21.8</v>
      </c>
      <c r="AE11" s="45">
        <v>21.8</v>
      </c>
      <c r="AF11" s="45">
        <v>21.8</v>
      </c>
      <c r="AG11" s="47">
        <v>52.4</v>
      </c>
      <c r="AH11" s="48">
        <f t="shared" ref="AH11:AH74" si="2">MAX(B11:AF11)</f>
        <v>22.7</v>
      </c>
      <c r="AI11" s="49">
        <f t="shared" ref="AI11:AI74" si="3">MIN(B11:AF11)</f>
        <v>20.5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39.9</v>
      </c>
      <c r="C12" s="45">
        <v>39.9</v>
      </c>
      <c r="D12" s="45">
        <v>39.9</v>
      </c>
      <c r="E12" s="45">
        <v>40.6</v>
      </c>
      <c r="F12" s="45">
        <v>40.6</v>
      </c>
      <c r="G12" s="45">
        <v>40.6</v>
      </c>
      <c r="H12" s="45">
        <v>40.6</v>
      </c>
      <c r="I12" s="45">
        <v>40.6</v>
      </c>
      <c r="J12" s="45">
        <v>40.6</v>
      </c>
      <c r="K12" s="45">
        <v>40.6</v>
      </c>
      <c r="L12" s="45">
        <v>40.6</v>
      </c>
      <c r="M12" s="45">
        <v>40.6</v>
      </c>
      <c r="N12" s="45">
        <v>40.6</v>
      </c>
      <c r="O12" s="45">
        <v>40.6</v>
      </c>
      <c r="P12" s="45">
        <v>40.6</v>
      </c>
      <c r="Q12" s="45">
        <v>40.6</v>
      </c>
      <c r="R12" s="189" t="s">
        <v>281</v>
      </c>
      <c r="S12" s="45">
        <v>40.6</v>
      </c>
      <c r="T12" s="45">
        <v>40.6</v>
      </c>
      <c r="U12" s="45">
        <v>40.6</v>
      </c>
      <c r="V12" s="45">
        <v>40.6</v>
      </c>
      <c r="W12" s="45">
        <v>39.5</v>
      </c>
      <c r="X12" s="45">
        <v>39.6</v>
      </c>
      <c r="Y12" s="45">
        <v>39.6</v>
      </c>
      <c r="Z12" s="45">
        <v>39.6</v>
      </c>
      <c r="AA12" s="45">
        <v>40.200000000000003</v>
      </c>
      <c r="AB12" s="45">
        <v>39.9</v>
      </c>
      <c r="AC12" s="45">
        <v>39.9</v>
      </c>
      <c r="AD12" s="45">
        <v>39.9</v>
      </c>
      <c r="AE12" s="45">
        <v>39.9</v>
      </c>
      <c r="AF12" s="45">
        <v>39.6</v>
      </c>
      <c r="AG12" s="51">
        <v>50</v>
      </c>
      <c r="AH12" s="48">
        <f t="shared" si="2"/>
        <v>40.6</v>
      </c>
      <c r="AI12" s="49">
        <f t="shared" si="3"/>
        <v>39.5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23.6</v>
      </c>
      <c r="C13" s="45">
        <v>23.6</v>
      </c>
      <c r="D13" s="45">
        <v>23.6</v>
      </c>
      <c r="E13" s="45">
        <v>21.3</v>
      </c>
      <c r="F13" s="45">
        <v>21.3</v>
      </c>
      <c r="G13" s="45">
        <v>21.3</v>
      </c>
      <c r="H13" s="45">
        <v>21.3</v>
      </c>
      <c r="I13" s="45">
        <v>21.3</v>
      </c>
      <c r="J13" s="45">
        <v>21.3</v>
      </c>
      <c r="K13" s="45">
        <v>21.3</v>
      </c>
      <c r="L13" s="45">
        <v>21.3</v>
      </c>
      <c r="M13" s="45">
        <v>21.3</v>
      </c>
      <c r="N13" s="45">
        <v>21.3</v>
      </c>
      <c r="O13" s="45">
        <v>21.3</v>
      </c>
      <c r="P13" s="45">
        <v>21.3</v>
      </c>
      <c r="Q13" s="45">
        <v>21.3</v>
      </c>
      <c r="R13" s="189" t="s">
        <v>282</v>
      </c>
      <c r="S13" s="45">
        <v>21.3</v>
      </c>
      <c r="T13" s="45">
        <v>21.3</v>
      </c>
      <c r="U13" s="45">
        <v>21.3</v>
      </c>
      <c r="V13" s="45">
        <v>21.3</v>
      </c>
      <c r="W13" s="45">
        <v>23.4</v>
      </c>
      <c r="X13" s="45">
        <v>23.4</v>
      </c>
      <c r="Y13" s="45">
        <v>23.4</v>
      </c>
      <c r="Z13" s="45">
        <v>23.4</v>
      </c>
      <c r="AA13" s="45">
        <v>23.4</v>
      </c>
      <c r="AB13" s="45">
        <v>23.5</v>
      </c>
      <c r="AC13" s="45">
        <v>23.5</v>
      </c>
      <c r="AD13" s="45">
        <v>23.5</v>
      </c>
      <c r="AE13" s="45">
        <v>23.5</v>
      </c>
      <c r="AF13" s="45">
        <v>22.2</v>
      </c>
      <c r="AG13" s="51">
        <v>45</v>
      </c>
      <c r="AH13" s="48">
        <f t="shared" si="2"/>
        <v>23.6</v>
      </c>
      <c r="AI13" s="49">
        <f t="shared" si="3"/>
        <v>21.3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10</v>
      </c>
      <c r="C14" s="45">
        <v>10</v>
      </c>
      <c r="D14" s="45">
        <v>10</v>
      </c>
      <c r="E14" s="45">
        <v>11</v>
      </c>
      <c r="F14" s="45">
        <v>11</v>
      </c>
      <c r="G14" s="45">
        <v>11</v>
      </c>
      <c r="H14" s="45">
        <v>11</v>
      </c>
      <c r="I14" s="45">
        <v>11</v>
      </c>
      <c r="J14" s="45">
        <v>11</v>
      </c>
      <c r="K14" s="45">
        <v>11</v>
      </c>
      <c r="L14" s="45">
        <v>11</v>
      </c>
      <c r="M14" s="45">
        <v>11</v>
      </c>
      <c r="N14" s="45">
        <v>11</v>
      </c>
      <c r="O14" s="45">
        <v>11</v>
      </c>
      <c r="P14" s="45">
        <v>11</v>
      </c>
      <c r="Q14" s="45">
        <v>11</v>
      </c>
      <c r="R14" s="189" t="s">
        <v>283</v>
      </c>
      <c r="S14" s="45">
        <v>11</v>
      </c>
      <c r="T14" s="45">
        <v>11</v>
      </c>
      <c r="U14" s="45">
        <v>11</v>
      </c>
      <c r="V14" s="45">
        <v>11</v>
      </c>
      <c r="W14" s="45">
        <v>11</v>
      </c>
      <c r="X14" s="45">
        <v>11</v>
      </c>
      <c r="Y14" s="45">
        <v>11</v>
      </c>
      <c r="Z14" s="45">
        <v>11</v>
      </c>
      <c r="AA14" s="45">
        <v>11</v>
      </c>
      <c r="AB14" s="45">
        <v>10.5</v>
      </c>
      <c r="AC14" s="45">
        <v>10.5</v>
      </c>
      <c r="AD14" s="45">
        <v>10.5</v>
      </c>
      <c r="AE14" s="45">
        <v>10.5</v>
      </c>
      <c r="AF14" s="45">
        <v>10.5</v>
      </c>
      <c r="AG14" s="51">
        <v>42</v>
      </c>
      <c r="AH14" s="48">
        <f t="shared" si="2"/>
        <v>11</v>
      </c>
      <c r="AI14" s="49">
        <f t="shared" si="3"/>
        <v>10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</v>
      </c>
      <c r="C15" s="45">
        <v>17</v>
      </c>
      <c r="D15" s="45">
        <v>17</v>
      </c>
      <c r="E15" s="45">
        <v>17</v>
      </c>
      <c r="F15" s="45">
        <v>17</v>
      </c>
      <c r="G15" s="45">
        <v>17</v>
      </c>
      <c r="H15" s="45">
        <v>17</v>
      </c>
      <c r="I15" s="45">
        <v>17</v>
      </c>
      <c r="J15" s="45">
        <v>17</v>
      </c>
      <c r="K15" s="45">
        <v>17</v>
      </c>
      <c r="L15" s="45">
        <v>17</v>
      </c>
      <c r="M15" s="45">
        <v>17</v>
      </c>
      <c r="N15" s="45">
        <v>17</v>
      </c>
      <c r="O15" s="45">
        <v>17</v>
      </c>
      <c r="P15" s="45">
        <v>17</v>
      </c>
      <c r="Q15" s="45">
        <v>17</v>
      </c>
      <c r="R15" s="45" t="s">
        <v>284</v>
      </c>
      <c r="S15" s="45">
        <v>17</v>
      </c>
      <c r="T15" s="45">
        <v>17</v>
      </c>
      <c r="U15" s="45">
        <v>17</v>
      </c>
      <c r="V15" s="45">
        <v>17</v>
      </c>
      <c r="W15" s="45">
        <v>17</v>
      </c>
      <c r="X15" s="45">
        <v>17</v>
      </c>
      <c r="Y15" s="45">
        <v>17</v>
      </c>
      <c r="Z15" s="45">
        <v>17</v>
      </c>
      <c r="AA15" s="45">
        <v>17</v>
      </c>
      <c r="AB15" s="45">
        <v>17</v>
      </c>
      <c r="AC15" s="45">
        <v>17</v>
      </c>
      <c r="AD15" s="45">
        <v>17</v>
      </c>
      <c r="AE15" s="45">
        <v>17</v>
      </c>
      <c r="AF15" s="45">
        <v>17</v>
      </c>
      <c r="AG15" s="51">
        <v>36</v>
      </c>
      <c r="AH15" s="48">
        <f t="shared" si="2"/>
        <v>17</v>
      </c>
      <c r="AI15" s="49">
        <f t="shared" si="3"/>
        <v>17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10</v>
      </c>
      <c r="C16" s="45">
        <v>10</v>
      </c>
      <c r="D16" s="45">
        <v>10</v>
      </c>
      <c r="E16" s="45">
        <v>10.3</v>
      </c>
      <c r="F16" s="45">
        <v>10.3</v>
      </c>
      <c r="G16" s="45">
        <v>10.3</v>
      </c>
      <c r="H16" s="45">
        <v>10.3</v>
      </c>
      <c r="I16" s="45">
        <v>10.3</v>
      </c>
      <c r="J16" s="45">
        <v>10.3</v>
      </c>
      <c r="K16" s="45">
        <v>10.3</v>
      </c>
      <c r="L16" s="45">
        <v>10.3</v>
      </c>
      <c r="M16" s="45">
        <v>10.3</v>
      </c>
      <c r="N16" s="45">
        <v>10.3</v>
      </c>
      <c r="O16" s="45">
        <v>10.3</v>
      </c>
      <c r="P16" s="45">
        <v>10.3</v>
      </c>
      <c r="Q16" s="45">
        <v>10.3</v>
      </c>
      <c r="R16" s="45" t="s">
        <v>281</v>
      </c>
      <c r="S16" s="45">
        <v>10.3</v>
      </c>
      <c r="T16" s="45">
        <v>10.3</v>
      </c>
      <c r="U16" s="45">
        <v>10.3</v>
      </c>
      <c r="V16" s="45">
        <v>10.3</v>
      </c>
      <c r="W16" s="45">
        <v>10.3</v>
      </c>
      <c r="X16" s="45">
        <v>9.6999999999999993</v>
      </c>
      <c r="Y16" s="45">
        <v>9.6999999999999993</v>
      </c>
      <c r="Z16" s="45">
        <v>9.6999999999999993</v>
      </c>
      <c r="AA16" s="45">
        <v>9.6999999999999993</v>
      </c>
      <c r="AB16" s="45">
        <v>9.6999999999999993</v>
      </c>
      <c r="AC16" s="45">
        <v>9.6999999999999993</v>
      </c>
      <c r="AD16" s="45">
        <v>9.6999999999999993</v>
      </c>
      <c r="AE16" s="45">
        <v>9.6999999999999993</v>
      </c>
      <c r="AF16" s="45">
        <v>9.6999999999999993</v>
      </c>
      <c r="AG16" s="52">
        <v>30</v>
      </c>
      <c r="AH16" s="48">
        <f t="shared" si="2"/>
        <v>10.3</v>
      </c>
      <c r="AI16" s="49">
        <f t="shared" si="3"/>
        <v>9.6999999999999993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9.3000000000000007</v>
      </c>
      <c r="C17" s="45">
        <v>9.3000000000000007</v>
      </c>
      <c r="D17" s="45">
        <v>9.3000000000000007</v>
      </c>
      <c r="E17" s="45">
        <v>9.4</v>
      </c>
      <c r="F17" s="45">
        <v>9.4</v>
      </c>
      <c r="G17" s="45">
        <v>9.4</v>
      </c>
      <c r="H17" s="45">
        <v>9.4</v>
      </c>
      <c r="I17" s="45">
        <v>9.4</v>
      </c>
      <c r="J17" s="45">
        <v>9.4</v>
      </c>
      <c r="K17" s="45">
        <v>9.4</v>
      </c>
      <c r="L17" s="45">
        <v>9.4</v>
      </c>
      <c r="M17" s="45">
        <v>9.4</v>
      </c>
      <c r="N17" s="45">
        <v>9.4</v>
      </c>
      <c r="O17" s="45">
        <v>9.4</v>
      </c>
      <c r="P17" s="45">
        <v>9.4</v>
      </c>
      <c r="Q17" s="45">
        <v>9.4</v>
      </c>
      <c r="R17" s="45" t="s">
        <v>285</v>
      </c>
      <c r="S17" s="45">
        <v>9.4</v>
      </c>
      <c r="T17" s="45">
        <v>9.4</v>
      </c>
      <c r="U17" s="45">
        <v>9.4</v>
      </c>
      <c r="V17" s="45">
        <v>9.4</v>
      </c>
      <c r="W17" s="45">
        <v>9.4</v>
      </c>
      <c r="X17" s="45">
        <v>9.3000000000000007</v>
      </c>
      <c r="Y17" s="45">
        <v>9.3000000000000007</v>
      </c>
      <c r="Z17" s="45">
        <v>9.3000000000000007</v>
      </c>
      <c r="AA17" s="45">
        <v>9.3000000000000007</v>
      </c>
      <c r="AB17" s="45">
        <v>9.3000000000000007</v>
      </c>
      <c r="AC17" s="45">
        <v>9.3000000000000007</v>
      </c>
      <c r="AD17" s="45">
        <v>9.3000000000000007</v>
      </c>
      <c r="AE17" s="45">
        <v>9.3000000000000007</v>
      </c>
      <c r="AF17" s="45">
        <v>9.3000000000000007</v>
      </c>
      <c r="AG17" s="51">
        <v>24.2</v>
      </c>
      <c r="AH17" s="48">
        <f t="shared" si="2"/>
        <v>9.4</v>
      </c>
      <c r="AI17" s="49">
        <f t="shared" si="3"/>
        <v>9.3000000000000007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/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 t="s">
        <v>286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10.5</v>
      </c>
      <c r="C20" s="45">
        <v>10.5</v>
      </c>
      <c r="D20" s="45">
        <v>10.5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 t="s">
        <v>287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51">
        <v>25</v>
      </c>
      <c r="AH20" s="48">
        <f t="shared" si="2"/>
        <v>10.5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 t="s">
        <v>286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 t="s">
        <v>283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 t="s">
        <v>288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10</v>
      </c>
      <c r="C24" s="45">
        <v>10</v>
      </c>
      <c r="D24" s="45">
        <v>10</v>
      </c>
      <c r="E24" s="45">
        <v>10</v>
      </c>
      <c r="F24" s="45">
        <v>10</v>
      </c>
      <c r="G24" s="45">
        <v>10</v>
      </c>
      <c r="H24" s="45">
        <v>10</v>
      </c>
      <c r="I24" s="45">
        <v>10</v>
      </c>
      <c r="J24" s="45">
        <v>10</v>
      </c>
      <c r="K24" s="45">
        <v>10</v>
      </c>
      <c r="L24" s="45">
        <v>10</v>
      </c>
      <c r="M24" s="45">
        <v>10</v>
      </c>
      <c r="N24" s="45">
        <v>10</v>
      </c>
      <c r="O24" s="45">
        <v>10</v>
      </c>
      <c r="P24" s="45">
        <v>10</v>
      </c>
      <c r="Q24" s="45">
        <v>10</v>
      </c>
      <c r="R24" s="45" t="s">
        <v>289</v>
      </c>
      <c r="S24" s="45">
        <v>10</v>
      </c>
      <c r="T24" s="45">
        <v>10</v>
      </c>
      <c r="U24" s="45">
        <v>10</v>
      </c>
      <c r="V24" s="45">
        <v>10</v>
      </c>
      <c r="W24" s="45">
        <v>10</v>
      </c>
      <c r="X24" s="45">
        <v>10</v>
      </c>
      <c r="Y24" s="45">
        <v>10</v>
      </c>
      <c r="Z24" s="45">
        <v>10</v>
      </c>
      <c r="AA24" s="45">
        <v>10</v>
      </c>
      <c r="AB24" s="45">
        <v>10</v>
      </c>
      <c r="AC24" s="45">
        <v>10</v>
      </c>
      <c r="AD24" s="45">
        <v>10</v>
      </c>
      <c r="AE24" s="45">
        <v>10</v>
      </c>
      <c r="AF24" s="45">
        <v>10</v>
      </c>
      <c r="AG24" s="51">
        <v>23.5</v>
      </c>
      <c r="AH24" s="48">
        <f t="shared" si="2"/>
        <v>10</v>
      </c>
      <c r="AI24" s="49">
        <f t="shared" si="3"/>
        <v>10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/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 t="s">
        <v>290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 t="s">
        <v>291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9.4</v>
      </c>
      <c r="C28" s="45">
        <v>9.4</v>
      </c>
      <c r="D28" s="45">
        <v>9.4</v>
      </c>
      <c r="E28" s="45">
        <v>9.4</v>
      </c>
      <c r="F28" s="45">
        <v>9.4</v>
      </c>
      <c r="G28" s="45">
        <v>9.4</v>
      </c>
      <c r="H28" s="45">
        <v>9.4</v>
      </c>
      <c r="I28" s="45">
        <v>9.4</v>
      </c>
      <c r="J28" s="45">
        <v>9.4</v>
      </c>
      <c r="K28" s="45">
        <v>9.4</v>
      </c>
      <c r="L28" s="45">
        <v>9.4</v>
      </c>
      <c r="M28" s="45">
        <v>9.4</v>
      </c>
      <c r="N28" s="45">
        <v>9.4</v>
      </c>
      <c r="O28" s="45">
        <v>9.4</v>
      </c>
      <c r="P28" s="45">
        <v>9.4</v>
      </c>
      <c r="Q28" s="45">
        <v>9.4</v>
      </c>
      <c r="R28" s="45" t="s">
        <v>285</v>
      </c>
      <c r="S28" s="45">
        <v>9.4</v>
      </c>
      <c r="T28" s="45">
        <v>9.4</v>
      </c>
      <c r="U28" s="45">
        <v>9.4</v>
      </c>
      <c r="V28" s="45">
        <v>9.4</v>
      </c>
      <c r="W28" s="45">
        <v>9.4</v>
      </c>
      <c r="X28" s="45">
        <v>9.4</v>
      </c>
      <c r="Y28" s="45">
        <v>9.4</v>
      </c>
      <c r="Z28" s="45">
        <v>9.4</v>
      </c>
      <c r="AA28" s="45">
        <v>9.4</v>
      </c>
      <c r="AB28" s="45">
        <v>9.4</v>
      </c>
      <c r="AC28" s="45">
        <v>9.4</v>
      </c>
      <c r="AD28" s="45">
        <v>9.4</v>
      </c>
      <c r="AE28" s="45">
        <v>9.4</v>
      </c>
      <c r="AF28" s="45">
        <v>9.4</v>
      </c>
      <c r="AG28" s="51">
        <v>22</v>
      </c>
      <c r="AH28" s="48">
        <f t="shared" si="2"/>
        <v>9.4</v>
      </c>
      <c r="AI28" s="49">
        <f t="shared" si="3"/>
        <v>9.4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 t="s">
        <v>285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 t="s">
        <v>281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 t="s">
        <v>280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 t="s">
        <v>286</v>
      </c>
      <c r="S32" s="45">
        <v>1.2</v>
      </c>
      <c r="T32" s="45">
        <v>1.2</v>
      </c>
      <c r="U32" s="45">
        <v>1.2</v>
      </c>
      <c r="V32" s="45">
        <v>1.2</v>
      </c>
      <c r="W32" s="45">
        <v>1.2</v>
      </c>
      <c r="X32" s="45">
        <v>1.2</v>
      </c>
      <c r="Y32" s="45">
        <v>1.2</v>
      </c>
      <c r="Z32" s="45">
        <v>1.2</v>
      </c>
      <c r="AA32" s="45">
        <v>1.2</v>
      </c>
      <c r="AB32" s="45">
        <v>1.2</v>
      </c>
      <c r="AC32" s="45">
        <v>1.2</v>
      </c>
      <c r="AD32" s="45">
        <v>1.2</v>
      </c>
      <c r="AE32" s="45">
        <v>1.2</v>
      </c>
      <c r="AF32" s="45">
        <v>1.2</v>
      </c>
      <c r="AG32" s="51">
        <v>13.6</v>
      </c>
      <c r="AH32" s="48">
        <f t="shared" si="2"/>
        <v>1.2</v>
      </c>
      <c r="AI32" s="49">
        <f t="shared" si="3"/>
        <v>1.2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 t="s">
        <v>288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/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/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/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/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/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/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/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/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150</v>
      </c>
      <c r="C42" s="57">
        <v>150</v>
      </c>
      <c r="D42" s="57">
        <v>150</v>
      </c>
      <c r="E42" s="57">
        <v>150</v>
      </c>
      <c r="F42" s="57">
        <v>150</v>
      </c>
      <c r="G42" s="57">
        <v>150</v>
      </c>
      <c r="H42" s="57">
        <v>150</v>
      </c>
      <c r="I42" s="57">
        <v>150</v>
      </c>
      <c r="J42" s="57">
        <v>150</v>
      </c>
      <c r="K42" s="57">
        <v>150</v>
      </c>
      <c r="L42" s="57">
        <v>150</v>
      </c>
      <c r="M42" s="57">
        <v>150</v>
      </c>
      <c r="N42" s="57">
        <v>150</v>
      </c>
      <c r="O42" s="57">
        <v>150</v>
      </c>
      <c r="P42" s="57">
        <v>150</v>
      </c>
      <c r="Q42" s="57">
        <v>150</v>
      </c>
      <c r="R42" s="57"/>
      <c r="S42" s="57">
        <v>150</v>
      </c>
      <c r="T42" s="57">
        <v>150</v>
      </c>
      <c r="U42" s="57">
        <v>150</v>
      </c>
      <c r="V42" s="57">
        <v>150</v>
      </c>
      <c r="W42" s="57">
        <v>150</v>
      </c>
      <c r="X42" s="57">
        <v>150</v>
      </c>
      <c r="Y42" s="57">
        <v>150</v>
      </c>
      <c r="Z42" s="57">
        <v>150</v>
      </c>
      <c r="AA42" s="57">
        <v>150</v>
      </c>
      <c r="AB42" s="57">
        <v>150</v>
      </c>
      <c r="AC42" s="57">
        <v>150</v>
      </c>
      <c r="AD42" s="57">
        <v>150</v>
      </c>
      <c r="AE42" s="57">
        <v>150</v>
      </c>
      <c r="AF42" s="57">
        <v>150</v>
      </c>
      <c r="AG42" s="55">
        <v>85</v>
      </c>
      <c r="AH42" s="48">
        <f t="shared" si="2"/>
        <v>150</v>
      </c>
      <c r="AI42" s="49">
        <f t="shared" si="3"/>
        <v>150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472</v>
      </c>
      <c r="C44" s="61">
        <f t="shared" si="4"/>
        <v>472</v>
      </c>
      <c r="D44" s="61">
        <f t="shared" si="4"/>
        <v>472</v>
      </c>
      <c r="E44" s="61">
        <f t="shared" si="4"/>
        <v>473.49999999999994</v>
      </c>
      <c r="F44" s="61">
        <f t="shared" si="4"/>
        <v>473.49999999999994</v>
      </c>
      <c r="G44" s="61">
        <f t="shared" si="4"/>
        <v>473.49999999999994</v>
      </c>
      <c r="H44" s="61">
        <f t="shared" si="4"/>
        <v>473.49999999999994</v>
      </c>
      <c r="I44" s="61">
        <f t="shared" si="4"/>
        <v>473.49999999999994</v>
      </c>
      <c r="J44" s="61">
        <f t="shared" si="4"/>
        <v>473.49999999999994</v>
      </c>
      <c r="K44" s="61">
        <f t="shared" si="4"/>
        <v>473.49999999999994</v>
      </c>
      <c r="L44" s="61">
        <f t="shared" si="4"/>
        <v>473.49999999999994</v>
      </c>
      <c r="M44" s="61">
        <f t="shared" si="4"/>
        <v>473.49999999999994</v>
      </c>
      <c r="N44" s="61">
        <f t="shared" si="4"/>
        <v>473.49999999999994</v>
      </c>
      <c r="O44" s="61">
        <f t="shared" si="4"/>
        <v>473.49999999999994</v>
      </c>
      <c r="P44" s="61">
        <f t="shared" si="4"/>
        <v>473.49999999999994</v>
      </c>
      <c r="Q44" s="61">
        <f t="shared" si="4"/>
        <v>473.49999999999994</v>
      </c>
      <c r="R44" s="61">
        <f t="shared" si="4"/>
        <v>0</v>
      </c>
      <c r="S44" s="61">
        <f t="shared" si="4"/>
        <v>473.49999999999994</v>
      </c>
      <c r="T44" s="61">
        <f t="shared" si="4"/>
        <v>473.49999999999994</v>
      </c>
      <c r="U44" s="61">
        <f t="shared" si="4"/>
        <v>471.79999999999995</v>
      </c>
      <c r="V44" s="61">
        <f t="shared" si="4"/>
        <v>471.79999999999995</v>
      </c>
      <c r="W44" s="61">
        <f t="shared" si="4"/>
        <v>473.7</v>
      </c>
      <c r="X44" s="61">
        <v>473</v>
      </c>
      <c r="Y44" s="61">
        <f t="shared" si="4"/>
        <v>473</v>
      </c>
      <c r="Z44" s="61">
        <f t="shared" si="4"/>
        <v>473</v>
      </c>
      <c r="AA44" s="61">
        <f t="shared" si="4"/>
        <v>473.59999999999997</v>
      </c>
      <c r="AB44" s="61">
        <f t="shared" si="4"/>
        <v>472.9</v>
      </c>
      <c r="AC44" s="61">
        <f t="shared" si="4"/>
        <v>472.9</v>
      </c>
      <c r="AD44" s="61">
        <f t="shared" si="4"/>
        <v>472.9</v>
      </c>
      <c r="AE44" s="61">
        <f t="shared" si="4"/>
        <v>472.9</v>
      </c>
      <c r="AF44" s="61">
        <f t="shared" si="4"/>
        <v>471.3</v>
      </c>
      <c r="AG44" s="62">
        <f t="shared" si="4"/>
        <v>814.78000000000009</v>
      </c>
      <c r="AH44" s="48">
        <f t="shared" si="2"/>
        <v>473.7</v>
      </c>
      <c r="AI44" s="49">
        <f t="shared" si="3"/>
        <v>0</v>
      </c>
      <c r="AK44" s="50"/>
    </row>
    <row r="45" spans="1:88" x14ac:dyDescent="0.25">
      <c r="A45" s="6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55</v>
      </c>
      <c r="K45" s="45">
        <v>84</v>
      </c>
      <c r="L45" s="45">
        <v>140</v>
      </c>
      <c r="M45" s="164">
        <v>140</v>
      </c>
      <c r="N45" s="164">
        <v>200</v>
      </c>
      <c r="O45" s="45">
        <v>190</v>
      </c>
      <c r="P45" s="45">
        <v>132</v>
      </c>
      <c r="Q45" s="45">
        <v>70</v>
      </c>
      <c r="R45" s="45">
        <v>50</v>
      </c>
      <c r="S45" s="45">
        <v>40</v>
      </c>
      <c r="T45" s="45">
        <v>60</v>
      </c>
      <c r="U45" s="45">
        <v>40</v>
      </c>
      <c r="V45" s="45">
        <v>40</v>
      </c>
      <c r="W45" s="45">
        <v>70</v>
      </c>
      <c r="X45" s="45">
        <v>210</v>
      </c>
      <c r="Y45" s="45">
        <v>195</v>
      </c>
      <c r="Z45" s="45">
        <v>195</v>
      </c>
      <c r="AA45" s="45">
        <v>205</v>
      </c>
      <c r="AB45" s="45">
        <v>130</v>
      </c>
      <c r="AC45" s="45">
        <v>115</v>
      </c>
      <c r="AD45" s="45">
        <v>110</v>
      </c>
      <c r="AE45" s="45">
        <v>50</v>
      </c>
      <c r="AF45" s="45">
        <v>30</v>
      </c>
      <c r="AG45" s="52">
        <v>456</v>
      </c>
      <c r="AH45" s="48">
        <f t="shared" si="2"/>
        <v>210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41</v>
      </c>
      <c r="AK46" s="50"/>
    </row>
    <row r="47" spans="1:88" ht="15.75" thickBot="1" x14ac:dyDescent="0.3">
      <c r="A47" s="66" t="s">
        <v>55</v>
      </c>
      <c r="B47" s="67">
        <v>12.1</v>
      </c>
      <c r="C47" s="67">
        <v>12.1</v>
      </c>
      <c r="D47" s="67">
        <v>12.2</v>
      </c>
      <c r="E47" s="67">
        <v>12.2</v>
      </c>
      <c r="F47" s="67">
        <v>12.2</v>
      </c>
      <c r="G47" s="67">
        <v>12.2</v>
      </c>
      <c r="H47" s="67">
        <v>12.2</v>
      </c>
      <c r="I47" s="67">
        <v>12.2</v>
      </c>
      <c r="J47" s="67">
        <v>12.2</v>
      </c>
      <c r="K47" s="67">
        <v>12.2</v>
      </c>
      <c r="L47" s="67">
        <v>13</v>
      </c>
      <c r="M47" s="67">
        <v>13.2</v>
      </c>
      <c r="N47" s="67">
        <v>13.1</v>
      </c>
      <c r="O47" s="67">
        <v>13.1</v>
      </c>
      <c r="P47" s="67">
        <v>13.2</v>
      </c>
      <c r="Q47" s="67">
        <v>13.2</v>
      </c>
      <c r="R47" s="67"/>
      <c r="S47" s="67">
        <v>13.2</v>
      </c>
      <c r="T47" s="67">
        <v>13.2</v>
      </c>
      <c r="U47" s="67">
        <v>13.2</v>
      </c>
      <c r="V47" s="67">
        <v>13.2</v>
      </c>
      <c r="W47" s="67">
        <v>13.2</v>
      </c>
      <c r="X47" s="67">
        <v>13.2</v>
      </c>
      <c r="Y47" s="67">
        <v>13.2</v>
      </c>
      <c r="Z47" s="67">
        <v>13.2</v>
      </c>
      <c r="AA47" s="67">
        <v>13.2</v>
      </c>
      <c r="AB47" s="67">
        <v>12.2</v>
      </c>
      <c r="AC47" s="67">
        <v>12.2</v>
      </c>
      <c r="AD47" s="67">
        <v>12.2</v>
      </c>
      <c r="AE47" s="67">
        <v>12.2</v>
      </c>
      <c r="AF47" s="67">
        <v>12.2</v>
      </c>
      <c r="AG47" s="68">
        <v>22.1</v>
      </c>
      <c r="AH47" s="48">
        <f t="shared" si="2"/>
        <v>13.2</v>
      </c>
      <c r="AI47" s="49">
        <f t="shared" si="3"/>
        <v>12.1</v>
      </c>
      <c r="AK47" s="50"/>
    </row>
    <row r="48" spans="1:88" ht="15.75" thickBot="1" x14ac:dyDescent="0.3">
      <c r="A48" s="69" t="s">
        <v>56</v>
      </c>
      <c r="B48" s="61">
        <f t="shared" ref="B48:AG48" si="5">SUM(B45:B47)</f>
        <v>53.1</v>
      </c>
      <c r="C48" s="61">
        <f t="shared" si="5"/>
        <v>53.1</v>
      </c>
      <c r="D48" s="61">
        <f t="shared" si="5"/>
        <v>53.2</v>
      </c>
      <c r="E48" s="61">
        <f t="shared" si="5"/>
        <v>53.2</v>
      </c>
      <c r="F48" s="61">
        <f t="shared" si="5"/>
        <v>53.2</v>
      </c>
      <c r="G48" s="61">
        <f t="shared" si="5"/>
        <v>53.2</v>
      </c>
      <c r="H48" s="61">
        <f t="shared" si="5"/>
        <v>53.2</v>
      </c>
      <c r="I48" s="61">
        <f t="shared" si="5"/>
        <v>53.2</v>
      </c>
      <c r="J48" s="61">
        <f t="shared" si="5"/>
        <v>108.2</v>
      </c>
      <c r="K48" s="61">
        <f t="shared" si="5"/>
        <v>137.19999999999999</v>
      </c>
      <c r="L48" s="61">
        <f t="shared" si="5"/>
        <v>194</v>
      </c>
      <c r="M48" s="61">
        <f t="shared" si="5"/>
        <v>194.2</v>
      </c>
      <c r="N48" s="61">
        <f t="shared" si="5"/>
        <v>254.1</v>
      </c>
      <c r="O48" s="61">
        <f t="shared" si="5"/>
        <v>244.1</v>
      </c>
      <c r="P48" s="61">
        <f t="shared" si="5"/>
        <v>186.2</v>
      </c>
      <c r="Q48" s="61">
        <f t="shared" si="5"/>
        <v>124.2</v>
      </c>
      <c r="R48" s="61">
        <f t="shared" si="5"/>
        <v>91</v>
      </c>
      <c r="S48" s="61">
        <f t="shared" si="5"/>
        <v>94.2</v>
      </c>
      <c r="T48" s="61">
        <f t="shared" si="5"/>
        <v>114.2</v>
      </c>
      <c r="U48" s="61">
        <f t="shared" si="5"/>
        <v>94.2</v>
      </c>
      <c r="V48" s="61">
        <f t="shared" si="5"/>
        <v>94.2</v>
      </c>
      <c r="W48" s="61">
        <f t="shared" si="5"/>
        <v>124.2</v>
      </c>
      <c r="X48" s="61">
        <v>264.2</v>
      </c>
      <c r="Y48" s="61">
        <f t="shared" si="5"/>
        <v>249.2</v>
      </c>
      <c r="Z48" s="61">
        <f t="shared" si="5"/>
        <v>249.2</v>
      </c>
      <c r="AA48" s="61">
        <f t="shared" si="5"/>
        <v>259.2</v>
      </c>
      <c r="AB48" s="61">
        <f t="shared" si="5"/>
        <v>183.2</v>
      </c>
      <c r="AC48" s="61">
        <f t="shared" si="5"/>
        <v>168.2</v>
      </c>
      <c r="AD48" s="61">
        <f t="shared" si="5"/>
        <v>163.19999999999999</v>
      </c>
      <c r="AE48" s="61">
        <f t="shared" si="5"/>
        <v>103.2</v>
      </c>
      <c r="AF48" s="61">
        <f t="shared" si="5"/>
        <v>83.2</v>
      </c>
      <c r="AG48" s="62">
        <f t="shared" si="5"/>
        <v>538.1</v>
      </c>
      <c r="AH48" s="48">
        <f t="shared" si="2"/>
        <v>264.2</v>
      </c>
      <c r="AI48" s="49">
        <f t="shared" si="3"/>
        <v>53.1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48.7</v>
      </c>
      <c r="K49" s="45">
        <v>140.9</v>
      </c>
      <c r="L49" s="45">
        <v>141</v>
      </c>
      <c r="M49" s="45">
        <v>141</v>
      </c>
      <c r="N49" s="45">
        <v>141</v>
      </c>
      <c r="O49" s="45">
        <v>140.80000000000001</v>
      </c>
      <c r="P49" s="45">
        <v>129.80000000000001</v>
      </c>
      <c r="Q49" s="45">
        <v>139</v>
      </c>
      <c r="R49" s="45"/>
      <c r="S49" s="45">
        <v>72</v>
      </c>
      <c r="T49" s="45">
        <v>72</v>
      </c>
      <c r="U49" s="45">
        <v>72</v>
      </c>
      <c r="V49" s="45">
        <v>71.8</v>
      </c>
      <c r="W49" s="45">
        <v>131</v>
      </c>
      <c r="X49" s="45">
        <v>140</v>
      </c>
      <c r="Y49" s="45">
        <v>140</v>
      </c>
      <c r="Z49" s="45">
        <v>111.7</v>
      </c>
      <c r="AA49" s="45">
        <v>140</v>
      </c>
      <c r="AB49" s="45">
        <v>121.6</v>
      </c>
      <c r="AC49" s="45">
        <v>115</v>
      </c>
      <c r="AD49" s="45">
        <v>65.400000000000006</v>
      </c>
      <c r="AE49" s="45">
        <v>48.9</v>
      </c>
      <c r="AF49" s="45">
        <v>0</v>
      </c>
      <c r="AG49" s="52">
        <v>144</v>
      </c>
      <c r="AH49" s="48">
        <f t="shared" si="2"/>
        <v>141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19.100000000000001</v>
      </c>
      <c r="H50" s="65">
        <v>23.7</v>
      </c>
      <c r="I50" s="65">
        <v>45</v>
      </c>
      <c r="J50" s="65">
        <v>69.5</v>
      </c>
      <c r="K50" s="65">
        <v>69</v>
      </c>
      <c r="L50" s="65">
        <v>71</v>
      </c>
      <c r="M50" s="65">
        <v>71</v>
      </c>
      <c r="N50" s="65">
        <v>69</v>
      </c>
      <c r="O50" s="65">
        <v>69.8</v>
      </c>
      <c r="P50" s="65">
        <v>59.9</v>
      </c>
      <c r="Q50" s="65">
        <v>34.5</v>
      </c>
      <c r="R50" s="65"/>
      <c r="S50" s="65">
        <v>34.5</v>
      </c>
      <c r="T50" s="65">
        <v>34.799999999999997</v>
      </c>
      <c r="U50" s="45">
        <v>48</v>
      </c>
      <c r="V50" s="45">
        <v>47.9</v>
      </c>
      <c r="W50" s="45">
        <v>59</v>
      </c>
      <c r="X50" s="45">
        <v>69.599999999999994</v>
      </c>
      <c r="Y50" s="45">
        <v>69.599999999999994</v>
      </c>
      <c r="Z50" s="45">
        <v>70.3</v>
      </c>
      <c r="AA50" s="45">
        <v>70.3</v>
      </c>
      <c r="AB50" s="65">
        <v>68.8</v>
      </c>
      <c r="AC50" s="65">
        <v>55.4</v>
      </c>
      <c r="AD50" s="65">
        <v>34.6</v>
      </c>
      <c r="AE50" s="65">
        <v>0</v>
      </c>
      <c r="AF50" s="65">
        <v>0</v>
      </c>
      <c r="AG50" s="55">
        <v>70</v>
      </c>
      <c r="AH50" s="48">
        <f t="shared" si="2"/>
        <v>71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24</v>
      </c>
      <c r="C51" s="65">
        <v>33.1</v>
      </c>
      <c r="D51" s="65">
        <v>33.200000000000003</v>
      </c>
      <c r="E51" s="65">
        <v>16.3</v>
      </c>
      <c r="F51" s="65">
        <v>16.3</v>
      </c>
      <c r="G51" s="65">
        <v>0</v>
      </c>
      <c r="H51" s="65">
        <v>0</v>
      </c>
      <c r="I51" s="65">
        <v>23.5</v>
      </c>
      <c r="J51" s="65">
        <v>47.6</v>
      </c>
      <c r="K51" s="65">
        <v>68.8</v>
      </c>
      <c r="L51" s="65">
        <v>68.8</v>
      </c>
      <c r="M51" s="65">
        <v>68.8</v>
      </c>
      <c r="N51" s="65">
        <v>67.5</v>
      </c>
      <c r="O51" s="65">
        <v>57.1</v>
      </c>
      <c r="P51" s="65">
        <v>51.4</v>
      </c>
      <c r="Q51" s="65">
        <v>32.6</v>
      </c>
      <c r="R51" s="65"/>
      <c r="S51" s="65">
        <v>44.7</v>
      </c>
      <c r="T51" s="65">
        <v>44.7</v>
      </c>
      <c r="U51" s="45">
        <v>34</v>
      </c>
      <c r="V51" s="45">
        <v>35</v>
      </c>
      <c r="W51" s="45">
        <v>60</v>
      </c>
      <c r="X51" s="45">
        <v>69</v>
      </c>
      <c r="Y51" s="45">
        <v>69</v>
      </c>
      <c r="Z51" s="45">
        <v>68.5</v>
      </c>
      <c r="AA51" s="45">
        <v>68.5</v>
      </c>
      <c r="AB51" s="65">
        <v>67.3</v>
      </c>
      <c r="AC51" s="65">
        <v>65.8</v>
      </c>
      <c r="AD51" s="65">
        <v>66.400000000000006</v>
      </c>
      <c r="AE51" s="65">
        <v>34.700000000000003</v>
      </c>
      <c r="AF51" s="65">
        <v>22</v>
      </c>
      <c r="AG51" s="55">
        <v>69</v>
      </c>
      <c r="AH51" s="48">
        <f t="shared" si="2"/>
        <v>69</v>
      </c>
      <c r="AI51" s="49">
        <f t="shared" si="3"/>
        <v>0</v>
      </c>
      <c r="AK51" s="50"/>
    </row>
    <row r="52" spans="1:41" x14ac:dyDescent="0.25">
      <c r="A52" s="54" t="s">
        <v>60</v>
      </c>
      <c r="B52" s="57">
        <v>56.2</v>
      </c>
      <c r="C52" s="57">
        <v>54.1</v>
      </c>
      <c r="D52" s="57">
        <v>54.4</v>
      </c>
      <c r="E52" s="57">
        <v>54.41</v>
      </c>
      <c r="F52" s="57">
        <v>54.41</v>
      </c>
      <c r="G52" s="57">
        <v>54.41</v>
      </c>
      <c r="H52" s="57">
        <v>54.4</v>
      </c>
      <c r="I52" s="57">
        <v>54.4</v>
      </c>
      <c r="J52" s="57">
        <v>54.4</v>
      </c>
      <c r="K52" s="57">
        <v>54.4</v>
      </c>
      <c r="L52" s="57">
        <v>54.4</v>
      </c>
      <c r="M52" s="65">
        <v>54.4</v>
      </c>
      <c r="N52" s="65">
        <v>54.4</v>
      </c>
      <c r="O52" s="65">
        <v>54.6</v>
      </c>
      <c r="P52" s="65">
        <v>54.6</v>
      </c>
      <c r="Q52" s="65">
        <v>53.2</v>
      </c>
      <c r="R52" s="65"/>
      <c r="S52" s="65">
        <v>53.2</v>
      </c>
      <c r="T52" s="65">
        <v>55.9</v>
      </c>
      <c r="U52" s="65">
        <v>55.9</v>
      </c>
      <c r="V52" s="65">
        <v>55.2</v>
      </c>
      <c r="W52" s="65">
        <v>53.4</v>
      </c>
      <c r="X52" s="65">
        <v>53.4</v>
      </c>
      <c r="Y52" s="65">
        <v>53.4</v>
      </c>
      <c r="Z52" s="65">
        <v>53.7</v>
      </c>
      <c r="AA52" s="65">
        <v>53.7</v>
      </c>
      <c r="AB52" s="65">
        <v>55.7</v>
      </c>
      <c r="AC52" s="65">
        <v>56.2</v>
      </c>
      <c r="AD52" s="65">
        <v>57</v>
      </c>
      <c r="AE52" s="65">
        <v>57</v>
      </c>
      <c r="AF52" s="65">
        <v>57.7</v>
      </c>
      <c r="AG52" s="55">
        <v>60</v>
      </c>
      <c r="AH52" s="48">
        <f t="shared" si="2"/>
        <v>57.7</v>
      </c>
      <c r="AI52" s="49">
        <f t="shared" si="3"/>
        <v>53.2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9.3000000000000007</v>
      </c>
      <c r="H53" s="57">
        <v>9.4</v>
      </c>
      <c r="I53" s="57">
        <v>15</v>
      </c>
      <c r="J53" s="57">
        <v>25</v>
      </c>
      <c r="K53" s="57">
        <v>30</v>
      </c>
      <c r="L53" s="57">
        <v>30</v>
      </c>
      <c r="M53" s="65">
        <v>30</v>
      </c>
      <c r="N53" s="65">
        <v>30</v>
      </c>
      <c r="O53" s="65">
        <v>15</v>
      </c>
      <c r="P53" s="65">
        <v>0</v>
      </c>
      <c r="Q53" s="65">
        <v>0</v>
      </c>
      <c r="R53" s="65"/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19.2</v>
      </c>
      <c r="AC53" s="65">
        <v>14.7</v>
      </c>
      <c r="AD53" s="65">
        <v>9.6</v>
      </c>
      <c r="AE53" s="65">
        <v>0</v>
      </c>
      <c r="AF53" s="65">
        <v>0</v>
      </c>
      <c r="AG53" s="55">
        <v>30</v>
      </c>
      <c r="AH53" s="48">
        <f t="shared" si="2"/>
        <v>30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65">
        <v>0</v>
      </c>
      <c r="P54" s="65">
        <v>0</v>
      </c>
      <c r="Q54" s="65">
        <v>0</v>
      </c>
      <c r="R54" s="65"/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0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/>
      <c r="S55" s="65">
        <v>17</v>
      </c>
      <c r="T55" s="65">
        <v>17</v>
      </c>
      <c r="U55" s="65">
        <v>17</v>
      </c>
      <c r="V55" s="65">
        <v>17</v>
      </c>
      <c r="W55" s="65">
        <v>17</v>
      </c>
      <c r="X55" s="6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5">
        <v>24</v>
      </c>
      <c r="AH55" s="48">
        <f t="shared" si="2"/>
        <v>17</v>
      </c>
      <c r="AI55" s="49">
        <f t="shared" si="3"/>
        <v>17</v>
      </c>
      <c r="AK55" s="50"/>
    </row>
    <row r="56" spans="1:41" x14ac:dyDescent="0.25">
      <c r="A56" s="54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/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5">
        <v>15</v>
      </c>
      <c r="AH56" s="48">
        <f t="shared" si="2"/>
        <v>3.2</v>
      </c>
      <c r="AI56" s="49">
        <f t="shared" si="3"/>
        <v>3.2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13.2</v>
      </c>
      <c r="C57" s="65">
        <v>13.2</v>
      </c>
      <c r="D57" s="65">
        <v>13.2</v>
      </c>
      <c r="E57" s="65">
        <v>14</v>
      </c>
      <c r="F57" s="65">
        <v>14</v>
      </c>
      <c r="G57" s="65">
        <v>14</v>
      </c>
      <c r="H57" s="65">
        <v>14</v>
      </c>
      <c r="I57" s="65">
        <v>14</v>
      </c>
      <c r="J57" s="65">
        <v>14</v>
      </c>
      <c r="K57" s="65">
        <v>14</v>
      </c>
      <c r="L57" s="65">
        <v>14</v>
      </c>
      <c r="M57" s="65">
        <v>14</v>
      </c>
      <c r="N57" s="65">
        <v>14</v>
      </c>
      <c r="O57" s="65">
        <v>12.4</v>
      </c>
      <c r="P57" s="65">
        <v>12.4</v>
      </c>
      <c r="Q57" s="65">
        <v>12.4</v>
      </c>
      <c r="R57" s="65"/>
      <c r="S57" s="65">
        <v>12.4</v>
      </c>
      <c r="T57" s="65">
        <v>12.4</v>
      </c>
      <c r="U57" s="65">
        <v>12.4</v>
      </c>
      <c r="V57" s="65">
        <v>12.4</v>
      </c>
      <c r="W57" s="65">
        <v>12.4</v>
      </c>
      <c r="X57" s="65">
        <v>12.4</v>
      </c>
      <c r="Y57" s="65">
        <v>12.4</v>
      </c>
      <c r="Z57" s="65">
        <v>12.4</v>
      </c>
      <c r="AA57" s="65">
        <v>12.4</v>
      </c>
      <c r="AB57" s="65">
        <v>12.4</v>
      </c>
      <c r="AC57" s="65">
        <v>12.4</v>
      </c>
      <c r="AD57" s="65">
        <v>12.4</v>
      </c>
      <c r="AE57" s="65">
        <v>12.4</v>
      </c>
      <c r="AF57" s="65">
        <v>12.4</v>
      </c>
      <c r="AG57" s="55">
        <v>14.1</v>
      </c>
      <c r="AH57" s="48">
        <f t="shared" si="2"/>
        <v>14</v>
      </c>
      <c r="AI57" s="49">
        <f t="shared" si="3"/>
        <v>12.4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5.5</v>
      </c>
      <c r="C58" s="65">
        <v>5.5</v>
      </c>
      <c r="D58" s="65">
        <v>5.5</v>
      </c>
      <c r="E58" s="65">
        <v>5.2</v>
      </c>
      <c r="F58" s="65">
        <v>5.2</v>
      </c>
      <c r="G58" s="65">
        <v>5.2</v>
      </c>
      <c r="H58" s="65">
        <v>5.2</v>
      </c>
      <c r="I58" s="65">
        <v>5.2</v>
      </c>
      <c r="J58" s="65">
        <v>5.2</v>
      </c>
      <c r="K58" s="65">
        <v>5.2</v>
      </c>
      <c r="L58" s="65">
        <v>5.2</v>
      </c>
      <c r="M58" s="65">
        <v>5.2</v>
      </c>
      <c r="N58" s="65">
        <v>5.2</v>
      </c>
      <c r="O58" s="65">
        <v>5.2</v>
      </c>
      <c r="P58" s="65">
        <v>5.2</v>
      </c>
      <c r="Q58" s="65">
        <v>5.2</v>
      </c>
      <c r="R58" s="65"/>
      <c r="S58" s="65">
        <v>5.2</v>
      </c>
      <c r="T58" s="65">
        <v>5.2</v>
      </c>
      <c r="U58" s="65">
        <v>5.2</v>
      </c>
      <c r="V58" s="65">
        <v>5.2</v>
      </c>
      <c r="W58" s="65">
        <v>5.2</v>
      </c>
      <c r="X58" s="65">
        <v>5.2</v>
      </c>
      <c r="Y58" s="65">
        <v>5.2</v>
      </c>
      <c r="Z58" s="65">
        <v>5.2</v>
      </c>
      <c r="AA58" s="65">
        <v>5.2</v>
      </c>
      <c r="AB58" s="65">
        <v>5.2</v>
      </c>
      <c r="AC58" s="65">
        <v>5.2</v>
      </c>
      <c r="AD58" s="65">
        <v>5.2</v>
      </c>
      <c r="AE58" s="65">
        <v>5.2</v>
      </c>
      <c r="AF58" s="65">
        <v>5.2</v>
      </c>
      <c r="AG58" s="55">
        <v>14</v>
      </c>
      <c r="AH58" s="48">
        <f t="shared" si="2"/>
        <v>5.5</v>
      </c>
      <c r="AI58" s="49">
        <f t="shared" si="3"/>
        <v>5.2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/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3</v>
      </c>
      <c r="C60" s="65">
        <v>3</v>
      </c>
      <c r="D60" s="65">
        <v>3</v>
      </c>
      <c r="E60" s="65">
        <v>3</v>
      </c>
      <c r="F60" s="65">
        <v>3</v>
      </c>
      <c r="G60" s="65">
        <v>3</v>
      </c>
      <c r="H60" s="65">
        <v>3</v>
      </c>
      <c r="I60" s="65">
        <v>3</v>
      </c>
      <c r="J60" s="65">
        <v>3</v>
      </c>
      <c r="K60" s="65">
        <v>3</v>
      </c>
      <c r="L60" s="65">
        <v>3</v>
      </c>
      <c r="M60" s="65">
        <v>3</v>
      </c>
      <c r="N60" s="65">
        <v>3</v>
      </c>
      <c r="O60" s="65">
        <v>3</v>
      </c>
      <c r="P60" s="65">
        <v>3</v>
      </c>
      <c r="Q60" s="65">
        <v>3</v>
      </c>
      <c r="R60" s="65"/>
      <c r="S60" s="65">
        <v>3</v>
      </c>
      <c r="T60" s="65">
        <v>3</v>
      </c>
      <c r="U60" s="65">
        <v>3</v>
      </c>
      <c r="V60" s="65">
        <v>3</v>
      </c>
      <c r="W60" s="65">
        <v>3</v>
      </c>
      <c r="X60" s="65">
        <v>3</v>
      </c>
      <c r="Y60" s="65">
        <v>3</v>
      </c>
      <c r="Z60" s="65">
        <v>3</v>
      </c>
      <c r="AA60" s="65">
        <v>3</v>
      </c>
      <c r="AB60" s="65">
        <v>3</v>
      </c>
      <c r="AC60" s="65">
        <v>3</v>
      </c>
      <c r="AD60" s="65">
        <v>3</v>
      </c>
      <c r="AE60" s="65">
        <v>3</v>
      </c>
      <c r="AF60" s="65">
        <v>3</v>
      </c>
      <c r="AG60" s="55">
        <v>6.2</v>
      </c>
      <c r="AH60" s="48">
        <f t="shared" si="2"/>
        <v>3</v>
      </c>
      <c r="AI60" s="49">
        <f t="shared" si="3"/>
        <v>3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6">SUM(B49:B61)</f>
        <v>132.14000000000001</v>
      </c>
      <c r="C62" s="61">
        <f t="shared" si="6"/>
        <v>139.14000000000001</v>
      </c>
      <c r="D62" s="61">
        <f t="shared" si="6"/>
        <v>139.54</v>
      </c>
      <c r="E62" s="61">
        <f t="shared" si="6"/>
        <v>123.15</v>
      </c>
      <c r="F62" s="61">
        <f t="shared" si="6"/>
        <v>123.15</v>
      </c>
      <c r="G62" s="61">
        <f t="shared" si="6"/>
        <v>135.24999999999997</v>
      </c>
      <c r="H62" s="61">
        <f t="shared" si="6"/>
        <v>139.94</v>
      </c>
      <c r="I62" s="61">
        <f t="shared" si="6"/>
        <v>190.33999999999997</v>
      </c>
      <c r="J62" s="61">
        <f t="shared" si="6"/>
        <v>297.64000000000004</v>
      </c>
      <c r="K62" s="61">
        <f t="shared" si="6"/>
        <v>415.53999999999996</v>
      </c>
      <c r="L62" s="61">
        <f t="shared" si="6"/>
        <v>417.64</v>
      </c>
      <c r="M62" s="61">
        <f t="shared" si="6"/>
        <v>417.64</v>
      </c>
      <c r="N62" s="61">
        <f t="shared" si="6"/>
        <v>414.34</v>
      </c>
      <c r="O62" s="61">
        <f t="shared" si="6"/>
        <v>388.14000000000004</v>
      </c>
      <c r="P62" s="61">
        <f t="shared" si="6"/>
        <v>346.54</v>
      </c>
      <c r="Q62" s="61">
        <f t="shared" si="6"/>
        <v>310.14</v>
      </c>
      <c r="R62" s="61">
        <f t="shared" si="6"/>
        <v>3.54</v>
      </c>
      <c r="S62" s="61">
        <f t="shared" si="6"/>
        <v>255.23999999999995</v>
      </c>
      <c r="T62" s="61">
        <f t="shared" si="6"/>
        <v>258.24</v>
      </c>
      <c r="U62" s="61">
        <f t="shared" si="6"/>
        <v>260.74</v>
      </c>
      <c r="V62" s="61">
        <f t="shared" si="6"/>
        <v>260.73999999999995</v>
      </c>
      <c r="W62" s="61">
        <f t="shared" si="6"/>
        <v>354.23999999999995</v>
      </c>
      <c r="X62" s="61">
        <v>382.84</v>
      </c>
      <c r="Y62" s="61">
        <f t="shared" si="6"/>
        <v>382.84</v>
      </c>
      <c r="Z62" s="61">
        <f t="shared" si="6"/>
        <v>355.03999999999996</v>
      </c>
      <c r="AA62" s="61">
        <f t="shared" si="6"/>
        <v>383.34</v>
      </c>
      <c r="AB62" s="61">
        <f t="shared" si="6"/>
        <v>383.43999999999994</v>
      </c>
      <c r="AC62" s="61">
        <f t="shared" si="6"/>
        <v>357.93999999999994</v>
      </c>
      <c r="AD62" s="61">
        <f t="shared" si="6"/>
        <v>283.83999999999997</v>
      </c>
      <c r="AE62" s="61">
        <f t="shared" si="6"/>
        <v>191.43999999999997</v>
      </c>
      <c r="AF62" s="61">
        <f t="shared" si="6"/>
        <v>130.54000000000002</v>
      </c>
      <c r="AG62" s="62">
        <f t="shared" si="6"/>
        <v>489.91</v>
      </c>
      <c r="AH62" s="48">
        <f t="shared" si="2"/>
        <v>417.64</v>
      </c>
      <c r="AI62" s="49">
        <f t="shared" si="3"/>
        <v>3.54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14</v>
      </c>
      <c r="L63" s="45">
        <v>50</v>
      </c>
      <c r="M63" s="45">
        <v>60</v>
      </c>
      <c r="N63" s="45">
        <v>60</v>
      </c>
      <c r="O63" s="45">
        <v>50</v>
      </c>
      <c r="P63" s="45">
        <v>50</v>
      </c>
      <c r="Q63" s="45">
        <v>45</v>
      </c>
      <c r="R63" s="45">
        <v>60</v>
      </c>
      <c r="S63" s="45">
        <v>60</v>
      </c>
      <c r="T63" s="45">
        <v>55</v>
      </c>
      <c r="U63" s="45">
        <v>55</v>
      </c>
      <c r="V63" s="45">
        <v>50</v>
      </c>
      <c r="W63" s="45">
        <v>45</v>
      </c>
      <c r="X63" s="45">
        <v>60</v>
      </c>
      <c r="Y63" s="45">
        <v>60</v>
      </c>
      <c r="Z63" s="45">
        <v>60</v>
      </c>
      <c r="AA63" s="45">
        <v>60</v>
      </c>
      <c r="AB63" s="45">
        <v>60</v>
      </c>
      <c r="AC63" s="45">
        <v>60</v>
      </c>
      <c r="AD63" s="45">
        <v>60</v>
      </c>
      <c r="AE63" s="45">
        <v>40</v>
      </c>
      <c r="AF63" s="45">
        <v>10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2.2999999999999998</v>
      </c>
      <c r="L64" s="65">
        <v>21</v>
      </c>
      <c r="M64" s="65">
        <v>28.3</v>
      </c>
      <c r="N64" s="65">
        <v>28.3</v>
      </c>
      <c r="O64" s="65">
        <v>27.9</v>
      </c>
      <c r="P64" s="65">
        <v>27.9</v>
      </c>
      <c r="Q64" s="45">
        <v>22.5</v>
      </c>
      <c r="R64" s="45">
        <v>22.5</v>
      </c>
      <c r="S64" s="45">
        <v>22.5</v>
      </c>
      <c r="T64" s="65">
        <v>23</v>
      </c>
      <c r="U64" s="65">
        <v>25</v>
      </c>
      <c r="V64" s="65">
        <v>25.7</v>
      </c>
      <c r="W64" s="65">
        <v>20.7</v>
      </c>
      <c r="X64" s="65">
        <v>25.7</v>
      </c>
      <c r="Y64" s="65">
        <v>25.7</v>
      </c>
      <c r="Z64" s="65">
        <v>25.7</v>
      </c>
      <c r="AA64" s="65">
        <v>25.7</v>
      </c>
      <c r="AB64" s="65">
        <v>28.1</v>
      </c>
      <c r="AC64" s="65">
        <v>28</v>
      </c>
      <c r="AD64" s="65">
        <v>28</v>
      </c>
      <c r="AE64" s="65">
        <v>19</v>
      </c>
      <c r="AF64" s="45">
        <v>9.6</v>
      </c>
      <c r="AG64" s="55">
        <v>32</v>
      </c>
      <c r="AH64" s="48">
        <f t="shared" si="2"/>
        <v>28.3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2</v>
      </c>
      <c r="L65" s="67">
        <v>8</v>
      </c>
      <c r="M65" s="67">
        <v>10.3</v>
      </c>
      <c r="N65" s="67">
        <v>10.3</v>
      </c>
      <c r="O65" s="67">
        <v>10.3</v>
      </c>
      <c r="P65" s="67">
        <v>10.3</v>
      </c>
      <c r="Q65" s="45">
        <v>8.3000000000000007</v>
      </c>
      <c r="R65" s="45">
        <v>8.3000000000000007</v>
      </c>
      <c r="S65" s="45">
        <v>8.3000000000000007</v>
      </c>
      <c r="T65" s="67">
        <v>8.5</v>
      </c>
      <c r="U65" s="67">
        <v>9.11</v>
      </c>
      <c r="V65" s="67">
        <v>9.4</v>
      </c>
      <c r="W65" s="67">
        <v>7.6</v>
      </c>
      <c r="X65" s="67">
        <v>9.3000000000000007</v>
      </c>
      <c r="Y65" s="67">
        <v>9.3000000000000007</v>
      </c>
      <c r="Z65" s="67">
        <v>9.3000000000000007</v>
      </c>
      <c r="AA65" s="67">
        <v>9.3000000000000007</v>
      </c>
      <c r="AB65" s="67">
        <v>10.199999999999999</v>
      </c>
      <c r="AC65" s="67">
        <v>10.199999999999999</v>
      </c>
      <c r="AD65" s="67">
        <v>10.199999999999999</v>
      </c>
      <c r="AE65" s="67">
        <v>7</v>
      </c>
      <c r="AF65" s="45">
        <v>3.5</v>
      </c>
      <c r="AG65" s="68">
        <v>14</v>
      </c>
      <c r="AH65" s="48">
        <f t="shared" si="2"/>
        <v>10.3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79</v>
      </c>
      <c r="M66" s="61">
        <f t="shared" ref="M66:AF66" si="7">M63+M64+M65</f>
        <v>98.6</v>
      </c>
      <c r="N66" s="61">
        <f t="shared" si="7"/>
        <v>98.6</v>
      </c>
      <c r="O66" s="61">
        <f t="shared" si="7"/>
        <v>88.2</v>
      </c>
      <c r="P66" s="61">
        <f t="shared" si="7"/>
        <v>88.2</v>
      </c>
      <c r="Q66" s="61">
        <f t="shared" si="7"/>
        <v>75.8</v>
      </c>
      <c r="R66" s="61">
        <f t="shared" si="7"/>
        <v>90.8</v>
      </c>
      <c r="S66" s="61">
        <f t="shared" si="7"/>
        <v>90.8</v>
      </c>
      <c r="T66" s="61">
        <f t="shared" si="7"/>
        <v>86.5</v>
      </c>
      <c r="U66" s="61">
        <f t="shared" si="7"/>
        <v>89.11</v>
      </c>
      <c r="V66" s="61">
        <f t="shared" si="7"/>
        <v>85.100000000000009</v>
      </c>
      <c r="W66" s="61">
        <f t="shared" si="7"/>
        <v>73.3</v>
      </c>
      <c r="X66" s="61">
        <v>95</v>
      </c>
      <c r="Y66" s="61">
        <f t="shared" si="7"/>
        <v>95</v>
      </c>
      <c r="Z66" s="61">
        <f t="shared" si="7"/>
        <v>95</v>
      </c>
      <c r="AA66" s="61">
        <f t="shared" si="7"/>
        <v>95</v>
      </c>
      <c r="AB66" s="61">
        <f t="shared" si="7"/>
        <v>98.3</v>
      </c>
      <c r="AC66" s="61">
        <f t="shared" si="7"/>
        <v>98.2</v>
      </c>
      <c r="AD66" s="61">
        <f t="shared" si="7"/>
        <v>98.2</v>
      </c>
      <c r="AE66" s="61">
        <f t="shared" si="7"/>
        <v>66</v>
      </c>
      <c r="AF66" s="61">
        <f t="shared" si="7"/>
        <v>23.1</v>
      </c>
      <c r="AG66" s="62">
        <f t="shared" ref="AG66" si="8">SUM(AG63:AG65)</f>
        <v>106</v>
      </c>
      <c r="AH66" s="48">
        <f t="shared" si="2"/>
        <v>98.6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75.7</v>
      </c>
      <c r="C67" s="45">
        <v>61.4</v>
      </c>
      <c r="D67" s="45">
        <v>68.599999999999994</v>
      </c>
      <c r="E67" s="45">
        <v>70</v>
      </c>
      <c r="F67" s="45">
        <v>66.7</v>
      </c>
      <c r="G67" s="45">
        <v>64.7</v>
      </c>
      <c r="H67" s="45">
        <v>72</v>
      </c>
      <c r="I67" s="45">
        <v>68</v>
      </c>
      <c r="J67" s="45">
        <v>66.5</v>
      </c>
      <c r="K67" s="45">
        <v>71</v>
      </c>
      <c r="L67" s="45">
        <v>76</v>
      </c>
      <c r="M67" s="45">
        <v>68.7</v>
      </c>
      <c r="N67" s="45">
        <v>70.5</v>
      </c>
      <c r="O67" s="45">
        <v>71</v>
      </c>
      <c r="P67" s="45">
        <v>68</v>
      </c>
      <c r="Q67" s="45">
        <v>59</v>
      </c>
      <c r="R67" s="45">
        <v>59</v>
      </c>
      <c r="S67" s="45">
        <v>58</v>
      </c>
      <c r="T67" s="45">
        <v>53</v>
      </c>
      <c r="U67" s="45">
        <v>62</v>
      </c>
      <c r="V67" s="45">
        <v>62.6</v>
      </c>
      <c r="W67" s="45">
        <v>56.4</v>
      </c>
      <c r="X67" s="45">
        <v>58</v>
      </c>
      <c r="Y67" s="45">
        <v>66.7</v>
      </c>
      <c r="Z67" s="45">
        <v>67.099999999999994</v>
      </c>
      <c r="AA67" s="45">
        <v>64.400000000000006</v>
      </c>
      <c r="AB67" s="45">
        <v>60</v>
      </c>
      <c r="AC67" s="45">
        <v>60.3</v>
      </c>
      <c r="AD67" s="45">
        <v>58.3</v>
      </c>
      <c r="AE67" s="45">
        <v>50</v>
      </c>
      <c r="AF67" s="45">
        <v>56</v>
      </c>
      <c r="AG67" s="52"/>
      <c r="AH67" s="48">
        <f t="shared" si="2"/>
        <v>76</v>
      </c>
      <c r="AI67" s="49">
        <f t="shared" si="3"/>
        <v>50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213.1</v>
      </c>
      <c r="C69" s="65">
        <v>204</v>
      </c>
      <c r="D69" s="65">
        <v>185.6</v>
      </c>
      <c r="E69" s="65">
        <v>195</v>
      </c>
      <c r="F69" s="65">
        <v>185</v>
      </c>
      <c r="G69" s="65">
        <v>288</v>
      </c>
      <c r="H69" s="65">
        <v>245.7</v>
      </c>
      <c r="I69" s="65">
        <v>299</v>
      </c>
      <c r="J69" s="65">
        <v>286.39999999999998</v>
      </c>
      <c r="K69" s="65">
        <v>288</v>
      </c>
      <c r="L69" s="65">
        <v>301</v>
      </c>
      <c r="M69" s="65">
        <v>300.39999999999998</v>
      </c>
      <c r="N69" s="65">
        <v>223.2</v>
      </c>
      <c r="O69" s="65">
        <v>245</v>
      </c>
      <c r="P69" s="65">
        <v>340</v>
      </c>
      <c r="Q69" s="65">
        <v>335</v>
      </c>
      <c r="R69" s="65"/>
      <c r="S69" s="65">
        <v>356</v>
      </c>
      <c r="T69" s="65">
        <v>347</v>
      </c>
      <c r="U69" s="65">
        <v>340</v>
      </c>
      <c r="V69" s="65">
        <v>263</v>
      </c>
      <c r="W69" s="65">
        <v>301</v>
      </c>
      <c r="X69" s="65">
        <v>290</v>
      </c>
      <c r="Y69" s="65">
        <v>285</v>
      </c>
      <c r="Z69" s="65">
        <v>295</v>
      </c>
      <c r="AA69" s="65">
        <v>287</v>
      </c>
      <c r="AB69" s="65">
        <v>290</v>
      </c>
      <c r="AC69" s="65">
        <v>315</v>
      </c>
      <c r="AD69" s="65">
        <v>319</v>
      </c>
      <c r="AE69" s="65">
        <v>315</v>
      </c>
      <c r="AF69" s="65">
        <v>288</v>
      </c>
      <c r="AG69" s="75"/>
      <c r="AH69" s="48">
        <f t="shared" si="2"/>
        <v>356</v>
      </c>
      <c r="AI69" s="49">
        <f t="shared" si="3"/>
        <v>185</v>
      </c>
      <c r="AK69" s="50"/>
    </row>
    <row r="70" spans="1:40" x14ac:dyDescent="0.25">
      <c r="A70" s="54" t="s">
        <v>78</v>
      </c>
      <c r="B70" s="76">
        <v>55.1</v>
      </c>
      <c r="C70" s="76">
        <v>55.1</v>
      </c>
      <c r="D70" s="76">
        <v>54.3</v>
      </c>
      <c r="E70" s="76">
        <v>55.9</v>
      </c>
      <c r="F70" s="76">
        <v>56.3</v>
      </c>
      <c r="G70" s="76">
        <v>39.4</v>
      </c>
      <c r="H70" s="76">
        <v>55.7</v>
      </c>
      <c r="I70" s="76">
        <v>62.4</v>
      </c>
      <c r="J70" s="76">
        <v>66.5</v>
      </c>
      <c r="K70" s="76">
        <v>71</v>
      </c>
      <c r="L70" s="76">
        <v>65.7</v>
      </c>
      <c r="M70" s="76">
        <v>58.3</v>
      </c>
      <c r="N70" s="76">
        <v>58.3</v>
      </c>
      <c r="O70" s="76">
        <v>61</v>
      </c>
      <c r="P70" s="76">
        <v>57.9</v>
      </c>
      <c r="Q70" s="76">
        <v>51.3</v>
      </c>
      <c r="R70" s="76"/>
      <c r="S70" s="76">
        <v>51.3</v>
      </c>
      <c r="T70" s="76">
        <v>60.2</v>
      </c>
      <c r="U70" s="76">
        <v>62</v>
      </c>
      <c r="V70" s="76">
        <v>62</v>
      </c>
      <c r="W70" s="76">
        <v>55.7</v>
      </c>
      <c r="X70" s="65">
        <v>59.4</v>
      </c>
      <c r="Y70" s="65">
        <v>59.4</v>
      </c>
      <c r="Z70" s="65">
        <v>59.4</v>
      </c>
      <c r="AA70" s="65">
        <v>53.7</v>
      </c>
      <c r="AB70" s="65">
        <v>53.7</v>
      </c>
      <c r="AC70" s="65">
        <v>59.1</v>
      </c>
      <c r="AD70" s="65">
        <v>56.4</v>
      </c>
      <c r="AE70" s="65">
        <v>48</v>
      </c>
      <c r="AF70" s="65">
        <v>51.4</v>
      </c>
      <c r="AG70" s="75"/>
      <c r="AH70" s="48">
        <f t="shared" si="2"/>
        <v>71</v>
      </c>
      <c r="AI70" s="49">
        <f t="shared" si="3"/>
        <v>39.4</v>
      </c>
      <c r="AK70" s="50"/>
    </row>
    <row r="71" spans="1:40" x14ac:dyDescent="0.25">
      <c r="A71" s="54" t="s">
        <v>79</v>
      </c>
      <c r="B71" s="45">
        <v>30</v>
      </c>
      <c r="C71" s="45">
        <v>30</v>
      </c>
      <c r="D71" s="45">
        <v>25</v>
      </c>
      <c r="E71" s="45">
        <v>25</v>
      </c>
      <c r="F71" s="45">
        <v>25</v>
      </c>
      <c r="G71" s="45">
        <v>0</v>
      </c>
      <c r="H71" s="45">
        <v>22</v>
      </c>
      <c r="I71" s="45">
        <v>22</v>
      </c>
      <c r="J71" s="45">
        <v>25</v>
      </c>
      <c r="K71" s="45">
        <v>26</v>
      </c>
      <c r="L71" s="45">
        <v>26</v>
      </c>
      <c r="M71" s="45">
        <v>30</v>
      </c>
      <c r="N71" s="45">
        <v>30</v>
      </c>
      <c r="O71" s="45">
        <v>37</v>
      </c>
      <c r="P71" s="45">
        <v>30</v>
      </c>
      <c r="Q71" s="45">
        <v>30</v>
      </c>
      <c r="R71" s="45"/>
      <c r="S71" s="45">
        <v>30</v>
      </c>
      <c r="T71" s="45">
        <v>30</v>
      </c>
      <c r="U71" s="45">
        <v>30</v>
      </c>
      <c r="V71" s="45">
        <v>30</v>
      </c>
      <c r="W71" s="45">
        <v>32</v>
      </c>
      <c r="X71" s="45">
        <v>32</v>
      </c>
      <c r="Y71" s="45">
        <v>32</v>
      </c>
      <c r="Z71" s="45">
        <v>32</v>
      </c>
      <c r="AA71" s="45">
        <v>32</v>
      </c>
      <c r="AB71" s="45">
        <v>30</v>
      </c>
      <c r="AC71" s="45">
        <v>30</v>
      </c>
      <c r="AD71" s="45">
        <v>22</v>
      </c>
      <c r="AE71" s="45">
        <v>30</v>
      </c>
      <c r="AF71" s="45">
        <v>29</v>
      </c>
      <c r="AG71" s="75"/>
      <c r="AH71" s="48">
        <f t="shared" si="2"/>
        <v>37</v>
      </c>
      <c r="AI71" s="49">
        <f t="shared" si="3"/>
        <v>0</v>
      </c>
      <c r="AK71" s="50"/>
    </row>
    <row r="72" spans="1:40" x14ac:dyDescent="0.25">
      <c r="A72" s="54" t="s">
        <v>80</v>
      </c>
      <c r="B72" s="77">
        <v>0</v>
      </c>
      <c r="C72" s="77">
        <v>5</v>
      </c>
      <c r="D72" s="77">
        <v>5</v>
      </c>
      <c r="E72" s="77">
        <v>0</v>
      </c>
      <c r="F72" s="77">
        <v>0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/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5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/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/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8">
        <f t="shared" si="2"/>
        <v>0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/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9">MAX(B75:AF75)</f>
        <v>0</v>
      </c>
      <c r="AI75" s="49">
        <f t="shared" ref="AI75:AI113" si="10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/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9"/>
        <v>0</v>
      </c>
      <c r="AI76" s="49">
        <f t="shared" si="10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/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9"/>
        <v>0</v>
      </c>
      <c r="AI77" s="49">
        <f t="shared" si="10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1">SUMIF(B67:B77,"&gt;0")</f>
        <v>373.90000000000003</v>
      </c>
      <c r="C78" s="61">
        <f t="shared" si="11"/>
        <v>355.5</v>
      </c>
      <c r="D78" s="61">
        <f t="shared" si="11"/>
        <v>338.5</v>
      </c>
      <c r="E78" s="61">
        <f t="shared" si="11"/>
        <v>345.9</v>
      </c>
      <c r="F78" s="61">
        <f t="shared" si="11"/>
        <v>333</v>
      </c>
      <c r="G78" s="61">
        <f t="shared" si="11"/>
        <v>397.09999999999997</v>
      </c>
      <c r="H78" s="61">
        <f t="shared" si="11"/>
        <v>400.4</v>
      </c>
      <c r="I78" s="61">
        <f t="shared" si="11"/>
        <v>456.4</v>
      </c>
      <c r="J78" s="61">
        <f t="shared" si="11"/>
        <v>449.4</v>
      </c>
      <c r="K78" s="61">
        <f t="shared" si="11"/>
        <v>461</v>
      </c>
      <c r="L78" s="61">
        <f t="shared" si="11"/>
        <v>473.7</v>
      </c>
      <c r="M78" s="61">
        <f t="shared" si="11"/>
        <v>462.4</v>
      </c>
      <c r="N78" s="61">
        <f t="shared" si="11"/>
        <v>387</v>
      </c>
      <c r="O78" s="61">
        <f t="shared" si="11"/>
        <v>419</v>
      </c>
      <c r="P78" s="61">
        <f t="shared" si="11"/>
        <v>500.9</v>
      </c>
      <c r="Q78" s="61">
        <f t="shared" si="11"/>
        <v>480.3</v>
      </c>
      <c r="R78" s="61">
        <f t="shared" si="11"/>
        <v>59</v>
      </c>
      <c r="S78" s="61">
        <f t="shared" si="11"/>
        <v>500.3</v>
      </c>
      <c r="T78" s="61">
        <f t="shared" si="11"/>
        <v>495.2</v>
      </c>
      <c r="U78" s="61">
        <f t="shared" si="11"/>
        <v>499</v>
      </c>
      <c r="V78" s="61">
        <f t="shared" si="11"/>
        <v>422.6</v>
      </c>
      <c r="W78" s="61">
        <f t="shared" si="11"/>
        <v>450.09999999999997</v>
      </c>
      <c r="X78" s="61">
        <v>444.4</v>
      </c>
      <c r="Y78" s="61">
        <f t="shared" si="11"/>
        <v>448.09999999999997</v>
      </c>
      <c r="Z78" s="61">
        <f t="shared" si="11"/>
        <v>458.5</v>
      </c>
      <c r="AA78" s="61">
        <f t="shared" si="11"/>
        <v>442.09999999999997</v>
      </c>
      <c r="AB78" s="61">
        <f t="shared" si="11"/>
        <v>438.7</v>
      </c>
      <c r="AC78" s="61">
        <f t="shared" si="11"/>
        <v>469.40000000000003</v>
      </c>
      <c r="AD78" s="61">
        <f t="shared" si="11"/>
        <v>460.7</v>
      </c>
      <c r="AE78" s="61">
        <f t="shared" si="11"/>
        <v>448</v>
      </c>
      <c r="AF78" s="61">
        <f t="shared" si="11"/>
        <v>429.4</v>
      </c>
      <c r="AG78" s="81">
        <f>SUM(AG67:AG77)</f>
        <v>0</v>
      </c>
      <c r="AH78" s="48">
        <f t="shared" si="9"/>
        <v>500.9</v>
      </c>
      <c r="AI78" s="49">
        <f t="shared" si="10"/>
        <v>59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9"/>
        <v>0</v>
      </c>
      <c r="AI79" s="49">
        <f t="shared" si="10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9"/>
        <v>0</v>
      </c>
      <c r="AI80" s="49">
        <f t="shared" si="10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9"/>
        <v>0</v>
      </c>
      <c r="AI81" s="49">
        <f t="shared" si="10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9"/>
        <v>0</v>
      </c>
      <c r="AI82" s="49">
        <f t="shared" si="10"/>
        <v>0</v>
      </c>
    </row>
    <row r="83" spans="1:37" ht="15.75" thickBot="1" x14ac:dyDescent="0.3">
      <c r="A83" s="74" t="s">
        <v>91</v>
      </c>
      <c r="B83" s="83">
        <f>B44+B48+B66+B62+B78+B82</f>
        <v>1031.1400000000001</v>
      </c>
      <c r="C83" s="83">
        <f t="shared" ref="C83:AG83" si="12">C44+C48+C66+C62+C78+C82</f>
        <v>1019.74</v>
      </c>
      <c r="D83" s="83">
        <f t="shared" si="12"/>
        <v>1003.24</v>
      </c>
      <c r="E83" s="83">
        <f t="shared" si="12"/>
        <v>995.74999999999989</v>
      </c>
      <c r="F83" s="83">
        <f t="shared" si="12"/>
        <v>982.84999999999991</v>
      </c>
      <c r="G83" s="83">
        <f t="shared" si="12"/>
        <v>1059.05</v>
      </c>
      <c r="H83" s="83">
        <f t="shared" si="12"/>
        <v>1067.04</v>
      </c>
      <c r="I83" s="83">
        <f t="shared" si="12"/>
        <v>1173.44</v>
      </c>
      <c r="J83" s="83">
        <f t="shared" si="12"/>
        <v>1328.7399999999998</v>
      </c>
      <c r="K83" s="83">
        <f t="shared" si="12"/>
        <v>1487.2399999999998</v>
      </c>
      <c r="L83" s="83">
        <f t="shared" si="12"/>
        <v>1637.84</v>
      </c>
      <c r="M83" s="83">
        <f t="shared" si="12"/>
        <v>1646.3400000000001</v>
      </c>
      <c r="N83" s="83">
        <f t="shared" si="12"/>
        <v>1627.54</v>
      </c>
      <c r="O83" s="83">
        <f t="shared" si="12"/>
        <v>1612.94</v>
      </c>
      <c r="P83" s="83">
        <f t="shared" si="12"/>
        <v>1595.3400000000001</v>
      </c>
      <c r="Q83" s="83">
        <f t="shared" si="12"/>
        <v>1463.9399999999998</v>
      </c>
      <c r="R83" s="83">
        <f t="shared" si="12"/>
        <v>244.34</v>
      </c>
      <c r="S83" s="83">
        <f t="shared" si="12"/>
        <v>1414.0399999999997</v>
      </c>
      <c r="T83" s="83">
        <f t="shared" si="12"/>
        <v>1427.6399999999999</v>
      </c>
      <c r="U83" s="83">
        <f t="shared" si="12"/>
        <v>1414.85</v>
      </c>
      <c r="V83" s="83">
        <f t="shared" si="12"/>
        <v>1334.44</v>
      </c>
      <c r="W83" s="83">
        <f t="shared" si="12"/>
        <v>1475.5399999999997</v>
      </c>
      <c r="X83" s="83">
        <v>1659.44</v>
      </c>
      <c r="Y83" s="83">
        <f t="shared" si="12"/>
        <v>1648.1399999999999</v>
      </c>
      <c r="Z83" s="83">
        <f t="shared" si="12"/>
        <v>1630.74</v>
      </c>
      <c r="AA83" s="83">
        <f t="shared" si="12"/>
        <v>1653.2399999999998</v>
      </c>
      <c r="AB83" s="83">
        <f t="shared" si="12"/>
        <v>1576.5399999999997</v>
      </c>
      <c r="AC83" s="83">
        <f t="shared" si="12"/>
        <v>1566.6399999999999</v>
      </c>
      <c r="AD83" s="83">
        <f t="shared" si="12"/>
        <v>1478.84</v>
      </c>
      <c r="AE83" s="83">
        <f t="shared" si="12"/>
        <v>1281.54</v>
      </c>
      <c r="AF83" s="83">
        <f t="shared" si="12"/>
        <v>1137.54</v>
      </c>
      <c r="AG83" s="62">
        <f t="shared" si="12"/>
        <v>2004.1900000000003</v>
      </c>
      <c r="AH83" s="48">
        <f>MAX(B83:AF83)</f>
        <v>1659.44</v>
      </c>
      <c r="AI83" s="49">
        <f>MIN(B83:AF83)</f>
        <v>244.34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>
        <v>80</v>
      </c>
      <c r="Y84" s="85">
        <v>90</v>
      </c>
      <c r="Z84" s="85">
        <v>40</v>
      </c>
      <c r="AA84" s="85">
        <v>20</v>
      </c>
      <c r="AB84" s="85">
        <v>20</v>
      </c>
      <c r="AC84" s="85">
        <v>20</v>
      </c>
      <c r="AD84" s="85">
        <v>20</v>
      </c>
      <c r="AE84" s="85"/>
      <c r="AF84" s="85"/>
      <c r="AG84" s="81"/>
      <c r="AH84" s="48">
        <f t="shared" si="9"/>
        <v>90</v>
      </c>
      <c r="AI84" s="49">
        <f t="shared" si="10"/>
        <v>20</v>
      </c>
    </row>
    <row r="85" spans="1:37" ht="15.75" thickBot="1" x14ac:dyDescent="0.3">
      <c r="A85" s="74" t="s">
        <v>93</v>
      </c>
      <c r="B85" s="83">
        <f>B83+B84</f>
        <v>1031.1400000000001</v>
      </c>
      <c r="C85" s="83">
        <f t="shared" ref="C85:AF85" si="13">C83+C84</f>
        <v>1019.74</v>
      </c>
      <c r="D85" s="83">
        <f t="shared" si="13"/>
        <v>1003.24</v>
      </c>
      <c r="E85" s="83">
        <f t="shared" si="13"/>
        <v>995.74999999999989</v>
      </c>
      <c r="F85" s="83">
        <f t="shared" si="13"/>
        <v>982.84999999999991</v>
      </c>
      <c r="G85" s="83">
        <f t="shared" si="13"/>
        <v>1059.05</v>
      </c>
      <c r="H85" s="83">
        <f t="shared" si="13"/>
        <v>1067.04</v>
      </c>
      <c r="I85" s="83">
        <f t="shared" si="13"/>
        <v>1173.44</v>
      </c>
      <c r="J85" s="83">
        <f t="shared" si="13"/>
        <v>1328.7399999999998</v>
      </c>
      <c r="K85" s="83">
        <f t="shared" si="13"/>
        <v>1487.2399999999998</v>
      </c>
      <c r="L85" s="83">
        <f t="shared" si="13"/>
        <v>1637.84</v>
      </c>
      <c r="M85" s="83">
        <f t="shared" si="13"/>
        <v>1646.3400000000001</v>
      </c>
      <c r="N85" s="83">
        <f t="shared" si="13"/>
        <v>1627.54</v>
      </c>
      <c r="O85" s="83">
        <f t="shared" si="13"/>
        <v>1612.94</v>
      </c>
      <c r="P85" s="83">
        <f t="shared" si="13"/>
        <v>1595.3400000000001</v>
      </c>
      <c r="Q85" s="83">
        <f t="shared" si="13"/>
        <v>1463.9399999999998</v>
      </c>
      <c r="R85" s="83">
        <f t="shared" si="13"/>
        <v>244.34</v>
      </c>
      <c r="S85" s="83">
        <f t="shared" si="13"/>
        <v>1414.0399999999997</v>
      </c>
      <c r="T85" s="83">
        <f t="shared" si="13"/>
        <v>1427.6399999999999</v>
      </c>
      <c r="U85" s="83">
        <f t="shared" si="13"/>
        <v>1414.85</v>
      </c>
      <c r="V85" s="83">
        <f t="shared" si="13"/>
        <v>1334.44</v>
      </c>
      <c r="W85" s="83">
        <f t="shared" si="13"/>
        <v>1475.5399999999997</v>
      </c>
      <c r="X85" s="83">
        <v>1739.44</v>
      </c>
      <c r="Y85" s="83">
        <f t="shared" si="13"/>
        <v>1738.1399999999999</v>
      </c>
      <c r="Z85" s="83">
        <f t="shared" si="13"/>
        <v>1670.74</v>
      </c>
      <c r="AA85" s="83">
        <f t="shared" si="13"/>
        <v>1673.2399999999998</v>
      </c>
      <c r="AB85" s="83">
        <f t="shared" si="13"/>
        <v>1596.5399999999997</v>
      </c>
      <c r="AC85" s="83">
        <f t="shared" si="13"/>
        <v>1586.6399999999999</v>
      </c>
      <c r="AD85" s="83">
        <f t="shared" si="13"/>
        <v>1498.84</v>
      </c>
      <c r="AE85" s="83">
        <f t="shared" si="13"/>
        <v>1281.54</v>
      </c>
      <c r="AF85" s="83">
        <f t="shared" si="13"/>
        <v>1137.54</v>
      </c>
      <c r="AG85" s="81">
        <f>AG82+AG78+AG66+AG62+AG44+AG84</f>
        <v>1466.0900000000001</v>
      </c>
      <c r="AH85" s="48">
        <f t="shared" si="9"/>
        <v>1739.44</v>
      </c>
      <c r="AI85" s="49">
        <f t="shared" si="10"/>
        <v>244.34</v>
      </c>
    </row>
    <row r="86" spans="1:37" ht="15.75" thickBot="1" x14ac:dyDescent="0.3">
      <c r="A86" s="74" t="s">
        <v>94</v>
      </c>
      <c r="B86" s="83">
        <f t="shared" ref="B86:AF86" si="14">B85-B93</f>
        <v>1031.1400000000001</v>
      </c>
      <c r="C86" s="83">
        <f t="shared" si="14"/>
        <v>1019.74</v>
      </c>
      <c r="D86" s="83">
        <f t="shared" si="14"/>
        <v>1003.24</v>
      </c>
      <c r="E86" s="83">
        <f t="shared" si="14"/>
        <v>995.74999999999989</v>
      </c>
      <c r="F86" s="83">
        <f t="shared" si="14"/>
        <v>982.84999999999991</v>
      </c>
      <c r="G86" s="83">
        <f t="shared" si="14"/>
        <v>1059.05</v>
      </c>
      <c r="H86" s="83">
        <f t="shared" si="14"/>
        <v>1067.04</v>
      </c>
      <c r="I86" s="83">
        <f t="shared" si="14"/>
        <v>1173.44</v>
      </c>
      <c r="J86" s="83">
        <f t="shared" si="14"/>
        <v>1328.7399999999998</v>
      </c>
      <c r="K86" s="83">
        <f t="shared" si="14"/>
        <v>1487.2399999999998</v>
      </c>
      <c r="L86" s="83">
        <f t="shared" si="14"/>
        <v>1637.84</v>
      </c>
      <c r="M86" s="83">
        <f t="shared" si="14"/>
        <v>1646.3400000000001</v>
      </c>
      <c r="N86" s="83">
        <f t="shared" si="14"/>
        <v>1627.54</v>
      </c>
      <c r="O86" s="83">
        <f t="shared" si="14"/>
        <v>1612.94</v>
      </c>
      <c r="P86" s="83">
        <f t="shared" si="14"/>
        <v>1595.3400000000001</v>
      </c>
      <c r="Q86" s="83">
        <f t="shared" si="14"/>
        <v>1463.9399999999998</v>
      </c>
      <c r="R86" s="83">
        <f t="shared" si="14"/>
        <v>244.34</v>
      </c>
      <c r="S86" s="83">
        <f t="shared" si="14"/>
        <v>1414.0399999999997</v>
      </c>
      <c r="T86" s="83">
        <f t="shared" si="14"/>
        <v>1427.6399999999999</v>
      </c>
      <c r="U86" s="83">
        <f t="shared" si="14"/>
        <v>1414.85</v>
      </c>
      <c r="V86" s="83">
        <f t="shared" si="14"/>
        <v>1334.44</v>
      </c>
      <c r="W86" s="83">
        <f t="shared" si="14"/>
        <v>1475.5399999999997</v>
      </c>
      <c r="X86" s="83">
        <v>1739.44</v>
      </c>
      <c r="Y86" s="83">
        <f t="shared" si="14"/>
        <v>1688.1399999999999</v>
      </c>
      <c r="Z86" s="83">
        <f t="shared" si="14"/>
        <v>1670.74</v>
      </c>
      <c r="AA86" s="83">
        <f t="shared" si="14"/>
        <v>1673.2399999999998</v>
      </c>
      <c r="AB86" s="83">
        <f t="shared" si="14"/>
        <v>1596.5399999999997</v>
      </c>
      <c r="AC86" s="83">
        <f t="shared" si="14"/>
        <v>1586.6399999999999</v>
      </c>
      <c r="AD86" s="83">
        <f t="shared" si="14"/>
        <v>1498.84</v>
      </c>
      <c r="AE86" s="83">
        <f t="shared" si="14"/>
        <v>1281.54</v>
      </c>
      <c r="AF86" s="83">
        <f t="shared" si="14"/>
        <v>1137.54</v>
      </c>
      <c r="AG86" s="81"/>
      <c r="AH86" s="48">
        <f t="shared" si="9"/>
        <v>1739.44</v>
      </c>
      <c r="AI86" s="49">
        <f t="shared" si="10"/>
        <v>244.34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9"/>
        <v>0</v>
      </c>
      <c r="AI87" s="49">
        <f t="shared" si="10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9"/>
        <v>0</v>
      </c>
      <c r="AI88" s="49">
        <f t="shared" si="10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9"/>
        <v>0</v>
      </c>
      <c r="AI89" s="49">
        <f t="shared" si="10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9"/>
        <v>0</v>
      </c>
      <c r="AI90" s="49">
        <f t="shared" si="10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9"/>
        <v>0</v>
      </c>
      <c r="AI91" s="49">
        <f t="shared" si="10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9"/>
        <v>0</v>
      </c>
      <c r="AI92" s="49">
        <f t="shared" si="10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>
        <v>50</v>
      </c>
      <c r="Z93" s="61"/>
      <c r="AA93" s="61"/>
      <c r="AB93" s="61"/>
      <c r="AC93" s="61"/>
      <c r="AD93" s="61"/>
      <c r="AE93" s="61"/>
      <c r="AF93" s="61"/>
      <c r="AG93" s="81"/>
      <c r="AH93" s="48">
        <f t="shared" si="9"/>
        <v>50</v>
      </c>
      <c r="AI93" s="49">
        <f t="shared" si="10"/>
        <v>0</v>
      </c>
      <c r="AK93" s="50"/>
    </row>
    <row r="94" spans="1:37" ht="15.75" thickBot="1" x14ac:dyDescent="0.3">
      <c r="A94" s="74" t="s">
        <v>99</v>
      </c>
      <c r="B94" s="61">
        <f t="shared" ref="B94:AF94" si="15">B78-B93</f>
        <v>373.90000000000003</v>
      </c>
      <c r="C94" s="61">
        <f t="shared" si="15"/>
        <v>355.5</v>
      </c>
      <c r="D94" s="61">
        <f t="shared" si="15"/>
        <v>338.5</v>
      </c>
      <c r="E94" s="61">
        <f t="shared" si="15"/>
        <v>345.9</v>
      </c>
      <c r="F94" s="61">
        <f t="shared" si="15"/>
        <v>333</v>
      </c>
      <c r="G94" s="61">
        <f t="shared" si="15"/>
        <v>397.09999999999997</v>
      </c>
      <c r="H94" s="61">
        <f t="shared" si="15"/>
        <v>400.4</v>
      </c>
      <c r="I94" s="61">
        <f t="shared" si="15"/>
        <v>456.4</v>
      </c>
      <c r="J94" s="61">
        <f t="shared" si="15"/>
        <v>449.4</v>
      </c>
      <c r="K94" s="61">
        <f t="shared" si="15"/>
        <v>461</v>
      </c>
      <c r="L94" s="61">
        <f t="shared" si="15"/>
        <v>473.7</v>
      </c>
      <c r="M94" s="61">
        <f t="shared" si="15"/>
        <v>462.4</v>
      </c>
      <c r="N94" s="61">
        <f t="shared" si="15"/>
        <v>387</v>
      </c>
      <c r="O94" s="61">
        <f t="shared" si="15"/>
        <v>419</v>
      </c>
      <c r="P94" s="61">
        <f t="shared" si="15"/>
        <v>500.9</v>
      </c>
      <c r="Q94" s="61">
        <f t="shared" si="15"/>
        <v>480.3</v>
      </c>
      <c r="R94" s="61">
        <f t="shared" si="15"/>
        <v>59</v>
      </c>
      <c r="S94" s="61">
        <f t="shared" si="15"/>
        <v>500.3</v>
      </c>
      <c r="T94" s="61">
        <f t="shared" si="15"/>
        <v>495.2</v>
      </c>
      <c r="U94" s="61">
        <f t="shared" si="15"/>
        <v>499</v>
      </c>
      <c r="V94" s="61">
        <f t="shared" si="15"/>
        <v>422.6</v>
      </c>
      <c r="W94" s="61">
        <f t="shared" si="15"/>
        <v>450.09999999999997</v>
      </c>
      <c r="X94" s="61">
        <v>444.4</v>
      </c>
      <c r="Y94" s="61">
        <f t="shared" si="15"/>
        <v>398.09999999999997</v>
      </c>
      <c r="Z94" s="61">
        <f t="shared" si="15"/>
        <v>458.5</v>
      </c>
      <c r="AA94" s="61">
        <f t="shared" si="15"/>
        <v>442.09999999999997</v>
      </c>
      <c r="AB94" s="61">
        <f t="shared" si="15"/>
        <v>438.7</v>
      </c>
      <c r="AC94" s="61">
        <f t="shared" si="15"/>
        <v>469.40000000000003</v>
      </c>
      <c r="AD94" s="61">
        <f t="shared" si="15"/>
        <v>460.7</v>
      </c>
      <c r="AE94" s="61">
        <f t="shared" si="15"/>
        <v>448</v>
      </c>
      <c r="AF94" s="61">
        <f t="shared" si="15"/>
        <v>429.4</v>
      </c>
      <c r="AG94" s="81"/>
      <c r="AH94" s="48">
        <f t="shared" si="9"/>
        <v>500.9</v>
      </c>
      <c r="AI94" s="49">
        <f t="shared" si="10"/>
        <v>59</v>
      </c>
    </row>
    <row r="95" spans="1:37" x14ac:dyDescent="0.25">
      <c r="A95" s="88" t="s">
        <v>100</v>
      </c>
      <c r="B95" s="89">
        <v>50.048000000000002</v>
      </c>
      <c r="C95" s="89">
        <v>50.024000000000001</v>
      </c>
      <c r="D95" s="89">
        <v>49.91</v>
      </c>
      <c r="E95" s="89">
        <v>50</v>
      </c>
      <c r="F95" s="89">
        <v>50.052999999999997</v>
      </c>
      <c r="G95" s="89">
        <v>50.075000000000003</v>
      </c>
      <c r="H95" s="89">
        <v>50.081000000000003</v>
      </c>
      <c r="I95" s="89">
        <v>50.048999999999999</v>
      </c>
      <c r="J95" s="89">
        <v>49.942999999999998</v>
      </c>
      <c r="K95" s="89">
        <v>50.03</v>
      </c>
      <c r="L95" s="89">
        <v>50.064999999999998</v>
      </c>
      <c r="M95" s="89">
        <v>50.023000000000003</v>
      </c>
      <c r="N95" s="89">
        <v>50.064999999999998</v>
      </c>
      <c r="O95" s="89">
        <v>49.993000000000002</v>
      </c>
      <c r="P95" s="89">
        <v>49.941000000000003</v>
      </c>
      <c r="Q95" s="89">
        <v>50.006999999999998</v>
      </c>
      <c r="R95" s="89"/>
      <c r="S95" s="89">
        <v>50.03</v>
      </c>
      <c r="T95" s="89">
        <v>50.02</v>
      </c>
      <c r="U95" s="89">
        <v>49.99</v>
      </c>
      <c r="V95" s="89">
        <v>49.9</v>
      </c>
      <c r="W95" s="89">
        <v>50.11</v>
      </c>
      <c r="X95" s="89">
        <v>49.99</v>
      </c>
      <c r="Y95" s="89">
        <v>50.02</v>
      </c>
      <c r="Z95" s="89">
        <v>49.94</v>
      </c>
      <c r="AA95" s="89">
        <v>49.99</v>
      </c>
      <c r="AB95" s="89">
        <v>49.996000000000002</v>
      </c>
      <c r="AC95" s="89">
        <v>49.905999999999999</v>
      </c>
      <c r="AD95" s="89">
        <v>50.06</v>
      </c>
      <c r="AE95" s="89">
        <v>50.113999999999997</v>
      </c>
      <c r="AF95" s="89">
        <v>50.064999999999998</v>
      </c>
      <c r="AG95" s="90"/>
      <c r="AH95" s="48">
        <f t="shared" si="9"/>
        <v>50.113999999999997</v>
      </c>
      <c r="AI95" s="49">
        <f t="shared" si="10"/>
        <v>49.9</v>
      </c>
    </row>
    <row r="96" spans="1:37" x14ac:dyDescent="0.25">
      <c r="A96" s="91" t="s">
        <v>101</v>
      </c>
      <c r="B96" s="65">
        <v>129.80000000000001</v>
      </c>
      <c r="C96" s="65">
        <v>130.30000000000001</v>
      </c>
      <c r="D96" s="65">
        <v>130.30000000000001</v>
      </c>
      <c r="E96" s="65">
        <v>131.9</v>
      </c>
      <c r="F96" s="65">
        <v>131</v>
      </c>
      <c r="G96" s="65">
        <v>127</v>
      </c>
      <c r="H96" s="65">
        <v>130</v>
      </c>
      <c r="I96" s="65">
        <v>127.8</v>
      </c>
      <c r="J96" s="65">
        <v>125</v>
      </c>
      <c r="K96" s="65">
        <v>126</v>
      </c>
      <c r="L96" s="65">
        <v>124</v>
      </c>
      <c r="M96" s="65">
        <v>124.2</v>
      </c>
      <c r="N96" s="65">
        <v>125.3</v>
      </c>
      <c r="O96" s="65">
        <v>124.7</v>
      </c>
      <c r="P96" s="65">
        <v>124.3</v>
      </c>
      <c r="Q96" s="65">
        <v>125.9</v>
      </c>
      <c r="R96" s="65"/>
      <c r="S96" s="65">
        <v>124.7</v>
      </c>
      <c r="T96" s="65">
        <v>125.3</v>
      </c>
      <c r="U96" s="65">
        <v>127</v>
      </c>
      <c r="V96" s="65">
        <v>128.80000000000001</v>
      </c>
      <c r="W96" s="65">
        <v>127</v>
      </c>
      <c r="X96" s="65">
        <v>125.7</v>
      </c>
      <c r="Y96" s="65">
        <v>127.2</v>
      </c>
      <c r="Z96" s="65">
        <v>126.4</v>
      </c>
      <c r="AA96" s="65">
        <v>124.3</v>
      </c>
      <c r="AB96" s="65">
        <v>126.7</v>
      </c>
      <c r="AC96" s="65">
        <v>125.6</v>
      </c>
      <c r="AD96" s="65">
        <v>126.9</v>
      </c>
      <c r="AE96" s="65">
        <v>129.1</v>
      </c>
      <c r="AF96" s="65">
        <v>127.8</v>
      </c>
      <c r="AG96" s="92"/>
      <c r="AH96" s="48">
        <f t="shared" si="9"/>
        <v>131.9</v>
      </c>
      <c r="AI96" s="49">
        <f t="shared" si="10"/>
        <v>124</v>
      </c>
    </row>
    <row r="97" spans="1:35" x14ac:dyDescent="0.25">
      <c r="A97" s="91" t="s">
        <v>102</v>
      </c>
      <c r="B97" s="65">
        <v>134</v>
      </c>
      <c r="C97" s="65">
        <v>134.1</v>
      </c>
      <c r="D97" s="65">
        <v>134.1</v>
      </c>
      <c r="E97" s="65">
        <v>135</v>
      </c>
      <c r="F97" s="65">
        <v>135</v>
      </c>
      <c r="G97" s="65">
        <v>131.5</v>
      </c>
      <c r="H97" s="65">
        <v>132</v>
      </c>
      <c r="I97" s="65">
        <v>131</v>
      </c>
      <c r="J97" s="65">
        <v>128.5</v>
      </c>
      <c r="K97" s="65">
        <v>129</v>
      </c>
      <c r="L97" s="65">
        <v>1274</v>
      </c>
      <c r="M97" s="65">
        <v>126.5</v>
      </c>
      <c r="N97" s="65">
        <v>127.3</v>
      </c>
      <c r="O97" s="65">
        <v>127.2</v>
      </c>
      <c r="P97" s="65">
        <v>127.2</v>
      </c>
      <c r="Q97" s="65">
        <v>128.80000000000001</v>
      </c>
      <c r="R97" s="65"/>
      <c r="S97" s="65">
        <v>128.80000000000001</v>
      </c>
      <c r="T97" s="65">
        <v>127.7</v>
      </c>
      <c r="U97" s="65">
        <v>129.5</v>
      </c>
      <c r="V97" s="65">
        <v>130.30000000000001</v>
      </c>
      <c r="W97" s="65">
        <v>128.9</v>
      </c>
      <c r="X97" s="65">
        <v>127.1</v>
      </c>
      <c r="Y97" s="65">
        <v>128.5</v>
      </c>
      <c r="Z97" s="65">
        <v>128.1</v>
      </c>
      <c r="AA97" s="65">
        <v>127.1</v>
      </c>
      <c r="AB97" s="65">
        <v>128.69999999999999</v>
      </c>
      <c r="AC97" s="65">
        <v>128.19999999999999</v>
      </c>
      <c r="AD97" s="65">
        <v>129</v>
      </c>
      <c r="AE97" s="65">
        <v>131.5</v>
      </c>
      <c r="AF97" s="65">
        <v>131.4</v>
      </c>
      <c r="AG97" s="92"/>
      <c r="AH97" s="48">
        <f t="shared" si="9"/>
        <v>1274</v>
      </c>
      <c r="AI97" s="49">
        <f t="shared" si="10"/>
        <v>126.5</v>
      </c>
    </row>
    <row r="98" spans="1:35" x14ac:dyDescent="0.25">
      <c r="A98" s="91" t="s">
        <v>103</v>
      </c>
      <c r="B98" s="65">
        <v>131.5</v>
      </c>
      <c r="C98" s="65">
        <v>132.9</v>
      </c>
      <c r="D98" s="65">
        <v>132.9</v>
      </c>
      <c r="E98" s="65">
        <v>132</v>
      </c>
      <c r="F98" s="65">
        <v>132</v>
      </c>
      <c r="G98" s="65">
        <v>131.5</v>
      </c>
      <c r="H98" s="65">
        <v>131</v>
      </c>
      <c r="I98" s="65">
        <v>131</v>
      </c>
      <c r="J98" s="65">
        <v>127</v>
      </c>
      <c r="K98" s="65">
        <v>128.69999999999999</v>
      </c>
      <c r="L98" s="65">
        <v>127</v>
      </c>
      <c r="M98" s="65">
        <v>127</v>
      </c>
      <c r="N98" s="65">
        <v>128.6</v>
      </c>
      <c r="O98" s="65">
        <v>128.30000000000001</v>
      </c>
      <c r="P98" s="65">
        <v>130.69999999999999</v>
      </c>
      <c r="Q98" s="65">
        <v>131.9</v>
      </c>
      <c r="R98" s="65"/>
      <c r="S98" s="65">
        <v>131.9</v>
      </c>
      <c r="T98" s="65">
        <v>130.1</v>
      </c>
      <c r="U98" s="65">
        <v>129</v>
      </c>
      <c r="V98" s="65">
        <v>130.5</v>
      </c>
      <c r="W98" s="65">
        <v>127.4</v>
      </c>
      <c r="X98" s="65">
        <v>129.19999999999999</v>
      </c>
      <c r="Y98" s="65">
        <v>129.19999999999999</v>
      </c>
      <c r="Z98" s="65">
        <v>130.1</v>
      </c>
      <c r="AA98" s="65">
        <v>132</v>
      </c>
      <c r="AB98" s="65">
        <v>132.6</v>
      </c>
      <c r="AC98" s="65">
        <v>133.19999999999999</v>
      </c>
      <c r="AD98" s="65">
        <v>134.5</v>
      </c>
      <c r="AE98" s="65">
        <v>133.4</v>
      </c>
      <c r="AF98" s="65">
        <v>133.1</v>
      </c>
      <c r="AG98" s="92"/>
      <c r="AH98" s="48">
        <f t="shared" si="9"/>
        <v>134.5</v>
      </c>
      <c r="AI98" s="49">
        <f t="shared" si="10"/>
        <v>127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9"/>
        <v>0</v>
      </c>
      <c r="AI99" s="49">
        <f t="shared" si="10"/>
        <v>0</v>
      </c>
    </row>
    <row r="100" spans="1:35" x14ac:dyDescent="0.25">
      <c r="A100" s="93" t="s">
        <v>105</v>
      </c>
      <c r="B100" s="94">
        <v>137.1</v>
      </c>
      <c r="C100" s="94">
        <v>134.69999999999999</v>
      </c>
      <c r="D100" s="94">
        <v>134.69999999999999</v>
      </c>
      <c r="E100" s="94">
        <v>138</v>
      </c>
      <c r="F100" s="94">
        <v>138</v>
      </c>
      <c r="G100" s="94">
        <v>131</v>
      </c>
      <c r="H100" s="94">
        <v>135</v>
      </c>
      <c r="I100" s="94">
        <v>131.69999999999999</v>
      </c>
      <c r="J100" s="94">
        <v>132</v>
      </c>
      <c r="K100" s="94">
        <v>134</v>
      </c>
      <c r="L100" s="94">
        <v>131.6</v>
      </c>
      <c r="M100" s="94">
        <v>130.69999999999999</v>
      </c>
      <c r="N100" s="94">
        <v>132.80000000000001</v>
      </c>
      <c r="O100" s="94">
        <v>135.80000000000001</v>
      </c>
      <c r="P100" s="94">
        <v>131.1</v>
      </c>
      <c r="Q100" s="94">
        <v>136</v>
      </c>
      <c r="R100" s="94"/>
      <c r="S100" s="94">
        <v>136</v>
      </c>
      <c r="T100" s="94">
        <v>130.80000000000001</v>
      </c>
      <c r="U100" s="94">
        <v>133.80000000000001</v>
      </c>
      <c r="V100" s="94">
        <v>134.1</v>
      </c>
      <c r="W100" s="94">
        <v>133.80000000000001</v>
      </c>
      <c r="X100" s="94">
        <v>132.4</v>
      </c>
      <c r="Y100" s="94">
        <v>134.5</v>
      </c>
      <c r="Z100" s="94">
        <v>133.6</v>
      </c>
      <c r="AA100" s="94">
        <v>133.6</v>
      </c>
      <c r="AB100" s="94">
        <v>134.19999999999999</v>
      </c>
      <c r="AC100" s="94">
        <v>135.30000000000001</v>
      </c>
      <c r="AD100" s="94">
        <v>131.1</v>
      </c>
      <c r="AE100" s="94">
        <v>132</v>
      </c>
      <c r="AF100" s="94">
        <v>132.4</v>
      </c>
      <c r="AG100" s="95"/>
      <c r="AH100" s="48">
        <f t="shared" si="9"/>
        <v>138</v>
      </c>
      <c r="AI100" s="49">
        <f t="shared" si="10"/>
        <v>130.69999999999999</v>
      </c>
    </row>
    <row r="101" spans="1:35" x14ac:dyDescent="0.25">
      <c r="A101" s="91" t="s">
        <v>106</v>
      </c>
      <c r="B101" s="65">
        <v>129.69999999999999</v>
      </c>
      <c r="C101" s="65">
        <v>130.1</v>
      </c>
      <c r="D101" s="65">
        <v>130.1</v>
      </c>
      <c r="E101" s="65">
        <v>132</v>
      </c>
      <c r="F101" s="65">
        <v>132</v>
      </c>
      <c r="G101" s="65">
        <v>132</v>
      </c>
      <c r="H101" s="65">
        <v>130</v>
      </c>
      <c r="I101" s="65">
        <v>129</v>
      </c>
      <c r="J101" s="65">
        <v>131</v>
      </c>
      <c r="K101" s="65">
        <v>133</v>
      </c>
      <c r="L101" s="65">
        <v>130.9</v>
      </c>
      <c r="M101" s="65">
        <v>135.5</v>
      </c>
      <c r="N101" s="65">
        <v>127.4</v>
      </c>
      <c r="O101" s="65">
        <v>133.6</v>
      </c>
      <c r="P101" s="65">
        <v>133.6</v>
      </c>
      <c r="Q101" s="65">
        <v>133.80000000000001</v>
      </c>
      <c r="R101" s="65"/>
      <c r="S101" s="65">
        <v>133.80000000000001</v>
      </c>
      <c r="T101" s="65">
        <v>134.69999999999999</v>
      </c>
      <c r="U101" s="65">
        <v>130</v>
      </c>
      <c r="V101" s="65">
        <v>130.6</v>
      </c>
      <c r="W101" s="65">
        <v>133.1</v>
      </c>
      <c r="X101" s="65">
        <v>130.4</v>
      </c>
      <c r="Y101" s="65">
        <v>131.5</v>
      </c>
      <c r="Z101" s="65">
        <v>132.69999999999999</v>
      </c>
      <c r="AA101" s="65">
        <v>131.9</v>
      </c>
      <c r="AB101" s="65">
        <v>134.1</v>
      </c>
      <c r="AC101" s="65">
        <v>133.9</v>
      </c>
      <c r="AD101" s="65">
        <v>136.69999999999999</v>
      </c>
      <c r="AE101" s="65">
        <v>136.4</v>
      </c>
      <c r="AF101" s="65">
        <v>123.5</v>
      </c>
      <c r="AG101" s="92"/>
      <c r="AH101" s="48">
        <f t="shared" si="9"/>
        <v>136.69999999999999</v>
      </c>
      <c r="AI101" s="49">
        <f t="shared" si="10"/>
        <v>123.5</v>
      </c>
    </row>
    <row r="102" spans="1:35" ht="15.75" thickBot="1" x14ac:dyDescent="0.3">
      <c r="A102" s="91" t="s">
        <v>107</v>
      </c>
      <c r="B102" s="96">
        <v>67.2</v>
      </c>
      <c r="C102" s="96">
        <v>67.599999999999994</v>
      </c>
      <c r="D102" s="96">
        <v>67.599999999999994</v>
      </c>
      <c r="E102" s="96">
        <v>67</v>
      </c>
      <c r="F102" s="96">
        <v>67</v>
      </c>
      <c r="G102" s="96">
        <v>66</v>
      </c>
      <c r="H102" s="96">
        <v>67</v>
      </c>
      <c r="I102" s="96">
        <v>65.900000000000006</v>
      </c>
      <c r="J102" s="96">
        <v>64.8</v>
      </c>
      <c r="K102" s="96">
        <v>64.599999999999994</v>
      </c>
      <c r="L102" s="96">
        <v>63.7</v>
      </c>
      <c r="M102" s="96">
        <v>63.3</v>
      </c>
      <c r="N102" s="96">
        <v>63.8</v>
      </c>
      <c r="O102" s="96">
        <v>63.6</v>
      </c>
      <c r="P102" s="96">
        <v>63.5</v>
      </c>
      <c r="Q102" s="96">
        <v>64.400000000000006</v>
      </c>
      <c r="R102" s="96"/>
      <c r="S102" s="96">
        <v>64.400000000000006</v>
      </c>
      <c r="T102" s="96">
        <v>63.7</v>
      </c>
      <c r="U102" s="96">
        <v>64.599999999999994</v>
      </c>
      <c r="V102" s="96">
        <v>64.599999999999994</v>
      </c>
      <c r="W102" s="96">
        <v>64.2</v>
      </c>
      <c r="X102" s="96">
        <v>63.1</v>
      </c>
      <c r="Y102" s="96">
        <v>63.7</v>
      </c>
      <c r="Z102" s="96">
        <v>63.6</v>
      </c>
      <c r="AA102" s="96">
        <v>63.2</v>
      </c>
      <c r="AB102" s="96">
        <v>64.099999999999994</v>
      </c>
      <c r="AC102" s="96">
        <v>64</v>
      </c>
      <c r="AD102" s="96">
        <v>64.5</v>
      </c>
      <c r="AE102" s="96">
        <v>65.8</v>
      </c>
      <c r="AF102" s="96">
        <v>65.89</v>
      </c>
      <c r="AG102" s="97"/>
      <c r="AH102" s="48">
        <f t="shared" si="9"/>
        <v>67.599999999999994</v>
      </c>
      <c r="AI102" s="49">
        <f t="shared" si="10"/>
        <v>63.1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9"/>
        <v>0</v>
      </c>
      <c r="AI103" s="49">
        <f t="shared" si="10"/>
        <v>0</v>
      </c>
    </row>
    <row r="104" spans="1:35" ht="15.75" thickBot="1" x14ac:dyDescent="0.3">
      <c r="A104" s="99" t="s">
        <v>108</v>
      </c>
      <c r="B104" s="100">
        <f t="shared" ref="B104:AF104" si="16">SUM(B16,B22,B25:B26,B52,B54:B55,B57,B59,B105:B109,B131,B137,B143,B152,B154,B166,B173,B176:B177,B184,B186,B188,B192:B194,B196:B198,B203,B209:B210,B212:B214,B222,B227)</f>
        <v>136.9</v>
      </c>
      <c r="C104" s="100">
        <f t="shared" si="16"/>
        <v>117.44</v>
      </c>
      <c r="D104" s="100">
        <f t="shared" si="16"/>
        <v>117.74000000000001</v>
      </c>
      <c r="E104" s="100">
        <f t="shared" si="16"/>
        <v>114.74999999999999</v>
      </c>
      <c r="F104" s="100">
        <f t="shared" si="16"/>
        <v>134.14999999999998</v>
      </c>
      <c r="G104" s="100">
        <f t="shared" si="16"/>
        <v>145.44999999999999</v>
      </c>
      <c r="H104" s="100">
        <f t="shared" si="16"/>
        <v>181.83999999999997</v>
      </c>
      <c r="I104" s="100">
        <f t="shared" si="16"/>
        <v>206.44</v>
      </c>
      <c r="J104" s="100">
        <f t="shared" si="16"/>
        <v>264.23999999999995</v>
      </c>
      <c r="K104" s="100">
        <f t="shared" si="16"/>
        <v>310.74</v>
      </c>
      <c r="L104" s="100">
        <f t="shared" si="16"/>
        <v>400.38</v>
      </c>
      <c r="M104" s="100">
        <f t="shared" si="16"/>
        <v>363.94</v>
      </c>
      <c r="N104" s="100">
        <f t="shared" si="16"/>
        <v>374.84</v>
      </c>
      <c r="O104" s="100">
        <f t="shared" si="16"/>
        <v>373.44</v>
      </c>
      <c r="P104" s="100">
        <v>42</v>
      </c>
      <c r="Q104" s="100">
        <f t="shared" si="16"/>
        <v>279.2</v>
      </c>
      <c r="R104" s="100">
        <f t="shared" si="16"/>
        <v>0</v>
      </c>
      <c r="S104" s="100">
        <f t="shared" si="16"/>
        <v>265.5</v>
      </c>
      <c r="T104" s="100">
        <f t="shared" si="16"/>
        <v>269.5</v>
      </c>
      <c r="U104" s="100">
        <f t="shared" si="16"/>
        <v>270.10000000000002</v>
      </c>
      <c r="V104" s="100">
        <f t="shared" si="16"/>
        <v>293.5</v>
      </c>
      <c r="W104" s="100">
        <f t="shared" si="16"/>
        <v>339.7</v>
      </c>
      <c r="X104" s="100">
        <v>423.49708333333331</v>
      </c>
      <c r="Y104" s="100">
        <f t="shared" si="16"/>
        <v>407.6</v>
      </c>
      <c r="Z104" s="100">
        <f t="shared" si="16"/>
        <v>402.40000000000003</v>
      </c>
      <c r="AA104" s="100">
        <f t="shared" si="16"/>
        <v>386.90000000000003</v>
      </c>
      <c r="AB104" s="100">
        <f t="shared" si="16"/>
        <v>414.3</v>
      </c>
      <c r="AC104" s="100">
        <f t="shared" si="16"/>
        <v>395.3</v>
      </c>
      <c r="AD104" s="100">
        <f t="shared" si="16"/>
        <v>352.3</v>
      </c>
      <c r="AE104" s="100">
        <f t="shared" si="16"/>
        <v>263.3</v>
      </c>
      <c r="AF104" s="100">
        <f t="shared" si="16"/>
        <v>167.8</v>
      </c>
      <c r="AG104" s="101"/>
      <c r="AH104" s="48">
        <f t="shared" si="9"/>
        <v>423.49708333333331</v>
      </c>
      <c r="AI104" s="49">
        <f t="shared" si="10"/>
        <v>0</v>
      </c>
    </row>
    <row r="105" spans="1:35" x14ac:dyDescent="0.25">
      <c r="A105" s="88" t="s">
        <v>109</v>
      </c>
      <c r="B105" s="102">
        <v>1.3</v>
      </c>
      <c r="C105" s="102">
        <v>-1.1000000000000001</v>
      </c>
      <c r="D105" s="102">
        <v>-1.1000000000000001</v>
      </c>
      <c r="E105" s="102">
        <v>-1.7</v>
      </c>
      <c r="F105" s="102">
        <v>-10.7</v>
      </c>
      <c r="G105" s="102">
        <v>-12</v>
      </c>
      <c r="H105" s="102">
        <v>-7.2</v>
      </c>
      <c r="I105" s="102">
        <v>3</v>
      </c>
      <c r="J105" s="102">
        <v>20.7</v>
      </c>
      <c r="K105" s="102">
        <v>35.5</v>
      </c>
      <c r="L105" s="102">
        <v>32.299999999999997</v>
      </c>
      <c r="M105" s="102">
        <v>32.200000000000003</v>
      </c>
      <c r="N105" s="102">
        <v>34.200000000000003</v>
      </c>
      <c r="O105" s="102">
        <v>34.200000000000003</v>
      </c>
      <c r="P105" s="102">
        <v>21.7</v>
      </c>
      <c r="Q105" s="102">
        <v>16.7</v>
      </c>
      <c r="R105" s="102"/>
      <c r="S105" s="102">
        <v>9</v>
      </c>
      <c r="T105" s="102">
        <v>4.9000000000000004</v>
      </c>
      <c r="U105" s="102">
        <v>9</v>
      </c>
      <c r="V105" s="102">
        <v>15.2</v>
      </c>
      <c r="W105" s="102">
        <v>39.6</v>
      </c>
      <c r="X105" s="102">
        <v>29.5</v>
      </c>
      <c r="Y105" s="102">
        <v>39.5</v>
      </c>
      <c r="Z105" s="102">
        <v>37.700000000000003</v>
      </c>
      <c r="AA105" s="102">
        <v>42.5</v>
      </c>
      <c r="AB105" s="102">
        <v>40</v>
      </c>
      <c r="AC105" s="102">
        <v>31.7</v>
      </c>
      <c r="AD105" s="102">
        <v>16.3</v>
      </c>
      <c r="AE105" s="102">
        <v>0</v>
      </c>
      <c r="AF105" s="102">
        <v>-8</v>
      </c>
      <c r="AG105" s="103">
        <v>75</v>
      </c>
      <c r="AH105" s="48">
        <f t="shared" si="9"/>
        <v>42.5</v>
      </c>
      <c r="AI105" s="49">
        <f t="shared" si="10"/>
        <v>-12</v>
      </c>
    </row>
    <row r="106" spans="1:35" x14ac:dyDescent="0.25">
      <c r="A106" s="91" t="s">
        <v>110</v>
      </c>
      <c r="B106" s="104">
        <v>7.2</v>
      </c>
      <c r="C106" s="104">
        <v>3.9</v>
      </c>
      <c r="D106" s="104">
        <v>3.9</v>
      </c>
      <c r="E106" s="104">
        <v>4.5999999999999996</v>
      </c>
      <c r="F106" s="104">
        <v>-6.9</v>
      </c>
      <c r="G106" s="104">
        <v>-9.1999999999999993</v>
      </c>
      <c r="H106" s="104">
        <v>-4</v>
      </c>
      <c r="I106" s="104">
        <v>8.8000000000000007</v>
      </c>
      <c r="J106" s="104">
        <v>34</v>
      </c>
      <c r="K106" s="104">
        <v>52.8</v>
      </c>
      <c r="L106" s="104">
        <v>47.04</v>
      </c>
      <c r="M106" s="104">
        <v>46.7</v>
      </c>
      <c r="N106" s="104">
        <v>51</v>
      </c>
      <c r="O106" s="104">
        <v>51</v>
      </c>
      <c r="P106" s="104">
        <v>34.700000000000003</v>
      </c>
      <c r="Q106" s="104">
        <v>29.2</v>
      </c>
      <c r="R106" s="104"/>
      <c r="S106" s="104">
        <v>15.4</v>
      </c>
      <c r="T106" s="104">
        <v>10.5</v>
      </c>
      <c r="U106" s="104">
        <v>17</v>
      </c>
      <c r="V106" s="104">
        <v>17.899999999999999</v>
      </c>
      <c r="W106" s="104">
        <v>51</v>
      </c>
      <c r="X106" s="104">
        <v>34.4</v>
      </c>
      <c r="Y106" s="104">
        <v>48.8</v>
      </c>
      <c r="Z106" s="104">
        <v>44.7</v>
      </c>
      <c r="AA106" s="104">
        <v>54.5</v>
      </c>
      <c r="AB106" s="104">
        <v>50.8</v>
      </c>
      <c r="AC106" s="104">
        <v>39</v>
      </c>
      <c r="AD106" s="104">
        <v>18.3</v>
      </c>
      <c r="AE106" s="104">
        <v>-2.8</v>
      </c>
      <c r="AF106" s="104">
        <v>-6</v>
      </c>
      <c r="AG106" s="103">
        <v>240</v>
      </c>
      <c r="AH106" s="48">
        <f t="shared" si="9"/>
        <v>54.5</v>
      </c>
      <c r="AI106" s="49">
        <f t="shared" si="10"/>
        <v>-9.1999999999999993</v>
      </c>
    </row>
    <row r="107" spans="1:35" x14ac:dyDescent="0.25">
      <c r="A107" s="91" t="s">
        <v>111</v>
      </c>
      <c r="B107" s="104">
        <v>-57</v>
      </c>
      <c r="C107" s="104">
        <v>-61</v>
      </c>
      <c r="D107" s="104">
        <v>-61</v>
      </c>
      <c r="E107" s="104">
        <v>-62.6</v>
      </c>
      <c r="F107" s="104">
        <v>-52</v>
      </c>
      <c r="G107" s="104">
        <v>-45</v>
      </c>
      <c r="H107" s="104">
        <v>-15</v>
      </c>
      <c r="I107" s="104">
        <v>-22.3</v>
      </c>
      <c r="J107" s="104">
        <v>-20</v>
      </c>
      <c r="K107" s="104">
        <v>-21</v>
      </c>
      <c r="L107" s="104">
        <v>16</v>
      </c>
      <c r="M107" s="104">
        <v>10</v>
      </c>
      <c r="N107" s="104">
        <v>7.6</v>
      </c>
      <c r="O107" s="104">
        <v>7.6</v>
      </c>
      <c r="P107" s="104">
        <v>-5</v>
      </c>
      <c r="Q107" s="104">
        <v>-30</v>
      </c>
      <c r="R107" s="104"/>
      <c r="S107" s="104">
        <f>-27.5-2.5</f>
        <v>-30</v>
      </c>
      <c r="T107" s="104">
        <f>-25.8-1.2</f>
        <v>-27</v>
      </c>
      <c r="U107" s="104">
        <v>-26</v>
      </c>
      <c r="V107" s="104">
        <f>-20+9.1</f>
        <v>-10.9</v>
      </c>
      <c r="W107" s="104">
        <f>-8.2+16.5</f>
        <v>8.3000000000000007</v>
      </c>
      <c r="X107" s="104">
        <f>3.7+36.1</f>
        <v>39.800000000000004</v>
      </c>
      <c r="Y107" s="104">
        <f>-5.2+27.5</f>
        <v>22.3</v>
      </c>
      <c r="Z107" s="104">
        <f>-4.5+28.3</f>
        <v>23.8</v>
      </c>
      <c r="AA107" s="104" t="b">
        <f>-14=18.2</f>
        <v>0</v>
      </c>
      <c r="AB107" s="104">
        <f>23+17</f>
        <v>40</v>
      </c>
      <c r="AC107" s="104">
        <v>15</v>
      </c>
      <c r="AD107" s="104">
        <v>23.2</v>
      </c>
      <c r="AE107" s="104">
        <v>5.5</v>
      </c>
      <c r="AF107" s="104">
        <v>-33</v>
      </c>
      <c r="AG107" s="103">
        <v>240</v>
      </c>
      <c r="AH107" s="48">
        <f t="shared" si="9"/>
        <v>40</v>
      </c>
      <c r="AI107" s="49">
        <f t="shared" si="10"/>
        <v>-62.6</v>
      </c>
    </row>
    <row r="108" spans="1:35" x14ac:dyDescent="0.25">
      <c r="A108" s="91" t="s">
        <v>112</v>
      </c>
      <c r="B108" s="104">
        <v>-1.4</v>
      </c>
      <c r="C108" s="104">
        <v>-2.5</v>
      </c>
      <c r="D108" s="104">
        <v>-2.5</v>
      </c>
      <c r="E108" s="104">
        <v>-3.6</v>
      </c>
      <c r="F108" s="104">
        <v>-0.3</v>
      </c>
      <c r="G108" s="104">
        <v>0</v>
      </c>
      <c r="H108" s="104">
        <v>3</v>
      </c>
      <c r="I108" s="104">
        <v>5.2</v>
      </c>
      <c r="J108" s="104">
        <v>5.5</v>
      </c>
      <c r="K108" s="104">
        <v>17.899999999999999</v>
      </c>
      <c r="L108" s="104">
        <v>43.2</v>
      </c>
      <c r="M108" s="104">
        <v>56.8</v>
      </c>
      <c r="N108" s="104">
        <v>47.5</v>
      </c>
      <c r="O108" s="104">
        <v>47.5</v>
      </c>
      <c r="P108" s="104">
        <v>45.3</v>
      </c>
      <c r="Q108" s="104">
        <v>32.9</v>
      </c>
      <c r="R108" s="104"/>
      <c r="S108" s="104">
        <v>42.4</v>
      </c>
      <c r="T108" s="104">
        <v>45.4</v>
      </c>
      <c r="U108" s="104">
        <v>46</v>
      </c>
      <c r="V108" s="104">
        <v>49.5</v>
      </c>
      <c r="W108" s="104">
        <v>50.7</v>
      </c>
      <c r="X108" s="104">
        <v>61.7</v>
      </c>
      <c r="Y108" s="104">
        <v>66.3</v>
      </c>
      <c r="Z108" s="104">
        <v>66.599999999999994</v>
      </c>
      <c r="AA108" s="104">
        <v>66.8</v>
      </c>
      <c r="AB108" s="104">
        <v>68</v>
      </c>
      <c r="AC108" s="104">
        <v>68.099999999999994</v>
      </c>
      <c r="AD108" s="104">
        <v>52</v>
      </c>
      <c r="AE108" s="104">
        <v>35</v>
      </c>
      <c r="AF108" s="104">
        <v>0.5</v>
      </c>
      <c r="AG108" s="103">
        <v>60</v>
      </c>
      <c r="AH108" s="48">
        <f t="shared" si="9"/>
        <v>68.099999999999994</v>
      </c>
      <c r="AI108" s="49">
        <f t="shared" si="10"/>
        <v>-3.6</v>
      </c>
    </row>
    <row r="109" spans="1:35" x14ac:dyDescent="0.25">
      <c r="A109" s="105" t="s">
        <v>113</v>
      </c>
      <c r="B109" s="106">
        <v>58.9</v>
      </c>
      <c r="C109" s="106">
        <v>51.4</v>
      </c>
      <c r="D109" s="106">
        <v>51.4</v>
      </c>
      <c r="E109" s="106">
        <v>49.9</v>
      </c>
      <c r="F109" s="106">
        <v>75.900000000000006</v>
      </c>
      <c r="G109" s="106">
        <v>83.5</v>
      </c>
      <c r="H109" s="106">
        <v>76.900000000000006</v>
      </c>
      <c r="I109" s="106">
        <v>83.6</v>
      </c>
      <c r="J109" s="106">
        <v>95.9</v>
      </c>
      <c r="K109" s="106">
        <v>97.4</v>
      </c>
      <c r="L109" s="106">
        <v>133.69999999999999</v>
      </c>
      <c r="M109" s="106">
        <v>90.1</v>
      </c>
      <c r="N109" s="106">
        <v>106.4</v>
      </c>
      <c r="O109" s="106">
        <v>106.4</v>
      </c>
      <c r="P109" s="106">
        <v>109</v>
      </c>
      <c r="Q109" s="106">
        <v>106</v>
      </c>
      <c r="R109" s="106"/>
      <c r="S109" s="106">
        <v>104.3</v>
      </c>
      <c r="T109" s="106">
        <v>108.6</v>
      </c>
      <c r="U109" s="106">
        <v>97</v>
      </c>
      <c r="V109" s="106">
        <v>95.4</v>
      </c>
      <c r="W109" s="106">
        <v>65.5</v>
      </c>
      <c r="X109" s="106">
        <v>102.3</v>
      </c>
      <c r="Y109" s="106">
        <v>106.7</v>
      </c>
      <c r="Z109" s="106">
        <v>105.3</v>
      </c>
      <c r="AA109" s="106">
        <v>98.8</v>
      </c>
      <c r="AB109" s="106">
        <v>89.2</v>
      </c>
      <c r="AC109" s="106">
        <v>114.7</v>
      </c>
      <c r="AD109" s="106">
        <v>114.9</v>
      </c>
      <c r="AE109" s="106">
        <v>98</v>
      </c>
      <c r="AF109" s="106">
        <v>86</v>
      </c>
      <c r="AG109" s="107">
        <v>120</v>
      </c>
      <c r="AH109" s="48">
        <f t="shared" si="9"/>
        <v>133.69999999999999</v>
      </c>
      <c r="AI109" s="49">
        <f t="shared" si="10"/>
        <v>49.9</v>
      </c>
    </row>
    <row r="110" spans="1:35" x14ac:dyDescent="0.25">
      <c r="A110" s="105" t="s">
        <v>115</v>
      </c>
      <c r="B110" s="106">
        <v>64</v>
      </c>
      <c r="C110" s="106">
        <v>60.1</v>
      </c>
      <c r="D110" s="106">
        <v>60.1</v>
      </c>
      <c r="E110" s="106">
        <v>60.6</v>
      </c>
      <c r="F110" s="106">
        <v>84.9</v>
      </c>
      <c r="G110" s="106">
        <v>93.2</v>
      </c>
      <c r="H110" s="106">
        <v>66</v>
      </c>
      <c r="I110" s="106">
        <v>76.400000000000006</v>
      </c>
      <c r="J110" s="106">
        <v>83.7</v>
      </c>
      <c r="K110" s="106">
        <v>85.3</v>
      </c>
      <c r="L110" s="106">
        <v>103.8</v>
      </c>
      <c r="M110" s="106">
        <v>105</v>
      </c>
      <c r="N110" s="106">
        <v>83.5</v>
      </c>
      <c r="O110" s="106">
        <v>83.5</v>
      </c>
      <c r="P110" s="106">
        <v>97.6</v>
      </c>
      <c r="Q110" s="106">
        <v>100</v>
      </c>
      <c r="R110" s="106"/>
      <c r="S110" s="106">
        <v>96.2</v>
      </c>
      <c r="T110" s="106">
        <v>99.6</v>
      </c>
      <c r="U110" s="106">
        <v>87</v>
      </c>
      <c r="V110" s="106">
        <v>70.900000000000006</v>
      </c>
      <c r="W110" s="106">
        <v>75.8</v>
      </c>
      <c r="X110" s="106">
        <v>109</v>
      </c>
      <c r="Y110" s="106">
        <v>92.2</v>
      </c>
      <c r="Z110" s="106">
        <v>101.3</v>
      </c>
      <c r="AA110" s="106">
        <v>101.2</v>
      </c>
      <c r="AB110" s="106">
        <v>95.5</v>
      </c>
      <c r="AC110" s="106">
        <v>98</v>
      </c>
      <c r="AD110" s="106">
        <v>101</v>
      </c>
      <c r="AE110" s="106">
        <v>95</v>
      </c>
      <c r="AF110" s="106">
        <v>92</v>
      </c>
      <c r="AG110" s="107"/>
      <c r="AH110" s="48">
        <f t="shared" si="9"/>
        <v>109</v>
      </c>
      <c r="AI110" s="49">
        <f t="shared" si="10"/>
        <v>60.1</v>
      </c>
    </row>
    <row r="111" spans="1:35" x14ac:dyDescent="0.25">
      <c r="A111" s="105" t="s">
        <v>116</v>
      </c>
      <c r="B111" s="106">
        <v>25.2</v>
      </c>
      <c r="C111" s="106">
        <v>34</v>
      </c>
      <c r="D111" s="106">
        <v>34</v>
      </c>
      <c r="E111" s="106">
        <v>30.7</v>
      </c>
      <c r="F111" s="106">
        <v>34.700000000000003</v>
      </c>
      <c r="G111" s="106">
        <v>42.8</v>
      </c>
      <c r="H111" s="106">
        <v>37.299999999999997</v>
      </c>
      <c r="I111" s="106">
        <v>36.799999999999997</v>
      </c>
      <c r="J111" s="106">
        <v>28.4</v>
      </c>
      <c r="K111" s="106">
        <v>11.3</v>
      </c>
      <c r="L111" s="106">
        <v>16.7</v>
      </c>
      <c r="M111" s="106">
        <v>20</v>
      </c>
      <c r="N111" s="106">
        <v>15.8</v>
      </c>
      <c r="O111" s="106">
        <v>15.8</v>
      </c>
      <c r="P111" s="106">
        <v>33.700000000000003</v>
      </c>
      <c r="Q111" s="106">
        <v>21.4</v>
      </c>
      <c r="R111" s="106"/>
      <c r="S111" s="106">
        <v>42.3</v>
      </c>
      <c r="T111" s="106">
        <v>42.3</v>
      </c>
      <c r="U111" s="106">
        <v>34</v>
      </c>
      <c r="V111" s="106">
        <v>37.4</v>
      </c>
      <c r="W111" s="106">
        <v>16.7</v>
      </c>
      <c r="X111" s="106">
        <v>32.299999999999997</v>
      </c>
      <c r="Y111" s="106">
        <v>19</v>
      </c>
      <c r="Z111" s="106">
        <v>-24.4</v>
      </c>
      <c r="AA111" s="106">
        <v>-15.6</v>
      </c>
      <c r="AB111" s="106">
        <v>23.2</v>
      </c>
      <c r="AC111" s="106">
        <v>23.9</v>
      </c>
      <c r="AD111" s="106">
        <v>41</v>
      </c>
      <c r="AE111" s="106">
        <v>39</v>
      </c>
      <c r="AF111" s="106">
        <v>37.9</v>
      </c>
      <c r="AG111" s="108"/>
      <c r="AH111" s="48">
        <f t="shared" si="9"/>
        <v>42.8</v>
      </c>
      <c r="AI111" s="49">
        <f t="shared" si="10"/>
        <v>-24.4</v>
      </c>
    </row>
    <row r="112" spans="1:35" x14ac:dyDescent="0.25">
      <c r="A112" s="109" t="s">
        <v>117</v>
      </c>
      <c r="B112" s="94">
        <v>45.4</v>
      </c>
      <c r="C112" s="94">
        <v>47.4</v>
      </c>
      <c r="D112" s="94">
        <v>47.4</v>
      </c>
      <c r="E112" s="94">
        <v>52.5</v>
      </c>
      <c r="F112" s="94">
        <v>45.8</v>
      </c>
      <c r="G112" s="94">
        <v>47.3</v>
      </c>
      <c r="H112" s="94">
        <v>38.4</v>
      </c>
      <c r="I112" s="94">
        <v>32.700000000000003</v>
      </c>
      <c r="J112" s="94">
        <v>15</v>
      </c>
      <c r="K112" s="94">
        <v>-4.2</v>
      </c>
      <c r="L112" s="94">
        <v>-2.1</v>
      </c>
      <c r="M112" s="94">
        <v>-19.399999999999999</v>
      </c>
      <c r="N112" s="94">
        <v>12.5</v>
      </c>
      <c r="O112" s="94">
        <v>12.5</v>
      </c>
      <c r="P112" s="94">
        <v>10.5</v>
      </c>
      <c r="Q112" s="94">
        <v>14.2</v>
      </c>
      <c r="R112" s="94"/>
      <c r="S112" s="94">
        <v>14.2</v>
      </c>
      <c r="T112" s="94">
        <v>-11.1</v>
      </c>
      <c r="U112" s="94">
        <v>-3</v>
      </c>
      <c r="V112" s="94">
        <v>-9.5</v>
      </c>
      <c r="W112" s="94">
        <v>-28.6</v>
      </c>
      <c r="X112" s="94">
        <v>-50</v>
      </c>
      <c r="Y112" s="94">
        <v>-42.3</v>
      </c>
      <c r="Z112" s="94">
        <v>35.700000000000003</v>
      </c>
      <c r="AA112" s="94">
        <v>-26.3</v>
      </c>
      <c r="AB112" s="94">
        <v>-9.4</v>
      </c>
      <c r="AC112" s="94">
        <v>-3</v>
      </c>
      <c r="AD112" s="94">
        <v>9</v>
      </c>
      <c r="AE112" s="94">
        <v>31.4</v>
      </c>
      <c r="AF112" s="94">
        <v>37.299999999999997</v>
      </c>
      <c r="AG112" s="108"/>
      <c r="AH112" s="48">
        <f t="shared" si="9"/>
        <v>52.5</v>
      </c>
      <c r="AI112" s="49">
        <f t="shared" si="10"/>
        <v>-50</v>
      </c>
    </row>
    <row r="113" spans="1:37" ht="15.75" thickBot="1" x14ac:dyDescent="0.3">
      <c r="A113" s="109" t="s">
        <v>118</v>
      </c>
      <c r="B113" s="94">
        <v>31.1</v>
      </c>
      <c r="C113" s="94">
        <v>34</v>
      </c>
      <c r="D113" s="94">
        <v>34</v>
      </c>
      <c r="E113" s="94">
        <v>35.299999999999997</v>
      </c>
      <c r="F113" s="94">
        <v>24.6</v>
      </c>
      <c r="G113" s="94">
        <v>11.9</v>
      </c>
      <c r="H113" s="94">
        <v>-6.5</v>
      </c>
      <c r="I113" s="94">
        <v>5.9</v>
      </c>
      <c r="J113" s="94">
        <v>9.4</v>
      </c>
      <c r="K113" s="94">
        <v>18.2</v>
      </c>
      <c r="L113" s="94">
        <v>12.7</v>
      </c>
      <c r="M113" s="94">
        <v>7.6</v>
      </c>
      <c r="N113" s="94">
        <v>18.899999999999999</v>
      </c>
      <c r="O113" s="94">
        <v>18.899999999999999</v>
      </c>
      <c r="P113" s="94">
        <v>24</v>
      </c>
      <c r="Q113" s="94">
        <v>17.2</v>
      </c>
      <c r="R113" s="94"/>
      <c r="S113" s="94">
        <v>9.6</v>
      </c>
      <c r="T113" s="94">
        <v>6.3</v>
      </c>
      <c r="U113" s="94">
        <v>9</v>
      </c>
      <c r="V113" s="94">
        <v>-7.3</v>
      </c>
      <c r="W113" s="94">
        <v>-7</v>
      </c>
      <c r="X113" s="94">
        <v>-30</v>
      </c>
      <c r="Y113" s="94">
        <v>-18.2</v>
      </c>
      <c r="Z113" s="94">
        <v>-19.2</v>
      </c>
      <c r="AA113" s="94">
        <v>0</v>
      </c>
      <c r="AB113" s="94">
        <v>-4.0999999999999996</v>
      </c>
      <c r="AC113" s="94">
        <v>10.6</v>
      </c>
      <c r="AD113" s="94">
        <v>0.8</v>
      </c>
      <c r="AE113" s="94">
        <v>-0.8</v>
      </c>
      <c r="AF113" s="94">
        <v>9.5</v>
      </c>
      <c r="AG113" s="108"/>
      <c r="AH113" s="48">
        <f t="shared" si="9"/>
        <v>35.299999999999997</v>
      </c>
      <c r="AI113" s="49">
        <f t="shared" si="10"/>
        <v>-30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17">SUM(B115:B219)</f>
        <v>0</v>
      </c>
      <c r="C220" s="125">
        <f t="shared" si="17"/>
        <v>0</v>
      </c>
      <c r="D220" s="125">
        <f t="shared" si="17"/>
        <v>0</v>
      </c>
      <c r="E220" s="125">
        <f t="shared" si="17"/>
        <v>0</v>
      </c>
      <c r="F220" s="125">
        <f t="shared" si="17"/>
        <v>0</v>
      </c>
      <c r="G220" s="125">
        <f t="shared" si="17"/>
        <v>0</v>
      </c>
      <c r="H220" s="125">
        <f t="shared" si="17"/>
        <v>0</v>
      </c>
      <c r="I220" s="125">
        <f t="shared" si="17"/>
        <v>0</v>
      </c>
      <c r="J220" s="125">
        <f t="shared" si="17"/>
        <v>0</v>
      </c>
      <c r="K220" s="125">
        <f t="shared" si="17"/>
        <v>0</v>
      </c>
      <c r="L220" s="125">
        <f t="shared" si="17"/>
        <v>0</v>
      </c>
      <c r="M220" s="125">
        <f t="shared" si="17"/>
        <v>0</v>
      </c>
      <c r="N220" s="125">
        <f t="shared" si="17"/>
        <v>0</v>
      </c>
      <c r="O220" s="125">
        <f t="shared" si="17"/>
        <v>0</v>
      </c>
      <c r="P220" s="125">
        <f t="shared" si="17"/>
        <v>0</v>
      </c>
      <c r="Q220" s="125">
        <f t="shared" si="17"/>
        <v>0</v>
      </c>
      <c r="R220" s="125">
        <f t="shared" si="17"/>
        <v>0</v>
      </c>
      <c r="S220" s="125">
        <f t="shared" si="17"/>
        <v>0</v>
      </c>
      <c r="T220" s="125">
        <f t="shared" si="17"/>
        <v>0</v>
      </c>
      <c r="U220" s="125">
        <f t="shared" si="17"/>
        <v>0</v>
      </c>
      <c r="V220" s="125">
        <f t="shared" si="17"/>
        <v>0</v>
      </c>
      <c r="W220" s="125">
        <f t="shared" si="17"/>
        <v>0</v>
      </c>
      <c r="X220" s="125">
        <f t="shared" si="17"/>
        <v>0</v>
      </c>
      <c r="Y220" s="125">
        <f t="shared" si="17"/>
        <v>0</v>
      </c>
      <c r="Z220" s="125">
        <f t="shared" si="17"/>
        <v>0</v>
      </c>
      <c r="AA220" s="125">
        <f t="shared" si="17"/>
        <v>0</v>
      </c>
      <c r="AB220" s="125">
        <f t="shared" si="17"/>
        <v>0</v>
      </c>
      <c r="AC220" s="125">
        <f t="shared" si="17"/>
        <v>0</v>
      </c>
      <c r="AD220" s="125">
        <f t="shared" si="17"/>
        <v>0</v>
      </c>
      <c r="AE220" s="125">
        <f t="shared" si="17"/>
        <v>0</v>
      </c>
      <c r="AF220" s="126">
        <f t="shared" si="17"/>
        <v>0</v>
      </c>
      <c r="AG220" s="127">
        <f t="shared" si="17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18">AF222</f>
        <v>0</v>
      </c>
      <c r="C222" s="129">
        <v>0.3</v>
      </c>
      <c r="D222" s="129">
        <f t="shared" ref="D222:P227" si="19">C222</f>
        <v>0.3</v>
      </c>
      <c r="E222" s="129">
        <f t="shared" si="19"/>
        <v>0.3</v>
      </c>
      <c r="F222" s="129">
        <f t="shared" si="19"/>
        <v>0.3</v>
      </c>
      <c r="G222" s="129">
        <f t="shared" si="19"/>
        <v>0.3</v>
      </c>
      <c r="H222" s="129">
        <f t="shared" si="19"/>
        <v>0.3</v>
      </c>
      <c r="I222" s="129">
        <f t="shared" si="19"/>
        <v>0.3</v>
      </c>
      <c r="J222" s="129">
        <f t="shared" si="19"/>
        <v>0.3</v>
      </c>
      <c r="K222" s="129">
        <f t="shared" si="19"/>
        <v>0.3</v>
      </c>
      <c r="L222" s="129">
        <f t="shared" si="19"/>
        <v>0.3</v>
      </c>
      <c r="M222" s="129">
        <f t="shared" si="19"/>
        <v>0.3</v>
      </c>
      <c r="N222" s="129">
        <f t="shared" si="19"/>
        <v>0.3</v>
      </c>
      <c r="O222" s="129">
        <f t="shared" si="19"/>
        <v>0.3</v>
      </c>
      <c r="P222" s="129">
        <f t="shared" si="19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18"/>
        <v>0</v>
      </c>
      <c r="C223" s="117">
        <v>0.4</v>
      </c>
      <c r="D223" s="117">
        <f t="shared" si="19"/>
        <v>0.4</v>
      </c>
      <c r="E223" s="117">
        <f t="shared" si="19"/>
        <v>0.4</v>
      </c>
      <c r="F223" s="117">
        <f t="shared" si="19"/>
        <v>0.4</v>
      </c>
      <c r="G223" s="117">
        <f t="shared" si="19"/>
        <v>0.4</v>
      </c>
      <c r="H223" s="117">
        <f t="shared" si="19"/>
        <v>0.4</v>
      </c>
      <c r="I223" s="117">
        <f t="shared" si="19"/>
        <v>0.4</v>
      </c>
      <c r="J223" s="117">
        <f t="shared" si="19"/>
        <v>0.4</v>
      </c>
      <c r="K223" s="117">
        <f t="shared" si="19"/>
        <v>0.4</v>
      </c>
      <c r="L223" s="117">
        <f t="shared" si="19"/>
        <v>0.4</v>
      </c>
      <c r="M223" s="117">
        <f t="shared" si="19"/>
        <v>0.4</v>
      </c>
      <c r="N223" s="117">
        <f t="shared" si="19"/>
        <v>0.4</v>
      </c>
      <c r="O223" s="117">
        <f t="shared" si="19"/>
        <v>0.4</v>
      </c>
      <c r="P223" s="117">
        <f t="shared" si="19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18"/>
        <v>0</v>
      </c>
      <c r="C224" s="117">
        <v>1.5</v>
      </c>
      <c r="D224" s="117">
        <f t="shared" si="19"/>
        <v>1.5</v>
      </c>
      <c r="E224" s="117">
        <f t="shared" si="19"/>
        <v>1.5</v>
      </c>
      <c r="F224" s="117">
        <f t="shared" si="19"/>
        <v>1.5</v>
      </c>
      <c r="G224" s="117">
        <f t="shared" si="19"/>
        <v>1.5</v>
      </c>
      <c r="H224" s="117">
        <f t="shared" si="19"/>
        <v>1.5</v>
      </c>
      <c r="I224" s="100">
        <f t="shared" ref="I224" ca="1" si="20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19"/>
        <v>1.5</v>
      </c>
      <c r="K224" s="117">
        <f t="shared" ca="1" si="19"/>
        <v>1.5</v>
      </c>
      <c r="L224" s="117">
        <f t="shared" ca="1" si="19"/>
        <v>1.5</v>
      </c>
      <c r="M224" s="117">
        <f t="shared" ca="1" si="19"/>
        <v>1.5</v>
      </c>
      <c r="N224" s="117">
        <f t="shared" ca="1" si="19"/>
        <v>1.5</v>
      </c>
      <c r="O224" s="117">
        <f t="shared" ca="1" si="19"/>
        <v>1.5</v>
      </c>
      <c r="P224" s="117">
        <f t="shared" ca="1" si="19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18"/>
        <v>0</v>
      </c>
      <c r="C225" s="117">
        <v>0.3</v>
      </c>
      <c r="D225" s="117">
        <f t="shared" si="19"/>
        <v>0.3</v>
      </c>
      <c r="E225" s="117">
        <f t="shared" si="19"/>
        <v>0.3</v>
      </c>
      <c r="F225" s="117">
        <f t="shared" si="19"/>
        <v>0.3</v>
      </c>
      <c r="G225" s="117">
        <f t="shared" si="19"/>
        <v>0.3</v>
      </c>
      <c r="H225" s="117">
        <f t="shared" si="19"/>
        <v>0.3</v>
      </c>
      <c r="I225" s="117">
        <f t="shared" si="19"/>
        <v>0.3</v>
      </c>
      <c r="J225" s="117">
        <f t="shared" si="19"/>
        <v>0.3</v>
      </c>
      <c r="K225" s="117">
        <f t="shared" si="19"/>
        <v>0.3</v>
      </c>
      <c r="L225" s="117">
        <f t="shared" si="19"/>
        <v>0.3</v>
      </c>
      <c r="M225" s="117">
        <f t="shared" si="19"/>
        <v>0.3</v>
      </c>
      <c r="N225" s="117">
        <f t="shared" si="19"/>
        <v>0.3</v>
      </c>
      <c r="O225" s="117">
        <f t="shared" si="19"/>
        <v>0.3</v>
      </c>
      <c r="P225" s="117">
        <f t="shared" si="19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18"/>
        <v>0</v>
      </c>
      <c r="C226" s="117">
        <v>0.4</v>
      </c>
      <c r="D226" s="117">
        <f t="shared" si="19"/>
        <v>0.4</v>
      </c>
      <c r="E226" s="117">
        <f t="shared" si="19"/>
        <v>0.4</v>
      </c>
      <c r="F226" s="117">
        <f t="shared" si="19"/>
        <v>0.4</v>
      </c>
      <c r="G226" s="117">
        <f t="shared" si="19"/>
        <v>0.4</v>
      </c>
      <c r="H226" s="117">
        <f t="shared" si="19"/>
        <v>0.4</v>
      </c>
      <c r="I226" s="117">
        <f t="shared" si="19"/>
        <v>0.4</v>
      </c>
      <c r="J226" s="117">
        <f t="shared" si="19"/>
        <v>0.4</v>
      </c>
      <c r="K226" s="117">
        <f t="shared" si="19"/>
        <v>0.4</v>
      </c>
      <c r="L226" s="117">
        <f t="shared" si="19"/>
        <v>0.4</v>
      </c>
      <c r="M226" s="117">
        <f t="shared" si="19"/>
        <v>0.4</v>
      </c>
      <c r="N226" s="117">
        <f t="shared" si="19"/>
        <v>0.4</v>
      </c>
      <c r="O226" s="117">
        <f t="shared" si="19"/>
        <v>0.4</v>
      </c>
      <c r="P226" s="117">
        <f t="shared" si="19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18"/>
        <v>0</v>
      </c>
      <c r="C227" s="121">
        <v>0.64</v>
      </c>
      <c r="D227" s="121">
        <f t="shared" si="19"/>
        <v>0.64</v>
      </c>
      <c r="E227" s="121">
        <f t="shared" si="19"/>
        <v>0.64</v>
      </c>
      <c r="F227" s="121">
        <f t="shared" si="19"/>
        <v>0.64</v>
      </c>
      <c r="G227" s="121">
        <f t="shared" si="19"/>
        <v>0.64</v>
      </c>
      <c r="H227" s="121">
        <f t="shared" si="19"/>
        <v>0.64</v>
      </c>
      <c r="I227" s="121">
        <f t="shared" si="19"/>
        <v>0.64</v>
      </c>
      <c r="J227" s="121">
        <f t="shared" si="19"/>
        <v>0.64</v>
      </c>
      <c r="K227" s="121">
        <f t="shared" si="19"/>
        <v>0.64</v>
      </c>
      <c r="L227" s="121">
        <f t="shared" si="19"/>
        <v>0.64</v>
      </c>
      <c r="M227" s="121">
        <f t="shared" si="19"/>
        <v>0.64</v>
      </c>
      <c r="N227" s="121">
        <f t="shared" si="19"/>
        <v>0.64</v>
      </c>
      <c r="O227" s="121">
        <f t="shared" si="19"/>
        <v>0.64</v>
      </c>
      <c r="P227" s="121">
        <f t="shared" si="19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1">SUM(B222:B227)</f>
        <v>0</v>
      </c>
      <c r="C228" s="125">
        <f t="shared" si="21"/>
        <v>3.54</v>
      </c>
      <c r="D228" s="125">
        <f t="shared" si="21"/>
        <v>3.54</v>
      </c>
      <c r="E228" s="125">
        <f t="shared" si="21"/>
        <v>3.54</v>
      </c>
      <c r="F228" s="125">
        <f t="shared" si="21"/>
        <v>3.54</v>
      </c>
      <c r="G228" s="125">
        <f t="shared" si="21"/>
        <v>3.54</v>
      </c>
      <c r="H228" s="125">
        <f t="shared" si="21"/>
        <v>3.54</v>
      </c>
      <c r="I228" s="125">
        <f t="shared" ca="1" si="21"/>
        <v>3.54</v>
      </c>
      <c r="J228" s="125">
        <f t="shared" ca="1" si="21"/>
        <v>3.54</v>
      </c>
      <c r="K228" s="125">
        <f t="shared" ca="1" si="21"/>
        <v>3.54</v>
      </c>
      <c r="L228" s="125">
        <f t="shared" ca="1" si="21"/>
        <v>3.54</v>
      </c>
      <c r="M228" s="125">
        <f t="shared" ca="1" si="21"/>
        <v>3.54</v>
      </c>
      <c r="N228" s="125">
        <f t="shared" ca="1" si="21"/>
        <v>3.54</v>
      </c>
      <c r="O228" s="125">
        <f t="shared" ca="1" si="21"/>
        <v>3.54</v>
      </c>
      <c r="P228" s="125">
        <f t="shared" ca="1" si="21"/>
        <v>3.54</v>
      </c>
      <c r="Q228" s="125">
        <f t="shared" si="21"/>
        <v>0</v>
      </c>
      <c r="R228" s="125">
        <f t="shared" si="21"/>
        <v>0</v>
      </c>
      <c r="S228" s="125">
        <f t="shared" si="21"/>
        <v>0</v>
      </c>
      <c r="T228" s="125">
        <f t="shared" si="21"/>
        <v>0</v>
      </c>
      <c r="U228" s="125">
        <f t="shared" si="21"/>
        <v>0</v>
      </c>
      <c r="V228" s="125">
        <f t="shared" si="21"/>
        <v>0</v>
      </c>
      <c r="W228" s="125">
        <f t="shared" si="21"/>
        <v>0</v>
      </c>
      <c r="X228" s="125">
        <f t="shared" si="21"/>
        <v>0</v>
      </c>
      <c r="Y228" s="125">
        <f t="shared" si="21"/>
        <v>0</v>
      </c>
      <c r="Z228" s="125">
        <f t="shared" si="21"/>
        <v>0</v>
      </c>
      <c r="AA228" s="125">
        <f t="shared" si="21"/>
        <v>0</v>
      </c>
      <c r="AB228" s="125">
        <f t="shared" si="21"/>
        <v>0</v>
      </c>
      <c r="AC228" s="125">
        <f t="shared" si="21"/>
        <v>0</v>
      </c>
      <c r="AD228" s="125">
        <f t="shared" si="21"/>
        <v>0</v>
      </c>
      <c r="AE228" s="125">
        <f t="shared" si="21"/>
        <v>0</v>
      </c>
      <c r="AF228" s="125">
        <f t="shared" si="21"/>
        <v>0</v>
      </c>
      <c r="AG228" s="134">
        <f t="shared" si="21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1646.3400000000001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24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2079/09/24)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2079/09/24)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2">B85</f>
        <v>1031.1400000000001</v>
      </c>
      <c r="U242" s="159">
        <f t="shared" si="22"/>
        <v>1019.74</v>
      </c>
      <c r="V242" s="159">
        <f t="shared" si="22"/>
        <v>1003.24</v>
      </c>
      <c r="W242" s="159">
        <f t="shared" si="22"/>
        <v>995.74999999999989</v>
      </c>
      <c r="X242" s="159">
        <f t="shared" si="22"/>
        <v>982.84999999999991</v>
      </c>
      <c r="Y242" s="159">
        <f t="shared" si="22"/>
        <v>1059.05</v>
      </c>
      <c r="Z242" s="159">
        <f t="shared" si="22"/>
        <v>1067.04</v>
      </c>
      <c r="AA242" s="159">
        <f t="shared" si="22"/>
        <v>1173.44</v>
      </c>
      <c r="AB242" s="159">
        <f t="shared" si="22"/>
        <v>1328.7399999999998</v>
      </c>
      <c r="AC242" s="159">
        <f t="shared" si="22"/>
        <v>1487.2399999999998</v>
      </c>
      <c r="AD242" s="159">
        <f t="shared" si="22"/>
        <v>1637.84</v>
      </c>
      <c r="AE242" s="159">
        <f t="shared" si="22"/>
        <v>1646.3400000000001</v>
      </c>
      <c r="AF242" s="159">
        <f t="shared" si="22"/>
        <v>1627.54</v>
      </c>
      <c r="AG242" s="159">
        <f t="shared" si="22"/>
        <v>1612.94</v>
      </c>
      <c r="AH242" s="159">
        <f t="shared" si="22"/>
        <v>1595.3400000000001</v>
      </c>
      <c r="AI242" s="159">
        <f t="shared" si="22"/>
        <v>1463.9399999999998</v>
      </c>
      <c r="AJ242" s="159">
        <f t="shared" si="22"/>
        <v>244.34</v>
      </c>
      <c r="AK242" s="159">
        <f t="shared" si="22"/>
        <v>1414.0399999999997</v>
      </c>
      <c r="AL242" s="159">
        <f t="shared" si="22"/>
        <v>1427.6399999999999</v>
      </c>
      <c r="AM242" s="159">
        <f t="shared" si="22"/>
        <v>1414.85</v>
      </c>
      <c r="AN242" s="159">
        <f t="shared" si="22"/>
        <v>1334.44</v>
      </c>
      <c r="AO242" s="159">
        <f t="shared" si="22"/>
        <v>1475.5399999999997</v>
      </c>
      <c r="AP242" s="159">
        <f t="shared" si="22"/>
        <v>1739.44</v>
      </c>
      <c r="AQ242" s="159">
        <f t="shared" si="22"/>
        <v>1738.1399999999999</v>
      </c>
      <c r="AR242" s="159">
        <f t="shared" si="22"/>
        <v>1670.74</v>
      </c>
      <c r="AS242" s="159">
        <f t="shared" si="22"/>
        <v>1673.2399999999998</v>
      </c>
      <c r="AT242" s="159">
        <f t="shared" si="22"/>
        <v>1596.5399999999997</v>
      </c>
      <c r="AU242" s="159">
        <f t="shared" si="22"/>
        <v>1586.6399999999999</v>
      </c>
      <c r="AV242" s="159">
        <f t="shared" si="22"/>
        <v>1498.84</v>
      </c>
      <c r="AW242" s="159">
        <f t="shared" si="22"/>
        <v>1281.54</v>
      </c>
      <c r="AX242" s="159">
        <f t="shared" si="22"/>
        <v>1137.54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3">C227</f>
        <v>0.64</v>
      </c>
      <c r="C263" s="162">
        <f t="shared" si="23"/>
        <v>0.64</v>
      </c>
      <c r="D263" s="162">
        <f t="shared" si="23"/>
        <v>0.64</v>
      </c>
      <c r="E263" s="162">
        <f t="shared" si="23"/>
        <v>0.64</v>
      </c>
      <c r="F263" s="162">
        <f t="shared" si="23"/>
        <v>0.64</v>
      </c>
      <c r="G263" s="162">
        <f t="shared" si="23"/>
        <v>0.64</v>
      </c>
      <c r="H263" s="162">
        <f t="shared" si="23"/>
        <v>0.64</v>
      </c>
      <c r="I263" s="162">
        <f t="shared" si="23"/>
        <v>0.64</v>
      </c>
      <c r="J263" s="162">
        <f t="shared" si="23"/>
        <v>0.64</v>
      </c>
      <c r="K263" s="162">
        <f t="shared" si="23"/>
        <v>0.64</v>
      </c>
      <c r="L263" s="162">
        <f t="shared" si="23"/>
        <v>0.64</v>
      </c>
      <c r="M263" s="162">
        <f t="shared" si="23"/>
        <v>0.64</v>
      </c>
      <c r="N263" s="162">
        <f t="shared" si="23"/>
        <v>0.64</v>
      </c>
      <c r="O263" s="162">
        <f t="shared" si="23"/>
        <v>0.64</v>
      </c>
      <c r="P263" s="162">
        <f t="shared" si="23"/>
        <v>0</v>
      </c>
      <c r="Q263" s="162">
        <f t="shared" si="23"/>
        <v>0</v>
      </c>
      <c r="R263" s="162">
        <f t="shared" si="23"/>
        <v>0</v>
      </c>
      <c r="S263" s="162">
        <f t="shared" si="23"/>
        <v>0</v>
      </c>
      <c r="T263" s="162">
        <f t="shared" si="23"/>
        <v>0</v>
      </c>
      <c r="U263" s="162">
        <f t="shared" si="23"/>
        <v>0</v>
      </c>
      <c r="V263" s="162">
        <f t="shared" si="23"/>
        <v>0</v>
      </c>
      <c r="W263" s="162">
        <f t="shared" si="23"/>
        <v>0</v>
      </c>
      <c r="X263" s="162">
        <f t="shared" si="23"/>
        <v>0</v>
      </c>
      <c r="Y263" s="162">
        <f t="shared" si="23"/>
        <v>0</v>
      </c>
      <c r="Z263" s="162">
        <f t="shared" si="23"/>
        <v>0</v>
      </c>
      <c r="AA263" s="162">
        <f t="shared" si="23"/>
        <v>0</v>
      </c>
      <c r="AB263" s="162">
        <f t="shared" si="23"/>
        <v>0</v>
      </c>
      <c r="AC263" s="162">
        <f t="shared" si="23"/>
        <v>0</v>
      </c>
      <c r="AD263" s="162">
        <f t="shared" si="23"/>
        <v>0</v>
      </c>
      <c r="AE263" s="162">
        <f t="shared" si="23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4">IF(B231&lt;100,"",B231-520)</f>
        <v/>
      </c>
      <c r="C264" s="163" t="str">
        <f t="shared" si="24"/>
        <v/>
      </c>
      <c r="D264" s="163" t="str">
        <f t="shared" si="24"/>
        <v/>
      </c>
      <c r="E264" s="163" t="str">
        <f t="shared" si="24"/>
        <v/>
      </c>
      <c r="F264" s="163" t="str">
        <f t="shared" si="24"/>
        <v/>
      </c>
      <c r="G264" s="163" t="str">
        <f t="shared" si="24"/>
        <v/>
      </c>
      <c r="H264" s="163" t="str">
        <f t="shared" si="24"/>
        <v/>
      </c>
      <c r="I264" s="163" t="str">
        <f t="shared" si="24"/>
        <v/>
      </c>
      <c r="J264" s="163" t="str">
        <f t="shared" si="24"/>
        <v/>
      </c>
      <c r="K264" s="163" t="str">
        <f t="shared" si="24"/>
        <v/>
      </c>
      <c r="L264" s="163" t="str">
        <f t="shared" si="24"/>
        <v/>
      </c>
      <c r="M264" s="163" t="str">
        <f t="shared" si="24"/>
        <v/>
      </c>
      <c r="N264" s="163" t="str">
        <f t="shared" si="24"/>
        <v/>
      </c>
      <c r="O264" s="163" t="str">
        <f t="shared" si="24"/>
        <v/>
      </c>
      <c r="P264" s="163" t="str">
        <f t="shared" si="24"/>
        <v/>
      </c>
      <c r="Q264" s="163" t="str">
        <f t="shared" si="24"/>
        <v/>
      </c>
      <c r="R264" s="163" t="str">
        <f t="shared" si="24"/>
        <v/>
      </c>
      <c r="S264" s="163" t="str">
        <f t="shared" si="24"/>
        <v/>
      </c>
      <c r="T264" s="163" t="str">
        <f t="shared" si="24"/>
        <v/>
      </c>
      <c r="U264" s="163" t="str">
        <f t="shared" si="24"/>
        <v/>
      </c>
      <c r="V264" s="163" t="str">
        <f t="shared" si="24"/>
        <v/>
      </c>
      <c r="W264" s="163" t="str">
        <f t="shared" si="24"/>
        <v/>
      </c>
      <c r="X264" s="163" t="str">
        <f t="shared" si="24"/>
        <v/>
      </c>
      <c r="Y264" s="163" t="str">
        <f t="shared" si="24"/>
        <v/>
      </c>
      <c r="Z264" s="163" t="str">
        <f t="shared" si="24"/>
        <v/>
      </c>
      <c r="AA264" s="163" t="str">
        <f t="shared" si="24"/>
        <v/>
      </c>
      <c r="AB264" s="163" t="str">
        <f t="shared" si="24"/>
        <v/>
      </c>
      <c r="AC264" s="163" t="str">
        <f t="shared" si="24"/>
        <v/>
      </c>
      <c r="AD264" s="163" t="str">
        <f t="shared" si="24"/>
        <v/>
      </c>
      <c r="AE264" s="163" t="str">
        <f t="shared" si="24"/>
        <v/>
      </c>
      <c r="AF264" s="163" t="str">
        <f t="shared" si="24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5">IF(B232&lt;100,"",B232-620)</f>
        <v/>
      </c>
      <c r="C265" s="163" t="str">
        <f t="shared" si="25"/>
        <v/>
      </c>
      <c r="D265" s="163" t="str">
        <f t="shared" si="25"/>
        <v/>
      </c>
      <c r="E265" s="163" t="str">
        <f t="shared" si="25"/>
        <v/>
      </c>
      <c r="F265" s="163" t="str">
        <f t="shared" si="25"/>
        <v/>
      </c>
      <c r="G265" s="163" t="str">
        <f t="shared" si="25"/>
        <v/>
      </c>
      <c r="H265" s="163" t="str">
        <f t="shared" si="25"/>
        <v/>
      </c>
      <c r="I265" s="163" t="str">
        <f t="shared" si="25"/>
        <v/>
      </c>
      <c r="J265" s="163" t="str">
        <f t="shared" si="25"/>
        <v/>
      </c>
      <c r="K265" s="163" t="str">
        <f t="shared" si="25"/>
        <v/>
      </c>
      <c r="L265" s="163" t="str">
        <f t="shared" si="25"/>
        <v/>
      </c>
      <c r="M265" s="163" t="str">
        <f t="shared" si="25"/>
        <v/>
      </c>
      <c r="N265" s="163" t="str">
        <f t="shared" si="25"/>
        <v/>
      </c>
      <c r="O265" s="163" t="str">
        <f t="shared" si="25"/>
        <v/>
      </c>
      <c r="P265" s="163" t="str">
        <f t="shared" si="25"/>
        <v/>
      </c>
      <c r="Q265" s="163" t="str">
        <f t="shared" si="25"/>
        <v/>
      </c>
      <c r="R265" s="163" t="str">
        <f t="shared" si="25"/>
        <v/>
      </c>
      <c r="S265" s="163" t="str">
        <f t="shared" si="25"/>
        <v/>
      </c>
      <c r="T265" s="163" t="str">
        <f t="shared" si="25"/>
        <v/>
      </c>
      <c r="U265" s="163" t="str">
        <f t="shared" si="25"/>
        <v/>
      </c>
      <c r="V265" s="163" t="str">
        <f t="shared" si="25"/>
        <v/>
      </c>
      <c r="W265" s="163" t="str">
        <f t="shared" si="25"/>
        <v/>
      </c>
      <c r="X265" s="163" t="str">
        <f t="shared" si="25"/>
        <v/>
      </c>
      <c r="Y265" s="163" t="str">
        <f t="shared" si="25"/>
        <v/>
      </c>
      <c r="Z265" s="163" t="str">
        <f t="shared" si="25"/>
        <v/>
      </c>
      <c r="AA265" s="163" t="str">
        <f t="shared" si="25"/>
        <v/>
      </c>
      <c r="AB265" s="163" t="str">
        <f t="shared" si="25"/>
        <v/>
      </c>
      <c r="AC265" s="163" t="str">
        <f t="shared" si="25"/>
        <v/>
      </c>
      <c r="AD265" s="163" t="str">
        <f t="shared" si="25"/>
        <v/>
      </c>
      <c r="AE265" s="163" t="str">
        <f t="shared" si="25"/>
        <v/>
      </c>
      <c r="AF265" s="163" t="str">
        <f t="shared" si="25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26">IF(B233&lt;100,"",B233-330)</f>
        <v/>
      </c>
      <c r="C266" s="163" t="str">
        <f t="shared" si="26"/>
        <v/>
      </c>
      <c r="D266" s="163" t="str">
        <f t="shared" si="26"/>
        <v/>
      </c>
      <c r="E266" s="163" t="str">
        <f t="shared" si="26"/>
        <v/>
      </c>
      <c r="F266" s="163" t="str">
        <f t="shared" si="26"/>
        <v/>
      </c>
      <c r="G266" s="163" t="str">
        <f t="shared" si="26"/>
        <v/>
      </c>
      <c r="H266" s="163" t="str">
        <f t="shared" si="26"/>
        <v/>
      </c>
      <c r="I266" s="163" t="str">
        <f t="shared" si="26"/>
        <v/>
      </c>
      <c r="J266" s="163" t="str">
        <f t="shared" si="26"/>
        <v/>
      </c>
      <c r="K266" s="163" t="str">
        <f t="shared" si="26"/>
        <v/>
      </c>
      <c r="L266" s="163" t="str">
        <f t="shared" si="26"/>
        <v/>
      </c>
      <c r="M266" s="163" t="str">
        <f t="shared" si="26"/>
        <v/>
      </c>
      <c r="N266" s="163" t="str">
        <f t="shared" si="26"/>
        <v/>
      </c>
      <c r="O266" s="163" t="str">
        <f t="shared" si="26"/>
        <v/>
      </c>
      <c r="P266" s="163" t="str">
        <f t="shared" si="26"/>
        <v/>
      </c>
      <c r="Q266" s="163" t="str">
        <f t="shared" si="26"/>
        <v/>
      </c>
      <c r="R266" s="163" t="str">
        <f t="shared" si="26"/>
        <v/>
      </c>
      <c r="S266" s="163" t="str">
        <f t="shared" si="26"/>
        <v/>
      </c>
      <c r="T266" s="163" t="str">
        <f t="shared" si="26"/>
        <v/>
      </c>
      <c r="U266" s="163" t="str">
        <f t="shared" si="26"/>
        <v/>
      </c>
      <c r="V266" s="163" t="str">
        <f t="shared" si="26"/>
        <v/>
      </c>
      <c r="W266" s="163" t="str">
        <f t="shared" si="26"/>
        <v/>
      </c>
      <c r="X266" s="163" t="str">
        <f t="shared" si="26"/>
        <v/>
      </c>
      <c r="Y266" s="163" t="str">
        <f t="shared" si="26"/>
        <v/>
      </c>
      <c r="Z266" s="163" t="str">
        <f t="shared" si="26"/>
        <v/>
      </c>
      <c r="AA266" s="163" t="str">
        <f t="shared" si="26"/>
        <v/>
      </c>
      <c r="AB266" s="163" t="str">
        <f t="shared" si="26"/>
        <v/>
      </c>
      <c r="AC266" s="163" t="str">
        <f t="shared" si="26"/>
        <v/>
      </c>
      <c r="AD266" s="163" t="str">
        <f t="shared" si="26"/>
        <v/>
      </c>
      <c r="AE266" s="163" t="str">
        <f t="shared" si="26"/>
        <v/>
      </c>
      <c r="AF266" s="163" t="str">
        <f t="shared" si="26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27">IF(B234&lt;100,"",B234-1500)</f>
        <v/>
      </c>
      <c r="C267" s="163" t="str">
        <f t="shared" si="27"/>
        <v/>
      </c>
      <c r="D267" s="163" t="str">
        <f t="shared" si="27"/>
        <v/>
      </c>
      <c r="E267" s="163" t="str">
        <f t="shared" si="27"/>
        <v/>
      </c>
      <c r="F267" s="163" t="str">
        <f t="shared" si="27"/>
        <v/>
      </c>
      <c r="G267" s="163" t="str">
        <f t="shared" si="27"/>
        <v/>
      </c>
      <c r="H267" s="163" t="str">
        <f t="shared" si="27"/>
        <v/>
      </c>
      <c r="I267" s="163" t="str">
        <f t="shared" si="27"/>
        <v/>
      </c>
      <c r="J267" s="163" t="str">
        <f t="shared" si="27"/>
        <v/>
      </c>
      <c r="K267" s="163" t="str">
        <f t="shared" si="27"/>
        <v/>
      </c>
      <c r="L267" s="163" t="str">
        <f t="shared" si="27"/>
        <v/>
      </c>
      <c r="M267" s="163" t="str">
        <f t="shared" si="27"/>
        <v/>
      </c>
      <c r="N267" s="163" t="str">
        <f t="shared" si="27"/>
        <v/>
      </c>
      <c r="O267" s="163" t="str">
        <f t="shared" si="27"/>
        <v/>
      </c>
      <c r="P267" s="163" t="str">
        <f t="shared" si="27"/>
        <v/>
      </c>
      <c r="Q267" s="163" t="str">
        <f t="shared" si="27"/>
        <v/>
      </c>
      <c r="R267" s="163" t="str">
        <f t="shared" si="27"/>
        <v/>
      </c>
      <c r="S267" s="163" t="str">
        <f t="shared" si="27"/>
        <v/>
      </c>
      <c r="T267" s="163" t="str">
        <f t="shared" si="27"/>
        <v/>
      </c>
      <c r="U267" s="163" t="str">
        <f t="shared" si="27"/>
        <v/>
      </c>
      <c r="V267" s="163" t="str">
        <f t="shared" si="27"/>
        <v/>
      </c>
      <c r="W267" s="163" t="str">
        <f t="shared" si="27"/>
        <v/>
      </c>
      <c r="X267" s="163" t="str">
        <f t="shared" si="27"/>
        <v/>
      </c>
      <c r="Y267" s="163" t="str">
        <f t="shared" si="27"/>
        <v/>
      </c>
      <c r="Z267" s="163" t="str">
        <f t="shared" si="27"/>
        <v/>
      </c>
      <c r="AA267" s="163" t="str">
        <f t="shared" si="27"/>
        <v/>
      </c>
      <c r="AB267" s="163" t="str">
        <f t="shared" si="27"/>
        <v/>
      </c>
      <c r="AC267" s="163" t="str">
        <f t="shared" si="27"/>
        <v/>
      </c>
      <c r="AD267" s="163" t="str">
        <f t="shared" si="27"/>
        <v/>
      </c>
      <c r="AE267" s="163" t="str">
        <f t="shared" si="27"/>
        <v/>
      </c>
      <c r="AF267" s="163" t="str">
        <f t="shared" si="27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E105:R105 E107:R112 U107:AF112 U105:AF105 X11:AF41">
    <cfRule type="expression" dxfId="4554" priority="305">
      <formula>B$9&gt;=20/24</formula>
    </cfRule>
    <cfRule type="expression" dxfId="4553" priority="306">
      <formula>AND(B$9&gt;=14/24,B$9&lt;20/24)</formula>
    </cfRule>
    <cfRule type="expression" dxfId="4552" priority="307">
      <formula>AND(B$9&gt;=8/24,B$9&lt;14/24)</formula>
    </cfRule>
    <cfRule type="expression" dxfId="4551" priority="308">
      <formula>B$9&lt;8/24</formula>
    </cfRule>
  </conditionalFormatting>
  <conditionalFormatting sqref="AL4:AL6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AG61 X11:AF41">
    <cfRule type="expression" dxfId="4550" priority="303">
      <formula>X11&gt;$AG11</formula>
    </cfRule>
  </conditionalFormatting>
  <conditionalFormatting sqref="A95:A105 A55:A82 A91:A93 A198:A228 A42:A53 A114:A185 A38:A39 A87:A89 A84:A85 A107:A109 A35:A36 A17:A18 A11:A15 A20:A33">
    <cfRule type="expression" dxfId="4549" priority="302">
      <formula>$AH11=0</formula>
    </cfRule>
  </conditionalFormatting>
  <conditionalFormatting sqref="A110">
    <cfRule type="expression" dxfId="4548" priority="301">
      <formula>$AH110=0</formula>
    </cfRule>
  </conditionalFormatting>
  <conditionalFormatting sqref="AL39">
    <cfRule type="iconSet" priority="300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4547" priority="299">
      <formula>$AH41=0</formula>
    </cfRule>
  </conditionalFormatting>
  <conditionalFormatting sqref="A94">
    <cfRule type="expression" dxfId="4546" priority="298">
      <formula>$AH94=0</formula>
    </cfRule>
  </conditionalFormatting>
  <conditionalFormatting sqref="A16">
    <cfRule type="expression" dxfId="4545" priority="297">
      <formula>$AH16=0</formula>
    </cfRule>
  </conditionalFormatting>
  <conditionalFormatting sqref="A192:A197">
    <cfRule type="expression" dxfId="4544" priority="296">
      <formula>$AH192=0</formula>
    </cfRule>
  </conditionalFormatting>
  <conditionalFormatting sqref="A186:A191">
    <cfRule type="expression" dxfId="4543" priority="295">
      <formula>$AH186=0</formula>
    </cfRule>
  </conditionalFormatting>
  <conditionalFormatting sqref="A54">
    <cfRule type="expression" dxfId="4542" priority="294">
      <formula>$AH54=0</formula>
    </cfRule>
  </conditionalFormatting>
  <conditionalFormatting sqref="A90">
    <cfRule type="expression" dxfId="4541" priority="293">
      <formula>$AH90=0</formula>
    </cfRule>
  </conditionalFormatting>
  <conditionalFormatting sqref="AD95:AF95 E95:Y95">
    <cfRule type="expression" dxfId="4540" priority="289">
      <formula>E$9&gt;=20/24</formula>
    </cfRule>
    <cfRule type="expression" dxfId="4539" priority="290">
      <formula>AND(E$9&gt;=14/24,E$9&lt;20/24)</formula>
    </cfRule>
    <cfRule type="expression" dxfId="4538" priority="291">
      <formula>AND(E$9&gt;=8/24,E$9&lt;14/24)</formula>
    </cfRule>
    <cfRule type="expression" dxfId="4537" priority="292">
      <formula>E$9&lt;8/24</formula>
    </cfRule>
  </conditionalFormatting>
  <conditionalFormatting sqref="AL40">
    <cfRule type="iconSet" priority="2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536" priority="311">
      <formula>C$9&gt;=20/24</formula>
    </cfRule>
    <cfRule type="expression" dxfId="4535" priority="312">
      <formula>AND(C$9&gt;=14/24,C$9&lt;20/24)</formula>
    </cfRule>
    <cfRule type="expression" dxfId="4534" priority="313">
      <formula>AND(C$9&gt;=8/24,C$9&lt;14/24)</formula>
    </cfRule>
    <cfRule type="expression" dxfId="4533" priority="314">
      <formula>C$9&lt;8/24</formula>
    </cfRule>
  </conditionalFormatting>
  <conditionalFormatting sqref="A229">
    <cfRule type="expression" dxfId="4532" priority="315">
      <formula>$AH229=0</formula>
    </cfRule>
  </conditionalFormatting>
  <conditionalFormatting sqref="AG241">
    <cfRule type="expression" dxfId="4531" priority="316">
      <formula>B$9&gt;=20/24</formula>
    </cfRule>
    <cfRule type="expression" dxfId="4530" priority="317">
      <formula>AND(B$9&gt;=14/24,B$9&lt;20/24)</formula>
    </cfRule>
    <cfRule type="expression" dxfId="4529" priority="318">
      <formula>AND(B$9&gt;=8/24,B$9&lt;14/24)</formula>
    </cfRule>
    <cfRule type="expression" dxfId="4528" priority="319">
      <formula>B$9&lt;8/24</formula>
    </cfRule>
  </conditionalFormatting>
  <conditionalFormatting sqref="S8">
    <cfRule type="expression" dxfId="4527" priority="284">
      <formula>U$9&gt;=20/24</formula>
    </cfRule>
    <cfRule type="expression" dxfId="4526" priority="285">
      <formula>AND(U$9&gt;=14/24,U$9&lt;20/24)</formula>
    </cfRule>
    <cfRule type="expression" dxfId="4525" priority="286">
      <formula>AND(U$9&gt;=8/24,U$9&lt;14/24)</formula>
    </cfRule>
    <cfRule type="expression" dxfId="4524" priority="287">
      <formula>U$9&lt;8/24</formula>
    </cfRule>
  </conditionalFormatting>
  <conditionalFormatting sqref="AB8">
    <cfRule type="expression" dxfId="4523" priority="280">
      <formula>AD$9&gt;=20/24</formula>
    </cfRule>
    <cfRule type="expression" dxfId="4522" priority="281">
      <formula>AND(AD$9&gt;=14/24,AD$9&lt;20/24)</formula>
    </cfRule>
    <cfRule type="expression" dxfId="4521" priority="282">
      <formula>AND(AD$9&gt;=8/24,AD$9&lt;14/24)</formula>
    </cfRule>
    <cfRule type="expression" dxfId="4520" priority="283">
      <formula>AD$9&lt;8/24</formula>
    </cfRule>
  </conditionalFormatting>
  <conditionalFormatting sqref="AH241:AX241">
    <cfRule type="expression" dxfId="4519" priority="320">
      <formula>AG$9&gt;=20/24</formula>
    </cfRule>
    <cfRule type="expression" dxfId="4518" priority="321">
      <formula>AND(AG$9&gt;=14/24,AG$9&lt;20/24)</formula>
    </cfRule>
    <cfRule type="expression" dxfId="4517" priority="322">
      <formula>AND(AG$9&gt;=8/24,AG$9&lt;14/24)</formula>
    </cfRule>
    <cfRule type="expression" dxfId="4516" priority="323">
      <formula>AG$9&lt;8/24</formula>
    </cfRule>
  </conditionalFormatting>
  <conditionalFormatting sqref="T241">
    <cfRule type="expression" dxfId="4515" priority="324">
      <formula>AX$9&gt;=20/24</formula>
    </cfRule>
    <cfRule type="expression" dxfId="4514" priority="325">
      <formula>AND(AX$9&gt;=14/24,AX$9&lt;20/24)</formula>
    </cfRule>
    <cfRule type="expression" dxfId="4513" priority="326">
      <formula>AND(AX$9&gt;=8/24,AX$9&lt;14/24)</formula>
    </cfRule>
    <cfRule type="expression" dxfId="4512" priority="327">
      <formula>AX$9&lt;8/24</formula>
    </cfRule>
  </conditionalFormatting>
  <conditionalFormatting sqref="A111:A112">
    <cfRule type="expression" dxfId="4511" priority="279">
      <formula>$AH111=0</formula>
    </cfRule>
  </conditionalFormatting>
  <conditionalFormatting sqref="O50:R56 E67:R67 AB50:AF51 U67:AF67 X52:AF53">
    <cfRule type="expression" dxfId="4510" priority="275">
      <formula>E$9&gt;=20/24</formula>
    </cfRule>
    <cfRule type="expression" dxfId="4509" priority="276">
      <formula>AND(E$9&gt;=14/24,E$9&lt;20/24)</formula>
    </cfRule>
    <cfRule type="expression" dxfId="4508" priority="277">
      <formula>AND(E$9&gt;=8/24,E$9&lt;14/24)</formula>
    </cfRule>
    <cfRule type="expression" dxfId="4507" priority="278">
      <formula>E$9&lt;8/24</formula>
    </cfRule>
  </conditionalFormatting>
  <conditionalFormatting sqref="O49:Q49 AB49:AF49">
    <cfRule type="expression" dxfId="4506" priority="271">
      <formula>O$9&gt;=20/24</formula>
    </cfRule>
    <cfRule type="expression" dxfId="4505" priority="272">
      <formula>AND(O$9&gt;=14/24,O$9&lt;20/24)</formula>
    </cfRule>
    <cfRule type="expression" dxfId="4504" priority="273">
      <formula>AND(O$9&gt;=8/24,O$9&lt;14/24)</formula>
    </cfRule>
    <cfRule type="expression" dxfId="4503" priority="274">
      <formula>O$9&lt;8/24</formula>
    </cfRule>
  </conditionalFormatting>
  <conditionalFormatting sqref="O49:Q56 R50:R56 AB49:AF51 X52:AF53">
    <cfRule type="expression" dxfId="4502" priority="270">
      <formula>O49&gt;$AG49</formula>
    </cfRule>
  </conditionalFormatting>
  <conditionalFormatting sqref="D82:AF82 X70 X92:AF92 AD96:AF102 E68:R69 U68:X69 X43:AF43 M96:Y102 Z97:Z102 Y68:AF70 X63:AF65">
    <cfRule type="expression" dxfId="4501" priority="266">
      <formula>D$9&gt;=20/24</formula>
    </cfRule>
    <cfRule type="expression" dxfId="4500" priority="267">
      <formula>AND(D$9&gt;=14/24,D$9&lt;20/24)</formula>
    </cfRule>
    <cfRule type="expression" dxfId="4499" priority="268">
      <formula>AND(D$9&gt;=8/24,D$9&lt;14/24)</formula>
    </cfRule>
    <cfRule type="expression" dxfId="4498" priority="269">
      <formula>D$9&lt;8/24</formula>
    </cfRule>
  </conditionalFormatting>
  <conditionalFormatting sqref="X43:AF43 X63:AF65">
    <cfRule type="expression" dxfId="4497" priority="265">
      <formula>X43&gt;$AG43</formula>
    </cfRule>
  </conditionalFormatting>
  <conditionalFormatting sqref="R49 U49:AA51">
    <cfRule type="expression" dxfId="4496" priority="261">
      <formula>R$9&gt;=20/24</formula>
    </cfRule>
    <cfRule type="expression" dxfId="4495" priority="262">
      <formula>AND(R$9&gt;=14/24,R$9&lt;20/24)</formula>
    </cfRule>
    <cfRule type="expression" dxfId="4494" priority="263">
      <formula>AND(R$9&gt;=8/24,R$9&lt;14/24)</formula>
    </cfRule>
    <cfRule type="expression" dxfId="4493" priority="264">
      <formula>R$9&lt;8/24</formula>
    </cfRule>
  </conditionalFormatting>
  <conditionalFormatting sqref="R49 U49:AA51">
    <cfRule type="expression" dxfId="4492" priority="260">
      <formula>R49&gt;$AG49</formula>
    </cfRule>
  </conditionalFormatting>
  <conditionalFormatting sqref="C84:AF84 C93:AF93">
    <cfRule type="expression" dxfId="4491" priority="256">
      <formula>C$9&gt;=20/24</formula>
    </cfRule>
    <cfRule type="expression" dxfId="4490" priority="257">
      <formula>AND(C$9&gt;=14/24,C$9&lt;20/24)</formula>
    </cfRule>
    <cfRule type="expression" dxfId="4489" priority="258">
      <formula>AND(C$9&gt;=8/24,C$9&lt;14/24)</formula>
    </cfRule>
    <cfRule type="expression" dxfId="4488" priority="259">
      <formula>C$9&lt;8/24</formula>
    </cfRule>
  </conditionalFormatting>
  <conditionalFormatting sqref="T43:W43">
    <cfRule type="expression" dxfId="4487" priority="252">
      <formula>T$9&gt;=20/24</formula>
    </cfRule>
    <cfRule type="expression" dxfId="4486" priority="253">
      <formula>AND(T$9&gt;=14/24,T$9&lt;20/24)</formula>
    </cfRule>
    <cfRule type="expression" dxfId="4485" priority="254">
      <formula>AND(T$9&gt;=8/24,T$9&lt;14/24)</formula>
    </cfRule>
    <cfRule type="expression" dxfId="4484" priority="255">
      <formula>T$9&lt;8/24</formula>
    </cfRule>
  </conditionalFormatting>
  <conditionalFormatting sqref="T43:W43">
    <cfRule type="expression" dxfId="4483" priority="251">
      <formula>T43&gt;$AG43</formula>
    </cfRule>
  </conditionalFormatting>
  <conditionalFormatting sqref="E50:N51 X42:AF42">
    <cfRule type="expression" dxfId="4482" priority="247">
      <formula>E$9&gt;=20/24</formula>
    </cfRule>
    <cfRule type="expression" dxfId="4481" priority="248">
      <formula>AND(E$9&gt;=14/24,E$9&lt;20/24)</formula>
    </cfRule>
    <cfRule type="expression" dxfId="4480" priority="249">
      <formula>AND(E$9&gt;=8/24,E$9&lt;14/24)</formula>
    </cfRule>
    <cfRule type="expression" dxfId="4479" priority="250">
      <formula>E$9&lt;8/24</formula>
    </cfRule>
  </conditionalFormatting>
  <conditionalFormatting sqref="E49:N49">
    <cfRule type="expression" dxfId="4478" priority="243">
      <formula>E$9&gt;=20/24</formula>
    </cfRule>
    <cfRule type="expression" dxfId="4477" priority="244">
      <formula>AND(E$9&gt;=14/24,E$9&lt;20/24)</formula>
    </cfRule>
    <cfRule type="expression" dxfId="4476" priority="245">
      <formula>AND(E$9&gt;=8/24,E$9&lt;14/24)</formula>
    </cfRule>
    <cfRule type="expression" dxfId="4475" priority="246">
      <formula>E$9&lt;8/24</formula>
    </cfRule>
  </conditionalFormatting>
  <conditionalFormatting sqref="E49:N51 X42:AF42">
    <cfRule type="expression" dxfId="4474" priority="242">
      <formula>E42&gt;$AG42</formula>
    </cfRule>
  </conditionalFormatting>
  <conditionalFormatting sqref="AG66 AG83 E96:L102 Q63:W65">
    <cfRule type="expression" dxfId="4473" priority="238">
      <formula>E$9&gt;=20/24</formula>
    </cfRule>
    <cfRule type="expression" dxfId="4472" priority="239">
      <formula>AND(E$9&gt;=14/24,E$9&lt;20/24)</formula>
    </cfRule>
    <cfRule type="expression" dxfId="4471" priority="240">
      <formula>AND(E$9&gt;=8/24,E$9&lt;14/24)</formula>
    </cfRule>
    <cfRule type="expression" dxfId="4470" priority="241">
      <formula>E$9&lt;8/24</formula>
    </cfRule>
  </conditionalFormatting>
  <conditionalFormatting sqref="AG44 AG62 AG66 Q63:W65">
    <cfRule type="expression" dxfId="4469" priority="237">
      <formula>Q44&gt;$AG44</formula>
    </cfRule>
  </conditionalFormatting>
  <conditionalFormatting sqref="X54:AF54">
    <cfRule type="expression" dxfId="4468" priority="233">
      <formula>X$9&gt;=20/24</formula>
    </cfRule>
    <cfRule type="expression" dxfId="4467" priority="234">
      <formula>AND(X$9&gt;=14/24,X$9&lt;20/24)</formula>
    </cfRule>
    <cfRule type="expression" dxfId="4466" priority="235">
      <formula>AND(X$9&gt;=8/24,X$9&lt;14/24)</formula>
    </cfRule>
    <cfRule type="expression" dxfId="4465" priority="236">
      <formula>X$9&lt;8/24</formula>
    </cfRule>
  </conditionalFormatting>
  <conditionalFormatting sqref="X54:AF54">
    <cfRule type="expression" dxfId="4464" priority="232">
      <formula>X54&gt;$AG54</formula>
    </cfRule>
  </conditionalFormatting>
  <conditionalFormatting sqref="A40">
    <cfRule type="expression" dxfId="4463" priority="231">
      <formula>$AH40=0</formula>
    </cfRule>
  </conditionalFormatting>
  <conditionalFormatting sqref="X87:AF91">
    <cfRule type="expression" dxfId="4462" priority="227">
      <formula>X$9&gt;=20/24</formula>
    </cfRule>
    <cfRule type="expression" dxfId="4461" priority="228">
      <formula>AND(X$9&gt;=14/24,X$9&lt;20/24)</formula>
    </cfRule>
    <cfRule type="expression" dxfId="4460" priority="229">
      <formula>AND(X$9&gt;=8/24,X$9&lt;14/24)</formula>
    </cfRule>
    <cfRule type="expression" dxfId="4459" priority="230">
      <formula>X$9&lt;8/24</formula>
    </cfRule>
  </conditionalFormatting>
  <conditionalFormatting sqref="AL41 AL38 AL20:AL33 AL35:AL36 AL7:AL18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4458" priority="223">
      <formula>E$9&gt;=20/24</formula>
    </cfRule>
    <cfRule type="expression" dxfId="4457" priority="224">
      <formula>AND(E$9&gt;=14/24,E$9&lt;20/24)</formula>
    </cfRule>
    <cfRule type="expression" dxfId="4456" priority="225">
      <formula>AND(E$9&gt;=8/24,E$9&lt;14/24)</formula>
    </cfRule>
    <cfRule type="expression" dxfId="4455" priority="226">
      <formula>E$9&lt;8/24</formula>
    </cfRule>
  </conditionalFormatting>
  <conditionalFormatting sqref="E45:AF47">
    <cfRule type="expression" dxfId="4454" priority="222">
      <formula>E45&gt;$AG45</formula>
    </cfRule>
  </conditionalFormatting>
  <conditionalFormatting sqref="AG48">
    <cfRule type="expression" dxfId="4453" priority="218">
      <formula>AG$9&gt;=20/24</formula>
    </cfRule>
    <cfRule type="expression" dxfId="4452" priority="219">
      <formula>AND(AG$9&gt;=14/24,AG$9&lt;20/24)</formula>
    </cfRule>
    <cfRule type="expression" dxfId="4451" priority="220">
      <formula>AND(AG$9&gt;=8/24,AG$9&lt;14/24)</formula>
    </cfRule>
    <cfRule type="expression" dxfId="4450" priority="221">
      <formula>AG$9&lt;8/24</formula>
    </cfRule>
  </conditionalFormatting>
  <conditionalFormatting sqref="AG48">
    <cfRule type="expression" dxfId="4449" priority="217">
      <formula>AG48&gt;$AG48</formula>
    </cfRule>
  </conditionalFormatting>
  <conditionalFormatting sqref="C103:AF103">
    <cfRule type="expression" dxfId="4448" priority="213">
      <formula>C$9&gt;=20/24</formula>
    </cfRule>
    <cfRule type="expression" dxfId="4447" priority="214">
      <formula>AND(C$9&gt;=14/24,C$9&lt;20/24)</formula>
    </cfRule>
    <cfRule type="expression" dxfId="4446" priority="215">
      <formula>AND(C$9&gt;=8/24,C$9&lt;14/24)</formula>
    </cfRule>
    <cfRule type="expression" dxfId="4445" priority="216">
      <formula>C$9&lt;8/24</formula>
    </cfRule>
  </conditionalFormatting>
  <conditionalFormatting sqref="AL37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444" priority="211">
      <formula>$AH37=0</formula>
    </cfRule>
  </conditionalFormatting>
  <conditionalFormatting sqref="A86">
    <cfRule type="expression" dxfId="4443" priority="209">
      <formula>$AH86=0</formula>
    </cfRule>
  </conditionalFormatting>
  <conditionalFormatting sqref="A83">
    <cfRule type="expression" dxfId="4442" priority="210">
      <formula>$AH83=0</formula>
    </cfRule>
  </conditionalFormatting>
  <conditionalFormatting sqref="A113">
    <cfRule type="expression" dxfId="4441" priority="200">
      <formula>$AH113=0</formula>
    </cfRule>
  </conditionalFormatting>
  <conditionalFormatting sqref="E106:R106 U106:AF106">
    <cfRule type="expression" dxfId="4440" priority="196">
      <formula>E$9&gt;=20/24</formula>
    </cfRule>
    <cfRule type="expression" dxfId="4439" priority="197">
      <formula>AND(E$9&gt;=14/24,E$9&lt;20/24)</formula>
    </cfRule>
    <cfRule type="expression" dxfId="4438" priority="198">
      <formula>AND(E$9&gt;=8/24,E$9&lt;14/24)</formula>
    </cfRule>
    <cfRule type="expression" dxfId="4437" priority="199">
      <formula>E$9&lt;8/24</formula>
    </cfRule>
  </conditionalFormatting>
  <conditionalFormatting sqref="A106">
    <cfRule type="expression" dxfId="4436" priority="195">
      <formula>$AH106=0</formula>
    </cfRule>
  </conditionalFormatting>
  <conditionalFormatting sqref="A19">
    <cfRule type="expression" dxfId="4435" priority="193">
      <formula>$AH19=0</formula>
    </cfRule>
  </conditionalFormatting>
  <conditionalFormatting sqref="AL19">
    <cfRule type="iconSet" priority="19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434" priority="191">
      <formula>$AH34=0</formula>
    </cfRule>
  </conditionalFormatting>
  <conditionalFormatting sqref="AL34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Z95:AC95">
    <cfRule type="expression" dxfId="4433" priority="187">
      <formula>Z$9&gt;=20/24</formula>
    </cfRule>
    <cfRule type="expression" dxfId="4432" priority="188">
      <formula>AND(Z$9&gt;=14/24,Z$9&lt;20/24)</formula>
    </cfRule>
    <cfRule type="expression" dxfId="4431" priority="189">
      <formula>AND(Z$9&gt;=8/24,Z$9&lt;14/24)</formula>
    </cfRule>
    <cfRule type="expression" dxfId="4430" priority="190">
      <formula>Z$9&lt;8/24</formula>
    </cfRule>
  </conditionalFormatting>
  <conditionalFormatting sqref="Z96:AC96 AA97:AC102">
    <cfRule type="expression" dxfId="4429" priority="183">
      <formula>Z$9&gt;=20/24</formula>
    </cfRule>
    <cfRule type="expression" dxfId="4428" priority="184">
      <formula>AND(Z$9&gt;=14/24,Z$9&lt;20/24)</formula>
    </cfRule>
    <cfRule type="expression" dxfId="4427" priority="185">
      <formula>AND(Z$9&gt;=8/24,Z$9&lt;14/24)</formula>
    </cfRule>
    <cfRule type="expression" dxfId="4426" priority="186">
      <formula>Z$9&lt;8/24</formula>
    </cfRule>
  </conditionalFormatting>
  <conditionalFormatting sqref="B105:D105 B107:D112 B15:R40">
    <cfRule type="expression" dxfId="4425" priority="179">
      <formula>B$9&gt;=20/24</formula>
    </cfRule>
    <cfRule type="expression" dxfId="4424" priority="180">
      <formula>AND(B$9&gt;=14/24,B$9&lt;20/24)</formula>
    </cfRule>
    <cfRule type="expression" dxfId="4423" priority="181">
      <formula>AND(B$9&gt;=8/24,B$9&lt;14/24)</formula>
    </cfRule>
    <cfRule type="expression" dxfId="4422" priority="182">
      <formula>B$9&lt;8/24</formula>
    </cfRule>
  </conditionalFormatting>
  <conditionalFormatting sqref="B43:S43">
    <cfRule type="expression" dxfId="4421" priority="175">
      <formula>B$9&gt;=20/24</formula>
    </cfRule>
    <cfRule type="expression" dxfId="4420" priority="176">
      <formula>AND(B$9&gt;=14/24,B$9&lt;20/24)</formula>
    </cfRule>
    <cfRule type="expression" dxfId="4419" priority="177">
      <formula>AND(B$9&gt;=8/24,B$9&lt;14/24)</formula>
    </cfRule>
    <cfRule type="expression" dxfId="4418" priority="178">
      <formula>B$9&lt;8/24</formula>
    </cfRule>
  </conditionalFormatting>
  <conditionalFormatting sqref="B43:S43 B15:R40">
    <cfRule type="expression" dxfId="4417" priority="174">
      <formula>B15&gt;$AG15</formula>
    </cfRule>
  </conditionalFormatting>
  <conditionalFormatting sqref="B95:D95">
    <cfRule type="expression" dxfId="4416" priority="170">
      <formula>B$9&gt;=20/24</formula>
    </cfRule>
    <cfRule type="expression" dxfId="4415" priority="171">
      <formula>AND(B$9&gt;=14/24,B$9&lt;20/24)</formula>
    </cfRule>
    <cfRule type="expression" dxfId="4414" priority="172">
      <formula>AND(B$9&gt;=8/24,B$9&lt;14/24)</formula>
    </cfRule>
    <cfRule type="expression" dxfId="4413" priority="173">
      <formula>B$9&lt;8/24</formula>
    </cfRule>
  </conditionalFormatting>
  <conditionalFormatting sqref="B67:D67 B50:D51">
    <cfRule type="expression" dxfId="4412" priority="166">
      <formula>B$9&gt;=20/24</formula>
    </cfRule>
    <cfRule type="expression" dxfId="4411" priority="167">
      <formula>AND(B$9&gt;=14/24,B$9&lt;20/24)</formula>
    </cfRule>
    <cfRule type="expression" dxfId="4410" priority="168">
      <formula>AND(B$9&gt;=8/24,B$9&lt;14/24)</formula>
    </cfRule>
    <cfRule type="expression" dxfId="4409" priority="169">
      <formula>B$9&lt;8/24</formula>
    </cfRule>
  </conditionalFormatting>
  <conditionalFormatting sqref="B49:D49">
    <cfRule type="expression" dxfId="4408" priority="162">
      <formula>B$9&gt;=20/24</formula>
    </cfRule>
    <cfRule type="expression" dxfId="4407" priority="163">
      <formula>AND(B$9&gt;=14/24,B$9&lt;20/24)</formula>
    </cfRule>
    <cfRule type="expression" dxfId="4406" priority="164">
      <formula>AND(B$9&gt;=8/24,B$9&lt;14/24)</formula>
    </cfRule>
    <cfRule type="expression" dxfId="4405" priority="165">
      <formula>B$9&lt;8/24</formula>
    </cfRule>
  </conditionalFormatting>
  <conditionalFormatting sqref="B49:D51">
    <cfRule type="expression" dxfId="4404" priority="161">
      <formula>B49&gt;$AG49</formula>
    </cfRule>
  </conditionalFormatting>
  <conditionalFormatting sqref="B82:C82 B68:D72 B92:W92 B79:AF81 B96:D102 B63:P65 E70:R72 U70:W72 X71:AF72">
    <cfRule type="expression" dxfId="4403" priority="157">
      <formula>B$9&gt;=20/24</formula>
    </cfRule>
    <cfRule type="expression" dxfId="4402" priority="158">
      <formula>AND(B$9&gt;=14/24,B$9&lt;20/24)</formula>
    </cfRule>
    <cfRule type="expression" dxfId="4401" priority="159">
      <formula>AND(B$9&gt;=8/24,B$9&lt;14/24)</formula>
    </cfRule>
    <cfRule type="expression" dxfId="4400" priority="160">
      <formula>B$9&lt;8/24</formula>
    </cfRule>
  </conditionalFormatting>
  <conditionalFormatting sqref="B52:L53 B63:P65">
    <cfRule type="expression" dxfId="4399" priority="156">
      <formula>B52&gt;$AG52</formula>
    </cfRule>
  </conditionalFormatting>
  <conditionalFormatting sqref="B54:N54">
    <cfRule type="expression" dxfId="4398" priority="152">
      <formula>B$9&gt;=20/24</formula>
    </cfRule>
    <cfRule type="expression" dxfId="4397" priority="153">
      <formula>AND(B$9&gt;=14/24,B$9&lt;20/24)</formula>
    </cfRule>
    <cfRule type="expression" dxfId="4396" priority="154">
      <formula>AND(B$9&gt;=8/24,B$9&lt;14/24)</formula>
    </cfRule>
    <cfRule type="expression" dxfId="4395" priority="155">
      <formula>B$9&lt;8/24</formula>
    </cfRule>
  </conditionalFormatting>
  <conditionalFormatting sqref="B54:N54">
    <cfRule type="expression" dxfId="4394" priority="151">
      <formula>B54&gt;$AG54</formula>
    </cfRule>
  </conditionalFormatting>
  <conditionalFormatting sqref="B84 B93">
    <cfRule type="expression" dxfId="4393" priority="147">
      <formula>B$9&gt;=20/24</formula>
    </cfRule>
    <cfRule type="expression" dxfId="4392" priority="148">
      <formula>AND(B$9&gt;=14/24,B$9&lt;20/24)</formula>
    </cfRule>
    <cfRule type="expression" dxfId="4391" priority="149">
      <formula>AND(B$9&gt;=8/24,B$9&lt;14/24)</formula>
    </cfRule>
    <cfRule type="expression" dxfId="4390" priority="150">
      <formula>B$9&lt;8/24</formula>
    </cfRule>
  </conditionalFormatting>
  <conditionalFormatting sqref="B42:R42">
    <cfRule type="expression" dxfId="4389" priority="143">
      <formula>B$9&gt;=20/24</formula>
    </cfRule>
    <cfRule type="expression" dxfId="4388" priority="144">
      <formula>AND(B$9&gt;=14/24,B$9&lt;20/24)</formula>
    </cfRule>
    <cfRule type="expression" dxfId="4387" priority="145">
      <formula>AND(B$9&gt;=8/24,B$9&lt;14/24)</formula>
    </cfRule>
    <cfRule type="expression" dxfId="4386" priority="146">
      <formula>B$9&lt;8/24</formula>
    </cfRule>
  </conditionalFormatting>
  <conditionalFormatting sqref="B42:R42">
    <cfRule type="expression" dxfId="4385" priority="142">
      <formula>B42&gt;$AG42</formula>
    </cfRule>
  </conditionalFormatting>
  <conditionalFormatting sqref="B85:AF85 B94:AF94 B83:AF83 B66:AF66">
    <cfRule type="expression" dxfId="4384" priority="138">
      <formula>B$9&gt;=20/24</formula>
    </cfRule>
    <cfRule type="expression" dxfId="4383" priority="139">
      <formula>AND(B$9&gt;=14/24,B$9&lt;20/24)</formula>
    </cfRule>
    <cfRule type="expression" dxfId="4382" priority="140">
      <formula>AND(B$9&gt;=8/24,B$9&lt;14/24)</formula>
    </cfRule>
    <cfRule type="expression" dxfId="4381" priority="141">
      <formula>B$9&lt;8/24</formula>
    </cfRule>
  </conditionalFormatting>
  <conditionalFormatting sqref="B61:AF62 B66:AF66 B44:AF44">
    <cfRule type="expression" dxfId="4380" priority="137">
      <formula>B44&gt;$AG44</formula>
    </cfRule>
  </conditionalFormatting>
  <conditionalFormatting sqref="B78:AF78">
    <cfRule type="expression" dxfId="4379" priority="133">
      <formula>B$9&gt;=20/24</formula>
    </cfRule>
    <cfRule type="expression" dxfId="4378" priority="134">
      <formula>AND(B$9&gt;=14/24,B$9&lt;20/24)</formula>
    </cfRule>
    <cfRule type="expression" dxfId="4377" priority="135">
      <formula>AND(B$9&gt;=8/24,B$9&lt;14/24)</formula>
    </cfRule>
    <cfRule type="expression" dxfId="4376" priority="136">
      <formula>B$9&lt;8/24</formula>
    </cfRule>
  </conditionalFormatting>
  <conditionalFormatting sqref="B87:W91">
    <cfRule type="expression" dxfId="4375" priority="129">
      <formula>B$9&gt;=20/24</formula>
    </cfRule>
    <cfRule type="expression" dxfId="4374" priority="130">
      <formula>AND(B$9&gt;=14/24,B$9&lt;20/24)</formula>
    </cfRule>
    <cfRule type="expression" dxfId="4373" priority="131">
      <formula>AND(B$9&gt;=8/24,B$9&lt;14/24)</formula>
    </cfRule>
    <cfRule type="expression" dxfId="4372" priority="132">
      <formula>B$9&lt;8/24</formula>
    </cfRule>
  </conditionalFormatting>
  <conditionalFormatting sqref="B45:D47">
    <cfRule type="expression" dxfId="4371" priority="125">
      <formula>B$9&gt;=20/24</formula>
    </cfRule>
    <cfRule type="expression" dxfId="4370" priority="126">
      <formula>AND(B$9&gt;=14/24,B$9&lt;20/24)</formula>
    </cfRule>
    <cfRule type="expression" dxfId="4369" priority="127">
      <formula>AND(B$9&gt;=8/24,B$9&lt;14/24)</formula>
    </cfRule>
    <cfRule type="expression" dxfId="4368" priority="128">
      <formula>B$9&lt;8/24</formula>
    </cfRule>
  </conditionalFormatting>
  <conditionalFormatting sqref="B45:D47">
    <cfRule type="expression" dxfId="4367" priority="124">
      <formula>B45&gt;$AG45</formula>
    </cfRule>
  </conditionalFormatting>
  <conditionalFormatting sqref="B48:AF48">
    <cfRule type="expression" dxfId="4366" priority="120">
      <formula>B$9&gt;=20/24</formula>
    </cfRule>
    <cfRule type="expression" dxfId="4365" priority="121">
      <formula>AND(B$9&gt;=14/24,B$9&lt;20/24)</formula>
    </cfRule>
    <cfRule type="expression" dxfId="4364" priority="122">
      <formula>AND(B$9&gt;=8/24,B$9&lt;14/24)</formula>
    </cfRule>
    <cfRule type="expression" dxfId="4363" priority="123">
      <formula>B$9&lt;8/24</formula>
    </cfRule>
  </conditionalFormatting>
  <conditionalFormatting sqref="B48:AF48">
    <cfRule type="expression" dxfId="4362" priority="119">
      <formula>B48&gt;$AG48</formula>
    </cfRule>
  </conditionalFormatting>
  <conditionalFormatting sqref="B103">
    <cfRule type="expression" dxfId="4361" priority="115">
      <formula>B$9&gt;=20/24</formula>
    </cfRule>
    <cfRule type="expression" dxfId="4360" priority="116">
      <formula>AND(B$9&gt;=14/24,B$9&lt;20/24)</formula>
    </cfRule>
    <cfRule type="expression" dxfId="4359" priority="117">
      <formula>AND(B$9&gt;=8/24,B$9&lt;14/24)</formula>
    </cfRule>
    <cfRule type="expression" dxfId="4358" priority="118">
      <formula>B$9&lt;8/24</formula>
    </cfRule>
  </conditionalFormatting>
  <conditionalFormatting sqref="B106:D106">
    <cfRule type="expression" dxfId="4357" priority="103">
      <formula>B$9&gt;=20/24</formula>
    </cfRule>
    <cfRule type="expression" dxfId="4356" priority="104">
      <formula>AND(B$9&gt;=14/24,B$9&lt;20/24)</formula>
    </cfRule>
    <cfRule type="expression" dxfId="4355" priority="105">
      <formula>AND(B$9&gt;=8/24,B$9&lt;14/24)</formula>
    </cfRule>
    <cfRule type="expression" dxfId="4354" priority="106">
      <formula>B$9&lt;8/24</formula>
    </cfRule>
  </conditionalFormatting>
  <conditionalFormatting sqref="B55:N60 O57:R60 X55:AF60">
    <cfRule type="expression" dxfId="4353" priority="99">
      <formula>B$9&gt;=20/24</formula>
    </cfRule>
    <cfRule type="expression" dxfId="4352" priority="100">
      <formula>AND(B$9&gt;=14/24,B$9&lt;20/24)</formula>
    </cfRule>
    <cfRule type="expression" dxfId="4351" priority="101">
      <formula>AND(B$9&gt;=8/24,B$9&lt;14/24)</formula>
    </cfRule>
    <cfRule type="expression" dxfId="4350" priority="102">
      <formula>B$9&lt;8/24</formula>
    </cfRule>
  </conditionalFormatting>
  <conditionalFormatting sqref="B55:N60 O57:R60 X55:AF60">
    <cfRule type="expression" dxfId="4349" priority="98">
      <formula>B55&gt;$AG55</formula>
    </cfRule>
  </conditionalFormatting>
  <conditionalFormatting sqref="B12:R14 B41:R41">
    <cfRule type="expression" dxfId="4348" priority="97">
      <formula>B12&gt;$AG12</formula>
    </cfRule>
  </conditionalFormatting>
  <conditionalFormatting sqref="B11:R11">
    <cfRule type="expression" dxfId="4347" priority="93">
      <formula>B$9&gt;=20/24</formula>
    </cfRule>
    <cfRule type="expression" dxfId="4346" priority="94">
      <formula>AND(B$9&gt;=14/24,B$9&lt;20/24)</formula>
    </cfRule>
    <cfRule type="expression" dxfId="4345" priority="95">
      <formula>AND(B$9&gt;=8/24,B$9&lt;14/24)</formula>
    </cfRule>
    <cfRule type="expression" dxfId="4344" priority="96">
      <formula>B$9&lt;8/24</formula>
    </cfRule>
  </conditionalFormatting>
  <conditionalFormatting sqref="B11:R11">
    <cfRule type="expression" dxfId="4343" priority="92">
      <formula>B11&gt;$AG11</formula>
    </cfRule>
  </conditionalFormatting>
  <conditionalFormatting sqref="B12:R14">
    <cfRule type="expression" dxfId="4342" priority="88">
      <formula>B$9&gt;=20/24</formula>
    </cfRule>
    <cfRule type="expression" dxfId="4341" priority="89">
      <formula>AND(B$9&gt;=14/24,B$9&lt;20/24)</formula>
    </cfRule>
    <cfRule type="expression" dxfId="4340" priority="90">
      <formula>AND(B$9&gt;=8/24,B$9&lt;14/24)</formula>
    </cfRule>
    <cfRule type="expression" dxfId="4339" priority="91">
      <formula>B$9&lt;8/24</formula>
    </cfRule>
  </conditionalFormatting>
  <conditionalFormatting sqref="B41:R41">
    <cfRule type="expression" dxfId="4338" priority="84">
      <formula>B$9&gt;=20/24</formula>
    </cfRule>
    <cfRule type="expression" dxfId="4337" priority="85">
      <formula>AND(B$9&gt;=14/24,B$9&lt;20/24)</formula>
    </cfRule>
    <cfRule type="expression" dxfId="4336" priority="86">
      <formula>AND(B$9&gt;=8/24,B$9&lt;14/24)</formula>
    </cfRule>
    <cfRule type="expression" dxfId="4335" priority="87">
      <formula>B$9&lt;8/24</formula>
    </cfRule>
  </conditionalFormatting>
  <conditionalFormatting sqref="B73:R77 U73:AF77">
    <cfRule type="expression" dxfId="4334" priority="80">
      <formula>B$9&gt;=20/24</formula>
    </cfRule>
    <cfRule type="expression" dxfId="4333" priority="81">
      <formula>AND(B$9&gt;=14/24,B$9&lt;20/24)</formula>
    </cfRule>
    <cfRule type="expression" dxfId="4332" priority="82">
      <formula>AND(B$9&gt;=8/24,B$9&lt;14/24)</formula>
    </cfRule>
    <cfRule type="expression" dxfId="4331" priority="83">
      <formula>B$9&lt;8/24</formula>
    </cfRule>
  </conditionalFormatting>
  <conditionalFormatting sqref="AL74:AN74 AL80:AN80 AN75:AN76">
    <cfRule type="expression" dxfId="4330" priority="76">
      <formula>AL$9&gt;=20/24</formula>
    </cfRule>
    <cfRule type="expression" dxfId="4329" priority="77">
      <formula>AND(AL$9&gt;=14/24,AL$9&lt;20/24)</formula>
    </cfRule>
    <cfRule type="expression" dxfId="4328" priority="78">
      <formula>AND(AL$9&gt;=8/24,AL$9&lt;14/24)</formula>
    </cfRule>
    <cfRule type="expression" dxfId="4327" priority="79">
      <formula>AL$9&lt;8/24</formula>
    </cfRule>
  </conditionalFormatting>
  <conditionalFormatting sqref="AN77:AN78">
    <cfRule type="expression" dxfId="4326" priority="72">
      <formula>AN$9&gt;=20/24</formula>
    </cfRule>
    <cfRule type="expression" dxfId="4325" priority="73">
      <formula>AND(AN$9&gt;=14/24,AN$9&lt;20/24)</formula>
    </cfRule>
    <cfRule type="expression" dxfId="4324" priority="74">
      <formula>AND(AN$9&gt;=8/24,AN$9&lt;14/24)</formula>
    </cfRule>
    <cfRule type="expression" dxfId="4323" priority="75">
      <formula>AN$9&lt;8/24</formula>
    </cfRule>
  </conditionalFormatting>
  <conditionalFormatting sqref="AL75:AM79">
    <cfRule type="expression" dxfId="4322" priority="329">
      <formula>AJ$9&gt;=20/24</formula>
    </cfRule>
    <cfRule type="expression" dxfId="4321" priority="330">
      <formula>AND(AJ$9&gt;=14/24,AJ$9&lt;20/24)</formula>
    </cfRule>
    <cfRule type="expression" dxfId="4320" priority="331">
      <formula>AND(AJ$9&gt;=8/24,AJ$9&lt;14/24)</formula>
    </cfRule>
    <cfRule type="expression" dxfId="4319" priority="332">
      <formula>AJ$9&lt;8/24</formula>
    </cfRule>
  </conditionalFormatting>
  <conditionalFormatting sqref="M52:N53">
    <cfRule type="expression" dxfId="4318" priority="68">
      <formula>M$9&gt;=20/24</formula>
    </cfRule>
    <cfRule type="expression" dxfId="4317" priority="69">
      <formula>AND(M$9&gt;=14/24,M$9&lt;20/24)</formula>
    </cfRule>
    <cfRule type="expression" dxfId="4316" priority="70">
      <formula>AND(M$9&gt;=8/24,M$9&lt;14/24)</formula>
    </cfRule>
    <cfRule type="expression" dxfId="4315" priority="71">
      <formula>M$9&lt;8/24</formula>
    </cfRule>
  </conditionalFormatting>
  <conditionalFormatting sqref="M52:N53">
    <cfRule type="expression" dxfId="4314" priority="67">
      <formula>M52&gt;$AG52</formula>
    </cfRule>
  </conditionalFormatting>
  <conditionalFormatting sqref="S15:W40">
    <cfRule type="expression" dxfId="4313" priority="63">
      <formula>S$9&gt;=20/24</formula>
    </cfRule>
    <cfRule type="expression" dxfId="4312" priority="64">
      <formula>AND(S$9&gt;=14/24,S$9&lt;20/24)</formula>
    </cfRule>
    <cfRule type="expression" dxfId="4311" priority="65">
      <formula>AND(S$9&gt;=8/24,S$9&lt;14/24)</formula>
    </cfRule>
    <cfRule type="expression" dxfId="4310" priority="66">
      <formula>S$9&lt;8/24</formula>
    </cfRule>
  </conditionalFormatting>
  <conditionalFormatting sqref="S15:W40">
    <cfRule type="expression" dxfId="4309" priority="62">
      <formula>S15&gt;$AG15</formula>
    </cfRule>
  </conditionalFormatting>
  <conditionalFormatting sqref="S42:W42">
    <cfRule type="expression" dxfId="4308" priority="58">
      <formula>S$9&gt;=20/24</formula>
    </cfRule>
    <cfRule type="expression" dxfId="4307" priority="59">
      <formula>AND(S$9&gt;=14/24,S$9&lt;20/24)</formula>
    </cfRule>
    <cfRule type="expression" dxfId="4306" priority="60">
      <formula>AND(S$9&gt;=8/24,S$9&lt;14/24)</formula>
    </cfRule>
    <cfRule type="expression" dxfId="4305" priority="61">
      <formula>S$9&lt;8/24</formula>
    </cfRule>
  </conditionalFormatting>
  <conditionalFormatting sqref="S42:W42">
    <cfRule type="expression" dxfId="4304" priority="57">
      <formula>S42&gt;$AG42</formula>
    </cfRule>
  </conditionalFormatting>
  <conditionalFormatting sqref="S12:W14 S41:W41">
    <cfRule type="expression" dxfId="4303" priority="56">
      <formula>S12&gt;$AG12</formula>
    </cfRule>
  </conditionalFormatting>
  <conditionalFormatting sqref="S11:W11">
    <cfRule type="expression" dxfId="4302" priority="52">
      <formula>S$9&gt;=20/24</formula>
    </cfRule>
    <cfRule type="expression" dxfId="4301" priority="53">
      <formula>AND(S$9&gt;=14/24,S$9&lt;20/24)</formula>
    </cfRule>
    <cfRule type="expression" dxfId="4300" priority="54">
      <formula>AND(S$9&gt;=8/24,S$9&lt;14/24)</formula>
    </cfRule>
    <cfRule type="expression" dxfId="4299" priority="55">
      <formula>S$9&lt;8/24</formula>
    </cfRule>
  </conditionalFormatting>
  <conditionalFormatting sqref="S11:W11">
    <cfRule type="expression" dxfId="4298" priority="51">
      <formula>S11&gt;$AG11</formula>
    </cfRule>
  </conditionalFormatting>
  <conditionalFormatting sqref="S12:W14">
    <cfRule type="expression" dxfId="4297" priority="47">
      <formula>S$9&gt;=20/24</formula>
    </cfRule>
    <cfRule type="expression" dxfId="4296" priority="48">
      <formula>AND(S$9&gt;=14/24,S$9&lt;20/24)</formula>
    </cfRule>
    <cfRule type="expression" dxfId="4295" priority="49">
      <formula>AND(S$9&gt;=8/24,S$9&lt;14/24)</formula>
    </cfRule>
    <cfRule type="expression" dxfId="4294" priority="50">
      <formula>S$9&lt;8/24</formula>
    </cfRule>
  </conditionalFormatting>
  <conditionalFormatting sqref="S41:W41">
    <cfRule type="expression" dxfId="4293" priority="43">
      <formula>S$9&gt;=20/24</formula>
    </cfRule>
    <cfRule type="expression" dxfId="4292" priority="44">
      <formula>AND(S$9&gt;=14/24,S$9&lt;20/24)</formula>
    </cfRule>
    <cfRule type="expression" dxfId="4291" priority="45">
      <formula>AND(S$9&gt;=8/24,S$9&lt;14/24)</formula>
    </cfRule>
    <cfRule type="expression" dxfId="4290" priority="46">
      <formula>S$9&lt;8/24</formula>
    </cfRule>
  </conditionalFormatting>
  <conditionalFormatting sqref="S50:T56 U52:W56">
    <cfRule type="expression" dxfId="4289" priority="39">
      <formula>S$9&gt;=20/24</formula>
    </cfRule>
    <cfRule type="expression" dxfId="4288" priority="40">
      <formula>AND(S$9&gt;=14/24,S$9&lt;20/24)</formula>
    </cfRule>
    <cfRule type="expression" dxfId="4287" priority="41">
      <formula>AND(S$9&gt;=8/24,S$9&lt;14/24)</formula>
    </cfRule>
    <cfRule type="expression" dxfId="4286" priority="42">
      <formula>S$9&lt;8/24</formula>
    </cfRule>
  </conditionalFormatting>
  <conditionalFormatting sqref="S49:T49">
    <cfRule type="expression" dxfId="4285" priority="35">
      <formula>S$9&gt;=20/24</formula>
    </cfRule>
    <cfRule type="expression" dxfId="4284" priority="36">
      <formula>AND(S$9&gt;=14/24,S$9&lt;20/24)</formula>
    </cfRule>
    <cfRule type="expression" dxfId="4283" priority="37">
      <formula>AND(S$9&gt;=8/24,S$9&lt;14/24)</formula>
    </cfRule>
    <cfRule type="expression" dxfId="4282" priority="38">
      <formula>S$9&lt;8/24</formula>
    </cfRule>
  </conditionalFormatting>
  <conditionalFormatting sqref="S49:T56 U52:W56">
    <cfRule type="expression" dxfId="4281" priority="34">
      <formula>S49&gt;$AG49</formula>
    </cfRule>
  </conditionalFormatting>
  <conditionalFormatting sqref="S57:W60">
    <cfRule type="expression" dxfId="4280" priority="30">
      <formula>S$9&gt;=20/24</formula>
    </cfRule>
    <cfRule type="expression" dxfId="4279" priority="31">
      <formula>AND(S$9&gt;=14/24,S$9&lt;20/24)</formula>
    </cfRule>
    <cfRule type="expression" dxfId="4278" priority="32">
      <formula>AND(S$9&gt;=8/24,S$9&lt;14/24)</formula>
    </cfRule>
    <cfRule type="expression" dxfId="4277" priority="33">
      <formula>S$9&lt;8/24</formula>
    </cfRule>
  </conditionalFormatting>
  <conditionalFormatting sqref="S57:W60">
    <cfRule type="expression" dxfId="4276" priority="29">
      <formula>S57&gt;$AG57</formula>
    </cfRule>
  </conditionalFormatting>
  <conditionalFormatting sqref="S67:T67">
    <cfRule type="expression" dxfId="4275" priority="25">
      <formula>S$9&gt;=20/24</formula>
    </cfRule>
    <cfRule type="expression" dxfId="4274" priority="26">
      <formula>AND(S$9&gt;=14/24,S$9&lt;20/24)</formula>
    </cfRule>
    <cfRule type="expression" dxfId="4273" priority="27">
      <formula>AND(S$9&gt;=8/24,S$9&lt;14/24)</formula>
    </cfRule>
    <cfRule type="expression" dxfId="4272" priority="28">
      <formula>S$9&lt;8/24</formula>
    </cfRule>
  </conditionalFormatting>
  <conditionalFormatting sqref="S68:T69">
    <cfRule type="expression" dxfId="4271" priority="21">
      <formula>S$9&gt;=20/24</formula>
    </cfRule>
    <cfRule type="expression" dxfId="4270" priority="22">
      <formula>AND(S$9&gt;=14/24,S$9&lt;20/24)</formula>
    </cfRule>
    <cfRule type="expression" dxfId="4269" priority="23">
      <formula>AND(S$9&gt;=8/24,S$9&lt;14/24)</formula>
    </cfRule>
    <cfRule type="expression" dxfId="4268" priority="24">
      <formula>S$9&lt;8/24</formula>
    </cfRule>
  </conditionalFormatting>
  <conditionalFormatting sqref="S70:T72">
    <cfRule type="expression" dxfId="4267" priority="17">
      <formula>S$9&gt;=20/24</formula>
    </cfRule>
    <cfRule type="expression" dxfId="4266" priority="18">
      <formula>AND(S$9&gt;=14/24,S$9&lt;20/24)</formula>
    </cfRule>
    <cfRule type="expression" dxfId="4265" priority="19">
      <formula>AND(S$9&gt;=8/24,S$9&lt;14/24)</formula>
    </cfRule>
    <cfRule type="expression" dxfId="4264" priority="20">
      <formula>S$9&lt;8/24</formula>
    </cfRule>
  </conditionalFormatting>
  <conditionalFormatting sqref="S73:T77">
    <cfRule type="expression" dxfId="4263" priority="13">
      <formula>S$9&gt;=20/24</formula>
    </cfRule>
    <cfRule type="expression" dxfId="4262" priority="14">
      <formula>AND(S$9&gt;=14/24,S$9&lt;20/24)</formula>
    </cfRule>
    <cfRule type="expression" dxfId="4261" priority="15">
      <formula>AND(S$9&gt;=8/24,S$9&lt;14/24)</formula>
    </cfRule>
    <cfRule type="expression" dxfId="4260" priority="16">
      <formula>S$9&lt;8/24</formula>
    </cfRule>
  </conditionalFormatting>
  <conditionalFormatting sqref="S105:T105 S107:T112">
    <cfRule type="expression" dxfId="4259" priority="9">
      <formula>S$9&gt;=20/24</formula>
    </cfRule>
    <cfRule type="expression" dxfId="4258" priority="10">
      <formula>AND(S$9&gt;=14/24,S$9&lt;20/24)</formula>
    </cfRule>
    <cfRule type="expression" dxfId="4257" priority="11">
      <formula>AND(S$9&gt;=8/24,S$9&lt;14/24)</formula>
    </cfRule>
    <cfRule type="expression" dxfId="4256" priority="12">
      <formula>S$9&lt;8/24</formula>
    </cfRule>
  </conditionalFormatting>
  <conditionalFormatting sqref="S106:T106">
    <cfRule type="expression" dxfId="4255" priority="1">
      <formula>S$9&gt;=20/24</formula>
    </cfRule>
    <cfRule type="expression" dxfId="4254" priority="2">
      <formula>AND(S$9&gt;=14/24,S$9&lt;20/24)</formula>
    </cfRule>
    <cfRule type="expression" dxfId="4253" priority="3">
      <formula>AND(S$9&gt;=8/24,S$9&lt;14/24)</formula>
    </cfRule>
    <cfRule type="expression" dxfId="4252" priority="4">
      <formula>S$9&lt;8/24</formula>
    </cfRule>
  </conditionalFormatting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5" id="{953D420C-6751-495C-9888-FF50B8088D4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6" id="{22AB8648-771E-40A0-8F21-FB0298BC369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7" id="{D9EFAC91-6879-4C10-B9C3-94814075F6B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8" id="{364DF825-B711-4252-8A37-A33555C21BD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E113:R113 U113:AF113</xm:sqref>
        </x14:conditionalFormatting>
        <x14:conditionalFormatting xmlns:xm="http://schemas.microsoft.com/office/excel/2006/main">
          <x14:cfRule type="expression" priority="201" id="{D9A642FB-F7CA-4B51-8D5C-666FCA488C0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2" id="{86D976EC-4459-45FE-854F-972F79C134C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3" id="{DD555493-7E44-4B38-89D0-84148859BBF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4" id="{DA4F385B-ADC3-4C89-8F43-A20DE53C6C4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C113:D113</xm:sqref>
        </x14:conditionalFormatting>
        <x14:conditionalFormatting xmlns:xm="http://schemas.microsoft.com/office/excel/2006/main">
          <x14:cfRule type="expression" priority="111" id="{D022677F-CD23-491A-A53D-7E7BECC930B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2" id="{55D91856-F16E-4141-8419-0F2FC998C18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3" id="{CAA6E3D0-0A23-41C9-A98E-84367D3AA41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4" id="{ED6A4FFF-0C94-4F66-86E5-9CF382A8291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07" id="{23FC394D-DC01-4C9E-82C5-835709BF459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8" id="{DD809A43-6DF7-48DA-9E21-090DE76334E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9" id="{5E78FF16-1EB2-4EA0-ABED-7F2F4B811D1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0" id="{17FC46A5-1BE8-41CE-90BF-F9D5137A744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  <x14:conditionalFormatting xmlns:xm="http://schemas.microsoft.com/office/excel/2006/main">
          <x14:cfRule type="expression" priority="5" id="{F86D5800-78B6-430A-834E-132989B5754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1BF340EA-5D57-4E41-860E-62DD4191F0E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" id="{B57519F6-D222-4872-946B-1F5C6BED14B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" id="{6475D0BA-4CC1-4206-9A87-167EB1CAEF2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S113:T113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J274"/>
  <sheetViews>
    <sheetView workbookViewId="0">
      <pane ySplit="10" topLeftCell="A41" activePane="bottomLeft" state="frozen"/>
      <selection pane="bottomLeft" activeCell="Z7" sqref="Z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2079/09/25</v>
      </c>
      <c r="C4" s="197"/>
      <c r="D4" s="197"/>
      <c r="E4" s="198" t="str">
        <f ca="1">"2079/"&amp;"09/"&amp;INT(MID(CELL("filename",G6),FIND("]",CELL("filename",G6))+1,200))</f>
        <v>2079/09/25</v>
      </c>
      <c r="F4" s="198"/>
      <c r="G4" s="198"/>
      <c r="H4" s="198" t="str">
        <f ca="1">TEXT(E4,"dddd")</f>
        <v>Monday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359.6</v>
      </c>
      <c r="C5" s="30">
        <f t="shared" si="0"/>
        <v>345.7</v>
      </c>
      <c r="D5" s="30">
        <f t="shared" si="0"/>
        <v>341.7</v>
      </c>
      <c r="E5" s="30">
        <f t="shared" si="0"/>
        <v>376.5</v>
      </c>
      <c r="F5" s="30">
        <f t="shared" si="0"/>
        <v>393.2</v>
      </c>
      <c r="G5" s="30">
        <f t="shared" si="0"/>
        <v>400.7</v>
      </c>
      <c r="H5" s="30">
        <f t="shared" si="0"/>
        <v>409.1</v>
      </c>
      <c r="I5" s="30">
        <f t="shared" si="0"/>
        <v>387.8</v>
      </c>
      <c r="J5" s="30">
        <f t="shared" si="0"/>
        <v>361</v>
      </c>
      <c r="K5" s="30">
        <f t="shared" si="0"/>
        <v>341</v>
      </c>
      <c r="L5" s="30">
        <f t="shared" si="0"/>
        <v>308.7</v>
      </c>
      <c r="M5" s="30">
        <f t="shared" si="0"/>
        <v>219.8</v>
      </c>
      <c r="N5" s="30">
        <f t="shared" si="0"/>
        <v>273.10000000000002</v>
      </c>
      <c r="O5" s="30">
        <f t="shared" si="0"/>
        <v>359.9</v>
      </c>
      <c r="P5" s="30">
        <f t="shared" si="0"/>
        <v>459.3</v>
      </c>
      <c r="Q5" s="30">
        <f t="shared" si="0"/>
        <v>468.5</v>
      </c>
      <c r="R5" s="30">
        <f t="shared" si="0"/>
        <v>502.5</v>
      </c>
      <c r="S5" s="30">
        <f t="shared" si="0"/>
        <v>493</v>
      </c>
      <c r="T5" s="30">
        <f t="shared" si="0"/>
        <v>382.5</v>
      </c>
      <c r="U5" s="30">
        <f t="shared" si="0"/>
        <v>377.1</v>
      </c>
      <c r="V5" s="30">
        <f t="shared" si="0"/>
        <v>299.39999999999998</v>
      </c>
      <c r="W5" s="30">
        <f t="shared" si="0"/>
        <v>318.7</v>
      </c>
      <c r="X5" s="30">
        <f t="shared" si="0"/>
        <v>291.5</v>
      </c>
      <c r="Y5" s="30">
        <f t="shared" si="0"/>
        <v>292.8</v>
      </c>
      <c r="Z5" s="30">
        <f t="shared" si="0"/>
        <v>271.3</v>
      </c>
      <c r="AA5" s="30">
        <f t="shared" si="0"/>
        <v>325.3</v>
      </c>
      <c r="AB5" s="30">
        <f t="shared" si="0"/>
        <v>452.4</v>
      </c>
      <c r="AC5" s="30">
        <f t="shared" si="0"/>
        <v>468.4</v>
      </c>
      <c r="AD5" s="30">
        <f t="shared" si="0"/>
        <v>458</v>
      </c>
      <c r="AE5" s="30">
        <f t="shared" si="0"/>
        <v>465</v>
      </c>
      <c r="AF5" s="30">
        <f>B78</f>
        <v>436.5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1713MW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Load=1027</v>
      </c>
      <c r="B7" s="35">
        <f t="shared" ref="B7:AF7" si="1">B85</f>
        <v>1144.6400000000001</v>
      </c>
      <c r="C7" s="35">
        <f t="shared" si="1"/>
        <v>1053.44</v>
      </c>
      <c r="D7" s="35">
        <f t="shared" si="1"/>
        <v>1027.44</v>
      </c>
      <c r="E7" s="35">
        <f t="shared" si="1"/>
        <v>1029.44</v>
      </c>
      <c r="F7" s="35">
        <f t="shared" si="1"/>
        <v>1040.3400000000001</v>
      </c>
      <c r="G7" s="35">
        <f t="shared" si="1"/>
        <v>1098.04</v>
      </c>
      <c r="H7" s="35">
        <f t="shared" si="1"/>
        <v>1168.04</v>
      </c>
      <c r="I7" s="35">
        <f t="shared" si="1"/>
        <v>1248.6399999999999</v>
      </c>
      <c r="J7" s="35">
        <f t="shared" si="1"/>
        <v>1296.24</v>
      </c>
      <c r="K7" s="35">
        <f t="shared" si="1"/>
        <v>1432.4399999999998</v>
      </c>
      <c r="L7" s="35">
        <f t="shared" si="1"/>
        <v>1657.04</v>
      </c>
      <c r="M7" s="35">
        <f t="shared" si="1"/>
        <v>1713.04</v>
      </c>
      <c r="N7" s="35">
        <f>N85</f>
        <v>1655.6399999999999</v>
      </c>
      <c r="O7" s="35">
        <f t="shared" si="1"/>
        <v>1550.7399999999998</v>
      </c>
      <c r="P7" s="35">
        <f t="shared" si="1"/>
        <v>1515.04</v>
      </c>
      <c r="Q7" s="35">
        <f t="shared" si="1"/>
        <v>1457.34</v>
      </c>
      <c r="R7" s="35">
        <f t="shared" si="1"/>
        <v>1382.7399999999998</v>
      </c>
      <c r="S7" s="35">
        <f t="shared" si="1"/>
        <v>1299.74</v>
      </c>
      <c r="T7" s="35">
        <f t="shared" si="1"/>
        <v>1295.24</v>
      </c>
      <c r="U7" s="35">
        <f t="shared" si="1"/>
        <v>1316.54</v>
      </c>
      <c r="V7" s="35">
        <f t="shared" si="1"/>
        <v>1322.94</v>
      </c>
      <c r="W7" s="35">
        <f t="shared" si="1"/>
        <v>1410.8400000000001</v>
      </c>
      <c r="X7" s="35">
        <f t="shared" si="1"/>
        <v>1804.1399999999999</v>
      </c>
      <c r="Y7" s="35">
        <f t="shared" si="1"/>
        <v>1765.6399999999999</v>
      </c>
      <c r="Z7" s="35">
        <f t="shared" si="1"/>
        <v>1713.5399999999997</v>
      </c>
      <c r="AA7" s="35">
        <f t="shared" si="1"/>
        <v>1683.1399999999996</v>
      </c>
      <c r="AB7" s="35">
        <f t="shared" si="1"/>
        <v>1633.1399999999999</v>
      </c>
      <c r="AC7" s="35">
        <f t="shared" si="1"/>
        <v>1577.34</v>
      </c>
      <c r="AD7" s="35">
        <f t="shared" si="1"/>
        <v>1451.94</v>
      </c>
      <c r="AE7" s="35">
        <f t="shared" si="1"/>
        <v>1170.8399999999999</v>
      </c>
      <c r="AF7" s="35">
        <f t="shared" si="1"/>
        <v>1109.54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21.7</v>
      </c>
      <c r="C11" s="45">
        <v>21.7</v>
      </c>
      <c r="D11" s="45">
        <v>21.7</v>
      </c>
      <c r="E11" s="45">
        <v>22.1</v>
      </c>
      <c r="F11" s="45">
        <v>22.1</v>
      </c>
      <c r="G11" s="45">
        <v>22.1</v>
      </c>
      <c r="H11" s="45">
        <v>22.1</v>
      </c>
      <c r="I11" s="45">
        <v>22.1</v>
      </c>
      <c r="J11" s="45">
        <v>22.1</v>
      </c>
      <c r="K11" s="45">
        <v>22.1</v>
      </c>
      <c r="L11" s="45">
        <v>22.1</v>
      </c>
      <c r="M11" s="45">
        <v>22.1</v>
      </c>
      <c r="N11" s="45">
        <v>22.1</v>
      </c>
      <c r="O11" s="45">
        <v>22.1</v>
      </c>
      <c r="P11" s="45">
        <v>22.1</v>
      </c>
      <c r="Q11" s="45">
        <v>22.1</v>
      </c>
      <c r="R11" s="45">
        <v>22.1</v>
      </c>
      <c r="S11" s="45">
        <v>22.1</v>
      </c>
      <c r="T11" s="45">
        <v>22.1</v>
      </c>
      <c r="U11" s="45">
        <v>20</v>
      </c>
      <c r="V11" s="45">
        <v>20</v>
      </c>
      <c r="W11" s="45">
        <v>20</v>
      </c>
      <c r="X11" s="45">
        <v>20</v>
      </c>
      <c r="Y11" s="45">
        <v>20</v>
      </c>
      <c r="Z11" s="45">
        <v>20</v>
      </c>
      <c r="AA11" s="45">
        <v>20</v>
      </c>
      <c r="AB11" s="45">
        <v>20.7</v>
      </c>
      <c r="AC11" s="45">
        <v>20.7</v>
      </c>
      <c r="AD11" s="45">
        <v>20.7</v>
      </c>
      <c r="AE11" s="45">
        <v>23</v>
      </c>
      <c r="AF11" s="45">
        <v>20</v>
      </c>
      <c r="AG11" s="47">
        <v>52.4</v>
      </c>
      <c r="AH11" s="48">
        <f t="shared" ref="AH11:AH74" si="2">MAX(B11:AF11)</f>
        <v>23</v>
      </c>
      <c r="AI11" s="49">
        <f t="shared" ref="AI11:AI74" si="3">MIN(B11:AF11)</f>
        <v>20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39.4</v>
      </c>
      <c r="C12" s="45">
        <v>39.4</v>
      </c>
      <c r="D12" s="45">
        <v>40.1</v>
      </c>
      <c r="E12" s="45">
        <v>39.5</v>
      </c>
      <c r="F12" s="45">
        <v>39.5</v>
      </c>
      <c r="G12" s="45">
        <v>39.5</v>
      </c>
      <c r="H12" s="45">
        <v>39.5</v>
      </c>
      <c r="I12" s="45">
        <v>39.5</v>
      </c>
      <c r="J12" s="45">
        <v>39.5</v>
      </c>
      <c r="K12" s="45">
        <v>39.5</v>
      </c>
      <c r="L12" s="45">
        <v>39.5</v>
      </c>
      <c r="M12" s="45">
        <v>39.5</v>
      </c>
      <c r="N12" s="45">
        <v>39.5</v>
      </c>
      <c r="O12" s="45">
        <v>39.5</v>
      </c>
      <c r="P12" s="45">
        <v>39.5</v>
      </c>
      <c r="Q12" s="45">
        <v>39.5</v>
      </c>
      <c r="R12" s="45">
        <v>39.5</v>
      </c>
      <c r="S12" s="45">
        <v>39.5</v>
      </c>
      <c r="T12" s="45">
        <v>39.5</v>
      </c>
      <c r="U12" s="45">
        <v>45.7</v>
      </c>
      <c r="V12" s="45">
        <v>45.7</v>
      </c>
      <c r="W12" s="45">
        <v>45.7</v>
      </c>
      <c r="X12" s="45">
        <v>40</v>
      </c>
      <c r="Y12" s="45">
        <v>40</v>
      </c>
      <c r="Z12" s="45">
        <v>40</v>
      </c>
      <c r="AA12" s="45">
        <v>40</v>
      </c>
      <c r="AB12" s="45">
        <v>39.700000000000003</v>
      </c>
      <c r="AC12" s="45">
        <v>39.700000000000003</v>
      </c>
      <c r="AD12" s="45">
        <v>39.700000000000003</v>
      </c>
      <c r="AE12" s="45">
        <v>39.700000000000003</v>
      </c>
      <c r="AF12" s="45">
        <v>39.700000000000003</v>
      </c>
      <c r="AG12" s="51">
        <v>50</v>
      </c>
      <c r="AH12" s="48">
        <f t="shared" si="2"/>
        <v>45.7</v>
      </c>
      <c r="AI12" s="49">
        <f t="shared" si="3"/>
        <v>39.4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21.6</v>
      </c>
      <c r="C13" s="45">
        <v>21.6</v>
      </c>
      <c r="D13" s="45">
        <v>21.6</v>
      </c>
      <c r="E13" s="45">
        <v>21.6</v>
      </c>
      <c r="F13" s="45">
        <v>21.6</v>
      </c>
      <c r="G13" s="45">
        <v>21.6</v>
      </c>
      <c r="H13" s="45">
        <v>21.6</v>
      </c>
      <c r="I13" s="45">
        <v>21.6</v>
      </c>
      <c r="J13" s="45">
        <v>21.6</v>
      </c>
      <c r="K13" s="45">
        <v>21.6</v>
      </c>
      <c r="L13" s="45">
        <v>21.6</v>
      </c>
      <c r="M13" s="45">
        <v>21.6</v>
      </c>
      <c r="N13" s="45">
        <v>21.6</v>
      </c>
      <c r="O13" s="45">
        <v>21.6</v>
      </c>
      <c r="P13" s="45">
        <v>21.6</v>
      </c>
      <c r="Q13" s="45">
        <v>21.6</v>
      </c>
      <c r="R13" s="45">
        <v>21.6</v>
      </c>
      <c r="S13" s="45">
        <v>21.6</v>
      </c>
      <c r="T13" s="45">
        <v>21.6</v>
      </c>
      <c r="U13" s="45">
        <v>22</v>
      </c>
      <c r="V13" s="45">
        <v>22</v>
      </c>
      <c r="W13" s="45">
        <v>22</v>
      </c>
      <c r="X13" s="45">
        <v>22</v>
      </c>
      <c r="Y13" s="45">
        <v>22</v>
      </c>
      <c r="Z13" s="45">
        <v>22</v>
      </c>
      <c r="AA13" s="45">
        <v>22</v>
      </c>
      <c r="AB13" s="45">
        <v>22</v>
      </c>
      <c r="AC13" s="45">
        <v>22</v>
      </c>
      <c r="AD13" s="45">
        <v>22</v>
      </c>
      <c r="AE13" s="45">
        <v>22</v>
      </c>
      <c r="AF13" s="45">
        <v>22</v>
      </c>
      <c r="AG13" s="51">
        <v>45</v>
      </c>
      <c r="AH13" s="48">
        <f t="shared" si="2"/>
        <v>22</v>
      </c>
      <c r="AI13" s="49">
        <f t="shared" si="3"/>
        <v>21.6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10</v>
      </c>
      <c r="C14" s="45">
        <v>10</v>
      </c>
      <c r="D14" s="45">
        <v>10</v>
      </c>
      <c r="E14" s="45">
        <v>10</v>
      </c>
      <c r="F14" s="45">
        <v>10</v>
      </c>
      <c r="G14" s="45">
        <v>10</v>
      </c>
      <c r="H14" s="45">
        <v>10</v>
      </c>
      <c r="I14" s="45">
        <v>10</v>
      </c>
      <c r="J14" s="45">
        <v>10</v>
      </c>
      <c r="K14" s="45">
        <v>10</v>
      </c>
      <c r="L14" s="45">
        <v>10</v>
      </c>
      <c r="M14" s="45">
        <v>10</v>
      </c>
      <c r="N14" s="45">
        <v>10</v>
      </c>
      <c r="O14" s="45">
        <v>10</v>
      </c>
      <c r="P14" s="45">
        <v>10</v>
      </c>
      <c r="Q14" s="45">
        <v>10</v>
      </c>
      <c r="R14" s="45">
        <v>10</v>
      </c>
      <c r="S14" s="45">
        <v>10</v>
      </c>
      <c r="T14" s="45">
        <v>10</v>
      </c>
      <c r="U14" s="45">
        <v>10</v>
      </c>
      <c r="V14" s="45">
        <v>10</v>
      </c>
      <c r="W14" s="45">
        <v>10</v>
      </c>
      <c r="X14" s="45">
        <v>10</v>
      </c>
      <c r="Y14" s="45">
        <v>10</v>
      </c>
      <c r="Z14" s="45">
        <v>10</v>
      </c>
      <c r="AA14" s="45">
        <v>10</v>
      </c>
      <c r="AB14" s="45">
        <v>10</v>
      </c>
      <c r="AC14" s="45">
        <v>10</v>
      </c>
      <c r="AD14" s="45">
        <v>10</v>
      </c>
      <c r="AE14" s="45">
        <v>10</v>
      </c>
      <c r="AF14" s="45">
        <v>10</v>
      </c>
      <c r="AG14" s="51">
        <v>42</v>
      </c>
      <c r="AH14" s="48">
        <f t="shared" si="2"/>
        <v>10</v>
      </c>
      <c r="AI14" s="49">
        <f t="shared" si="3"/>
        <v>10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</v>
      </c>
      <c r="C15" s="45">
        <v>17</v>
      </c>
      <c r="D15" s="45">
        <v>17</v>
      </c>
      <c r="E15" s="45">
        <v>17</v>
      </c>
      <c r="F15" s="45">
        <v>17</v>
      </c>
      <c r="G15" s="45">
        <v>17</v>
      </c>
      <c r="H15" s="45">
        <v>17</v>
      </c>
      <c r="I15" s="45">
        <v>17</v>
      </c>
      <c r="J15" s="45">
        <v>17</v>
      </c>
      <c r="K15" s="45">
        <v>17</v>
      </c>
      <c r="L15" s="45">
        <v>17</v>
      </c>
      <c r="M15" s="45">
        <v>17</v>
      </c>
      <c r="N15" s="45">
        <v>17</v>
      </c>
      <c r="O15" s="45">
        <v>17</v>
      </c>
      <c r="P15" s="45">
        <v>17</v>
      </c>
      <c r="Q15" s="45">
        <v>17</v>
      </c>
      <c r="R15" s="45">
        <v>17</v>
      </c>
      <c r="S15" s="45">
        <v>17</v>
      </c>
      <c r="T15" s="45">
        <v>17</v>
      </c>
      <c r="U15" s="45">
        <v>17</v>
      </c>
      <c r="V15" s="45">
        <v>17</v>
      </c>
      <c r="W15" s="45">
        <v>17</v>
      </c>
      <c r="X15" s="45">
        <v>17</v>
      </c>
      <c r="Y15" s="45">
        <v>17</v>
      </c>
      <c r="Z15" s="45">
        <v>17</v>
      </c>
      <c r="AA15" s="45">
        <v>17</v>
      </c>
      <c r="AB15" s="45">
        <v>17</v>
      </c>
      <c r="AC15" s="45">
        <v>17</v>
      </c>
      <c r="AD15" s="45">
        <v>17</v>
      </c>
      <c r="AE15" s="45">
        <v>17</v>
      </c>
      <c r="AF15" s="45">
        <v>17</v>
      </c>
      <c r="AG15" s="51">
        <v>36</v>
      </c>
      <c r="AH15" s="48">
        <f t="shared" si="2"/>
        <v>17</v>
      </c>
      <c r="AI15" s="49">
        <f t="shared" si="3"/>
        <v>17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11.3</v>
      </c>
      <c r="C16" s="45">
        <v>11.3</v>
      </c>
      <c r="D16" s="45">
        <v>10.7</v>
      </c>
      <c r="E16" s="45">
        <v>10.7</v>
      </c>
      <c r="F16" s="45">
        <v>10.7</v>
      </c>
      <c r="G16" s="45">
        <v>10.7</v>
      </c>
      <c r="H16" s="45">
        <v>10.7</v>
      </c>
      <c r="I16" s="45">
        <v>10.7</v>
      </c>
      <c r="J16" s="45">
        <v>10.7</v>
      </c>
      <c r="K16" s="45">
        <v>10.7</v>
      </c>
      <c r="L16" s="45">
        <v>10.7</v>
      </c>
      <c r="M16" s="45">
        <v>10.7</v>
      </c>
      <c r="N16" s="45">
        <v>10.7</v>
      </c>
      <c r="O16" s="45">
        <v>10.7</v>
      </c>
      <c r="P16" s="45">
        <v>10.7</v>
      </c>
      <c r="Q16" s="45">
        <v>10.7</v>
      </c>
      <c r="R16" s="45">
        <v>10.7</v>
      </c>
      <c r="S16" s="45">
        <v>10.7</v>
      </c>
      <c r="T16" s="45">
        <v>10.7</v>
      </c>
      <c r="U16" s="45">
        <v>9.5</v>
      </c>
      <c r="V16" s="45">
        <v>9.5</v>
      </c>
      <c r="W16" s="45">
        <v>9.5</v>
      </c>
      <c r="X16" s="45">
        <v>9.5</v>
      </c>
      <c r="Y16" s="45">
        <v>9.5</v>
      </c>
      <c r="Z16" s="45">
        <v>9.5</v>
      </c>
      <c r="AA16" s="45">
        <v>9.5</v>
      </c>
      <c r="AB16" s="45">
        <v>9.5</v>
      </c>
      <c r="AC16" s="45">
        <v>9.5</v>
      </c>
      <c r="AD16" s="45">
        <v>9.5</v>
      </c>
      <c r="AE16" s="45">
        <v>9.5</v>
      </c>
      <c r="AF16" s="45">
        <v>9.5</v>
      </c>
      <c r="AG16" s="52">
        <v>30</v>
      </c>
      <c r="AH16" s="48">
        <f t="shared" si="2"/>
        <v>11.3</v>
      </c>
      <c r="AI16" s="49">
        <f t="shared" si="3"/>
        <v>9.5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9.3000000000000007</v>
      </c>
      <c r="C17" s="45">
        <v>9.3000000000000007</v>
      </c>
      <c r="D17" s="45">
        <v>9.3000000000000007</v>
      </c>
      <c r="E17" s="45">
        <v>9.3000000000000007</v>
      </c>
      <c r="F17" s="45">
        <v>9.3000000000000007</v>
      </c>
      <c r="G17" s="45">
        <v>9.3000000000000007</v>
      </c>
      <c r="H17" s="45">
        <v>9.3000000000000007</v>
      </c>
      <c r="I17" s="45">
        <v>9.3000000000000007</v>
      </c>
      <c r="J17" s="45">
        <v>9.3000000000000007</v>
      </c>
      <c r="K17" s="45">
        <v>9.3000000000000007</v>
      </c>
      <c r="L17" s="45">
        <v>9.3000000000000007</v>
      </c>
      <c r="M17" s="45">
        <v>9.3000000000000007</v>
      </c>
      <c r="N17" s="45">
        <v>9.3000000000000007</v>
      </c>
      <c r="O17" s="45">
        <v>9.3000000000000007</v>
      </c>
      <c r="P17" s="45">
        <v>9.3000000000000007</v>
      </c>
      <c r="Q17" s="45">
        <v>9.3000000000000007</v>
      </c>
      <c r="R17" s="45">
        <v>9.3000000000000007</v>
      </c>
      <c r="S17" s="45">
        <v>9.3000000000000007</v>
      </c>
      <c r="T17" s="45">
        <v>9.3000000000000007</v>
      </c>
      <c r="U17" s="45">
        <v>9</v>
      </c>
      <c r="V17" s="45">
        <v>9</v>
      </c>
      <c r="W17" s="45">
        <v>9</v>
      </c>
      <c r="X17" s="45">
        <v>9</v>
      </c>
      <c r="Y17" s="45">
        <v>9</v>
      </c>
      <c r="Z17" s="45">
        <v>9</v>
      </c>
      <c r="AA17" s="45">
        <v>9</v>
      </c>
      <c r="AB17" s="45">
        <v>9</v>
      </c>
      <c r="AC17" s="45">
        <v>9</v>
      </c>
      <c r="AD17" s="45">
        <v>9</v>
      </c>
      <c r="AE17" s="45">
        <v>9</v>
      </c>
      <c r="AF17" s="45">
        <v>9</v>
      </c>
      <c r="AG17" s="51">
        <v>24.2</v>
      </c>
      <c r="AH17" s="48">
        <f t="shared" si="2"/>
        <v>9.3000000000000007</v>
      </c>
      <c r="AI17" s="49">
        <f t="shared" si="3"/>
        <v>9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51">
        <v>25</v>
      </c>
      <c r="AH20" s="48">
        <f t="shared" si="2"/>
        <v>10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0</v>
      </c>
      <c r="W21" s="45">
        <v>0</v>
      </c>
      <c r="X21" s="45">
        <v>0</v>
      </c>
      <c r="Y21" s="45">
        <v>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10</v>
      </c>
      <c r="C24" s="45">
        <v>10</v>
      </c>
      <c r="D24" s="45">
        <v>10</v>
      </c>
      <c r="E24" s="45">
        <v>10</v>
      </c>
      <c r="F24" s="45">
        <v>10</v>
      </c>
      <c r="G24" s="45">
        <v>10</v>
      </c>
      <c r="H24" s="45">
        <v>10</v>
      </c>
      <c r="I24" s="45">
        <v>10</v>
      </c>
      <c r="J24" s="45">
        <v>10</v>
      </c>
      <c r="K24" s="45">
        <v>10</v>
      </c>
      <c r="L24" s="45">
        <v>10</v>
      </c>
      <c r="M24" s="45">
        <v>10</v>
      </c>
      <c r="N24" s="45">
        <v>10</v>
      </c>
      <c r="O24" s="45">
        <v>10</v>
      </c>
      <c r="P24" s="45">
        <v>10</v>
      </c>
      <c r="Q24" s="45">
        <v>10</v>
      </c>
      <c r="R24" s="45">
        <v>10</v>
      </c>
      <c r="S24" s="45">
        <v>10</v>
      </c>
      <c r="T24" s="45">
        <v>10</v>
      </c>
      <c r="U24" s="45">
        <v>9.4</v>
      </c>
      <c r="V24" s="45">
        <v>9.4</v>
      </c>
      <c r="W24" s="45">
        <v>9.4</v>
      </c>
      <c r="X24" s="45">
        <v>9.4</v>
      </c>
      <c r="Y24" s="45">
        <v>9.4</v>
      </c>
      <c r="Z24" s="45">
        <v>9.4</v>
      </c>
      <c r="AA24" s="45">
        <v>9.4</v>
      </c>
      <c r="AB24" s="45">
        <v>9.4</v>
      </c>
      <c r="AC24" s="45">
        <v>9.4</v>
      </c>
      <c r="AD24" s="45">
        <v>9.4</v>
      </c>
      <c r="AE24" s="45">
        <v>9.4</v>
      </c>
      <c r="AF24" s="45">
        <v>9.4</v>
      </c>
      <c r="AG24" s="51">
        <v>23.5</v>
      </c>
      <c r="AH24" s="48">
        <f t="shared" si="2"/>
        <v>10</v>
      </c>
      <c r="AI24" s="49">
        <f t="shared" si="3"/>
        <v>9.4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9.4</v>
      </c>
      <c r="C28" s="45">
        <v>9.4</v>
      </c>
      <c r="D28" s="45">
        <v>9.4</v>
      </c>
      <c r="E28" s="45">
        <v>9.4</v>
      </c>
      <c r="F28" s="45">
        <v>9.4</v>
      </c>
      <c r="G28" s="45">
        <v>9.4</v>
      </c>
      <c r="H28" s="45">
        <v>9.4</v>
      </c>
      <c r="I28" s="45">
        <v>9.4</v>
      </c>
      <c r="J28" s="45">
        <v>9.4</v>
      </c>
      <c r="K28" s="45">
        <v>9.4</v>
      </c>
      <c r="L28" s="45">
        <v>9.4</v>
      </c>
      <c r="M28" s="45">
        <v>9.4</v>
      </c>
      <c r="N28" s="45">
        <v>9.4</v>
      </c>
      <c r="O28" s="45">
        <v>9.4</v>
      </c>
      <c r="P28" s="45">
        <v>9.4</v>
      </c>
      <c r="Q28" s="45">
        <v>9.4</v>
      </c>
      <c r="R28" s="45">
        <v>9.4</v>
      </c>
      <c r="S28" s="45">
        <v>9.4</v>
      </c>
      <c r="T28" s="45">
        <v>9.4</v>
      </c>
      <c r="U28" s="45">
        <v>9.4</v>
      </c>
      <c r="V28" s="45">
        <v>9.4</v>
      </c>
      <c r="W28" s="45">
        <v>9.4</v>
      </c>
      <c r="X28" s="45">
        <v>9.4</v>
      </c>
      <c r="Y28" s="45">
        <v>9.4</v>
      </c>
      <c r="Z28" s="45">
        <v>9.4</v>
      </c>
      <c r="AA28" s="45">
        <v>9.4</v>
      </c>
      <c r="AB28" s="45">
        <v>9.4</v>
      </c>
      <c r="AC28" s="45">
        <v>9.4</v>
      </c>
      <c r="AD28" s="45">
        <v>9.4</v>
      </c>
      <c r="AE28" s="45">
        <v>9.4</v>
      </c>
      <c r="AF28" s="45">
        <v>9.4</v>
      </c>
      <c r="AG28" s="51">
        <v>22</v>
      </c>
      <c r="AH28" s="48">
        <f t="shared" si="2"/>
        <v>9.4</v>
      </c>
      <c r="AI28" s="49">
        <f t="shared" si="3"/>
        <v>9.4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>
        <v>1.2</v>
      </c>
      <c r="S32" s="45">
        <v>1.2</v>
      </c>
      <c r="T32" s="45">
        <v>1.2</v>
      </c>
      <c r="U32" s="45">
        <v>1.2</v>
      </c>
      <c r="V32" s="45">
        <v>1.2</v>
      </c>
      <c r="W32" s="45">
        <v>1.2</v>
      </c>
      <c r="X32" s="45">
        <v>1.2</v>
      </c>
      <c r="Y32" s="45">
        <v>1.2</v>
      </c>
      <c r="Z32" s="45">
        <v>1.2</v>
      </c>
      <c r="AA32" s="45">
        <v>1.2</v>
      </c>
      <c r="AB32" s="45">
        <v>1.2</v>
      </c>
      <c r="AC32" s="45">
        <v>1.2</v>
      </c>
      <c r="AD32" s="45">
        <v>1.2</v>
      </c>
      <c r="AE32" s="45">
        <v>1.2</v>
      </c>
      <c r="AF32" s="45">
        <v>1.2</v>
      </c>
      <c r="AG32" s="51">
        <v>13.6</v>
      </c>
      <c r="AH32" s="48">
        <f t="shared" si="2"/>
        <v>1.2</v>
      </c>
      <c r="AI32" s="49">
        <f t="shared" si="3"/>
        <v>1.2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1</v>
      </c>
      <c r="T41" s="45">
        <v>1</v>
      </c>
      <c r="U41" s="45">
        <v>1</v>
      </c>
      <c r="V41" s="45">
        <v>1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1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150</v>
      </c>
      <c r="C42" s="57">
        <v>150</v>
      </c>
      <c r="D42" s="57">
        <v>150</v>
      </c>
      <c r="E42" s="57">
        <v>150</v>
      </c>
      <c r="F42" s="57">
        <v>150</v>
      </c>
      <c r="G42" s="57">
        <v>150</v>
      </c>
      <c r="H42" s="57">
        <v>150</v>
      </c>
      <c r="I42" s="57">
        <v>150</v>
      </c>
      <c r="J42" s="57">
        <v>150</v>
      </c>
      <c r="K42" s="57">
        <v>150</v>
      </c>
      <c r="L42" s="57">
        <v>150</v>
      </c>
      <c r="M42" s="57">
        <v>150</v>
      </c>
      <c r="N42" s="57">
        <v>150</v>
      </c>
      <c r="O42" s="57">
        <v>150</v>
      </c>
      <c r="P42" s="57">
        <v>150</v>
      </c>
      <c r="Q42" s="57">
        <v>150</v>
      </c>
      <c r="R42" s="57">
        <v>150</v>
      </c>
      <c r="S42" s="57">
        <v>150</v>
      </c>
      <c r="T42" s="57">
        <v>150</v>
      </c>
      <c r="U42" s="57">
        <v>150</v>
      </c>
      <c r="V42" s="57">
        <v>150</v>
      </c>
      <c r="W42" s="57">
        <v>150</v>
      </c>
      <c r="X42" s="57">
        <v>150</v>
      </c>
      <c r="Y42" s="57">
        <v>150</v>
      </c>
      <c r="Z42" s="57">
        <v>150</v>
      </c>
      <c r="AA42" s="57">
        <v>150</v>
      </c>
      <c r="AB42" s="57">
        <v>150</v>
      </c>
      <c r="AC42" s="57">
        <v>150</v>
      </c>
      <c r="AD42" s="57">
        <v>150</v>
      </c>
      <c r="AE42" s="57">
        <v>150</v>
      </c>
      <c r="AF42" s="57">
        <v>150</v>
      </c>
      <c r="AG42" s="55">
        <v>85</v>
      </c>
      <c r="AH42" s="48">
        <f t="shared" si="2"/>
        <v>150</v>
      </c>
      <c r="AI42" s="49">
        <f t="shared" si="3"/>
        <v>150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v>471.3</v>
      </c>
      <c r="C44" s="61">
        <f t="shared" ref="C44:AG44" si="4">SUM(C11:C42)</f>
        <v>471.49999999999994</v>
      </c>
      <c r="D44" s="61">
        <f t="shared" si="4"/>
        <v>471.59999999999997</v>
      </c>
      <c r="E44" s="61">
        <f t="shared" si="4"/>
        <v>471.4</v>
      </c>
      <c r="F44" s="61">
        <f t="shared" si="4"/>
        <v>471.4</v>
      </c>
      <c r="G44" s="61">
        <f t="shared" si="4"/>
        <v>471.4</v>
      </c>
      <c r="H44" s="61">
        <f t="shared" si="4"/>
        <v>471.4</v>
      </c>
      <c r="I44" s="61">
        <f t="shared" si="4"/>
        <v>471.4</v>
      </c>
      <c r="J44" s="61">
        <f t="shared" si="4"/>
        <v>471.4</v>
      </c>
      <c r="K44" s="61">
        <f t="shared" si="4"/>
        <v>471.4</v>
      </c>
      <c r="L44" s="61">
        <f t="shared" si="4"/>
        <v>471.4</v>
      </c>
      <c r="M44" s="61">
        <f t="shared" si="4"/>
        <v>471.4</v>
      </c>
      <c r="N44" s="61">
        <f t="shared" si="4"/>
        <v>471.4</v>
      </c>
      <c r="O44" s="61">
        <f t="shared" si="4"/>
        <v>471.4</v>
      </c>
      <c r="P44" s="61">
        <f t="shared" si="4"/>
        <v>471.4</v>
      </c>
      <c r="Q44" s="61">
        <f t="shared" si="4"/>
        <v>471.4</v>
      </c>
      <c r="R44" s="61">
        <f t="shared" si="4"/>
        <v>471.4</v>
      </c>
      <c r="S44" s="61">
        <f t="shared" si="4"/>
        <v>472.4</v>
      </c>
      <c r="T44" s="61">
        <f t="shared" si="4"/>
        <v>472.4</v>
      </c>
      <c r="U44" s="61">
        <f t="shared" si="4"/>
        <v>474.79999999999995</v>
      </c>
      <c r="V44" s="61">
        <f t="shared" si="4"/>
        <v>464.79999999999995</v>
      </c>
      <c r="W44" s="61">
        <f t="shared" si="4"/>
        <v>463.79999999999995</v>
      </c>
      <c r="X44" s="61">
        <f t="shared" si="4"/>
        <v>458.09999999999997</v>
      </c>
      <c r="Y44" s="61">
        <f t="shared" si="4"/>
        <v>458.09999999999997</v>
      </c>
      <c r="Z44" s="61">
        <f t="shared" si="4"/>
        <v>468.09999999999997</v>
      </c>
      <c r="AA44" s="61">
        <f t="shared" si="4"/>
        <v>468.09999999999997</v>
      </c>
      <c r="AB44" s="61">
        <f t="shared" si="4"/>
        <v>468.5</v>
      </c>
      <c r="AC44" s="61">
        <f t="shared" si="4"/>
        <v>468.5</v>
      </c>
      <c r="AD44" s="61">
        <f t="shared" si="4"/>
        <v>468.5</v>
      </c>
      <c r="AE44" s="61">
        <f t="shared" si="4"/>
        <v>470.79999999999995</v>
      </c>
      <c r="AF44" s="61">
        <f t="shared" si="4"/>
        <v>467.79999999999995</v>
      </c>
      <c r="AG44" s="62">
        <f t="shared" si="4"/>
        <v>814.78000000000009</v>
      </c>
      <c r="AH44" s="48">
        <f t="shared" si="2"/>
        <v>474.79999999999995</v>
      </c>
      <c r="AI44" s="49">
        <f t="shared" si="3"/>
        <v>458.09999999999997</v>
      </c>
      <c r="AK44" s="50"/>
    </row>
    <row r="45" spans="1:88" x14ac:dyDescent="0.25">
      <c r="A45" s="63" t="s">
        <v>53</v>
      </c>
      <c r="B45" s="45">
        <v>15</v>
      </c>
      <c r="C45" s="45">
        <v>30</v>
      </c>
      <c r="D45" s="45">
        <v>35</v>
      </c>
      <c r="E45" s="45">
        <v>60</v>
      </c>
      <c r="F45" s="45">
        <v>35</v>
      </c>
      <c r="G45" s="45">
        <v>76</v>
      </c>
      <c r="H45" s="45">
        <v>85</v>
      </c>
      <c r="I45" s="45">
        <v>120</v>
      </c>
      <c r="J45" s="45">
        <v>140</v>
      </c>
      <c r="K45" s="45">
        <v>195</v>
      </c>
      <c r="L45" s="45">
        <v>225</v>
      </c>
      <c r="M45" s="164">
        <v>360</v>
      </c>
      <c r="N45" s="164">
        <v>360</v>
      </c>
      <c r="O45" s="45">
        <v>260</v>
      </c>
      <c r="P45" s="45">
        <v>170</v>
      </c>
      <c r="Q45" s="45">
        <v>50</v>
      </c>
      <c r="R45" s="45">
        <v>60</v>
      </c>
      <c r="S45" s="45">
        <v>15</v>
      </c>
      <c r="T45" s="45">
        <v>20</v>
      </c>
      <c r="U45" s="45">
        <v>15</v>
      </c>
      <c r="V45" s="45">
        <v>120</v>
      </c>
      <c r="W45" s="45">
        <v>240</v>
      </c>
      <c r="X45" s="45">
        <v>330</v>
      </c>
      <c r="Y45" s="45">
        <v>310</v>
      </c>
      <c r="Z45" s="45">
        <v>280</v>
      </c>
      <c r="AA45" s="45">
        <v>280</v>
      </c>
      <c r="AB45" s="45">
        <v>180</v>
      </c>
      <c r="AC45" s="45">
        <v>50</v>
      </c>
      <c r="AD45" s="45">
        <v>0</v>
      </c>
      <c r="AE45" s="45">
        <v>0</v>
      </c>
      <c r="AF45" s="45">
        <v>0</v>
      </c>
      <c r="AG45" s="52">
        <v>456</v>
      </c>
      <c r="AH45" s="48">
        <f t="shared" si="2"/>
        <v>360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41</v>
      </c>
      <c r="AK46" s="50"/>
    </row>
    <row r="47" spans="1:88" ht="15.75" thickBot="1" x14ac:dyDescent="0.3">
      <c r="A47" s="66" t="s">
        <v>55</v>
      </c>
      <c r="B47" s="67">
        <v>12.2</v>
      </c>
      <c r="C47" s="67">
        <v>12.1</v>
      </c>
      <c r="D47" s="67">
        <v>12.1</v>
      </c>
      <c r="E47" s="67">
        <v>12.1</v>
      </c>
      <c r="F47" s="67">
        <v>12.2</v>
      </c>
      <c r="G47" s="67">
        <v>12.2</v>
      </c>
      <c r="H47" s="67">
        <v>12.1</v>
      </c>
      <c r="I47" s="67">
        <v>12.2</v>
      </c>
      <c r="J47" s="67">
        <v>12.2</v>
      </c>
      <c r="K47" s="67">
        <v>12.2</v>
      </c>
      <c r="L47" s="67">
        <v>12.2</v>
      </c>
      <c r="M47" s="67">
        <v>13.2</v>
      </c>
      <c r="N47" s="67">
        <v>13</v>
      </c>
      <c r="O47" s="67">
        <v>13.4</v>
      </c>
      <c r="P47" s="67">
        <v>13.4</v>
      </c>
      <c r="Q47" s="67">
        <v>13</v>
      </c>
      <c r="R47" s="67">
        <v>13</v>
      </c>
      <c r="S47" s="67">
        <v>13</v>
      </c>
      <c r="T47" s="67">
        <v>13</v>
      </c>
      <c r="U47" s="67">
        <v>13</v>
      </c>
      <c r="V47" s="67">
        <v>13</v>
      </c>
      <c r="W47" s="67">
        <v>13</v>
      </c>
      <c r="X47" s="67">
        <v>13</v>
      </c>
      <c r="Y47" s="67">
        <v>13</v>
      </c>
      <c r="Z47" s="67">
        <v>13</v>
      </c>
      <c r="AA47" s="67">
        <v>13</v>
      </c>
      <c r="AB47" s="67">
        <v>20</v>
      </c>
      <c r="AC47" s="67">
        <v>12</v>
      </c>
      <c r="AD47" s="67">
        <v>12</v>
      </c>
      <c r="AE47" s="67">
        <v>12</v>
      </c>
      <c r="AF47" s="67">
        <v>12</v>
      </c>
      <c r="AG47" s="68">
        <v>22.1</v>
      </c>
      <c r="AH47" s="48">
        <f t="shared" si="2"/>
        <v>20</v>
      </c>
      <c r="AI47" s="49">
        <f t="shared" si="3"/>
        <v>12</v>
      </c>
      <c r="AK47" s="50"/>
    </row>
    <row r="48" spans="1:88" ht="15.75" thickBot="1" x14ac:dyDescent="0.3">
      <c r="A48" s="69" t="s">
        <v>56</v>
      </c>
      <c r="B48" s="61">
        <v>83.2</v>
      </c>
      <c r="C48" s="61">
        <f t="shared" ref="C48:AG48" si="5">SUM(C45:C47)</f>
        <v>83.1</v>
      </c>
      <c r="D48" s="61">
        <f t="shared" si="5"/>
        <v>88.1</v>
      </c>
      <c r="E48" s="61">
        <f t="shared" si="5"/>
        <v>113.1</v>
      </c>
      <c r="F48" s="61">
        <f t="shared" si="5"/>
        <v>88.2</v>
      </c>
      <c r="G48" s="61">
        <f t="shared" si="5"/>
        <v>129.19999999999999</v>
      </c>
      <c r="H48" s="61">
        <f t="shared" si="5"/>
        <v>138.1</v>
      </c>
      <c r="I48" s="61">
        <f t="shared" si="5"/>
        <v>173.2</v>
      </c>
      <c r="J48" s="61">
        <f t="shared" si="5"/>
        <v>193.2</v>
      </c>
      <c r="K48" s="61">
        <f t="shared" si="5"/>
        <v>248.2</v>
      </c>
      <c r="L48" s="61">
        <f t="shared" si="5"/>
        <v>278.2</v>
      </c>
      <c r="M48" s="61">
        <f t="shared" si="5"/>
        <v>414.2</v>
      </c>
      <c r="N48" s="61">
        <f t="shared" si="5"/>
        <v>414</v>
      </c>
      <c r="O48" s="61">
        <f t="shared" si="5"/>
        <v>314.39999999999998</v>
      </c>
      <c r="P48" s="61">
        <f t="shared" si="5"/>
        <v>224.4</v>
      </c>
      <c r="Q48" s="61">
        <f t="shared" si="5"/>
        <v>104</v>
      </c>
      <c r="R48" s="61">
        <f t="shared" si="5"/>
        <v>114</v>
      </c>
      <c r="S48" s="61">
        <f t="shared" si="5"/>
        <v>69</v>
      </c>
      <c r="T48" s="61">
        <f t="shared" si="5"/>
        <v>74</v>
      </c>
      <c r="U48" s="61">
        <f t="shared" si="5"/>
        <v>69</v>
      </c>
      <c r="V48" s="61">
        <f t="shared" si="5"/>
        <v>174</v>
      </c>
      <c r="W48" s="61">
        <f t="shared" si="5"/>
        <v>294</v>
      </c>
      <c r="X48" s="61">
        <f t="shared" si="5"/>
        <v>384</v>
      </c>
      <c r="Y48" s="61">
        <f t="shared" si="5"/>
        <v>364</v>
      </c>
      <c r="Z48" s="61">
        <f t="shared" si="5"/>
        <v>334</v>
      </c>
      <c r="AA48" s="61">
        <f t="shared" si="5"/>
        <v>334</v>
      </c>
      <c r="AB48" s="61">
        <f t="shared" si="5"/>
        <v>241</v>
      </c>
      <c r="AC48" s="61">
        <f t="shared" si="5"/>
        <v>103</v>
      </c>
      <c r="AD48" s="61">
        <f t="shared" si="5"/>
        <v>53</v>
      </c>
      <c r="AE48" s="61">
        <f t="shared" si="5"/>
        <v>53</v>
      </c>
      <c r="AF48" s="61">
        <f t="shared" si="5"/>
        <v>53</v>
      </c>
      <c r="AG48" s="62">
        <f t="shared" si="5"/>
        <v>538.1</v>
      </c>
      <c r="AH48" s="48">
        <f t="shared" si="2"/>
        <v>414.2</v>
      </c>
      <c r="AI48" s="49">
        <f t="shared" si="3"/>
        <v>53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48.9</v>
      </c>
      <c r="K49" s="45">
        <v>93.9</v>
      </c>
      <c r="L49" s="45">
        <v>142.4</v>
      </c>
      <c r="M49" s="45">
        <v>116</v>
      </c>
      <c r="N49" s="45">
        <v>142</v>
      </c>
      <c r="O49" s="45">
        <v>141.5</v>
      </c>
      <c r="P49" s="45">
        <v>125.6</v>
      </c>
      <c r="Q49" s="45">
        <v>102</v>
      </c>
      <c r="R49" s="45">
        <v>61</v>
      </c>
      <c r="S49" s="45">
        <v>61.4</v>
      </c>
      <c r="T49" s="45">
        <v>61.4</v>
      </c>
      <c r="U49" s="45">
        <v>81.7</v>
      </c>
      <c r="V49" s="45">
        <v>60.8</v>
      </c>
      <c r="W49" s="45">
        <v>86.5</v>
      </c>
      <c r="X49" s="45">
        <v>140.30000000000001</v>
      </c>
      <c r="Y49" s="45">
        <v>136</v>
      </c>
      <c r="Z49" s="45">
        <v>101.2</v>
      </c>
      <c r="AA49" s="45">
        <v>94</v>
      </c>
      <c r="AB49" s="45">
        <v>81</v>
      </c>
      <c r="AC49" s="45">
        <v>60</v>
      </c>
      <c r="AD49" s="45">
        <v>30</v>
      </c>
      <c r="AE49" s="45">
        <v>0</v>
      </c>
      <c r="AF49" s="45">
        <v>0</v>
      </c>
      <c r="AG49" s="52">
        <v>144</v>
      </c>
      <c r="AH49" s="48">
        <f t="shared" si="2"/>
        <v>142.4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21.3</v>
      </c>
      <c r="I50" s="65">
        <v>37.1</v>
      </c>
      <c r="J50" s="65">
        <v>35</v>
      </c>
      <c r="K50" s="65">
        <v>62.3</v>
      </c>
      <c r="L50" s="65">
        <v>71.099999999999994</v>
      </c>
      <c r="M50" s="65">
        <v>50</v>
      </c>
      <c r="N50" s="65">
        <v>50.1</v>
      </c>
      <c r="O50" s="65">
        <v>60</v>
      </c>
      <c r="P50" s="65">
        <v>60</v>
      </c>
      <c r="Q50" s="65">
        <v>53.9</v>
      </c>
      <c r="R50" s="65">
        <v>25</v>
      </c>
      <c r="S50" s="45">
        <v>32.200000000000003</v>
      </c>
      <c r="T50" s="45">
        <v>32.200000000000003</v>
      </c>
      <c r="U50" s="45">
        <v>70.7</v>
      </c>
      <c r="V50" s="45">
        <v>53.1</v>
      </c>
      <c r="W50" s="45">
        <v>51.4</v>
      </c>
      <c r="X50" s="45">
        <v>69</v>
      </c>
      <c r="Y50" s="45">
        <v>69</v>
      </c>
      <c r="Z50" s="45">
        <v>70.3</v>
      </c>
      <c r="AA50" s="45">
        <v>68.7</v>
      </c>
      <c r="AB50" s="65">
        <v>69.900000000000006</v>
      </c>
      <c r="AC50" s="65">
        <v>70.900000000000006</v>
      </c>
      <c r="AD50" s="65">
        <v>54</v>
      </c>
      <c r="AE50" s="65">
        <v>20</v>
      </c>
      <c r="AF50" s="65">
        <v>0</v>
      </c>
      <c r="AG50" s="55">
        <v>70</v>
      </c>
      <c r="AH50" s="48">
        <f t="shared" si="2"/>
        <v>71.099999999999994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15</v>
      </c>
      <c r="C51" s="65">
        <v>34</v>
      </c>
      <c r="D51" s="65">
        <v>16.5</v>
      </c>
      <c r="E51" s="65">
        <v>0</v>
      </c>
      <c r="F51" s="65">
        <v>0</v>
      </c>
      <c r="G51" s="65">
        <v>0</v>
      </c>
      <c r="H51" s="65">
        <v>22.3</v>
      </c>
      <c r="I51" s="65">
        <v>38.6</v>
      </c>
      <c r="J51" s="65">
        <v>45.7</v>
      </c>
      <c r="K51" s="65">
        <v>61.4</v>
      </c>
      <c r="L51" s="65">
        <v>67.3</v>
      </c>
      <c r="M51" s="65">
        <v>54</v>
      </c>
      <c r="N51" s="65">
        <v>54.3</v>
      </c>
      <c r="O51" s="65">
        <v>62.9</v>
      </c>
      <c r="P51" s="65">
        <v>54</v>
      </c>
      <c r="Q51" s="65">
        <v>47</v>
      </c>
      <c r="R51" s="65">
        <v>33</v>
      </c>
      <c r="S51" s="45">
        <v>34.4</v>
      </c>
      <c r="T51" s="45">
        <v>34.4</v>
      </c>
      <c r="U51" s="45">
        <v>34</v>
      </c>
      <c r="V51" s="45">
        <v>35.200000000000003</v>
      </c>
      <c r="W51" s="45">
        <v>57.5</v>
      </c>
      <c r="X51" s="45">
        <v>69</v>
      </c>
      <c r="Y51" s="45">
        <v>69</v>
      </c>
      <c r="Z51" s="45">
        <v>67.8</v>
      </c>
      <c r="AA51" s="45">
        <v>68.099999999999994</v>
      </c>
      <c r="AB51" s="65">
        <v>67.8</v>
      </c>
      <c r="AC51" s="65">
        <v>68</v>
      </c>
      <c r="AD51" s="65">
        <v>52</v>
      </c>
      <c r="AE51" s="65">
        <v>32</v>
      </c>
      <c r="AF51" s="65">
        <v>15</v>
      </c>
      <c r="AG51" s="55">
        <v>69</v>
      </c>
      <c r="AH51" s="48">
        <f t="shared" si="2"/>
        <v>69</v>
      </c>
      <c r="AI51" s="49">
        <f t="shared" si="3"/>
        <v>0</v>
      </c>
      <c r="AK51" s="50"/>
    </row>
    <row r="52" spans="1:41" x14ac:dyDescent="0.25">
      <c r="A52" s="54" t="s">
        <v>60</v>
      </c>
      <c r="B52" s="57">
        <v>55.9</v>
      </c>
      <c r="C52" s="57">
        <v>54.4</v>
      </c>
      <c r="D52" s="57">
        <v>54.7</v>
      </c>
      <c r="E52" s="57">
        <v>52.4</v>
      </c>
      <c r="F52" s="57">
        <v>53.4</v>
      </c>
      <c r="G52" s="57">
        <v>53.4</v>
      </c>
      <c r="H52" s="57">
        <v>53.4</v>
      </c>
      <c r="I52" s="57">
        <v>53.4</v>
      </c>
      <c r="J52" s="57">
        <v>53.4</v>
      </c>
      <c r="K52" s="57">
        <v>53.4</v>
      </c>
      <c r="L52" s="57">
        <v>56.2</v>
      </c>
      <c r="M52" s="65">
        <v>55.9</v>
      </c>
      <c r="N52" s="65">
        <v>55.2</v>
      </c>
      <c r="O52" s="65">
        <v>55</v>
      </c>
      <c r="P52" s="65">
        <v>53.7</v>
      </c>
      <c r="Q52" s="65">
        <v>53.7</v>
      </c>
      <c r="R52" s="65">
        <v>53.7</v>
      </c>
      <c r="S52" s="45">
        <v>56.7</v>
      </c>
      <c r="T52" s="45">
        <v>56.7</v>
      </c>
      <c r="U52" s="45">
        <v>52.6</v>
      </c>
      <c r="V52" s="45">
        <v>52.6</v>
      </c>
      <c r="W52" s="65">
        <v>52.9</v>
      </c>
      <c r="X52" s="65">
        <v>52.9</v>
      </c>
      <c r="Y52" s="65">
        <v>52.9</v>
      </c>
      <c r="Z52" s="65">
        <v>54.4</v>
      </c>
      <c r="AA52" s="65">
        <v>54.4</v>
      </c>
      <c r="AB52" s="65">
        <v>54.4</v>
      </c>
      <c r="AC52" s="65">
        <v>57</v>
      </c>
      <c r="AD52" s="65">
        <v>57</v>
      </c>
      <c r="AE52" s="65">
        <v>57</v>
      </c>
      <c r="AF52" s="65">
        <v>57.7</v>
      </c>
      <c r="AG52" s="55">
        <v>60</v>
      </c>
      <c r="AH52" s="48">
        <f t="shared" si="2"/>
        <v>57.7</v>
      </c>
      <c r="AI52" s="49">
        <f t="shared" si="3"/>
        <v>52.4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10</v>
      </c>
      <c r="I53" s="57">
        <v>15</v>
      </c>
      <c r="J53" s="57">
        <v>10</v>
      </c>
      <c r="K53" s="57">
        <v>10</v>
      </c>
      <c r="L53" s="57">
        <v>10</v>
      </c>
      <c r="M53" s="65">
        <v>10</v>
      </c>
      <c r="N53" s="65">
        <v>25</v>
      </c>
      <c r="O53" s="65">
        <v>25</v>
      </c>
      <c r="P53" s="65">
        <v>25</v>
      </c>
      <c r="Q53" s="65">
        <v>25</v>
      </c>
      <c r="R53" s="65">
        <v>25</v>
      </c>
      <c r="S53" s="45">
        <v>0</v>
      </c>
      <c r="T53" s="45">
        <v>0</v>
      </c>
      <c r="U53" s="45">
        <v>0</v>
      </c>
      <c r="V53" s="45">
        <v>10.199999999999999</v>
      </c>
      <c r="W53" s="65">
        <v>10.199999999999999</v>
      </c>
      <c r="X53" s="65">
        <v>15</v>
      </c>
      <c r="Y53" s="65">
        <v>26.3</v>
      </c>
      <c r="Z53" s="65">
        <v>26.1</v>
      </c>
      <c r="AA53" s="65">
        <v>25.7</v>
      </c>
      <c r="AB53" s="65">
        <v>25.4</v>
      </c>
      <c r="AC53" s="65">
        <v>15</v>
      </c>
      <c r="AD53" s="65">
        <v>15</v>
      </c>
      <c r="AE53" s="65">
        <v>15</v>
      </c>
      <c r="AF53" s="65">
        <v>0</v>
      </c>
      <c r="AG53" s="55">
        <v>30</v>
      </c>
      <c r="AH53" s="48">
        <f t="shared" si="2"/>
        <v>26.3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0</v>
      </c>
      <c r="N54" s="65">
        <v>0</v>
      </c>
      <c r="O54" s="65">
        <v>10</v>
      </c>
      <c r="P54" s="65">
        <v>10</v>
      </c>
      <c r="Q54" s="65">
        <v>10</v>
      </c>
      <c r="R54" s="65">
        <v>10</v>
      </c>
      <c r="S54" s="65">
        <v>10</v>
      </c>
      <c r="T54" s="65">
        <v>10</v>
      </c>
      <c r="U54" s="45">
        <v>10</v>
      </c>
      <c r="V54" s="45">
        <v>0</v>
      </c>
      <c r="W54" s="4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10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>
        <v>17</v>
      </c>
      <c r="S55" s="65">
        <v>17</v>
      </c>
      <c r="T55" s="65">
        <v>17</v>
      </c>
      <c r="U55" s="45">
        <v>17</v>
      </c>
      <c r="V55" s="45">
        <v>17</v>
      </c>
      <c r="W55" s="45">
        <v>17</v>
      </c>
      <c r="X55" s="6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5">
        <v>24</v>
      </c>
      <c r="AH55" s="48">
        <f t="shared" si="2"/>
        <v>17</v>
      </c>
      <c r="AI55" s="49">
        <f t="shared" si="3"/>
        <v>17</v>
      </c>
      <c r="AK55" s="50"/>
    </row>
    <row r="56" spans="1:41" x14ac:dyDescent="0.25">
      <c r="A56" s="54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45">
        <v>3.2</v>
      </c>
      <c r="V56" s="45">
        <v>3.2</v>
      </c>
      <c r="W56" s="4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5">
        <v>15</v>
      </c>
      <c r="AH56" s="48">
        <f t="shared" si="2"/>
        <v>3.2</v>
      </c>
      <c r="AI56" s="49">
        <f t="shared" si="3"/>
        <v>3.2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12.4</v>
      </c>
      <c r="C57" s="65">
        <v>12.4</v>
      </c>
      <c r="D57" s="65">
        <v>12.4</v>
      </c>
      <c r="E57" s="65">
        <v>12.4</v>
      </c>
      <c r="F57" s="65">
        <v>12.4</v>
      </c>
      <c r="G57" s="65">
        <v>12.4</v>
      </c>
      <c r="H57" s="65">
        <v>12.4</v>
      </c>
      <c r="I57" s="65">
        <v>12.4</v>
      </c>
      <c r="J57" s="65">
        <v>12.4</v>
      </c>
      <c r="K57" s="65">
        <v>12.4</v>
      </c>
      <c r="L57" s="65">
        <v>12.4</v>
      </c>
      <c r="M57" s="65">
        <v>12.4</v>
      </c>
      <c r="N57" s="65">
        <v>12.4</v>
      </c>
      <c r="O57" s="65">
        <v>12.4</v>
      </c>
      <c r="P57" s="65">
        <v>12.4</v>
      </c>
      <c r="Q57" s="65">
        <v>12.4</v>
      </c>
      <c r="R57" s="65">
        <v>12.4</v>
      </c>
      <c r="S57" s="65">
        <v>12.4</v>
      </c>
      <c r="T57" s="65">
        <v>12.4</v>
      </c>
      <c r="U57" s="65">
        <v>12.4</v>
      </c>
      <c r="V57" s="65">
        <v>12.4</v>
      </c>
      <c r="W57" s="65">
        <v>12.4</v>
      </c>
      <c r="X57" s="65">
        <v>12.4</v>
      </c>
      <c r="Y57" s="65">
        <v>12.4</v>
      </c>
      <c r="Z57" s="65">
        <v>12.4</v>
      </c>
      <c r="AA57" s="65">
        <v>12.4</v>
      </c>
      <c r="AB57" s="65">
        <v>12.4</v>
      </c>
      <c r="AC57" s="65">
        <v>12.4</v>
      </c>
      <c r="AD57" s="65">
        <v>12.4</v>
      </c>
      <c r="AE57" s="65">
        <v>12.4</v>
      </c>
      <c r="AF57" s="65">
        <v>12.4</v>
      </c>
      <c r="AG57" s="55">
        <v>14.1</v>
      </c>
      <c r="AH57" s="48">
        <f t="shared" si="2"/>
        <v>12.4</v>
      </c>
      <c r="AI57" s="49">
        <f t="shared" si="3"/>
        <v>12.4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5.2</v>
      </c>
      <c r="C58" s="65">
        <v>5.2</v>
      </c>
      <c r="D58" s="65">
        <v>5.2</v>
      </c>
      <c r="E58" s="65">
        <v>5.2</v>
      </c>
      <c r="F58" s="65">
        <v>5.2</v>
      </c>
      <c r="G58" s="65">
        <v>5.2</v>
      </c>
      <c r="H58" s="65">
        <v>5.2</v>
      </c>
      <c r="I58" s="65">
        <v>5.2</v>
      </c>
      <c r="J58" s="65">
        <v>5.2</v>
      </c>
      <c r="K58" s="65">
        <v>5.2</v>
      </c>
      <c r="L58" s="65">
        <v>5.2</v>
      </c>
      <c r="M58" s="65">
        <v>5.2</v>
      </c>
      <c r="N58" s="65">
        <v>5.2</v>
      </c>
      <c r="O58" s="65">
        <v>5.2</v>
      </c>
      <c r="P58" s="65">
        <v>5.2</v>
      </c>
      <c r="Q58" s="65">
        <v>5.2</v>
      </c>
      <c r="R58" s="65">
        <v>5.2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5</v>
      </c>
      <c r="Y58" s="65">
        <v>5.4</v>
      </c>
      <c r="Z58" s="65">
        <v>5.4</v>
      </c>
      <c r="AA58" s="65">
        <v>5.4</v>
      </c>
      <c r="AB58" s="65">
        <v>5.4</v>
      </c>
      <c r="AC58" s="65">
        <v>5.4</v>
      </c>
      <c r="AD58" s="65">
        <v>5.4</v>
      </c>
      <c r="AE58" s="65">
        <v>5.4</v>
      </c>
      <c r="AF58" s="65">
        <v>5.4</v>
      </c>
      <c r="AG58" s="55">
        <v>14</v>
      </c>
      <c r="AH58" s="48">
        <f t="shared" si="2"/>
        <v>5.4</v>
      </c>
      <c r="AI58" s="49">
        <f t="shared" si="3"/>
        <v>0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3</v>
      </c>
      <c r="C60" s="65">
        <v>3</v>
      </c>
      <c r="D60" s="65">
        <v>3</v>
      </c>
      <c r="E60" s="65">
        <v>3</v>
      </c>
      <c r="F60" s="65">
        <v>3</v>
      </c>
      <c r="G60" s="65">
        <v>3</v>
      </c>
      <c r="H60" s="65">
        <v>3</v>
      </c>
      <c r="I60" s="65">
        <v>3</v>
      </c>
      <c r="J60" s="65">
        <v>3</v>
      </c>
      <c r="K60" s="65">
        <v>3</v>
      </c>
      <c r="L60" s="65">
        <v>3</v>
      </c>
      <c r="M60" s="65">
        <v>3</v>
      </c>
      <c r="N60" s="65">
        <v>3</v>
      </c>
      <c r="O60" s="65">
        <v>3</v>
      </c>
      <c r="P60" s="65">
        <v>3</v>
      </c>
      <c r="Q60" s="65">
        <v>3</v>
      </c>
      <c r="R60" s="65">
        <v>3</v>
      </c>
      <c r="S60" s="65">
        <v>3</v>
      </c>
      <c r="T60" s="65">
        <v>3</v>
      </c>
      <c r="U60" s="65">
        <v>3</v>
      </c>
      <c r="V60" s="65">
        <v>3</v>
      </c>
      <c r="W60" s="65">
        <v>3</v>
      </c>
      <c r="X60" s="65">
        <v>3</v>
      </c>
      <c r="Y60" s="65">
        <v>3</v>
      </c>
      <c r="Z60" s="65">
        <v>3</v>
      </c>
      <c r="AA60" s="65">
        <v>3</v>
      </c>
      <c r="AB60" s="65">
        <v>3</v>
      </c>
      <c r="AC60" s="65">
        <v>3</v>
      </c>
      <c r="AD60" s="65">
        <v>3</v>
      </c>
      <c r="AE60" s="65">
        <v>3</v>
      </c>
      <c r="AF60" s="65">
        <v>3</v>
      </c>
      <c r="AG60" s="55">
        <v>6.2</v>
      </c>
      <c r="AH60" s="48">
        <f t="shared" si="2"/>
        <v>3</v>
      </c>
      <c r="AI60" s="49">
        <f t="shared" si="3"/>
        <v>3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v>130.54000000000002</v>
      </c>
      <c r="C62" s="61">
        <f t="shared" ref="C62:AG62" si="6">SUM(C49:C61)</f>
        <v>139.24</v>
      </c>
      <c r="D62" s="61">
        <f t="shared" si="6"/>
        <v>122.04000000000002</v>
      </c>
      <c r="E62" s="61">
        <f t="shared" si="6"/>
        <v>103.24000000000002</v>
      </c>
      <c r="F62" s="61">
        <f t="shared" si="6"/>
        <v>104.24000000000002</v>
      </c>
      <c r="G62" s="61">
        <f t="shared" si="6"/>
        <v>104.24000000000002</v>
      </c>
      <c r="H62" s="61">
        <f t="shared" si="6"/>
        <v>157.83999999999997</v>
      </c>
      <c r="I62" s="61">
        <f t="shared" si="6"/>
        <v>194.93999999999997</v>
      </c>
      <c r="J62" s="61">
        <f t="shared" si="6"/>
        <v>243.84</v>
      </c>
      <c r="K62" s="61">
        <f t="shared" si="6"/>
        <v>331.84</v>
      </c>
      <c r="L62" s="61">
        <f t="shared" si="6"/>
        <v>397.84</v>
      </c>
      <c r="M62" s="61">
        <f t="shared" si="6"/>
        <v>336.73999999999995</v>
      </c>
      <c r="N62" s="61">
        <f t="shared" si="6"/>
        <v>377.43999999999994</v>
      </c>
      <c r="O62" s="61">
        <f t="shared" si="6"/>
        <v>405.23999999999995</v>
      </c>
      <c r="P62" s="61">
        <f t="shared" si="6"/>
        <v>379.14</v>
      </c>
      <c r="Q62" s="61">
        <f t="shared" si="6"/>
        <v>342.44</v>
      </c>
      <c r="R62" s="61">
        <f t="shared" si="6"/>
        <v>258.53999999999996</v>
      </c>
      <c r="S62" s="61">
        <f t="shared" si="6"/>
        <v>240.33999999999997</v>
      </c>
      <c r="T62" s="61">
        <f t="shared" si="6"/>
        <v>240.33999999999997</v>
      </c>
      <c r="U62" s="61">
        <f t="shared" si="6"/>
        <v>294.64</v>
      </c>
      <c r="V62" s="61">
        <f t="shared" si="6"/>
        <v>257.54000000000002</v>
      </c>
      <c r="W62" s="61">
        <f t="shared" si="6"/>
        <v>304.14</v>
      </c>
      <c r="X62" s="61">
        <f t="shared" si="6"/>
        <v>396.84</v>
      </c>
      <c r="Y62" s="61">
        <f t="shared" si="6"/>
        <v>404.23999999999995</v>
      </c>
      <c r="Z62" s="61">
        <f t="shared" si="6"/>
        <v>370.84</v>
      </c>
      <c r="AA62" s="61">
        <f t="shared" si="6"/>
        <v>361.93999999999994</v>
      </c>
      <c r="AB62" s="61">
        <f t="shared" si="6"/>
        <v>349.53999999999991</v>
      </c>
      <c r="AC62" s="61">
        <f t="shared" si="6"/>
        <v>321.93999999999994</v>
      </c>
      <c r="AD62" s="61">
        <f t="shared" si="6"/>
        <v>259.04000000000002</v>
      </c>
      <c r="AE62" s="61">
        <f t="shared" si="6"/>
        <v>175.04</v>
      </c>
      <c r="AF62" s="61">
        <f t="shared" si="6"/>
        <v>123.74000000000002</v>
      </c>
      <c r="AG62" s="62">
        <f t="shared" si="6"/>
        <v>489.91</v>
      </c>
      <c r="AH62" s="48">
        <f t="shared" si="2"/>
        <v>405.23999999999995</v>
      </c>
      <c r="AI62" s="49">
        <f t="shared" si="3"/>
        <v>103.24000000000002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14</v>
      </c>
      <c r="J63" s="45">
        <v>30</v>
      </c>
      <c r="K63" s="45">
        <v>44</v>
      </c>
      <c r="L63" s="45">
        <v>60</v>
      </c>
      <c r="M63" s="45">
        <v>50</v>
      </c>
      <c r="N63" s="45">
        <v>50</v>
      </c>
      <c r="O63" s="45">
        <v>55</v>
      </c>
      <c r="P63" s="45">
        <v>50</v>
      </c>
      <c r="Q63" s="45">
        <v>50</v>
      </c>
      <c r="R63" s="45">
        <v>40</v>
      </c>
      <c r="S63" s="45">
        <v>10</v>
      </c>
      <c r="T63" s="45">
        <v>10</v>
      </c>
      <c r="U63" s="45">
        <v>60</v>
      </c>
      <c r="V63" s="45">
        <v>30</v>
      </c>
      <c r="W63" s="45">
        <v>30</v>
      </c>
      <c r="X63" s="45">
        <v>60</v>
      </c>
      <c r="Y63" s="45">
        <v>60</v>
      </c>
      <c r="Z63" s="45">
        <v>60</v>
      </c>
      <c r="AA63" s="45">
        <v>60</v>
      </c>
      <c r="AB63" s="45">
        <v>60</v>
      </c>
      <c r="AC63" s="45">
        <v>50</v>
      </c>
      <c r="AD63" s="45">
        <v>35</v>
      </c>
      <c r="AE63" s="45">
        <v>10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5.7</v>
      </c>
      <c r="J64" s="65">
        <v>14.8</v>
      </c>
      <c r="K64" s="65">
        <v>19.100000000000001</v>
      </c>
      <c r="L64" s="65">
        <v>28.3</v>
      </c>
      <c r="M64" s="65">
        <v>22</v>
      </c>
      <c r="N64" s="65">
        <v>17</v>
      </c>
      <c r="O64" s="65">
        <v>22</v>
      </c>
      <c r="P64" s="65">
        <v>22</v>
      </c>
      <c r="Q64" s="65">
        <v>22</v>
      </c>
      <c r="R64" s="45">
        <v>22</v>
      </c>
      <c r="S64" s="65">
        <v>4</v>
      </c>
      <c r="T64" s="65">
        <v>4</v>
      </c>
      <c r="U64" s="65">
        <v>26.1</v>
      </c>
      <c r="V64" s="65">
        <v>14.3</v>
      </c>
      <c r="W64" s="65">
        <v>14.3</v>
      </c>
      <c r="X64" s="65">
        <v>26.7</v>
      </c>
      <c r="Y64" s="65">
        <v>27.7</v>
      </c>
      <c r="Z64" s="65">
        <v>27.7</v>
      </c>
      <c r="AA64" s="65">
        <v>27.7</v>
      </c>
      <c r="AB64" s="65">
        <v>28.4</v>
      </c>
      <c r="AC64" s="65">
        <v>23</v>
      </c>
      <c r="AD64" s="65">
        <v>13</v>
      </c>
      <c r="AE64" s="65">
        <v>3</v>
      </c>
      <c r="AF64" s="45">
        <v>0</v>
      </c>
      <c r="AG64" s="55">
        <v>32</v>
      </c>
      <c r="AH64" s="48">
        <f t="shared" si="2"/>
        <v>28.4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2.1</v>
      </c>
      <c r="J65" s="67">
        <v>5.4</v>
      </c>
      <c r="K65" s="67">
        <v>7</v>
      </c>
      <c r="L65" s="67">
        <v>10.3</v>
      </c>
      <c r="M65" s="67">
        <v>10</v>
      </c>
      <c r="N65" s="67">
        <v>6</v>
      </c>
      <c r="O65" s="67">
        <v>9.6</v>
      </c>
      <c r="P65" s="67">
        <v>8.1999999999999993</v>
      </c>
      <c r="Q65" s="67">
        <v>8.1999999999999993</v>
      </c>
      <c r="R65" s="45">
        <v>8.3000000000000007</v>
      </c>
      <c r="S65" s="67">
        <v>1.5</v>
      </c>
      <c r="T65" s="67">
        <v>1.5</v>
      </c>
      <c r="U65" s="67">
        <v>9.5</v>
      </c>
      <c r="V65" s="67">
        <v>5.2</v>
      </c>
      <c r="W65" s="67">
        <v>5.2</v>
      </c>
      <c r="X65" s="67">
        <v>9.8000000000000007</v>
      </c>
      <c r="Y65" s="67">
        <v>10.1</v>
      </c>
      <c r="Z65" s="67">
        <v>10.1</v>
      </c>
      <c r="AA65" s="67">
        <v>10.1</v>
      </c>
      <c r="AB65" s="67">
        <v>10.4</v>
      </c>
      <c r="AC65" s="67">
        <v>8.5</v>
      </c>
      <c r="AD65" s="67">
        <v>5</v>
      </c>
      <c r="AE65" s="67">
        <v>1</v>
      </c>
      <c r="AF65" s="45">
        <v>0</v>
      </c>
      <c r="AG65" s="68">
        <v>14</v>
      </c>
      <c r="AH65" s="48">
        <f t="shared" si="2"/>
        <v>10.4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23.1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98.6</v>
      </c>
      <c r="M66" s="61">
        <f t="shared" ref="M66:AF66" si="7">M63+M64+M65</f>
        <v>82</v>
      </c>
      <c r="N66" s="61">
        <f t="shared" si="7"/>
        <v>73</v>
      </c>
      <c r="O66" s="61">
        <f t="shared" si="7"/>
        <v>86.6</v>
      </c>
      <c r="P66" s="61">
        <f t="shared" si="7"/>
        <v>80.2</v>
      </c>
      <c r="Q66" s="61">
        <f t="shared" si="7"/>
        <v>80.2</v>
      </c>
      <c r="R66" s="61">
        <f t="shared" si="7"/>
        <v>70.3</v>
      </c>
      <c r="S66" s="61">
        <f t="shared" si="7"/>
        <v>15.5</v>
      </c>
      <c r="T66" s="61">
        <f t="shared" si="7"/>
        <v>15.5</v>
      </c>
      <c r="U66" s="61">
        <f t="shared" si="7"/>
        <v>95.6</v>
      </c>
      <c r="V66" s="61">
        <f t="shared" si="7"/>
        <v>49.5</v>
      </c>
      <c r="W66" s="61">
        <f t="shared" si="7"/>
        <v>49.5</v>
      </c>
      <c r="X66" s="61">
        <f t="shared" si="7"/>
        <v>96.5</v>
      </c>
      <c r="Y66" s="61">
        <f t="shared" si="7"/>
        <v>97.8</v>
      </c>
      <c r="Z66" s="61">
        <f t="shared" si="7"/>
        <v>97.8</v>
      </c>
      <c r="AA66" s="61">
        <f t="shared" si="7"/>
        <v>97.8</v>
      </c>
      <c r="AB66" s="61">
        <f t="shared" si="7"/>
        <v>98.800000000000011</v>
      </c>
      <c r="AC66" s="61">
        <f t="shared" si="7"/>
        <v>81.5</v>
      </c>
      <c r="AD66" s="61">
        <f t="shared" si="7"/>
        <v>53</v>
      </c>
      <c r="AE66" s="61">
        <f t="shared" si="7"/>
        <v>14</v>
      </c>
      <c r="AF66" s="61">
        <f t="shared" si="7"/>
        <v>0</v>
      </c>
      <c r="AG66" s="62">
        <f t="shared" ref="AG66" si="8">SUM(AG63:AG65)</f>
        <v>106</v>
      </c>
      <c r="AH66" s="48">
        <f t="shared" si="2"/>
        <v>98.800000000000011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60</v>
      </c>
      <c r="C67" s="45">
        <v>67</v>
      </c>
      <c r="D67" s="45">
        <v>66.900000000000006</v>
      </c>
      <c r="E67" s="45">
        <v>60.1</v>
      </c>
      <c r="F67" s="45">
        <v>65</v>
      </c>
      <c r="G67" s="45">
        <v>65</v>
      </c>
      <c r="H67" s="45">
        <v>68</v>
      </c>
      <c r="I67" s="45">
        <v>70</v>
      </c>
      <c r="J67" s="45">
        <v>55</v>
      </c>
      <c r="K67" s="45">
        <v>61</v>
      </c>
      <c r="L67" s="45">
        <v>64</v>
      </c>
      <c r="M67" s="45">
        <v>54.7</v>
      </c>
      <c r="N67" s="45">
        <v>50</v>
      </c>
      <c r="O67" s="45">
        <v>44</v>
      </c>
      <c r="P67" s="45">
        <v>47</v>
      </c>
      <c r="Q67" s="45">
        <v>62.5</v>
      </c>
      <c r="R67" s="45">
        <v>63.6</v>
      </c>
      <c r="S67" s="45">
        <v>69.599999999999994</v>
      </c>
      <c r="T67" s="45">
        <v>72</v>
      </c>
      <c r="U67" s="45">
        <v>64.5</v>
      </c>
      <c r="V67" s="45">
        <v>49.6</v>
      </c>
      <c r="W67" s="45">
        <v>53.1</v>
      </c>
      <c r="X67" s="45">
        <v>55.3</v>
      </c>
      <c r="Y67" s="45">
        <v>51.5</v>
      </c>
      <c r="Z67" s="45">
        <v>51.1</v>
      </c>
      <c r="AA67" s="45">
        <v>48.3</v>
      </c>
      <c r="AB67" s="45">
        <v>45.4</v>
      </c>
      <c r="AC67" s="45">
        <v>71</v>
      </c>
      <c r="AD67" s="45">
        <v>67</v>
      </c>
      <c r="AE67" s="45">
        <v>63</v>
      </c>
      <c r="AF67" s="45">
        <v>70</v>
      </c>
      <c r="AG67" s="52"/>
      <c r="AH67" s="48">
        <f t="shared" si="2"/>
        <v>72</v>
      </c>
      <c r="AI67" s="49">
        <f t="shared" si="3"/>
        <v>44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285</v>
      </c>
      <c r="C69" s="65">
        <v>202</v>
      </c>
      <c r="D69" s="65">
        <v>191</v>
      </c>
      <c r="E69" s="65">
        <v>194.9</v>
      </c>
      <c r="F69" s="65">
        <v>230</v>
      </c>
      <c r="G69" s="65">
        <v>242</v>
      </c>
      <c r="H69" s="65">
        <v>245</v>
      </c>
      <c r="I69" s="65">
        <v>246</v>
      </c>
      <c r="J69" s="65">
        <v>240</v>
      </c>
      <c r="K69" s="65">
        <v>200</v>
      </c>
      <c r="L69" s="65">
        <v>195</v>
      </c>
      <c r="M69" s="65">
        <v>161</v>
      </c>
      <c r="N69" s="65">
        <v>75</v>
      </c>
      <c r="O69" s="65">
        <v>136</v>
      </c>
      <c r="P69" s="65">
        <v>225</v>
      </c>
      <c r="Q69" s="65">
        <v>307</v>
      </c>
      <c r="R69" s="65">
        <v>312</v>
      </c>
      <c r="S69" s="65">
        <v>341</v>
      </c>
      <c r="T69" s="65">
        <v>329</v>
      </c>
      <c r="U69" s="65">
        <v>226</v>
      </c>
      <c r="V69" s="65">
        <v>246</v>
      </c>
      <c r="W69" s="65">
        <v>164</v>
      </c>
      <c r="X69" s="65">
        <v>171</v>
      </c>
      <c r="Y69" s="65">
        <v>146</v>
      </c>
      <c r="Z69" s="65">
        <v>152</v>
      </c>
      <c r="AA69" s="65">
        <v>132</v>
      </c>
      <c r="AB69" s="65">
        <v>188.5</v>
      </c>
      <c r="AC69" s="65">
        <v>290</v>
      </c>
      <c r="AD69" s="65">
        <v>310</v>
      </c>
      <c r="AE69" s="65">
        <v>308</v>
      </c>
      <c r="AF69" s="65">
        <v>300</v>
      </c>
      <c r="AG69" s="75"/>
      <c r="AH69" s="48">
        <f t="shared" si="2"/>
        <v>341</v>
      </c>
      <c r="AI69" s="49">
        <f t="shared" si="3"/>
        <v>75</v>
      </c>
      <c r="AK69" s="50"/>
    </row>
    <row r="70" spans="1:40" x14ac:dyDescent="0.25">
      <c r="A70" s="54" t="s">
        <v>78</v>
      </c>
      <c r="B70" s="76">
        <v>56.5</v>
      </c>
      <c r="C70" s="76">
        <v>55.6</v>
      </c>
      <c r="D70" s="76">
        <v>54.8</v>
      </c>
      <c r="E70" s="76">
        <v>56.7</v>
      </c>
      <c r="F70" s="76">
        <v>56.5</v>
      </c>
      <c r="G70" s="76">
        <v>58.2</v>
      </c>
      <c r="H70" s="76">
        <v>59.7</v>
      </c>
      <c r="I70" s="76">
        <v>63.1</v>
      </c>
      <c r="J70" s="76">
        <v>62.8</v>
      </c>
      <c r="K70" s="76">
        <v>70</v>
      </c>
      <c r="L70" s="76">
        <v>52</v>
      </c>
      <c r="M70" s="76">
        <v>58</v>
      </c>
      <c r="N70" s="76">
        <v>59.8</v>
      </c>
      <c r="O70" s="76">
        <v>56.1</v>
      </c>
      <c r="P70" s="76">
        <v>52.9</v>
      </c>
      <c r="Q70" s="76">
        <v>54.8</v>
      </c>
      <c r="R70" s="76">
        <v>57.9</v>
      </c>
      <c r="S70" s="76">
        <v>56.9</v>
      </c>
      <c r="T70" s="76">
        <v>57</v>
      </c>
      <c r="U70" s="76">
        <v>57</v>
      </c>
      <c r="V70" s="76">
        <v>46.5</v>
      </c>
      <c r="W70" s="76">
        <v>47.3</v>
      </c>
      <c r="X70" s="65">
        <v>57.4</v>
      </c>
      <c r="Y70" s="65">
        <v>53</v>
      </c>
      <c r="Z70" s="65">
        <v>48.7</v>
      </c>
      <c r="AA70" s="65">
        <v>50</v>
      </c>
      <c r="AB70" s="65">
        <v>50.4</v>
      </c>
      <c r="AC70" s="65">
        <v>50.4</v>
      </c>
      <c r="AD70" s="65">
        <v>50.4</v>
      </c>
      <c r="AE70" s="65">
        <v>46</v>
      </c>
      <c r="AF70" s="65">
        <v>54</v>
      </c>
      <c r="AG70" s="75"/>
      <c r="AH70" s="48">
        <f t="shared" si="2"/>
        <v>70</v>
      </c>
      <c r="AI70" s="49">
        <f t="shared" si="3"/>
        <v>46</v>
      </c>
      <c r="AK70" s="50"/>
    </row>
    <row r="71" spans="1:40" x14ac:dyDescent="0.25">
      <c r="A71" s="54" t="s">
        <v>79</v>
      </c>
      <c r="B71" s="45">
        <v>30</v>
      </c>
      <c r="C71" s="45">
        <v>30</v>
      </c>
      <c r="D71" s="45">
        <v>28</v>
      </c>
      <c r="E71" s="45">
        <v>25</v>
      </c>
      <c r="F71" s="45">
        <v>25</v>
      </c>
      <c r="G71" s="45">
        <v>28</v>
      </c>
      <c r="H71" s="45">
        <v>28</v>
      </c>
      <c r="I71" s="45">
        <v>30</v>
      </c>
      <c r="J71" s="45">
        <v>30</v>
      </c>
      <c r="K71" s="45">
        <v>30</v>
      </c>
      <c r="L71" s="45">
        <v>30</v>
      </c>
      <c r="M71" s="45">
        <v>30</v>
      </c>
      <c r="N71" s="45">
        <v>30</v>
      </c>
      <c r="O71" s="45">
        <v>32</v>
      </c>
      <c r="P71" s="45">
        <v>30</v>
      </c>
      <c r="Q71" s="45">
        <v>30</v>
      </c>
      <c r="R71" s="45">
        <v>30</v>
      </c>
      <c r="S71" s="45">
        <v>30</v>
      </c>
      <c r="T71" s="45">
        <v>30</v>
      </c>
      <c r="U71" s="45">
        <v>30</v>
      </c>
      <c r="V71" s="45">
        <v>30</v>
      </c>
      <c r="W71" s="45">
        <v>30</v>
      </c>
      <c r="X71" s="45">
        <v>30</v>
      </c>
      <c r="Y71" s="45">
        <v>30</v>
      </c>
      <c r="Z71" s="45">
        <v>30</v>
      </c>
      <c r="AA71" s="45">
        <v>30</v>
      </c>
      <c r="AB71" s="45">
        <v>30</v>
      </c>
      <c r="AC71" s="45">
        <v>30</v>
      </c>
      <c r="AD71" s="45">
        <v>30</v>
      </c>
      <c r="AE71" s="45">
        <v>30</v>
      </c>
      <c r="AF71" s="45">
        <v>30</v>
      </c>
      <c r="AG71" s="75"/>
      <c r="AH71" s="48">
        <f t="shared" si="2"/>
        <v>32</v>
      </c>
      <c r="AI71" s="49">
        <f t="shared" si="3"/>
        <v>25</v>
      </c>
      <c r="AK71" s="50"/>
    </row>
    <row r="72" spans="1:40" x14ac:dyDescent="0.25">
      <c r="A72" s="54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5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6</v>
      </c>
      <c r="Z74" s="77">
        <v>6</v>
      </c>
      <c r="AA74" s="77">
        <v>6</v>
      </c>
      <c r="AB74" s="77">
        <v>6</v>
      </c>
      <c r="AC74" s="77">
        <v>6</v>
      </c>
      <c r="AD74" s="77">
        <v>6</v>
      </c>
      <c r="AE74" s="77">
        <v>6</v>
      </c>
      <c r="AF74" s="77">
        <v>6</v>
      </c>
      <c r="AG74" s="75"/>
      <c r="AH74" s="48">
        <f t="shared" si="2"/>
        <v>6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9">MAX(B75:AF75)</f>
        <v>0</v>
      </c>
      <c r="AI75" s="49">
        <f t="shared" ref="AI75:AI113" si="10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9"/>
        <v>0</v>
      </c>
      <c r="AI76" s="49">
        <f t="shared" si="10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9"/>
        <v>0</v>
      </c>
      <c r="AI77" s="49">
        <f t="shared" si="10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1">SUMIF(B67:B77,"&gt;0")</f>
        <v>436.5</v>
      </c>
      <c r="C78" s="61">
        <f t="shared" si="11"/>
        <v>359.6</v>
      </c>
      <c r="D78" s="61">
        <f t="shared" si="11"/>
        <v>345.7</v>
      </c>
      <c r="E78" s="61">
        <f t="shared" si="11"/>
        <v>341.7</v>
      </c>
      <c r="F78" s="61">
        <f t="shared" si="11"/>
        <v>376.5</v>
      </c>
      <c r="G78" s="61">
        <f t="shared" si="11"/>
        <v>393.2</v>
      </c>
      <c r="H78" s="61">
        <f t="shared" si="11"/>
        <v>400.7</v>
      </c>
      <c r="I78" s="61">
        <f t="shared" si="11"/>
        <v>409.1</v>
      </c>
      <c r="J78" s="61">
        <f t="shared" si="11"/>
        <v>387.8</v>
      </c>
      <c r="K78" s="61">
        <f t="shared" si="11"/>
        <v>361</v>
      </c>
      <c r="L78" s="61">
        <f t="shared" si="11"/>
        <v>341</v>
      </c>
      <c r="M78" s="61">
        <f t="shared" si="11"/>
        <v>308.7</v>
      </c>
      <c r="N78" s="61">
        <f t="shared" si="11"/>
        <v>219.8</v>
      </c>
      <c r="O78" s="61">
        <f t="shared" si="11"/>
        <v>273.10000000000002</v>
      </c>
      <c r="P78" s="61">
        <f t="shared" si="11"/>
        <v>359.9</v>
      </c>
      <c r="Q78" s="61">
        <f t="shared" si="11"/>
        <v>459.3</v>
      </c>
      <c r="R78" s="61">
        <f t="shared" si="11"/>
        <v>468.5</v>
      </c>
      <c r="S78" s="61">
        <f t="shared" si="11"/>
        <v>502.5</v>
      </c>
      <c r="T78" s="61">
        <f t="shared" si="11"/>
        <v>493</v>
      </c>
      <c r="U78" s="61">
        <f t="shared" si="11"/>
        <v>382.5</v>
      </c>
      <c r="V78" s="61">
        <f t="shared" si="11"/>
        <v>377.1</v>
      </c>
      <c r="W78" s="61">
        <f t="shared" si="11"/>
        <v>299.39999999999998</v>
      </c>
      <c r="X78" s="61">
        <f t="shared" si="11"/>
        <v>318.7</v>
      </c>
      <c r="Y78" s="61">
        <f t="shared" si="11"/>
        <v>291.5</v>
      </c>
      <c r="Z78" s="61">
        <f t="shared" si="11"/>
        <v>292.8</v>
      </c>
      <c r="AA78" s="61">
        <f t="shared" si="11"/>
        <v>271.3</v>
      </c>
      <c r="AB78" s="61">
        <f t="shared" si="11"/>
        <v>325.3</v>
      </c>
      <c r="AC78" s="61">
        <f t="shared" si="11"/>
        <v>452.4</v>
      </c>
      <c r="AD78" s="61">
        <f t="shared" si="11"/>
        <v>468.4</v>
      </c>
      <c r="AE78" s="61">
        <f t="shared" si="11"/>
        <v>458</v>
      </c>
      <c r="AF78" s="61">
        <f t="shared" si="11"/>
        <v>465</v>
      </c>
      <c r="AG78" s="81">
        <f>SUM(AG67:AG77)</f>
        <v>0</v>
      </c>
      <c r="AH78" s="48">
        <f t="shared" si="9"/>
        <v>502.5</v>
      </c>
      <c r="AI78" s="49">
        <f t="shared" si="10"/>
        <v>219.8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9"/>
        <v>0</v>
      </c>
      <c r="AI79" s="49">
        <f t="shared" si="10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9"/>
        <v>0</v>
      </c>
      <c r="AI80" s="49">
        <f t="shared" si="10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9"/>
        <v>0</v>
      </c>
      <c r="AI81" s="49">
        <f t="shared" si="10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9"/>
        <v>0</v>
      </c>
      <c r="AI82" s="49">
        <f t="shared" si="10"/>
        <v>0</v>
      </c>
    </row>
    <row r="83" spans="1:37" ht="15.75" thickBot="1" x14ac:dyDescent="0.3">
      <c r="A83" s="74" t="s">
        <v>91</v>
      </c>
      <c r="B83" s="83">
        <f>B44+B48+B66+B62+B78+B82</f>
        <v>1144.6400000000001</v>
      </c>
      <c r="C83" s="83">
        <f t="shared" ref="C83:AG83" si="12">C44+C48+C66+C62+C78+C82</f>
        <v>1053.44</v>
      </c>
      <c r="D83" s="83">
        <f t="shared" si="12"/>
        <v>1027.44</v>
      </c>
      <c r="E83" s="83">
        <f t="shared" si="12"/>
        <v>1029.44</v>
      </c>
      <c r="F83" s="83">
        <f t="shared" si="12"/>
        <v>1040.3400000000001</v>
      </c>
      <c r="G83" s="83">
        <f t="shared" si="12"/>
        <v>1098.04</v>
      </c>
      <c r="H83" s="83">
        <f t="shared" si="12"/>
        <v>1168.04</v>
      </c>
      <c r="I83" s="83">
        <f t="shared" si="12"/>
        <v>1248.6399999999999</v>
      </c>
      <c r="J83" s="83">
        <f t="shared" si="12"/>
        <v>1296.24</v>
      </c>
      <c r="K83" s="83">
        <f t="shared" si="12"/>
        <v>1412.4399999999998</v>
      </c>
      <c r="L83" s="83">
        <f t="shared" si="12"/>
        <v>1587.04</v>
      </c>
      <c r="M83" s="83">
        <f t="shared" si="12"/>
        <v>1613.04</v>
      </c>
      <c r="N83" s="83">
        <f t="shared" si="12"/>
        <v>1555.6399999999999</v>
      </c>
      <c r="O83" s="83">
        <f t="shared" si="12"/>
        <v>1550.7399999999998</v>
      </c>
      <c r="P83" s="83">
        <f t="shared" si="12"/>
        <v>1515.04</v>
      </c>
      <c r="Q83" s="83">
        <f t="shared" si="12"/>
        <v>1457.34</v>
      </c>
      <c r="R83" s="83">
        <f t="shared" si="12"/>
        <v>1382.7399999999998</v>
      </c>
      <c r="S83" s="83">
        <f t="shared" si="12"/>
        <v>1299.74</v>
      </c>
      <c r="T83" s="83">
        <f t="shared" si="12"/>
        <v>1295.24</v>
      </c>
      <c r="U83" s="83">
        <f t="shared" si="12"/>
        <v>1316.54</v>
      </c>
      <c r="V83" s="83">
        <f t="shared" si="12"/>
        <v>1322.94</v>
      </c>
      <c r="W83" s="83">
        <f t="shared" si="12"/>
        <v>1410.8400000000001</v>
      </c>
      <c r="X83" s="83">
        <f t="shared" si="12"/>
        <v>1654.1399999999999</v>
      </c>
      <c r="Y83" s="83">
        <f t="shared" si="12"/>
        <v>1615.6399999999999</v>
      </c>
      <c r="Z83" s="83">
        <f t="shared" si="12"/>
        <v>1563.5399999999997</v>
      </c>
      <c r="AA83" s="83">
        <f t="shared" si="12"/>
        <v>1533.1399999999996</v>
      </c>
      <c r="AB83" s="83">
        <f t="shared" si="12"/>
        <v>1483.1399999999999</v>
      </c>
      <c r="AC83" s="83">
        <f t="shared" si="12"/>
        <v>1427.34</v>
      </c>
      <c r="AD83" s="83">
        <f t="shared" si="12"/>
        <v>1301.94</v>
      </c>
      <c r="AE83" s="83">
        <f t="shared" si="12"/>
        <v>1170.8399999999999</v>
      </c>
      <c r="AF83" s="83">
        <f t="shared" si="12"/>
        <v>1109.54</v>
      </c>
      <c r="AG83" s="62">
        <f t="shared" si="12"/>
        <v>2004.1900000000003</v>
      </c>
      <c r="AH83" s="48">
        <f>MAX(B83:AF83)</f>
        <v>1654.1399999999999</v>
      </c>
      <c r="AI83" s="49">
        <f>MIN(B83:AF83)</f>
        <v>1027.44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>
        <v>20</v>
      </c>
      <c r="L84" s="85">
        <v>70</v>
      </c>
      <c r="M84" s="85">
        <v>100</v>
      </c>
      <c r="N84" s="85">
        <v>100</v>
      </c>
      <c r="O84" s="85"/>
      <c r="P84" s="85"/>
      <c r="Q84" s="85"/>
      <c r="R84" s="85"/>
      <c r="S84" s="85"/>
      <c r="T84" s="85"/>
      <c r="U84" s="85"/>
      <c r="V84" s="85"/>
      <c r="W84" s="85"/>
      <c r="X84" s="85">
        <v>150</v>
      </c>
      <c r="Y84" s="85">
        <v>150</v>
      </c>
      <c r="Z84" s="85">
        <v>150</v>
      </c>
      <c r="AA84" s="85">
        <v>150</v>
      </c>
      <c r="AB84" s="85">
        <v>150</v>
      </c>
      <c r="AC84" s="85">
        <v>150</v>
      </c>
      <c r="AD84" s="85">
        <v>150</v>
      </c>
      <c r="AE84" s="85"/>
      <c r="AF84" s="85"/>
      <c r="AG84" s="81"/>
      <c r="AH84" s="48">
        <f t="shared" si="9"/>
        <v>150</v>
      </c>
      <c r="AI84" s="49">
        <f t="shared" si="10"/>
        <v>20</v>
      </c>
    </row>
    <row r="85" spans="1:37" ht="15.75" thickBot="1" x14ac:dyDescent="0.3">
      <c r="A85" s="74" t="s">
        <v>93</v>
      </c>
      <c r="B85" s="83">
        <f>B83+B84</f>
        <v>1144.6400000000001</v>
      </c>
      <c r="C85" s="83">
        <f t="shared" ref="C85:AF85" si="13">C83+C84</f>
        <v>1053.44</v>
      </c>
      <c r="D85" s="83">
        <f t="shared" si="13"/>
        <v>1027.44</v>
      </c>
      <c r="E85" s="83">
        <f t="shared" si="13"/>
        <v>1029.44</v>
      </c>
      <c r="F85" s="83">
        <f t="shared" si="13"/>
        <v>1040.3400000000001</v>
      </c>
      <c r="G85" s="83">
        <f t="shared" si="13"/>
        <v>1098.04</v>
      </c>
      <c r="H85" s="83">
        <f t="shared" si="13"/>
        <v>1168.04</v>
      </c>
      <c r="I85" s="83">
        <f t="shared" si="13"/>
        <v>1248.6399999999999</v>
      </c>
      <c r="J85" s="83">
        <f t="shared" si="13"/>
        <v>1296.24</v>
      </c>
      <c r="K85" s="83">
        <f t="shared" si="13"/>
        <v>1432.4399999999998</v>
      </c>
      <c r="L85" s="83">
        <f t="shared" si="13"/>
        <v>1657.04</v>
      </c>
      <c r="M85" s="83">
        <f t="shared" si="13"/>
        <v>1713.04</v>
      </c>
      <c r="N85" s="83">
        <f t="shared" si="13"/>
        <v>1655.6399999999999</v>
      </c>
      <c r="O85" s="83">
        <f t="shared" si="13"/>
        <v>1550.7399999999998</v>
      </c>
      <c r="P85" s="83">
        <f t="shared" si="13"/>
        <v>1515.04</v>
      </c>
      <c r="Q85" s="83">
        <f t="shared" si="13"/>
        <v>1457.34</v>
      </c>
      <c r="R85" s="83">
        <f t="shared" si="13"/>
        <v>1382.7399999999998</v>
      </c>
      <c r="S85" s="83">
        <f t="shared" si="13"/>
        <v>1299.74</v>
      </c>
      <c r="T85" s="83">
        <f t="shared" si="13"/>
        <v>1295.24</v>
      </c>
      <c r="U85" s="83">
        <f t="shared" si="13"/>
        <v>1316.54</v>
      </c>
      <c r="V85" s="83">
        <f t="shared" si="13"/>
        <v>1322.94</v>
      </c>
      <c r="W85" s="83">
        <f>W83+W84</f>
        <v>1410.8400000000001</v>
      </c>
      <c r="X85" s="83">
        <f t="shared" ref="X85:AA85" si="14">X83+X84</f>
        <v>1804.1399999999999</v>
      </c>
      <c r="Y85" s="83">
        <f t="shared" si="14"/>
        <v>1765.6399999999999</v>
      </c>
      <c r="Z85" s="83">
        <f t="shared" si="14"/>
        <v>1713.5399999999997</v>
      </c>
      <c r="AA85" s="83">
        <f t="shared" si="14"/>
        <v>1683.1399999999996</v>
      </c>
      <c r="AB85" s="83">
        <f t="shared" si="13"/>
        <v>1633.1399999999999</v>
      </c>
      <c r="AC85" s="83">
        <f t="shared" si="13"/>
        <v>1577.34</v>
      </c>
      <c r="AD85" s="83">
        <f t="shared" si="13"/>
        <v>1451.94</v>
      </c>
      <c r="AE85" s="83">
        <f t="shared" si="13"/>
        <v>1170.8399999999999</v>
      </c>
      <c r="AF85" s="83">
        <f t="shared" si="13"/>
        <v>1109.54</v>
      </c>
      <c r="AG85" s="81">
        <f>AG82+AG78+AG66+AG62+AG44+AG84</f>
        <v>1466.0900000000001</v>
      </c>
      <c r="AH85" s="48">
        <f t="shared" si="9"/>
        <v>1804.1399999999999</v>
      </c>
      <c r="AI85" s="49">
        <f t="shared" si="10"/>
        <v>1027.44</v>
      </c>
    </row>
    <row r="86" spans="1:37" ht="15.75" thickBot="1" x14ac:dyDescent="0.3">
      <c r="A86" s="74" t="s">
        <v>94</v>
      </c>
      <c r="B86" s="83">
        <f t="shared" ref="B86:AF86" si="15">B85-B93</f>
        <v>1144.6400000000001</v>
      </c>
      <c r="C86" s="83">
        <f t="shared" si="15"/>
        <v>1053.44</v>
      </c>
      <c r="D86" s="83">
        <f t="shared" si="15"/>
        <v>1027.44</v>
      </c>
      <c r="E86" s="83">
        <f t="shared" si="15"/>
        <v>1029.44</v>
      </c>
      <c r="F86" s="83">
        <f t="shared" si="15"/>
        <v>1040.3400000000001</v>
      </c>
      <c r="G86" s="83">
        <f t="shared" si="15"/>
        <v>1098.04</v>
      </c>
      <c r="H86" s="83">
        <f t="shared" si="15"/>
        <v>1168.04</v>
      </c>
      <c r="I86" s="83">
        <f t="shared" si="15"/>
        <v>1248.6399999999999</v>
      </c>
      <c r="J86" s="83">
        <f t="shared" si="15"/>
        <v>1296.24</v>
      </c>
      <c r="K86" s="83">
        <f t="shared" si="15"/>
        <v>1432.4399999999998</v>
      </c>
      <c r="L86" s="83">
        <f t="shared" si="15"/>
        <v>1657.04</v>
      </c>
      <c r="M86" s="83">
        <f t="shared" si="15"/>
        <v>1713.04</v>
      </c>
      <c r="N86" s="83">
        <f t="shared" si="15"/>
        <v>1655.6399999999999</v>
      </c>
      <c r="O86" s="83">
        <f t="shared" si="15"/>
        <v>1550.7399999999998</v>
      </c>
      <c r="P86" s="83">
        <f t="shared" si="15"/>
        <v>1515.04</v>
      </c>
      <c r="Q86" s="83">
        <f t="shared" si="15"/>
        <v>1457.34</v>
      </c>
      <c r="R86" s="83">
        <f t="shared" si="15"/>
        <v>1382.7399999999998</v>
      </c>
      <c r="S86" s="83">
        <f t="shared" si="15"/>
        <v>1299.74</v>
      </c>
      <c r="T86" s="83">
        <f t="shared" si="15"/>
        <v>1295.24</v>
      </c>
      <c r="U86" s="83">
        <f t="shared" si="15"/>
        <v>1316.54</v>
      </c>
      <c r="V86" s="83">
        <f t="shared" si="15"/>
        <v>1322.94</v>
      </c>
      <c r="W86" s="83">
        <f t="shared" si="15"/>
        <v>1410.8400000000001</v>
      </c>
      <c r="X86" s="83">
        <v>1704.6399999999999</v>
      </c>
      <c r="Y86" s="83">
        <f t="shared" si="15"/>
        <v>1765.6399999999999</v>
      </c>
      <c r="Z86" s="83">
        <f t="shared" si="15"/>
        <v>1713.5399999999997</v>
      </c>
      <c r="AA86" s="83">
        <f t="shared" si="15"/>
        <v>1683.1399999999996</v>
      </c>
      <c r="AB86" s="83">
        <f t="shared" si="15"/>
        <v>1633.1399999999999</v>
      </c>
      <c r="AC86" s="83">
        <f t="shared" si="15"/>
        <v>1577.34</v>
      </c>
      <c r="AD86" s="83">
        <f t="shared" si="15"/>
        <v>1451.94</v>
      </c>
      <c r="AE86" s="83">
        <f t="shared" si="15"/>
        <v>1170.8399999999999</v>
      </c>
      <c r="AF86" s="83">
        <f t="shared" si="15"/>
        <v>1109.54</v>
      </c>
      <c r="AG86" s="81"/>
      <c r="AH86" s="48">
        <f t="shared" si="9"/>
        <v>1765.6399999999999</v>
      </c>
      <c r="AI86" s="49">
        <f t="shared" si="10"/>
        <v>1027.44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9"/>
        <v>0</v>
      </c>
      <c r="AI87" s="49">
        <f t="shared" si="10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9"/>
        <v>0</v>
      </c>
      <c r="AI88" s="49">
        <f t="shared" si="10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9"/>
        <v>0</v>
      </c>
      <c r="AI89" s="49">
        <f t="shared" si="10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9"/>
        <v>0</v>
      </c>
      <c r="AI90" s="49">
        <f t="shared" si="10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9"/>
        <v>0</v>
      </c>
      <c r="AI91" s="49">
        <f t="shared" si="10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9"/>
        <v>0</v>
      </c>
      <c r="AI92" s="49">
        <f t="shared" si="10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81"/>
      <c r="AH93" s="48">
        <f t="shared" si="9"/>
        <v>0</v>
      </c>
      <c r="AI93" s="49">
        <f t="shared" si="10"/>
        <v>0</v>
      </c>
      <c r="AK93" s="50"/>
    </row>
    <row r="94" spans="1:37" ht="15.75" thickBot="1" x14ac:dyDescent="0.3">
      <c r="A94" s="74" t="s">
        <v>99</v>
      </c>
      <c r="B94" s="61">
        <f t="shared" ref="B94:AF94" si="16">B78-B93</f>
        <v>436.5</v>
      </c>
      <c r="C94" s="61">
        <f t="shared" si="16"/>
        <v>359.6</v>
      </c>
      <c r="D94" s="61">
        <f t="shared" si="16"/>
        <v>345.7</v>
      </c>
      <c r="E94" s="61">
        <f t="shared" si="16"/>
        <v>341.7</v>
      </c>
      <c r="F94" s="61">
        <f t="shared" si="16"/>
        <v>376.5</v>
      </c>
      <c r="G94" s="61">
        <f t="shared" si="16"/>
        <v>393.2</v>
      </c>
      <c r="H94" s="61">
        <f t="shared" si="16"/>
        <v>400.7</v>
      </c>
      <c r="I94" s="61">
        <f t="shared" si="16"/>
        <v>409.1</v>
      </c>
      <c r="J94" s="61">
        <f t="shared" si="16"/>
        <v>387.8</v>
      </c>
      <c r="K94" s="61">
        <f t="shared" si="16"/>
        <v>361</v>
      </c>
      <c r="L94" s="61">
        <f t="shared" si="16"/>
        <v>341</v>
      </c>
      <c r="M94" s="61">
        <f t="shared" si="16"/>
        <v>308.7</v>
      </c>
      <c r="N94" s="61">
        <f t="shared" si="16"/>
        <v>219.8</v>
      </c>
      <c r="O94" s="61">
        <f t="shared" si="16"/>
        <v>273.10000000000002</v>
      </c>
      <c r="P94" s="61">
        <f t="shared" si="16"/>
        <v>359.9</v>
      </c>
      <c r="Q94" s="61">
        <f t="shared" si="16"/>
        <v>459.3</v>
      </c>
      <c r="R94" s="61">
        <f t="shared" si="16"/>
        <v>468.5</v>
      </c>
      <c r="S94" s="61">
        <f t="shared" si="16"/>
        <v>502.5</v>
      </c>
      <c r="T94" s="61">
        <f t="shared" si="16"/>
        <v>493</v>
      </c>
      <c r="U94" s="61">
        <f t="shared" si="16"/>
        <v>382.5</v>
      </c>
      <c r="V94" s="61">
        <f t="shared" si="16"/>
        <v>377.1</v>
      </c>
      <c r="W94" s="61">
        <f t="shared" si="16"/>
        <v>299.39999999999998</v>
      </c>
      <c r="X94" s="61">
        <v>151.6</v>
      </c>
      <c r="Y94" s="61">
        <f t="shared" si="16"/>
        <v>291.5</v>
      </c>
      <c r="Z94" s="61">
        <f t="shared" si="16"/>
        <v>292.8</v>
      </c>
      <c r="AA94" s="61">
        <f t="shared" si="16"/>
        <v>271.3</v>
      </c>
      <c r="AB94" s="61">
        <f t="shared" si="16"/>
        <v>325.3</v>
      </c>
      <c r="AC94" s="61">
        <f t="shared" si="16"/>
        <v>452.4</v>
      </c>
      <c r="AD94" s="61">
        <f t="shared" si="16"/>
        <v>468.4</v>
      </c>
      <c r="AE94" s="61">
        <f t="shared" si="16"/>
        <v>458</v>
      </c>
      <c r="AF94" s="61">
        <f t="shared" si="16"/>
        <v>465</v>
      </c>
      <c r="AG94" s="81"/>
      <c r="AH94" s="48">
        <f t="shared" si="9"/>
        <v>502.5</v>
      </c>
      <c r="AI94" s="49">
        <f t="shared" si="10"/>
        <v>151.6</v>
      </c>
    </row>
    <row r="95" spans="1:37" x14ac:dyDescent="0.25">
      <c r="A95" s="88" t="s">
        <v>100</v>
      </c>
      <c r="B95" s="89">
        <v>50.031999999999996</v>
      </c>
      <c r="C95" s="89">
        <v>50.064999999999998</v>
      </c>
      <c r="D95" s="89">
        <v>49.923999999999999</v>
      </c>
      <c r="E95" s="89">
        <v>49.94</v>
      </c>
      <c r="F95" s="89">
        <v>50.091999999999999</v>
      </c>
      <c r="G95" s="89">
        <v>50.067999999999998</v>
      </c>
      <c r="H95" s="89">
        <v>50.069000000000003</v>
      </c>
      <c r="I95" s="89">
        <v>49.75</v>
      </c>
      <c r="J95" s="89">
        <v>49.887</v>
      </c>
      <c r="K95" s="89">
        <v>50.015000000000001</v>
      </c>
      <c r="L95" s="89">
        <v>49.972999999999999</v>
      </c>
      <c r="M95" s="89">
        <v>50.024000000000001</v>
      </c>
      <c r="N95" s="89">
        <v>49.973999999999997</v>
      </c>
      <c r="O95" s="89">
        <v>49.973999999999997</v>
      </c>
      <c r="P95" s="89">
        <v>49.923999999999999</v>
      </c>
      <c r="Q95" s="89">
        <v>49.656999999999996</v>
      </c>
      <c r="R95" s="89">
        <v>49.616999999999997</v>
      </c>
      <c r="S95" s="89">
        <v>49.485999999999997</v>
      </c>
      <c r="T95" s="89">
        <v>49.826000000000001</v>
      </c>
      <c r="U95" s="89">
        <v>49.67</v>
      </c>
      <c r="V95" s="89">
        <v>49.847000000000001</v>
      </c>
      <c r="W95" s="89">
        <v>49.920999999999999</v>
      </c>
      <c r="X95" s="89">
        <v>49.77</v>
      </c>
      <c r="Y95" s="89">
        <v>49.857999999999997</v>
      </c>
      <c r="Z95" s="89">
        <v>49.781999999999996</v>
      </c>
      <c r="AA95" s="89">
        <v>49.945999999999998</v>
      </c>
      <c r="AB95" s="89">
        <v>50.061</v>
      </c>
      <c r="AC95" s="89">
        <v>50.09</v>
      </c>
      <c r="AD95" s="89">
        <v>50.08</v>
      </c>
      <c r="AE95" s="89">
        <v>50.07</v>
      </c>
      <c r="AF95" s="89">
        <v>50.04</v>
      </c>
      <c r="AG95" s="90"/>
      <c r="AH95" s="48">
        <f t="shared" si="9"/>
        <v>50.091999999999999</v>
      </c>
      <c r="AI95" s="49">
        <f t="shared" si="10"/>
        <v>49.485999999999997</v>
      </c>
    </row>
    <row r="96" spans="1:37" x14ac:dyDescent="0.25">
      <c r="A96" s="91" t="s">
        <v>101</v>
      </c>
      <c r="B96" s="65">
        <v>127.9</v>
      </c>
      <c r="C96" s="65">
        <v>130.9</v>
      </c>
      <c r="D96" s="65">
        <v>130.5</v>
      </c>
      <c r="E96" s="65">
        <v>128.6</v>
      </c>
      <c r="F96" s="65">
        <v>129.1</v>
      </c>
      <c r="G96" s="65">
        <v>127.7</v>
      </c>
      <c r="H96" s="65">
        <v>126.1</v>
      </c>
      <c r="I96" s="65">
        <v>126.6</v>
      </c>
      <c r="J96" s="65">
        <v>128.4</v>
      </c>
      <c r="K96" s="65">
        <v>126.5</v>
      </c>
      <c r="L96" s="65">
        <v>126.6</v>
      </c>
      <c r="M96" s="65">
        <v>126.6</v>
      </c>
      <c r="N96" s="65">
        <v>126.2</v>
      </c>
      <c r="O96" s="65">
        <v>126.2</v>
      </c>
      <c r="P96" s="65">
        <v>126.5</v>
      </c>
      <c r="Q96" s="65">
        <v>125.6</v>
      </c>
      <c r="R96" s="65">
        <v>126.6</v>
      </c>
      <c r="S96" s="65">
        <v>126.1</v>
      </c>
      <c r="T96" s="65">
        <v>126.6</v>
      </c>
      <c r="U96" s="65">
        <v>127.2</v>
      </c>
      <c r="V96" s="65">
        <v>128.30000000000001</v>
      </c>
      <c r="W96" s="65">
        <v>128</v>
      </c>
      <c r="X96" s="65">
        <v>127</v>
      </c>
      <c r="Y96" s="65">
        <v>128.69999999999999</v>
      </c>
      <c r="Z96" s="65">
        <v>129.30000000000001</v>
      </c>
      <c r="AA96" s="65">
        <v>129.30000000000001</v>
      </c>
      <c r="AB96" s="65">
        <v>130.19999999999999</v>
      </c>
      <c r="AC96" s="65">
        <v>130.19999999999999</v>
      </c>
      <c r="AD96" s="65">
        <v>130.19999999999999</v>
      </c>
      <c r="AE96" s="65">
        <v>129</v>
      </c>
      <c r="AF96" s="65">
        <v>127.5</v>
      </c>
      <c r="AG96" s="92"/>
      <c r="AH96" s="48">
        <f t="shared" si="9"/>
        <v>130.9</v>
      </c>
      <c r="AI96" s="49">
        <f t="shared" si="10"/>
        <v>125.6</v>
      </c>
    </row>
    <row r="97" spans="1:35" x14ac:dyDescent="0.25">
      <c r="A97" s="91" t="s">
        <v>102</v>
      </c>
      <c r="B97" s="65">
        <v>131.9</v>
      </c>
      <c r="C97" s="65">
        <v>134.30000000000001</v>
      </c>
      <c r="D97" s="65">
        <v>133.9</v>
      </c>
      <c r="E97" s="65">
        <v>132.80000000000001</v>
      </c>
      <c r="F97" s="65">
        <v>132.80000000000001</v>
      </c>
      <c r="G97" s="65">
        <v>131.4</v>
      </c>
      <c r="H97" s="65">
        <v>130.1</v>
      </c>
      <c r="I97" s="65">
        <v>129.9</v>
      </c>
      <c r="J97" s="65">
        <v>130.30000000000001</v>
      </c>
      <c r="K97" s="65">
        <v>129.1</v>
      </c>
      <c r="L97" s="65">
        <v>128.6</v>
      </c>
      <c r="M97" s="65">
        <v>128.5</v>
      </c>
      <c r="N97" s="65">
        <v>128.4</v>
      </c>
      <c r="O97" s="65">
        <v>128.4</v>
      </c>
      <c r="P97" s="65">
        <v>128.69999999999999</v>
      </c>
      <c r="Q97" s="65">
        <v>129</v>
      </c>
      <c r="R97" s="65">
        <v>129.30000000000001</v>
      </c>
      <c r="S97" s="65">
        <v>128.69999999999999</v>
      </c>
      <c r="T97" s="65">
        <v>129.30000000000001</v>
      </c>
      <c r="U97" s="65">
        <v>129.6</v>
      </c>
      <c r="V97" s="65">
        <v>130</v>
      </c>
      <c r="W97" s="65">
        <v>129.5</v>
      </c>
      <c r="X97" s="65">
        <v>128.6</v>
      </c>
      <c r="Y97" s="65">
        <v>129.6</v>
      </c>
      <c r="Z97" s="65">
        <v>130</v>
      </c>
      <c r="AA97" s="65">
        <v>130.19999999999999</v>
      </c>
      <c r="AB97" s="65">
        <v>131.19999999999999</v>
      </c>
      <c r="AC97" s="65">
        <v>131.19999999999999</v>
      </c>
      <c r="AD97" s="65">
        <v>131.19999999999999</v>
      </c>
      <c r="AE97" s="65">
        <v>131.69999999999999</v>
      </c>
      <c r="AF97" s="65">
        <v>131</v>
      </c>
      <c r="AG97" s="92"/>
      <c r="AH97" s="48">
        <f t="shared" si="9"/>
        <v>134.30000000000001</v>
      </c>
      <c r="AI97" s="49">
        <f t="shared" si="10"/>
        <v>128.4</v>
      </c>
    </row>
    <row r="98" spans="1:35" x14ac:dyDescent="0.25">
      <c r="A98" s="91" t="s">
        <v>103</v>
      </c>
      <c r="B98" s="65">
        <v>133.1</v>
      </c>
      <c r="C98" s="65">
        <v>134.9</v>
      </c>
      <c r="D98" s="65">
        <v>133.30000000000001</v>
      </c>
      <c r="E98" s="65">
        <v>131.1</v>
      </c>
      <c r="F98" s="65">
        <v>131.30000000000001</v>
      </c>
      <c r="G98" s="65">
        <v>129.69999999999999</v>
      </c>
      <c r="H98" s="65">
        <v>130.1</v>
      </c>
      <c r="I98" s="65">
        <v>130.4</v>
      </c>
      <c r="J98" s="65">
        <v>126.8</v>
      </c>
      <c r="K98" s="65">
        <v>127.8</v>
      </c>
      <c r="L98" s="65">
        <v>125.3</v>
      </c>
      <c r="M98" s="65">
        <v>127.6</v>
      </c>
      <c r="N98" s="65">
        <v>128.4</v>
      </c>
      <c r="O98" s="65">
        <v>128.4</v>
      </c>
      <c r="P98" s="65">
        <v>127.6</v>
      </c>
      <c r="Q98" s="65">
        <v>130.19999999999999</v>
      </c>
      <c r="R98" s="65">
        <v>129.9</v>
      </c>
      <c r="S98" s="65">
        <v>129.4</v>
      </c>
      <c r="T98" s="65">
        <v>128.19999999999999</v>
      </c>
      <c r="U98" s="65">
        <v>127.3</v>
      </c>
      <c r="V98" s="65">
        <v>129.6</v>
      </c>
      <c r="W98" s="65">
        <v>127.3</v>
      </c>
      <c r="X98" s="65">
        <v>127.3</v>
      </c>
      <c r="Y98" s="65">
        <v>130.80000000000001</v>
      </c>
      <c r="Z98" s="65">
        <v>132.5</v>
      </c>
      <c r="AA98" s="65">
        <v>132.4</v>
      </c>
      <c r="AB98" s="65">
        <v>134.80000000000001</v>
      </c>
      <c r="AC98" s="65">
        <v>134.80000000000001</v>
      </c>
      <c r="AD98" s="65">
        <v>134.80000000000001</v>
      </c>
      <c r="AE98" s="65">
        <v>129.4</v>
      </c>
      <c r="AF98" s="65">
        <v>131</v>
      </c>
      <c r="AG98" s="92"/>
      <c r="AH98" s="48">
        <f t="shared" si="9"/>
        <v>134.9</v>
      </c>
      <c r="AI98" s="49">
        <f t="shared" si="10"/>
        <v>125.3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9"/>
        <v>0</v>
      </c>
      <c r="AI99" s="49">
        <f t="shared" si="10"/>
        <v>0</v>
      </c>
    </row>
    <row r="100" spans="1:35" x14ac:dyDescent="0.25">
      <c r="A100" s="93" t="s">
        <v>105</v>
      </c>
      <c r="B100" s="94">
        <v>134.19999999999999</v>
      </c>
      <c r="C100" s="94">
        <v>133.9</v>
      </c>
      <c r="D100" s="94">
        <v>134.30000000000001</v>
      </c>
      <c r="E100" s="94">
        <v>131.80000000000001</v>
      </c>
      <c r="F100" s="94">
        <v>131.4</v>
      </c>
      <c r="G100" s="94">
        <v>129.30000000000001</v>
      </c>
      <c r="H100" s="94">
        <v>129.19999999999999</v>
      </c>
      <c r="I100" s="94">
        <v>129.6</v>
      </c>
      <c r="J100" s="94">
        <v>133</v>
      </c>
      <c r="K100" s="94">
        <v>134.30000000000001</v>
      </c>
      <c r="L100" s="94">
        <v>135.5</v>
      </c>
      <c r="M100" s="94">
        <v>132.1</v>
      </c>
      <c r="N100" s="94">
        <v>133.9</v>
      </c>
      <c r="O100" s="94">
        <v>133.9</v>
      </c>
      <c r="P100" s="94">
        <v>134.9</v>
      </c>
      <c r="Q100" s="94">
        <v>134.1</v>
      </c>
      <c r="R100" s="94">
        <v>134.19999999999999</v>
      </c>
      <c r="S100" s="94">
        <v>132.80000000000001</v>
      </c>
      <c r="T100" s="94">
        <v>134.80000000000001</v>
      </c>
      <c r="U100" s="94">
        <v>134.19999999999999</v>
      </c>
      <c r="V100" s="94">
        <v>132.6</v>
      </c>
      <c r="W100" s="94">
        <v>133.6</v>
      </c>
      <c r="X100" s="94">
        <v>132.80000000000001</v>
      </c>
      <c r="Y100" s="94">
        <v>136.6</v>
      </c>
      <c r="Z100" s="94">
        <v>135.19999999999999</v>
      </c>
      <c r="AA100" s="94">
        <v>134.69999999999999</v>
      </c>
      <c r="AB100" s="94">
        <v>135.1</v>
      </c>
      <c r="AC100" s="94">
        <v>135.1</v>
      </c>
      <c r="AD100" s="94">
        <v>135.1</v>
      </c>
      <c r="AE100" s="94">
        <v>135.5</v>
      </c>
      <c r="AF100" s="94">
        <v>135</v>
      </c>
      <c r="AG100" s="95"/>
      <c r="AH100" s="48">
        <f t="shared" si="9"/>
        <v>136.6</v>
      </c>
      <c r="AI100" s="49">
        <f t="shared" si="10"/>
        <v>129.19999999999999</v>
      </c>
    </row>
    <row r="101" spans="1:35" x14ac:dyDescent="0.25">
      <c r="A101" s="91" t="s">
        <v>106</v>
      </c>
      <c r="B101" s="65">
        <v>125.4</v>
      </c>
      <c r="C101" s="65">
        <v>125.8</v>
      </c>
      <c r="D101" s="65">
        <v>124.6</v>
      </c>
      <c r="E101" s="65">
        <v>129.1</v>
      </c>
      <c r="F101" s="65">
        <v>129.4</v>
      </c>
      <c r="G101" s="65">
        <v>128.19999999999999</v>
      </c>
      <c r="H101" s="65">
        <v>123.8</v>
      </c>
      <c r="I101" s="65">
        <v>123.6</v>
      </c>
      <c r="J101" s="65">
        <v>132.30000000000001</v>
      </c>
      <c r="K101" s="65">
        <v>126.6</v>
      </c>
      <c r="L101" s="65">
        <v>135</v>
      </c>
      <c r="M101" s="65">
        <v>126.5</v>
      </c>
      <c r="N101" s="65">
        <v>122.6</v>
      </c>
      <c r="O101" s="65">
        <v>122.6</v>
      </c>
      <c r="P101" s="65">
        <v>131.5</v>
      </c>
      <c r="Q101" s="65">
        <v>122.1</v>
      </c>
      <c r="R101" s="65">
        <v>121.5</v>
      </c>
      <c r="S101" s="65">
        <v>128.80000000000001</v>
      </c>
      <c r="T101" s="65">
        <v>132.1</v>
      </c>
      <c r="U101" s="65">
        <v>131.30000000000001</v>
      </c>
      <c r="V101" s="65">
        <v>130</v>
      </c>
      <c r="W101" s="65">
        <v>130.4</v>
      </c>
      <c r="X101" s="65">
        <v>127.5</v>
      </c>
      <c r="Y101" s="65">
        <v>132.6</v>
      </c>
      <c r="Z101" s="65">
        <v>131.69999999999999</v>
      </c>
      <c r="AA101" s="65">
        <v>131.69999999999999</v>
      </c>
      <c r="AB101" s="65">
        <v>132.4</v>
      </c>
      <c r="AC101" s="65">
        <v>132.4</v>
      </c>
      <c r="AD101" s="65">
        <v>132.4</v>
      </c>
      <c r="AE101" s="65">
        <v>128</v>
      </c>
      <c r="AF101" s="65">
        <v>131</v>
      </c>
      <c r="AG101" s="92"/>
      <c r="AH101" s="48">
        <f t="shared" si="9"/>
        <v>135</v>
      </c>
      <c r="AI101" s="49">
        <f t="shared" si="10"/>
        <v>121.5</v>
      </c>
    </row>
    <row r="102" spans="1:35" ht="15.75" thickBot="1" x14ac:dyDescent="0.3">
      <c r="A102" s="91" t="s">
        <v>107</v>
      </c>
      <c r="B102" s="96">
        <v>132.4</v>
      </c>
      <c r="C102" s="96">
        <v>67.5</v>
      </c>
      <c r="D102" s="96">
        <v>67.400000000000006</v>
      </c>
      <c r="E102" s="96">
        <v>66.8</v>
      </c>
      <c r="F102" s="96">
        <v>66.8</v>
      </c>
      <c r="G102" s="96">
        <v>66.2</v>
      </c>
      <c r="H102" s="96">
        <v>65.5</v>
      </c>
      <c r="I102" s="96">
        <v>65.3</v>
      </c>
      <c r="J102" s="96">
        <v>65.3</v>
      </c>
      <c r="K102" s="96">
        <v>64.8</v>
      </c>
      <c r="L102" s="96">
        <v>64.3</v>
      </c>
      <c r="M102" s="96">
        <v>63.9</v>
      </c>
      <c r="N102" s="96">
        <v>64</v>
      </c>
      <c r="O102" s="96">
        <v>64</v>
      </c>
      <c r="P102" s="96">
        <v>63.8</v>
      </c>
      <c r="Q102" s="96">
        <v>63.9</v>
      </c>
      <c r="R102" s="96">
        <v>64.400000000000006</v>
      </c>
      <c r="S102" s="96">
        <v>64.099999999999994</v>
      </c>
      <c r="T102" s="96">
        <v>64.400000000000006</v>
      </c>
      <c r="U102" s="96">
        <v>64.5</v>
      </c>
      <c r="V102" s="96">
        <v>64.900000000000006</v>
      </c>
      <c r="W102" s="96">
        <v>64.7</v>
      </c>
      <c r="X102" s="96">
        <v>64.099999999999994</v>
      </c>
      <c r="Y102" s="96">
        <v>64.5</v>
      </c>
      <c r="Z102" s="96">
        <v>64.8</v>
      </c>
      <c r="AA102" s="96">
        <v>64.7</v>
      </c>
      <c r="AB102" s="96">
        <v>65.2</v>
      </c>
      <c r="AC102" s="96">
        <v>65.2</v>
      </c>
      <c r="AD102" s="96">
        <v>65.2</v>
      </c>
      <c r="AE102" s="96">
        <v>66.099999999999994</v>
      </c>
      <c r="AF102" s="96">
        <v>65.599999999999994</v>
      </c>
      <c r="AG102" s="97"/>
      <c r="AH102" s="48">
        <f t="shared" si="9"/>
        <v>132.4</v>
      </c>
      <c r="AI102" s="49">
        <f t="shared" si="10"/>
        <v>63.8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9"/>
        <v>0</v>
      </c>
      <c r="AI103" s="49">
        <f t="shared" si="10"/>
        <v>0</v>
      </c>
    </row>
    <row r="104" spans="1:35" ht="15.75" thickBot="1" x14ac:dyDescent="0.3">
      <c r="A104" s="99" t="s">
        <v>108</v>
      </c>
      <c r="B104" s="100">
        <f t="shared" ref="B104:AF104" si="17">SUM(B16,B22,B25:B26,B52,B54:B55,B57,B59,B105:B109,B131,B137,B143,B152,B154,B166,B173,B176:B177,B184,B186,B188,B192:B194,B196:B198,B203,B209:B210,B212:B214,B222,B227)</f>
        <v>143.5</v>
      </c>
      <c r="C104" s="100">
        <f t="shared" si="17"/>
        <v>132.94</v>
      </c>
      <c r="D104" s="100">
        <f t="shared" si="17"/>
        <v>123.94000000000003</v>
      </c>
      <c r="E104" s="100">
        <f t="shared" si="17"/>
        <v>121.23999999999998</v>
      </c>
      <c r="F104" s="100">
        <f t="shared" si="17"/>
        <v>124.94</v>
      </c>
      <c r="G104" s="100">
        <f t="shared" si="17"/>
        <v>152.94</v>
      </c>
      <c r="H104" s="100">
        <f t="shared" si="17"/>
        <v>178.74</v>
      </c>
      <c r="I104" s="100">
        <f t="shared" si="17"/>
        <v>225.34</v>
      </c>
      <c r="J104" s="100">
        <f t="shared" si="17"/>
        <v>268.94</v>
      </c>
      <c r="K104" s="100">
        <f t="shared" si="17"/>
        <v>332.64</v>
      </c>
      <c r="L104" s="100">
        <f t="shared" si="17"/>
        <v>387.84</v>
      </c>
      <c r="M104" s="100">
        <f t="shared" si="17"/>
        <v>398.34</v>
      </c>
      <c r="N104" s="100">
        <f t="shared" si="17"/>
        <v>371.04</v>
      </c>
      <c r="O104" s="100">
        <f t="shared" si="17"/>
        <v>346.54</v>
      </c>
      <c r="P104" s="100">
        <v>42</v>
      </c>
      <c r="Q104" s="100">
        <f t="shared" si="17"/>
        <v>324.40000000000003</v>
      </c>
      <c r="R104" s="100">
        <f t="shared" si="17"/>
        <v>303.3</v>
      </c>
      <c r="S104" s="100">
        <f t="shared" si="17"/>
        <v>294.70000000000005</v>
      </c>
      <c r="T104" s="100">
        <f t="shared" si="17"/>
        <v>312.10000000000002</v>
      </c>
      <c r="U104" s="100">
        <f t="shared" si="17"/>
        <v>305.10000000000002</v>
      </c>
      <c r="V104" s="100">
        <f t="shared" si="17"/>
        <v>337.5</v>
      </c>
      <c r="W104" s="100">
        <f t="shared" si="17"/>
        <v>361.8</v>
      </c>
      <c r="X104" s="100">
        <v>390.59708333333339</v>
      </c>
      <c r="Y104" s="100">
        <f t="shared" si="17"/>
        <v>453.79999999999995</v>
      </c>
      <c r="Z104" s="100">
        <f t="shared" si="17"/>
        <v>450.2</v>
      </c>
      <c r="AA104" s="100">
        <f t="shared" si="17"/>
        <v>435.79999999999995</v>
      </c>
      <c r="AB104" s="100">
        <f t="shared" si="17"/>
        <v>419.00000000000006</v>
      </c>
      <c r="AC104" s="100">
        <f t="shared" si="17"/>
        <v>360.4</v>
      </c>
      <c r="AD104" s="100">
        <f t="shared" si="17"/>
        <v>323.89999999999998</v>
      </c>
      <c r="AE104" s="100">
        <f t="shared" si="17"/>
        <v>252.4</v>
      </c>
      <c r="AF104" s="100">
        <f t="shared" si="17"/>
        <v>188.10000000000002</v>
      </c>
      <c r="AG104" s="101"/>
      <c r="AH104" s="48">
        <f t="shared" si="9"/>
        <v>453.79999999999995</v>
      </c>
      <c r="AI104" s="49">
        <f t="shared" si="10"/>
        <v>42</v>
      </c>
    </row>
    <row r="105" spans="1:35" x14ac:dyDescent="0.25">
      <c r="A105" s="88" t="s">
        <v>109</v>
      </c>
      <c r="B105" s="102">
        <v>-8</v>
      </c>
      <c r="C105" s="102">
        <v>-5</v>
      </c>
      <c r="D105" s="102">
        <v>-5</v>
      </c>
      <c r="E105" s="102">
        <v>-11.4</v>
      </c>
      <c r="F105" s="102">
        <v>-15</v>
      </c>
      <c r="G105" s="102">
        <v>-14</v>
      </c>
      <c r="H105" s="102">
        <v>-6</v>
      </c>
      <c r="I105" s="102">
        <v>-2.1</v>
      </c>
      <c r="J105" s="102">
        <v>1.6</v>
      </c>
      <c r="K105" s="102">
        <v>21.5</v>
      </c>
      <c r="L105" s="102">
        <v>30.1</v>
      </c>
      <c r="M105" s="102">
        <v>22.7</v>
      </c>
      <c r="N105" s="102">
        <v>29.1</v>
      </c>
      <c r="O105" s="102">
        <v>28.8</v>
      </c>
      <c r="P105" s="102">
        <v>26.8</v>
      </c>
      <c r="Q105" s="102">
        <v>29</v>
      </c>
      <c r="R105" s="102">
        <v>11.9</v>
      </c>
      <c r="S105" s="102">
        <v>15.8</v>
      </c>
      <c r="T105" s="102">
        <v>21.5</v>
      </c>
      <c r="U105" s="102">
        <v>32.5</v>
      </c>
      <c r="V105" s="102">
        <v>21.4</v>
      </c>
      <c r="W105" s="102">
        <v>31.3</v>
      </c>
      <c r="X105" s="102">
        <v>35</v>
      </c>
      <c r="Y105" s="102">
        <v>35.6</v>
      </c>
      <c r="Z105" s="102">
        <v>35.4</v>
      </c>
      <c r="AA105" s="102">
        <v>34</v>
      </c>
      <c r="AB105" s="102">
        <v>33.299999999999997</v>
      </c>
      <c r="AC105" s="102">
        <v>25</v>
      </c>
      <c r="AD105" s="102">
        <v>22</v>
      </c>
      <c r="AE105" s="102">
        <v>9</v>
      </c>
      <c r="AF105" s="102">
        <v>-1.5</v>
      </c>
      <c r="AG105" s="103">
        <v>75</v>
      </c>
      <c r="AH105" s="48">
        <f t="shared" si="9"/>
        <v>35.6</v>
      </c>
      <c r="AI105" s="49">
        <f t="shared" si="10"/>
        <v>-15</v>
      </c>
    </row>
    <row r="106" spans="1:35" x14ac:dyDescent="0.25">
      <c r="A106" s="91" t="s">
        <v>110</v>
      </c>
      <c r="B106" s="104">
        <v>-4</v>
      </c>
      <c r="C106" s="104">
        <v>-2.7</v>
      </c>
      <c r="D106" s="104">
        <v>-1.6</v>
      </c>
      <c r="E106" s="104">
        <v>-10</v>
      </c>
      <c r="F106" s="104">
        <v>-13</v>
      </c>
      <c r="G106" s="104">
        <v>-13</v>
      </c>
      <c r="H106" s="104">
        <v>-4</v>
      </c>
      <c r="I106" s="104">
        <v>1.5</v>
      </c>
      <c r="J106" s="104">
        <v>4.4000000000000004</v>
      </c>
      <c r="K106" s="104">
        <v>29.6</v>
      </c>
      <c r="L106" s="104">
        <v>40</v>
      </c>
      <c r="M106" s="104">
        <v>27.5</v>
      </c>
      <c r="N106" s="104">
        <v>36.200000000000003</v>
      </c>
      <c r="O106" s="104">
        <v>38.200000000000003</v>
      </c>
      <c r="P106" s="104">
        <v>38.299999999999997</v>
      </c>
      <c r="Q106" s="104">
        <v>41</v>
      </c>
      <c r="R106" s="104">
        <v>16.3</v>
      </c>
      <c r="S106" s="104">
        <v>18.100000000000001</v>
      </c>
      <c r="T106" s="104">
        <v>29.5</v>
      </c>
      <c r="U106" s="104">
        <v>47.1</v>
      </c>
      <c r="V106" s="104">
        <v>28</v>
      </c>
      <c r="W106" s="104">
        <v>39.1</v>
      </c>
      <c r="X106" s="104">
        <v>42.3</v>
      </c>
      <c r="Y106" s="104">
        <v>42.8</v>
      </c>
      <c r="Z106" s="104">
        <v>42.8</v>
      </c>
      <c r="AA106" s="104">
        <v>40.6</v>
      </c>
      <c r="AB106" s="104">
        <v>40.6</v>
      </c>
      <c r="AC106" s="104">
        <v>35</v>
      </c>
      <c r="AD106" s="104">
        <v>27</v>
      </c>
      <c r="AE106" s="104">
        <v>10</v>
      </c>
      <c r="AF106" s="104">
        <v>-1.5</v>
      </c>
      <c r="AG106" s="103">
        <v>240</v>
      </c>
      <c r="AH106" s="48">
        <f t="shared" si="9"/>
        <v>47.1</v>
      </c>
      <c r="AI106" s="49">
        <f t="shared" si="10"/>
        <v>-13</v>
      </c>
    </row>
    <row r="107" spans="1:35" x14ac:dyDescent="0.25">
      <c r="A107" s="91" t="s">
        <v>111</v>
      </c>
      <c r="B107" s="104">
        <f>-22-25</f>
        <v>-47</v>
      </c>
      <c r="C107" s="104">
        <f>-24-26</f>
        <v>-50</v>
      </c>
      <c r="D107" s="104">
        <f>-27-30</f>
        <v>-57</v>
      </c>
      <c r="E107" s="104">
        <v>-50</v>
      </c>
      <c r="F107" s="104">
        <v>-43</v>
      </c>
      <c r="G107" s="104">
        <v>-35</v>
      </c>
      <c r="H107" s="104">
        <v>-32</v>
      </c>
      <c r="I107" s="104">
        <v>-18</v>
      </c>
      <c r="J107" s="104">
        <v>4.3</v>
      </c>
      <c r="K107" s="104">
        <v>0</v>
      </c>
      <c r="L107" s="104">
        <v>26</v>
      </c>
      <c r="M107" s="104">
        <v>45</v>
      </c>
      <c r="N107" s="104">
        <v>24</v>
      </c>
      <c r="O107" s="104">
        <v>-22</v>
      </c>
      <c r="P107" s="104">
        <v>5</v>
      </c>
      <c r="Q107" s="104">
        <v>-21</v>
      </c>
      <c r="R107" s="104">
        <v>-8</v>
      </c>
      <c r="S107" s="104">
        <v>-1.4</v>
      </c>
      <c r="T107" s="104">
        <v>3.6</v>
      </c>
      <c r="U107" s="104">
        <v>-4</v>
      </c>
      <c r="V107" s="104">
        <v>28</v>
      </c>
      <c r="W107" s="104">
        <v>25</v>
      </c>
      <c r="X107" s="104">
        <v>75</v>
      </c>
      <c r="Y107" s="104">
        <v>80</v>
      </c>
      <c r="Z107" s="104">
        <v>74</v>
      </c>
      <c r="AA107" s="104">
        <v>69</v>
      </c>
      <c r="AB107" s="104">
        <f>31.4+25.8</f>
        <v>57.2</v>
      </c>
      <c r="AC107" s="104">
        <v>30</v>
      </c>
      <c r="AD107" s="104">
        <v>15</v>
      </c>
      <c r="AE107" s="104">
        <v>-5</v>
      </c>
      <c r="AF107" s="104">
        <v>-30</v>
      </c>
      <c r="AG107" s="103">
        <v>240</v>
      </c>
      <c r="AH107" s="48">
        <f t="shared" si="9"/>
        <v>80</v>
      </c>
      <c r="AI107" s="49">
        <f t="shared" si="10"/>
        <v>-57</v>
      </c>
    </row>
    <row r="108" spans="1:35" x14ac:dyDescent="0.25">
      <c r="A108" s="91" t="s">
        <v>112</v>
      </c>
      <c r="B108" s="104">
        <v>-3.6</v>
      </c>
      <c r="C108" s="104">
        <v>-3.9</v>
      </c>
      <c r="D108" s="104">
        <v>-2.2999999999999998</v>
      </c>
      <c r="E108" s="104">
        <v>-5.9</v>
      </c>
      <c r="F108" s="104">
        <v>-7</v>
      </c>
      <c r="G108" s="104">
        <v>-2</v>
      </c>
      <c r="H108" s="104">
        <v>-2.2000000000000002</v>
      </c>
      <c r="I108" s="104">
        <v>12</v>
      </c>
      <c r="J108" s="104">
        <v>24.7</v>
      </c>
      <c r="K108" s="104">
        <v>38.6</v>
      </c>
      <c r="L108" s="104">
        <v>49</v>
      </c>
      <c r="M108" s="104">
        <v>55.7</v>
      </c>
      <c r="N108" s="104">
        <v>48</v>
      </c>
      <c r="O108" s="104">
        <v>66</v>
      </c>
      <c r="P108" s="104">
        <v>50.8</v>
      </c>
      <c r="Q108" s="104">
        <v>50.9</v>
      </c>
      <c r="R108" s="104">
        <v>45.5</v>
      </c>
      <c r="S108" s="104">
        <v>25.5</v>
      </c>
      <c r="T108" s="104">
        <v>29.6</v>
      </c>
      <c r="U108" s="104">
        <v>35</v>
      </c>
      <c r="V108" s="104">
        <v>35.1</v>
      </c>
      <c r="W108" s="104">
        <v>37</v>
      </c>
      <c r="X108" s="104">
        <v>65.099999999999994</v>
      </c>
      <c r="Y108" s="104">
        <v>66.099999999999994</v>
      </c>
      <c r="Z108" s="104">
        <v>66.2</v>
      </c>
      <c r="AA108" s="104">
        <v>66.400000000000006</v>
      </c>
      <c r="AB108" s="104">
        <v>67.8</v>
      </c>
      <c r="AC108" s="104">
        <v>50</v>
      </c>
      <c r="AD108" s="104">
        <v>40</v>
      </c>
      <c r="AE108" s="104">
        <v>16</v>
      </c>
      <c r="AF108" s="104">
        <v>3</v>
      </c>
      <c r="AG108" s="103">
        <v>60</v>
      </c>
      <c r="AH108" s="48">
        <f t="shared" si="9"/>
        <v>67.8</v>
      </c>
      <c r="AI108" s="49">
        <f t="shared" si="10"/>
        <v>-7</v>
      </c>
    </row>
    <row r="109" spans="1:35" x14ac:dyDescent="0.25">
      <c r="A109" s="105" t="s">
        <v>113</v>
      </c>
      <c r="B109" s="106">
        <v>78</v>
      </c>
      <c r="C109" s="106">
        <v>67</v>
      </c>
      <c r="D109" s="106">
        <v>62.6</v>
      </c>
      <c r="E109" s="106">
        <v>73.599999999999994</v>
      </c>
      <c r="F109" s="106">
        <v>77</v>
      </c>
      <c r="G109" s="106">
        <v>91</v>
      </c>
      <c r="H109" s="106">
        <v>97</v>
      </c>
      <c r="I109" s="106">
        <v>106</v>
      </c>
      <c r="J109" s="106">
        <v>108</v>
      </c>
      <c r="K109" s="106">
        <v>117</v>
      </c>
      <c r="L109" s="106">
        <v>114</v>
      </c>
      <c r="M109" s="106">
        <v>119</v>
      </c>
      <c r="N109" s="106">
        <v>106</v>
      </c>
      <c r="O109" s="106">
        <v>98</v>
      </c>
      <c r="P109" s="106">
        <v>91.5</v>
      </c>
      <c r="Q109" s="106">
        <v>89.2</v>
      </c>
      <c r="R109" s="106">
        <v>102.3</v>
      </c>
      <c r="S109" s="106">
        <v>98.4</v>
      </c>
      <c r="T109" s="106">
        <v>89.6</v>
      </c>
      <c r="U109" s="106">
        <v>61.5</v>
      </c>
      <c r="V109" s="106">
        <v>102</v>
      </c>
      <c r="W109" s="106">
        <v>106.1</v>
      </c>
      <c r="X109" s="106">
        <v>97.1</v>
      </c>
      <c r="Y109" s="106">
        <v>106</v>
      </c>
      <c r="Z109" s="106">
        <v>107</v>
      </c>
      <c r="AA109" s="106">
        <v>101</v>
      </c>
      <c r="AB109" s="106">
        <v>95.3</v>
      </c>
      <c r="AC109" s="106">
        <v>93</v>
      </c>
      <c r="AD109" s="106">
        <v>92.5</v>
      </c>
      <c r="AE109" s="106">
        <v>95</v>
      </c>
      <c r="AF109" s="106">
        <v>90</v>
      </c>
      <c r="AG109" s="107">
        <v>120</v>
      </c>
      <c r="AH109" s="48">
        <f t="shared" si="9"/>
        <v>119</v>
      </c>
      <c r="AI109" s="49">
        <f t="shared" si="10"/>
        <v>61.5</v>
      </c>
    </row>
    <row r="110" spans="1:35" x14ac:dyDescent="0.25">
      <c r="A110" s="105" t="s">
        <v>115</v>
      </c>
      <c r="B110" s="106">
        <v>82</v>
      </c>
      <c r="C110" s="106">
        <v>70</v>
      </c>
      <c r="D110" s="106">
        <v>68.900000000000006</v>
      </c>
      <c r="E110" s="106">
        <v>75.3</v>
      </c>
      <c r="F110" s="106">
        <v>80</v>
      </c>
      <c r="G110" s="106">
        <v>90</v>
      </c>
      <c r="H110" s="106">
        <v>93</v>
      </c>
      <c r="I110" s="106">
        <v>98</v>
      </c>
      <c r="J110" s="106">
        <v>87</v>
      </c>
      <c r="K110" s="106">
        <v>96</v>
      </c>
      <c r="L110" s="106">
        <v>81</v>
      </c>
      <c r="M110" s="106">
        <v>86</v>
      </c>
      <c r="N110" s="106">
        <v>83.7</v>
      </c>
      <c r="O110" s="106">
        <v>99.2</v>
      </c>
      <c r="P110" s="106">
        <v>93.3</v>
      </c>
      <c r="Q110" s="106">
        <v>84.7</v>
      </c>
      <c r="R110" s="106">
        <v>93.8</v>
      </c>
      <c r="S110" s="106">
        <v>89</v>
      </c>
      <c r="T110" s="106">
        <v>77</v>
      </c>
      <c r="U110" s="106">
        <v>51</v>
      </c>
      <c r="V110" s="106">
        <v>73</v>
      </c>
      <c r="W110" s="106">
        <v>94</v>
      </c>
      <c r="X110" s="106">
        <v>92</v>
      </c>
      <c r="Y110" s="106">
        <v>93</v>
      </c>
      <c r="Z110" s="106">
        <v>96</v>
      </c>
      <c r="AA110" s="106">
        <v>92</v>
      </c>
      <c r="AB110" s="106">
        <v>77</v>
      </c>
      <c r="AC110" s="106">
        <v>73</v>
      </c>
      <c r="AD110" s="106">
        <v>71</v>
      </c>
      <c r="AE110" s="106">
        <v>90</v>
      </c>
      <c r="AF110" s="106">
        <v>92</v>
      </c>
      <c r="AG110" s="107"/>
      <c r="AH110" s="48">
        <f t="shared" si="9"/>
        <v>99.2</v>
      </c>
      <c r="AI110" s="49">
        <f t="shared" si="10"/>
        <v>51</v>
      </c>
    </row>
    <row r="111" spans="1:35" x14ac:dyDescent="0.25">
      <c r="A111" s="105" t="s">
        <v>116</v>
      </c>
      <c r="B111" s="106">
        <v>38</v>
      </c>
      <c r="C111" s="106">
        <v>41.6</v>
      </c>
      <c r="D111" s="106">
        <v>34</v>
      </c>
      <c r="E111" s="106">
        <v>54</v>
      </c>
      <c r="F111" s="106">
        <v>59</v>
      </c>
      <c r="G111" s="106">
        <v>67</v>
      </c>
      <c r="H111" s="106">
        <v>59</v>
      </c>
      <c r="I111" s="106">
        <v>64</v>
      </c>
      <c r="J111" s="106">
        <v>62</v>
      </c>
      <c r="K111" s="106">
        <v>41</v>
      </c>
      <c r="L111" s="106">
        <v>27</v>
      </c>
      <c r="M111" s="106">
        <v>24.7</v>
      </c>
      <c r="N111" s="106">
        <v>18.5</v>
      </c>
      <c r="O111" s="106">
        <v>28.6</v>
      </c>
      <c r="P111" s="106">
        <v>29.2</v>
      </c>
      <c r="Q111" s="106">
        <v>23</v>
      </c>
      <c r="R111" s="106">
        <v>29.8</v>
      </c>
      <c r="S111" s="106">
        <v>31.4</v>
      </c>
      <c r="T111" s="106">
        <v>29.3</v>
      </c>
      <c r="U111" s="106">
        <v>20.6</v>
      </c>
      <c r="V111" s="106">
        <v>28</v>
      </c>
      <c r="W111" s="106">
        <v>24.3</v>
      </c>
      <c r="X111" s="106">
        <v>25</v>
      </c>
      <c r="Y111" s="106">
        <v>23.3</v>
      </c>
      <c r="Z111" s="106">
        <v>28</v>
      </c>
      <c r="AA111" s="106">
        <v>31</v>
      </c>
      <c r="AB111" s="106">
        <v>30.9</v>
      </c>
      <c r="AC111" s="106">
        <v>32</v>
      </c>
      <c r="AD111" s="106">
        <v>34.5</v>
      </c>
      <c r="AE111" s="106">
        <v>35</v>
      </c>
      <c r="AF111" s="106">
        <v>91</v>
      </c>
      <c r="AG111" s="108"/>
      <c r="AH111" s="48">
        <f t="shared" si="9"/>
        <v>91</v>
      </c>
      <c r="AI111" s="49">
        <f t="shared" si="10"/>
        <v>18.5</v>
      </c>
    </row>
    <row r="112" spans="1:35" x14ac:dyDescent="0.25">
      <c r="A112" s="109" t="s">
        <v>117</v>
      </c>
      <c r="B112" s="94">
        <v>43</v>
      </c>
      <c r="C112" s="94">
        <v>44.5</v>
      </c>
      <c r="D112" s="94">
        <v>46.7</v>
      </c>
      <c r="E112" s="94">
        <v>48</v>
      </c>
      <c r="F112" s="94">
        <v>48</v>
      </c>
      <c r="G112" s="94">
        <v>41</v>
      </c>
      <c r="H112" s="94">
        <v>30</v>
      </c>
      <c r="I112" s="94">
        <v>16</v>
      </c>
      <c r="J112" s="94">
        <v>3.4</v>
      </c>
      <c r="K112" s="94">
        <v>-15</v>
      </c>
      <c r="L112" s="94">
        <v>-26</v>
      </c>
      <c r="M112" s="94">
        <v>32.630000000000003</v>
      </c>
      <c r="N112" s="94">
        <v>20.2</v>
      </c>
      <c r="O112" s="94">
        <v>-3.2</v>
      </c>
      <c r="P112" s="94">
        <v>6</v>
      </c>
      <c r="Q112" s="94">
        <v>7.4</v>
      </c>
      <c r="R112" s="94">
        <v>18.3</v>
      </c>
      <c r="S112" s="94">
        <v>8.1</v>
      </c>
      <c r="T112" s="94">
        <v>1.5</v>
      </c>
      <c r="U112" s="94">
        <v>-8</v>
      </c>
      <c r="V112" s="94">
        <v>-32</v>
      </c>
      <c r="W112" s="94">
        <v>-46</v>
      </c>
      <c r="X112" s="94">
        <v>-65</v>
      </c>
      <c r="Y112" s="94">
        <v>-62</v>
      </c>
      <c r="Z112" s="94">
        <v>-36</v>
      </c>
      <c r="AA112" s="94">
        <v>-28</v>
      </c>
      <c r="AB112" s="94">
        <v>21.5</v>
      </c>
      <c r="AC112" s="94">
        <v>15</v>
      </c>
      <c r="AD112" s="94">
        <v>11</v>
      </c>
      <c r="AE112" s="94">
        <v>27</v>
      </c>
      <c r="AF112" s="94">
        <v>33</v>
      </c>
      <c r="AG112" s="108"/>
      <c r="AH112" s="48">
        <f t="shared" si="9"/>
        <v>48</v>
      </c>
      <c r="AI112" s="49">
        <f t="shared" si="10"/>
        <v>-65</v>
      </c>
    </row>
    <row r="113" spans="1:37" ht="15.75" thickBot="1" x14ac:dyDescent="0.3">
      <c r="A113" s="109" t="s">
        <v>118</v>
      </c>
      <c r="B113" s="94">
        <v>15</v>
      </c>
      <c r="C113" s="94">
        <v>17.8</v>
      </c>
      <c r="D113" s="94">
        <v>25</v>
      </c>
      <c r="E113" s="94">
        <v>17</v>
      </c>
      <c r="F113" s="94">
        <v>10</v>
      </c>
      <c r="G113" s="94">
        <v>0</v>
      </c>
      <c r="H113" s="94">
        <v>3</v>
      </c>
      <c r="I113" s="94">
        <v>5</v>
      </c>
      <c r="J113" s="94">
        <v>-12.2</v>
      </c>
      <c r="K113" s="94">
        <v>6</v>
      </c>
      <c r="L113" s="94">
        <v>2</v>
      </c>
      <c r="M113" s="94">
        <v>-20.7</v>
      </c>
      <c r="N113" s="94">
        <v>-21.5</v>
      </c>
      <c r="O113" s="94">
        <v>-1</v>
      </c>
      <c r="P113" s="94">
        <v>5.5</v>
      </c>
      <c r="Q113" s="94">
        <v>23.6</v>
      </c>
      <c r="R113" s="94">
        <v>5</v>
      </c>
      <c r="S113" s="94">
        <v>-4.8</v>
      </c>
      <c r="T113" s="94"/>
      <c r="U113" s="94">
        <v>21.6</v>
      </c>
      <c r="V113" s="94">
        <v>-17</v>
      </c>
      <c r="W113" s="94">
        <v>-32</v>
      </c>
      <c r="X113" s="94">
        <v>-32</v>
      </c>
      <c r="Y113" s="94">
        <v>-33.200000000000003</v>
      </c>
      <c r="Z113" s="94">
        <v>-34</v>
      </c>
      <c r="AA113" s="94">
        <v>-32.6</v>
      </c>
      <c r="AB113" s="94">
        <v>-21.5</v>
      </c>
      <c r="AC113" s="94">
        <v>10</v>
      </c>
      <c r="AD113" s="94">
        <v>23</v>
      </c>
      <c r="AE113" s="94">
        <v>11</v>
      </c>
      <c r="AF113" s="94">
        <v>5</v>
      </c>
      <c r="AG113" s="108"/>
      <c r="AH113" s="48">
        <f t="shared" si="9"/>
        <v>25</v>
      </c>
      <c r="AI113" s="49">
        <f t="shared" si="10"/>
        <v>-34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18">SUM(B115:B219)</f>
        <v>0</v>
      </c>
      <c r="C220" s="125">
        <f t="shared" si="18"/>
        <v>0</v>
      </c>
      <c r="D220" s="125">
        <f t="shared" si="18"/>
        <v>0</v>
      </c>
      <c r="E220" s="125">
        <f t="shared" si="18"/>
        <v>0</v>
      </c>
      <c r="F220" s="125">
        <f t="shared" si="18"/>
        <v>0</v>
      </c>
      <c r="G220" s="125">
        <f t="shared" si="18"/>
        <v>0</v>
      </c>
      <c r="H220" s="125">
        <f t="shared" si="18"/>
        <v>0</v>
      </c>
      <c r="I220" s="125">
        <f t="shared" si="18"/>
        <v>0</v>
      </c>
      <c r="J220" s="125">
        <f t="shared" si="18"/>
        <v>0</v>
      </c>
      <c r="K220" s="125">
        <f t="shared" si="18"/>
        <v>0</v>
      </c>
      <c r="L220" s="125">
        <f t="shared" si="18"/>
        <v>0</v>
      </c>
      <c r="M220" s="125">
        <f t="shared" si="18"/>
        <v>0</v>
      </c>
      <c r="N220" s="125">
        <f t="shared" si="18"/>
        <v>0</v>
      </c>
      <c r="O220" s="125">
        <f t="shared" si="18"/>
        <v>0</v>
      </c>
      <c r="P220" s="125">
        <f t="shared" si="18"/>
        <v>0</v>
      </c>
      <c r="Q220" s="125">
        <f t="shared" si="18"/>
        <v>0</v>
      </c>
      <c r="R220" s="125">
        <f t="shared" si="18"/>
        <v>0</v>
      </c>
      <c r="S220" s="125">
        <f t="shared" si="18"/>
        <v>0</v>
      </c>
      <c r="T220" s="125">
        <f t="shared" si="18"/>
        <v>0</v>
      </c>
      <c r="U220" s="125">
        <f t="shared" si="18"/>
        <v>0</v>
      </c>
      <c r="V220" s="125">
        <f t="shared" si="18"/>
        <v>0</v>
      </c>
      <c r="W220" s="125">
        <f t="shared" si="18"/>
        <v>0</v>
      </c>
      <c r="X220" s="125">
        <f t="shared" si="18"/>
        <v>0</v>
      </c>
      <c r="Y220" s="125">
        <f t="shared" si="18"/>
        <v>0</v>
      </c>
      <c r="Z220" s="125">
        <f t="shared" si="18"/>
        <v>0</v>
      </c>
      <c r="AA220" s="125">
        <f t="shared" si="18"/>
        <v>0</v>
      </c>
      <c r="AB220" s="125">
        <f t="shared" si="18"/>
        <v>0</v>
      </c>
      <c r="AC220" s="125">
        <f t="shared" si="18"/>
        <v>0</v>
      </c>
      <c r="AD220" s="125">
        <f t="shared" si="18"/>
        <v>0</v>
      </c>
      <c r="AE220" s="125">
        <f t="shared" si="18"/>
        <v>0</v>
      </c>
      <c r="AF220" s="126">
        <f t="shared" si="18"/>
        <v>0</v>
      </c>
      <c r="AG220" s="127">
        <f t="shared" si="18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19">AF222</f>
        <v>0</v>
      </c>
      <c r="C222" s="129">
        <v>0.3</v>
      </c>
      <c r="D222" s="129">
        <f t="shared" ref="D222:P227" si="20">C222</f>
        <v>0.3</v>
      </c>
      <c r="E222" s="129">
        <f t="shared" si="20"/>
        <v>0.3</v>
      </c>
      <c r="F222" s="129">
        <f t="shared" si="20"/>
        <v>0.3</v>
      </c>
      <c r="G222" s="129">
        <f t="shared" si="20"/>
        <v>0.3</v>
      </c>
      <c r="H222" s="129">
        <f t="shared" si="20"/>
        <v>0.3</v>
      </c>
      <c r="I222" s="129">
        <f t="shared" si="20"/>
        <v>0.3</v>
      </c>
      <c r="J222" s="129">
        <f t="shared" si="20"/>
        <v>0.3</v>
      </c>
      <c r="K222" s="129">
        <f t="shared" si="20"/>
        <v>0.3</v>
      </c>
      <c r="L222" s="129">
        <f t="shared" si="20"/>
        <v>0.3</v>
      </c>
      <c r="M222" s="129">
        <f t="shared" si="20"/>
        <v>0.3</v>
      </c>
      <c r="N222" s="129">
        <f t="shared" si="20"/>
        <v>0.3</v>
      </c>
      <c r="O222" s="129">
        <f t="shared" si="20"/>
        <v>0.3</v>
      </c>
      <c r="P222" s="129">
        <f t="shared" si="20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19"/>
        <v>0</v>
      </c>
      <c r="C223" s="117">
        <v>0.4</v>
      </c>
      <c r="D223" s="117">
        <f t="shared" si="20"/>
        <v>0.4</v>
      </c>
      <c r="E223" s="117">
        <f t="shared" si="20"/>
        <v>0.4</v>
      </c>
      <c r="F223" s="117">
        <f t="shared" si="20"/>
        <v>0.4</v>
      </c>
      <c r="G223" s="117">
        <f t="shared" si="20"/>
        <v>0.4</v>
      </c>
      <c r="H223" s="117">
        <f t="shared" si="20"/>
        <v>0.4</v>
      </c>
      <c r="I223" s="117">
        <f t="shared" si="20"/>
        <v>0.4</v>
      </c>
      <c r="J223" s="117">
        <f t="shared" si="20"/>
        <v>0.4</v>
      </c>
      <c r="K223" s="117">
        <f t="shared" si="20"/>
        <v>0.4</v>
      </c>
      <c r="L223" s="117">
        <f t="shared" si="20"/>
        <v>0.4</v>
      </c>
      <c r="M223" s="117">
        <f t="shared" si="20"/>
        <v>0.4</v>
      </c>
      <c r="N223" s="117">
        <f t="shared" si="20"/>
        <v>0.4</v>
      </c>
      <c r="O223" s="117">
        <f t="shared" si="20"/>
        <v>0.4</v>
      </c>
      <c r="P223" s="117">
        <f t="shared" si="20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19"/>
        <v>0</v>
      </c>
      <c r="C224" s="117">
        <v>1.5</v>
      </c>
      <c r="D224" s="117">
        <f t="shared" si="20"/>
        <v>1.5</v>
      </c>
      <c r="E224" s="117">
        <f t="shared" si="20"/>
        <v>1.5</v>
      </c>
      <c r="F224" s="117">
        <f t="shared" si="20"/>
        <v>1.5</v>
      </c>
      <c r="G224" s="117">
        <f t="shared" si="20"/>
        <v>1.5</v>
      </c>
      <c r="H224" s="117">
        <f t="shared" si="20"/>
        <v>1.5</v>
      </c>
      <c r="I224" s="100">
        <f t="shared" ref="I224" ca="1" si="21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20"/>
        <v>1.5</v>
      </c>
      <c r="K224" s="117">
        <f t="shared" ca="1" si="20"/>
        <v>1.5</v>
      </c>
      <c r="L224" s="117">
        <f t="shared" ca="1" si="20"/>
        <v>1.5</v>
      </c>
      <c r="M224" s="117">
        <f t="shared" ca="1" si="20"/>
        <v>1.5</v>
      </c>
      <c r="N224" s="117">
        <f t="shared" ca="1" si="20"/>
        <v>1.5</v>
      </c>
      <c r="O224" s="117">
        <f t="shared" ca="1" si="20"/>
        <v>1.5</v>
      </c>
      <c r="P224" s="117">
        <f t="shared" ca="1" si="20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19"/>
        <v>0</v>
      </c>
      <c r="C225" s="117">
        <v>0.3</v>
      </c>
      <c r="D225" s="117">
        <f t="shared" si="20"/>
        <v>0.3</v>
      </c>
      <c r="E225" s="117">
        <f t="shared" si="20"/>
        <v>0.3</v>
      </c>
      <c r="F225" s="117">
        <f t="shared" si="20"/>
        <v>0.3</v>
      </c>
      <c r="G225" s="117">
        <f t="shared" si="20"/>
        <v>0.3</v>
      </c>
      <c r="H225" s="117">
        <f t="shared" si="20"/>
        <v>0.3</v>
      </c>
      <c r="I225" s="117">
        <f t="shared" si="20"/>
        <v>0.3</v>
      </c>
      <c r="J225" s="117">
        <f t="shared" si="20"/>
        <v>0.3</v>
      </c>
      <c r="K225" s="117">
        <f t="shared" si="20"/>
        <v>0.3</v>
      </c>
      <c r="L225" s="117">
        <f t="shared" si="20"/>
        <v>0.3</v>
      </c>
      <c r="M225" s="117">
        <f t="shared" si="20"/>
        <v>0.3</v>
      </c>
      <c r="N225" s="117">
        <f t="shared" si="20"/>
        <v>0.3</v>
      </c>
      <c r="O225" s="117">
        <f t="shared" si="20"/>
        <v>0.3</v>
      </c>
      <c r="P225" s="117">
        <f t="shared" si="20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19"/>
        <v>0</v>
      </c>
      <c r="C226" s="117">
        <v>0.4</v>
      </c>
      <c r="D226" s="117">
        <f t="shared" si="20"/>
        <v>0.4</v>
      </c>
      <c r="E226" s="117">
        <f t="shared" si="20"/>
        <v>0.4</v>
      </c>
      <c r="F226" s="117">
        <f t="shared" si="20"/>
        <v>0.4</v>
      </c>
      <c r="G226" s="117">
        <f t="shared" si="20"/>
        <v>0.4</v>
      </c>
      <c r="H226" s="117">
        <f t="shared" si="20"/>
        <v>0.4</v>
      </c>
      <c r="I226" s="117">
        <f t="shared" si="20"/>
        <v>0.4</v>
      </c>
      <c r="J226" s="117">
        <f t="shared" si="20"/>
        <v>0.4</v>
      </c>
      <c r="K226" s="117">
        <f t="shared" si="20"/>
        <v>0.4</v>
      </c>
      <c r="L226" s="117">
        <f t="shared" si="20"/>
        <v>0.4</v>
      </c>
      <c r="M226" s="117">
        <f t="shared" si="20"/>
        <v>0.4</v>
      </c>
      <c r="N226" s="117">
        <f t="shared" si="20"/>
        <v>0.4</v>
      </c>
      <c r="O226" s="117">
        <f t="shared" si="20"/>
        <v>0.4</v>
      </c>
      <c r="P226" s="117">
        <f t="shared" si="20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19"/>
        <v>0</v>
      </c>
      <c r="C227" s="121">
        <v>0.64</v>
      </c>
      <c r="D227" s="121">
        <f t="shared" si="20"/>
        <v>0.64</v>
      </c>
      <c r="E227" s="121">
        <f t="shared" si="20"/>
        <v>0.64</v>
      </c>
      <c r="F227" s="121">
        <f t="shared" si="20"/>
        <v>0.64</v>
      </c>
      <c r="G227" s="121">
        <f t="shared" si="20"/>
        <v>0.64</v>
      </c>
      <c r="H227" s="121">
        <f t="shared" si="20"/>
        <v>0.64</v>
      </c>
      <c r="I227" s="121">
        <f t="shared" si="20"/>
        <v>0.64</v>
      </c>
      <c r="J227" s="121">
        <f t="shared" si="20"/>
        <v>0.64</v>
      </c>
      <c r="K227" s="121">
        <f t="shared" si="20"/>
        <v>0.64</v>
      </c>
      <c r="L227" s="121">
        <f t="shared" si="20"/>
        <v>0.64</v>
      </c>
      <c r="M227" s="121">
        <f t="shared" si="20"/>
        <v>0.64</v>
      </c>
      <c r="N227" s="121">
        <f t="shared" si="20"/>
        <v>0.64</v>
      </c>
      <c r="O227" s="121">
        <f t="shared" si="20"/>
        <v>0.64</v>
      </c>
      <c r="P227" s="121">
        <f t="shared" si="20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2">SUM(B222:B227)</f>
        <v>0</v>
      </c>
      <c r="C228" s="125">
        <f t="shared" si="22"/>
        <v>3.54</v>
      </c>
      <c r="D228" s="125">
        <f t="shared" si="22"/>
        <v>3.54</v>
      </c>
      <c r="E228" s="125">
        <f t="shared" si="22"/>
        <v>3.54</v>
      </c>
      <c r="F228" s="125">
        <f t="shared" si="22"/>
        <v>3.54</v>
      </c>
      <c r="G228" s="125">
        <f t="shared" si="22"/>
        <v>3.54</v>
      </c>
      <c r="H228" s="125">
        <f t="shared" si="22"/>
        <v>3.54</v>
      </c>
      <c r="I228" s="125">
        <f t="shared" ca="1" si="22"/>
        <v>3.54</v>
      </c>
      <c r="J228" s="125">
        <f t="shared" ca="1" si="22"/>
        <v>3.54</v>
      </c>
      <c r="K228" s="125">
        <f t="shared" ca="1" si="22"/>
        <v>3.54</v>
      </c>
      <c r="L228" s="125">
        <f t="shared" ca="1" si="22"/>
        <v>3.54</v>
      </c>
      <c r="M228" s="125">
        <f t="shared" ca="1" si="22"/>
        <v>3.54</v>
      </c>
      <c r="N228" s="125">
        <f t="shared" ca="1" si="22"/>
        <v>3.54</v>
      </c>
      <c r="O228" s="125">
        <f t="shared" ca="1" si="22"/>
        <v>3.54</v>
      </c>
      <c r="P228" s="125">
        <f t="shared" ca="1" si="22"/>
        <v>3.54</v>
      </c>
      <c r="Q228" s="125">
        <f t="shared" si="22"/>
        <v>0</v>
      </c>
      <c r="R228" s="125">
        <f t="shared" si="22"/>
        <v>0</v>
      </c>
      <c r="S228" s="125">
        <f t="shared" si="22"/>
        <v>0</v>
      </c>
      <c r="T228" s="125">
        <f t="shared" si="22"/>
        <v>0</v>
      </c>
      <c r="U228" s="125">
        <f t="shared" si="22"/>
        <v>0</v>
      </c>
      <c r="V228" s="125">
        <f t="shared" si="22"/>
        <v>0</v>
      </c>
      <c r="W228" s="125">
        <f t="shared" si="22"/>
        <v>0</v>
      </c>
      <c r="X228" s="125">
        <f t="shared" si="22"/>
        <v>0</v>
      </c>
      <c r="Y228" s="125">
        <f t="shared" si="22"/>
        <v>0</v>
      </c>
      <c r="Z228" s="125">
        <f t="shared" si="22"/>
        <v>0</v>
      </c>
      <c r="AA228" s="125">
        <f t="shared" si="22"/>
        <v>0</v>
      </c>
      <c r="AB228" s="125">
        <f t="shared" si="22"/>
        <v>0</v>
      </c>
      <c r="AC228" s="125">
        <f t="shared" si="22"/>
        <v>0</v>
      </c>
      <c r="AD228" s="125">
        <f t="shared" si="22"/>
        <v>0</v>
      </c>
      <c r="AE228" s="125">
        <f t="shared" si="22"/>
        <v>0</v>
      </c>
      <c r="AF228" s="125">
        <f t="shared" si="22"/>
        <v>0</v>
      </c>
      <c r="AG228" s="134">
        <f t="shared" si="22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1713.04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25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2079/09/25)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2079/09/25)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3">B85</f>
        <v>1144.6400000000001</v>
      </c>
      <c r="U242" s="159">
        <f t="shared" si="23"/>
        <v>1053.44</v>
      </c>
      <c r="V242" s="159">
        <f t="shared" si="23"/>
        <v>1027.44</v>
      </c>
      <c r="W242" s="159">
        <f t="shared" si="23"/>
        <v>1029.44</v>
      </c>
      <c r="X242" s="159">
        <f t="shared" si="23"/>
        <v>1040.3400000000001</v>
      </c>
      <c r="Y242" s="159">
        <f t="shared" si="23"/>
        <v>1098.04</v>
      </c>
      <c r="Z242" s="159">
        <f t="shared" si="23"/>
        <v>1168.04</v>
      </c>
      <c r="AA242" s="159">
        <f t="shared" si="23"/>
        <v>1248.6399999999999</v>
      </c>
      <c r="AB242" s="159">
        <f t="shared" si="23"/>
        <v>1296.24</v>
      </c>
      <c r="AC242" s="159">
        <f t="shared" si="23"/>
        <v>1432.4399999999998</v>
      </c>
      <c r="AD242" s="159">
        <f t="shared" si="23"/>
        <v>1657.04</v>
      </c>
      <c r="AE242" s="159">
        <f t="shared" si="23"/>
        <v>1713.04</v>
      </c>
      <c r="AF242" s="159">
        <f t="shared" si="23"/>
        <v>1655.6399999999999</v>
      </c>
      <c r="AG242" s="159">
        <f t="shared" si="23"/>
        <v>1550.7399999999998</v>
      </c>
      <c r="AH242" s="159">
        <f t="shared" si="23"/>
        <v>1515.04</v>
      </c>
      <c r="AI242" s="159">
        <f t="shared" si="23"/>
        <v>1457.34</v>
      </c>
      <c r="AJ242" s="159">
        <f t="shared" si="23"/>
        <v>1382.7399999999998</v>
      </c>
      <c r="AK242" s="159">
        <f t="shared" si="23"/>
        <v>1299.74</v>
      </c>
      <c r="AL242" s="159">
        <f t="shared" si="23"/>
        <v>1295.24</v>
      </c>
      <c r="AM242" s="159">
        <f t="shared" si="23"/>
        <v>1316.54</v>
      </c>
      <c r="AN242" s="159">
        <f t="shared" si="23"/>
        <v>1322.94</v>
      </c>
      <c r="AO242" s="159">
        <f t="shared" si="23"/>
        <v>1410.8400000000001</v>
      </c>
      <c r="AP242" s="159">
        <f t="shared" si="23"/>
        <v>1804.1399999999999</v>
      </c>
      <c r="AQ242" s="159">
        <f t="shared" si="23"/>
        <v>1765.6399999999999</v>
      </c>
      <c r="AR242" s="159">
        <f t="shared" si="23"/>
        <v>1713.5399999999997</v>
      </c>
      <c r="AS242" s="159">
        <f t="shared" si="23"/>
        <v>1683.1399999999996</v>
      </c>
      <c r="AT242" s="159">
        <f t="shared" si="23"/>
        <v>1633.1399999999999</v>
      </c>
      <c r="AU242" s="159">
        <f t="shared" si="23"/>
        <v>1577.34</v>
      </c>
      <c r="AV242" s="159">
        <f t="shared" si="23"/>
        <v>1451.94</v>
      </c>
      <c r="AW242" s="159">
        <f t="shared" si="23"/>
        <v>1170.8399999999999</v>
      </c>
      <c r="AX242" s="159">
        <f t="shared" si="23"/>
        <v>1109.54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4">C227</f>
        <v>0.64</v>
      </c>
      <c r="C263" s="162">
        <f t="shared" si="24"/>
        <v>0.64</v>
      </c>
      <c r="D263" s="162">
        <f t="shared" si="24"/>
        <v>0.64</v>
      </c>
      <c r="E263" s="162">
        <f t="shared" si="24"/>
        <v>0.64</v>
      </c>
      <c r="F263" s="162">
        <f t="shared" si="24"/>
        <v>0.64</v>
      </c>
      <c r="G263" s="162">
        <f t="shared" si="24"/>
        <v>0.64</v>
      </c>
      <c r="H263" s="162">
        <f t="shared" si="24"/>
        <v>0.64</v>
      </c>
      <c r="I263" s="162">
        <f t="shared" si="24"/>
        <v>0.64</v>
      </c>
      <c r="J263" s="162">
        <f t="shared" si="24"/>
        <v>0.64</v>
      </c>
      <c r="K263" s="162">
        <f t="shared" si="24"/>
        <v>0.64</v>
      </c>
      <c r="L263" s="162">
        <f t="shared" si="24"/>
        <v>0.64</v>
      </c>
      <c r="M263" s="162">
        <f t="shared" si="24"/>
        <v>0.64</v>
      </c>
      <c r="N263" s="162">
        <f t="shared" si="24"/>
        <v>0.64</v>
      </c>
      <c r="O263" s="162">
        <f t="shared" si="24"/>
        <v>0.64</v>
      </c>
      <c r="P263" s="162">
        <f t="shared" si="24"/>
        <v>0</v>
      </c>
      <c r="Q263" s="162">
        <f t="shared" si="24"/>
        <v>0</v>
      </c>
      <c r="R263" s="162">
        <f t="shared" si="24"/>
        <v>0</v>
      </c>
      <c r="S263" s="162">
        <f t="shared" si="24"/>
        <v>0</v>
      </c>
      <c r="T263" s="162">
        <f t="shared" si="24"/>
        <v>0</v>
      </c>
      <c r="U263" s="162">
        <f t="shared" si="24"/>
        <v>0</v>
      </c>
      <c r="V263" s="162">
        <f t="shared" si="24"/>
        <v>0</v>
      </c>
      <c r="W263" s="162">
        <f t="shared" si="24"/>
        <v>0</v>
      </c>
      <c r="X263" s="162">
        <f t="shared" si="24"/>
        <v>0</v>
      </c>
      <c r="Y263" s="162">
        <f t="shared" si="24"/>
        <v>0</v>
      </c>
      <c r="Z263" s="162">
        <f t="shared" si="24"/>
        <v>0</v>
      </c>
      <c r="AA263" s="162">
        <f t="shared" si="24"/>
        <v>0</v>
      </c>
      <c r="AB263" s="162">
        <f t="shared" si="24"/>
        <v>0</v>
      </c>
      <c r="AC263" s="162">
        <f t="shared" si="24"/>
        <v>0</v>
      </c>
      <c r="AD263" s="162">
        <f t="shared" si="24"/>
        <v>0</v>
      </c>
      <c r="AE263" s="162">
        <f t="shared" si="24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5">IF(B231&lt;100,"",B231-520)</f>
        <v/>
      </c>
      <c r="C264" s="163" t="str">
        <f t="shared" si="25"/>
        <v/>
      </c>
      <c r="D264" s="163" t="str">
        <f t="shared" si="25"/>
        <v/>
      </c>
      <c r="E264" s="163" t="str">
        <f t="shared" si="25"/>
        <v/>
      </c>
      <c r="F264" s="163" t="str">
        <f t="shared" si="25"/>
        <v/>
      </c>
      <c r="G264" s="163" t="str">
        <f t="shared" si="25"/>
        <v/>
      </c>
      <c r="H264" s="163" t="str">
        <f t="shared" si="25"/>
        <v/>
      </c>
      <c r="I264" s="163" t="str">
        <f t="shared" si="25"/>
        <v/>
      </c>
      <c r="J264" s="163" t="str">
        <f t="shared" si="25"/>
        <v/>
      </c>
      <c r="K264" s="163" t="str">
        <f t="shared" si="25"/>
        <v/>
      </c>
      <c r="L264" s="163" t="str">
        <f t="shared" si="25"/>
        <v/>
      </c>
      <c r="M264" s="163" t="str">
        <f t="shared" si="25"/>
        <v/>
      </c>
      <c r="N264" s="163" t="str">
        <f t="shared" si="25"/>
        <v/>
      </c>
      <c r="O264" s="163" t="str">
        <f t="shared" si="25"/>
        <v/>
      </c>
      <c r="P264" s="163" t="str">
        <f t="shared" si="25"/>
        <v/>
      </c>
      <c r="Q264" s="163" t="str">
        <f t="shared" si="25"/>
        <v/>
      </c>
      <c r="R264" s="163" t="str">
        <f t="shared" si="25"/>
        <v/>
      </c>
      <c r="S264" s="163" t="str">
        <f t="shared" si="25"/>
        <v/>
      </c>
      <c r="T264" s="163" t="str">
        <f t="shared" si="25"/>
        <v/>
      </c>
      <c r="U264" s="163" t="str">
        <f t="shared" si="25"/>
        <v/>
      </c>
      <c r="V264" s="163" t="str">
        <f t="shared" si="25"/>
        <v/>
      </c>
      <c r="W264" s="163" t="str">
        <f t="shared" si="25"/>
        <v/>
      </c>
      <c r="X264" s="163" t="str">
        <f t="shared" si="25"/>
        <v/>
      </c>
      <c r="Y264" s="163" t="str">
        <f t="shared" si="25"/>
        <v/>
      </c>
      <c r="Z264" s="163" t="str">
        <f t="shared" si="25"/>
        <v/>
      </c>
      <c r="AA264" s="163" t="str">
        <f t="shared" si="25"/>
        <v/>
      </c>
      <c r="AB264" s="163" t="str">
        <f t="shared" si="25"/>
        <v/>
      </c>
      <c r="AC264" s="163" t="str">
        <f t="shared" si="25"/>
        <v/>
      </c>
      <c r="AD264" s="163" t="str">
        <f t="shared" si="25"/>
        <v/>
      </c>
      <c r="AE264" s="163" t="str">
        <f t="shared" si="25"/>
        <v/>
      </c>
      <c r="AF264" s="163" t="str">
        <f t="shared" si="25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6">IF(B232&lt;100,"",B232-620)</f>
        <v/>
      </c>
      <c r="C265" s="163" t="str">
        <f t="shared" si="26"/>
        <v/>
      </c>
      <c r="D265" s="163" t="str">
        <f t="shared" si="26"/>
        <v/>
      </c>
      <c r="E265" s="163" t="str">
        <f t="shared" si="26"/>
        <v/>
      </c>
      <c r="F265" s="163" t="str">
        <f t="shared" si="26"/>
        <v/>
      </c>
      <c r="G265" s="163" t="str">
        <f t="shared" si="26"/>
        <v/>
      </c>
      <c r="H265" s="163" t="str">
        <f t="shared" si="26"/>
        <v/>
      </c>
      <c r="I265" s="163" t="str">
        <f t="shared" si="26"/>
        <v/>
      </c>
      <c r="J265" s="163" t="str">
        <f t="shared" si="26"/>
        <v/>
      </c>
      <c r="K265" s="163" t="str">
        <f t="shared" si="26"/>
        <v/>
      </c>
      <c r="L265" s="163" t="str">
        <f t="shared" si="26"/>
        <v/>
      </c>
      <c r="M265" s="163" t="str">
        <f t="shared" si="26"/>
        <v/>
      </c>
      <c r="N265" s="163" t="str">
        <f t="shared" si="26"/>
        <v/>
      </c>
      <c r="O265" s="163" t="str">
        <f t="shared" si="26"/>
        <v/>
      </c>
      <c r="P265" s="163" t="str">
        <f t="shared" si="26"/>
        <v/>
      </c>
      <c r="Q265" s="163" t="str">
        <f t="shared" si="26"/>
        <v/>
      </c>
      <c r="R265" s="163" t="str">
        <f t="shared" si="26"/>
        <v/>
      </c>
      <c r="S265" s="163" t="str">
        <f t="shared" si="26"/>
        <v/>
      </c>
      <c r="T265" s="163" t="str">
        <f t="shared" si="26"/>
        <v/>
      </c>
      <c r="U265" s="163" t="str">
        <f t="shared" si="26"/>
        <v/>
      </c>
      <c r="V265" s="163" t="str">
        <f t="shared" si="26"/>
        <v/>
      </c>
      <c r="W265" s="163" t="str">
        <f t="shared" si="26"/>
        <v/>
      </c>
      <c r="X265" s="163" t="str">
        <f t="shared" si="26"/>
        <v/>
      </c>
      <c r="Y265" s="163" t="str">
        <f t="shared" si="26"/>
        <v/>
      </c>
      <c r="Z265" s="163" t="str">
        <f t="shared" si="26"/>
        <v/>
      </c>
      <c r="AA265" s="163" t="str">
        <f t="shared" si="26"/>
        <v/>
      </c>
      <c r="AB265" s="163" t="str">
        <f t="shared" si="26"/>
        <v/>
      </c>
      <c r="AC265" s="163" t="str">
        <f t="shared" si="26"/>
        <v/>
      </c>
      <c r="AD265" s="163" t="str">
        <f t="shared" si="26"/>
        <v/>
      </c>
      <c r="AE265" s="163" t="str">
        <f t="shared" si="26"/>
        <v/>
      </c>
      <c r="AF265" s="163" t="str">
        <f t="shared" si="26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27">IF(B233&lt;100,"",B233-330)</f>
        <v/>
      </c>
      <c r="C266" s="163" t="str">
        <f t="shared" si="27"/>
        <v/>
      </c>
      <c r="D266" s="163" t="str">
        <f t="shared" si="27"/>
        <v/>
      </c>
      <c r="E266" s="163" t="str">
        <f t="shared" si="27"/>
        <v/>
      </c>
      <c r="F266" s="163" t="str">
        <f t="shared" si="27"/>
        <v/>
      </c>
      <c r="G266" s="163" t="str">
        <f t="shared" si="27"/>
        <v/>
      </c>
      <c r="H266" s="163" t="str">
        <f t="shared" si="27"/>
        <v/>
      </c>
      <c r="I266" s="163" t="str">
        <f t="shared" si="27"/>
        <v/>
      </c>
      <c r="J266" s="163" t="str">
        <f t="shared" si="27"/>
        <v/>
      </c>
      <c r="K266" s="163" t="str">
        <f t="shared" si="27"/>
        <v/>
      </c>
      <c r="L266" s="163" t="str">
        <f t="shared" si="27"/>
        <v/>
      </c>
      <c r="M266" s="163" t="str">
        <f t="shared" si="27"/>
        <v/>
      </c>
      <c r="N266" s="163" t="str">
        <f t="shared" si="27"/>
        <v/>
      </c>
      <c r="O266" s="163" t="str">
        <f t="shared" si="27"/>
        <v/>
      </c>
      <c r="P266" s="163" t="str">
        <f t="shared" si="27"/>
        <v/>
      </c>
      <c r="Q266" s="163" t="str">
        <f t="shared" si="27"/>
        <v/>
      </c>
      <c r="R266" s="163" t="str">
        <f t="shared" si="27"/>
        <v/>
      </c>
      <c r="S266" s="163" t="str">
        <f t="shared" si="27"/>
        <v/>
      </c>
      <c r="T266" s="163" t="str">
        <f t="shared" si="27"/>
        <v/>
      </c>
      <c r="U266" s="163" t="str">
        <f t="shared" si="27"/>
        <v/>
      </c>
      <c r="V266" s="163" t="str">
        <f t="shared" si="27"/>
        <v/>
      </c>
      <c r="W266" s="163" t="str">
        <f t="shared" si="27"/>
        <v/>
      </c>
      <c r="X266" s="163" t="str">
        <f t="shared" si="27"/>
        <v/>
      </c>
      <c r="Y266" s="163" t="str">
        <f t="shared" si="27"/>
        <v/>
      </c>
      <c r="Z266" s="163" t="str">
        <f t="shared" si="27"/>
        <v/>
      </c>
      <c r="AA266" s="163" t="str">
        <f t="shared" si="27"/>
        <v/>
      </c>
      <c r="AB266" s="163" t="str">
        <f t="shared" si="27"/>
        <v/>
      </c>
      <c r="AC266" s="163" t="str">
        <f t="shared" si="27"/>
        <v/>
      </c>
      <c r="AD266" s="163" t="str">
        <f t="shared" si="27"/>
        <v/>
      </c>
      <c r="AE266" s="163" t="str">
        <f t="shared" si="27"/>
        <v/>
      </c>
      <c r="AF266" s="163" t="str">
        <f t="shared" si="27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28">IF(B234&lt;100,"",B234-1500)</f>
        <v/>
      </c>
      <c r="C267" s="163" t="str">
        <f t="shared" si="28"/>
        <v/>
      </c>
      <c r="D267" s="163" t="str">
        <f t="shared" si="28"/>
        <v/>
      </c>
      <c r="E267" s="163" t="str">
        <f t="shared" si="28"/>
        <v/>
      </c>
      <c r="F267" s="163" t="str">
        <f t="shared" si="28"/>
        <v/>
      </c>
      <c r="G267" s="163" t="str">
        <f t="shared" si="28"/>
        <v/>
      </c>
      <c r="H267" s="163" t="str">
        <f t="shared" si="28"/>
        <v/>
      </c>
      <c r="I267" s="163" t="str">
        <f t="shared" si="28"/>
        <v/>
      </c>
      <c r="J267" s="163" t="str">
        <f t="shared" si="28"/>
        <v/>
      </c>
      <c r="K267" s="163" t="str">
        <f t="shared" si="28"/>
        <v/>
      </c>
      <c r="L267" s="163" t="str">
        <f t="shared" si="28"/>
        <v/>
      </c>
      <c r="M267" s="163" t="str">
        <f t="shared" si="28"/>
        <v/>
      </c>
      <c r="N267" s="163" t="str">
        <f t="shared" si="28"/>
        <v/>
      </c>
      <c r="O267" s="163" t="str">
        <f t="shared" si="28"/>
        <v/>
      </c>
      <c r="P267" s="163" t="str">
        <f t="shared" si="28"/>
        <v/>
      </c>
      <c r="Q267" s="163" t="str">
        <f t="shared" si="28"/>
        <v/>
      </c>
      <c r="R267" s="163" t="str">
        <f t="shared" si="28"/>
        <v/>
      </c>
      <c r="S267" s="163" t="str">
        <f t="shared" si="28"/>
        <v/>
      </c>
      <c r="T267" s="163" t="str">
        <f t="shared" si="28"/>
        <v/>
      </c>
      <c r="U267" s="163" t="str">
        <f t="shared" si="28"/>
        <v/>
      </c>
      <c r="V267" s="163" t="str">
        <f t="shared" si="28"/>
        <v/>
      </c>
      <c r="W267" s="163" t="str">
        <f t="shared" si="28"/>
        <v/>
      </c>
      <c r="X267" s="163" t="str">
        <f t="shared" si="28"/>
        <v/>
      </c>
      <c r="Y267" s="163" t="str">
        <f t="shared" si="28"/>
        <v/>
      </c>
      <c r="Z267" s="163" t="str">
        <f t="shared" si="28"/>
        <v/>
      </c>
      <c r="AA267" s="163" t="str">
        <f t="shared" si="28"/>
        <v/>
      </c>
      <c r="AB267" s="163" t="str">
        <f t="shared" si="28"/>
        <v/>
      </c>
      <c r="AC267" s="163" t="str">
        <f t="shared" si="28"/>
        <v/>
      </c>
      <c r="AD267" s="163" t="str">
        <f t="shared" si="28"/>
        <v/>
      </c>
      <c r="AE267" s="163" t="str">
        <f t="shared" si="28"/>
        <v/>
      </c>
      <c r="AF267" s="163" t="str">
        <f t="shared" si="28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X22:Y41 X11:Z20 Z21:Z41 AA11:AF41">
    <cfRule type="expression" dxfId="4231" priority="234">
      <formula>B$9&gt;=20/24</formula>
    </cfRule>
    <cfRule type="expression" dxfId="4230" priority="235">
      <formula>AND(B$9&gt;=14/24,B$9&lt;20/24)</formula>
    </cfRule>
    <cfRule type="expression" dxfId="4229" priority="236">
      <formula>AND(B$9&gt;=8/24,B$9&lt;14/24)</formula>
    </cfRule>
    <cfRule type="expression" dxfId="4228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X22:Y41 X11:Z20 Z21:Z41 AA11:AF41">
    <cfRule type="expression" dxfId="4227" priority="232">
      <formula>X11&gt;$AG11</formula>
    </cfRule>
  </conditionalFormatting>
  <conditionalFormatting sqref="A95:A105 A55:A82 A91:A93 A198:A228 A42:A53 A114:A185 A38:A39 A87:A89 A84:A85 A107:A109 A35:A36 A17:A18 A11:A15 A20:A33">
    <cfRule type="expression" dxfId="4226" priority="231">
      <formula>$AH11=0</formula>
    </cfRule>
  </conditionalFormatting>
  <conditionalFormatting sqref="A110">
    <cfRule type="expression" dxfId="4225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4224" priority="228">
      <formula>$AH41=0</formula>
    </cfRule>
  </conditionalFormatting>
  <conditionalFormatting sqref="A94">
    <cfRule type="expression" dxfId="4223" priority="227">
      <formula>$AH94=0</formula>
    </cfRule>
  </conditionalFormatting>
  <conditionalFormatting sqref="A16">
    <cfRule type="expression" dxfId="4222" priority="226">
      <formula>$AH16=0</formula>
    </cfRule>
  </conditionalFormatting>
  <conditionalFormatting sqref="A192:A197">
    <cfRule type="expression" dxfId="4221" priority="225">
      <formula>$AH192=0</formula>
    </cfRule>
  </conditionalFormatting>
  <conditionalFormatting sqref="A186:A191">
    <cfRule type="expression" dxfId="4220" priority="224">
      <formula>$AH186=0</formula>
    </cfRule>
  </conditionalFormatting>
  <conditionalFormatting sqref="A54">
    <cfRule type="expression" dxfId="4219" priority="223">
      <formula>$AH54=0</formula>
    </cfRule>
  </conditionalFormatting>
  <conditionalFormatting sqref="A90">
    <cfRule type="expression" dxfId="4218" priority="222">
      <formula>$AH90=0</formula>
    </cfRule>
  </conditionalFormatting>
  <conditionalFormatting sqref="AD95:AF95 E95:X95">
    <cfRule type="expression" dxfId="4217" priority="218">
      <formula>E$9&gt;=20/24</formula>
    </cfRule>
    <cfRule type="expression" dxfId="4216" priority="219">
      <formula>AND(E$9&gt;=14/24,E$9&lt;20/24)</formula>
    </cfRule>
    <cfRule type="expression" dxfId="4215" priority="220">
      <formula>AND(E$9&gt;=8/24,E$9&lt;14/24)</formula>
    </cfRule>
    <cfRule type="expression" dxfId="4214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213" priority="240">
      <formula>C$9&gt;=20/24</formula>
    </cfRule>
    <cfRule type="expression" dxfId="4212" priority="241">
      <formula>AND(C$9&gt;=14/24,C$9&lt;20/24)</formula>
    </cfRule>
    <cfRule type="expression" dxfId="4211" priority="242">
      <formula>AND(C$9&gt;=8/24,C$9&lt;14/24)</formula>
    </cfRule>
    <cfRule type="expression" dxfId="4210" priority="243">
      <formula>C$9&lt;8/24</formula>
    </cfRule>
  </conditionalFormatting>
  <conditionalFormatting sqref="A229">
    <cfRule type="expression" dxfId="4209" priority="244">
      <formula>$AH229=0</formula>
    </cfRule>
  </conditionalFormatting>
  <conditionalFormatting sqref="AG241">
    <cfRule type="expression" dxfId="4208" priority="245">
      <formula>B$9&gt;=20/24</formula>
    </cfRule>
    <cfRule type="expression" dxfId="4207" priority="246">
      <formula>AND(B$9&gt;=14/24,B$9&lt;20/24)</formula>
    </cfRule>
    <cfRule type="expression" dxfId="4206" priority="247">
      <formula>AND(B$9&gt;=8/24,B$9&lt;14/24)</formula>
    </cfRule>
    <cfRule type="expression" dxfId="4205" priority="248">
      <formula>B$9&lt;8/24</formula>
    </cfRule>
  </conditionalFormatting>
  <conditionalFormatting sqref="S8">
    <cfRule type="expression" dxfId="4204" priority="213">
      <formula>U$9&gt;=20/24</formula>
    </cfRule>
    <cfRule type="expression" dxfId="4203" priority="214">
      <formula>AND(U$9&gt;=14/24,U$9&lt;20/24)</formula>
    </cfRule>
    <cfRule type="expression" dxfId="4202" priority="215">
      <formula>AND(U$9&gt;=8/24,U$9&lt;14/24)</formula>
    </cfRule>
    <cfRule type="expression" dxfId="4201" priority="216">
      <formula>U$9&lt;8/24</formula>
    </cfRule>
  </conditionalFormatting>
  <conditionalFormatting sqref="AB8">
    <cfRule type="expression" dxfId="4200" priority="209">
      <formula>AD$9&gt;=20/24</formula>
    </cfRule>
    <cfRule type="expression" dxfId="4199" priority="210">
      <formula>AND(AD$9&gt;=14/24,AD$9&lt;20/24)</formula>
    </cfRule>
    <cfRule type="expression" dxfId="4198" priority="211">
      <formula>AND(AD$9&gt;=8/24,AD$9&lt;14/24)</formula>
    </cfRule>
    <cfRule type="expression" dxfId="4197" priority="212">
      <formula>AD$9&lt;8/24</formula>
    </cfRule>
  </conditionalFormatting>
  <conditionalFormatting sqref="AH241:AX241">
    <cfRule type="expression" dxfId="4196" priority="249">
      <formula>AG$9&gt;=20/24</formula>
    </cfRule>
    <cfRule type="expression" dxfId="4195" priority="250">
      <formula>AND(AG$9&gt;=14/24,AG$9&lt;20/24)</formula>
    </cfRule>
    <cfRule type="expression" dxfId="4194" priority="251">
      <formula>AND(AG$9&gt;=8/24,AG$9&lt;14/24)</formula>
    </cfRule>
    <cfRule type="expression" dxfId="4193" priority="252">
      <formula>AG$9&lt;8/24</formula>
    </cfRule>
  </conditionalFormatting>
  <conditionalFormatting sqref="T241">
    <cfRule type="expression" dxfId="4192" priority="253">
      <formula>AX$9&gt;=20/24</formula>
    </cfRule>
    <cfRule type="expression" dxfId="4191" priority="254">
      <formula>AND(AX$9&gt;=14/24,AX$9&lt;20/24)</formula>
    </cfRule>
    <cfRule type="expression" dxfId="4190" priority="255">
      <formula>AND(AX$9&gt;=8/24,AX$9&lt;14/24)</formula>
    </cfRule>
    <cfRule type="expression" dxfId="4189" priority="256">
      <formula>AX$9&lt;8/24</formula>
    </cfRule>
  </conditionalFormatting>
  <conditionalFormatting sqref="A111:A112">
    <cfRule type="expression" dxfId="4188" priority="208">
      <formula>$AH111=0</formula>
    </cfRule>
  </conditionalFormatting>
  <conditionalFormatting sqref="AB50:AF51 M50:R56 S54:T56 E67:AF67 W52:AF53">
    <cfRule type="expression" dxfId="4187" priority="204">
      <formula>E$9&gt;=20/24</formula>
    </cfRule>
    <cfRule type="expression" dxfId="4186" priority="205">
      <formula>AND(E$9&gt;=14/24,E$9&lt;20/24)</formula>
    </cfRule>
    <cfRule type="expression" dxfId="4185" priority="206">
      <formula>AND(E$9&gt;=8/24,E$9&lt;14/24)</formula>
    </cfRule>
    <cfRule type="expression" dxfId="4184" priority="207">
      <formula>E$9&lt;8/24</formula>
    </cfRule>
  </conditionalFormatting>
  <conditionalFormatting sqref="AB49:AF49 M49:R49">
    <cfRule type="expression" dxfId="4183" priority="200">
      <formula>M$9&gt;=20/24</formula>
    </cfRule>
    <cfRule type="expression" dxfId="4182" priority="201">
      <formula>AND(M$9&gt;=14/24,M$9&lt;20/24)</formula>
    </cfRule>
    <cfRule type="expression" dxfId="4181" priority="202">
      <formula>AND(M$9&gt;=8/24,M$9&lt;14/24)</formula>
    </cfRule>
    <cfRule type="expression" dxfId="4180" priority="203">
      <formula>M$9&lt;8/24</formula>
    </cfRule>
  </conditionalFormatting>
  <conditionalFormatting sqref="AB49:AF51 M49:R56 S54:T56 W52:AF53">
    <cfRule type="expression" dxfId="4179" priority="199">
      <formula>M49&gt;$AG49</formula>
    </cfRule>
  </conditionalFormatting>
  <conditionalFormatting sqref="D82:AF82 X43:AF43 X92:AF92 AE96:AF102 M96:X102 X63:AF65 E68:AF69 X70:AF70">
    <cfRule type="expression" dxfId="4178" priority="195">
      <formula>D$9&gt;=20/24</formula>
    </cfRule>
    <cfRule type="expression" dxfId="4177" priority="196">
      <formula>AND(D$9&gt;=14/24,D$9&lt;20/24)</formula>
    </cfRule>
    <cfRule type="expression" dxfId="4176" priority="197">
      <formula>AND(D$9&gt;=8/24,D$9&lt;14/24)</formula>
    </cfRule>
    <cfRule type="expression" dxfId="4175" priority="198">
      <formula>D$9&lt;8/24</formula>
    </cfRule>
  </conditionalFormatting>
  <conditionalFormatting sqref="X43:AF43 X63:AF65">
    <cfRule type="expression" dxfId="4174" priority="194">
      <formula>X43&gt;$AG43</formula>
    </cfRule>
  </conditionalFormatting>
  <conditionalFormatting sqref="S49:T53 U52:V56 W54:W56 U49:AA51">
    <cfRule type="expression" dxfId="4173" priority="190">
      <formula>S$9&gt;=20/24</formula>
    </cfRule>
    <cfRule type="expression" dxfId="4172" priority="191">
      <formula>AND(S$9&gt;=14/24,S$9&lt;20/24)</formula>
    </cfRule>
    <cfRule type="expression" dxfId="4171" priority="192">
      <formula>AND(S$9&gt;=8/24,S$9&lt;14/24)</formula>
    </cfRule>
    <cfRule type="expression" dxfId="4170" priority="193">
      <formula>S$9&lt;8/24</formula>
    </cfRule>
  </conditionalFormatting>
  <conditionalFormatting sqref="S49:T53 U52:V56 W54:W56 U49:AA51">
    <cfRule type="expression" dxfId="4169" priority="189">
      <formula>S49&gt;$AG49</formula>
    </cfRule>
  </conditionalFormatting>
  <conditionalFormatting sqref="C93:AF93 C84:AF84">
    <cfRule type="expression" dxfId="4168" priority="185">
      <formula>C$9&gt;=20/24</formula>
    </cfRule>
    <cfRule type="expression" dxfId="4167" priority="186">
      <formula>AND(C$9&gt;=14/24,C$9&lt;20/24)</formula>
    </cfRule>
    <cfRule type="expression" dxfId="4166" priority="187">
      <formula>AND(C$9&gt;=8/24,C$9&lt;14/24)</formula>
    </cfRule>
    <cfRule type="expression" dxfId="4165" priority="188">
      <formula>C$9&lt;8/24</formula>
    </cfRule>
  </conditionalFormatting>
  <conditionalFormatting sqref="T43:W43">
    <cfRule type="expression" dxfId="4164" priority="181">
      <formula>T$9&gt;=20/24</formula>
    </cfRule>
    <cfRule type="expression" dxfId="4163" priority="182">
      <formula>AND(T$9&gt;=14/24,T$9&lt;20/24)</formula>
    </cfRule>
    <cfRule type="expression" dxfId="4162" priority="183">
      <formula>AND(T$9&gt;=8/24,T$9&lt;14/24)</formula>
    </cfRule>
    <cfRule type="expression" dxfId="4161" priority="184">
      <formula>T$9&lt;8/24</formula>
    </cfRule>
  </conditionalFormatting>
  <conditionalFormatting sqref="T43:W43">
    <cfRule type="expression" dxfId="4160" priority="180">
      <formula>T43&gt;$AG43</formula>
    </cfRule>
  </conditionalFormatting>
  <conditionalFormatting sqref="E50:L51 X42:AF42">
    <cfRule type="expression" dxfId="4159" priority="176">
      <formula>E$9&gt;=20/24</formula>
    </cfRule>
    <cfRule type="expression" dxfId="4158" priority="177">
      <formula>AND(E$9&gt;=14/24,E$9&lt;20/24)</formula>
    </cfRule>
    <cfRule type="expression" dxfId="4157" priority="178">
      <formula>AND(E$9&gt;=8/24,E$9&lt;14/24)</formula>
    </cfRule>
    <cfRule type="expression" dxfId="4156" priority="179">
      <formula>E$9&lt;8/24</formula>
    </cfRule>
  </conditionalFormatting>
  <conditionalFormatting sqref="E49:L49">
    <cfRule type="expression" dxfId="4155" priority="172">
      <formula>E$9&gt;=20/24</formula>
    </cfRule>
    <cfRule type="expression" dxfId="4154" priority="173">
      <formula>AND(E$9&gt;=14/24,E$9&lt;20/24)</formula>
    </cfRule>
    <cfRule type="expression" dxfId="4153" priority="174">
      <formula>AND(E$9&gt;=8/24,E$9&lt;14/24)</formula>
    </cfRule>
    <cfRule type="expression" dxfId="4152" priority="175">
      <formula>E$9&lt;8/24</formula>
    </cfRule>
  </conditionalFormatting>
  <conditionalFormatting sqref="E49:L51 X42:AF42">
    <cfRule type="expression" dxfId="4151" priority="171">
      <formula>E42&gt;$AG42</formula>
    </cfRule>
  </conditionalFormatting>
  <conditionalFormatting sqref="AG66 AG83 E96:L102 R63:W65">
    <cfRule type="expression" dxfId="4150" priority="167">
      <formula>E$9&gt;=20/24</formula>
    </cfRule>
    <cfRule type="expression" dxfId="4149" priority="168">
      <formula>AND(E$9&gt;=14/24,E$9&lt;20/24)</formula>
    </cfRule>
    <cfRule type="expression" dxfId="4148" priority="169">
      <formula>AND(E$9&gt;=8/24,E$9&lt;14/24)</formula>
    </cfRule>
    <cfRule type="expression" dxfId="4147" priority="170">
      <formula>E$9&lt;8/24</formula>
    </cfRule>
  </conditionalFormatting>
  <conditionalFormatting sqref="AG44 AG62 AG66 R63:W65">
    <cfRule type="expression" dxfId="4146" priority="166">
      <formula>R44&gt;$AG44</formula>
    </cfRule>
  </conditionalFormatting>
  <conditionalFormatting sqref="X54:AF54">
    <cfRule type="expression" dxfId="4145" priority="162">
      <formula>X$9&gt;=20/24</formula>
    </cfRule>
    <cfRule type="expression" dxfId="4144" priority="163">
      <formula>AND(X$9&gt;=14/24,X$9&lt;20/24)</formula>
    </cfRule>
    <cfRule type="expression" dxfId="4143" priority="164">
      <formula>AND(X$9&gt;=8/24,X$9&lt;14/24)</formula>
    </cfRule>
    <cfRule type="expression" dxfId="4142" priority="165">
      <formula>X$9&lt;8/24</formula>
    </cfRule>
  </conditionalFormatting>
  <conditionalFormatting sqref="X54:AF54">
    <cfRule type="expression" dxfId="4141" priority="161">
      <formula>X54&gt;$AG54</formula>
    </cfRule>
  </conditionalFormatting>
  <conditionalFormatting sqref="A40">
    <cfRule type="expression" dxfId="4140" priority="160">
      <formula>$AH40=0</formula>
    </cfRule>
  </conditionalFormatting>
  <conditionalFormatting sqref="X87:AF91">
    <cfRule type="expression" dxfId="4139" priority="156">
      <formula>X$9&gt;=20/24</formula>
    </cfRule>
    <cfRule type="expression" dxfId="4138" priority="157">
      <formula>AND(X$9&gt;=14/24,X$9&lt;20/24)</formula>
    </cfRule>
    <cfRule type="expression" dxfId="4137" priority="158">
      <formula>AND(X$9&gt;=8/24,X$9&lt;14/24)</formula>
    </cfRule>
    <cfRule type="expression" dxfId="4136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4135" priority="152">
      <formula>E$9&gt;=20/24</formula>
    </cfRule>
    <cfRule type="expression" dxfId="4134" priority="153">
      <formula>AND(E$9&gt;=14/24,E$9&lt;20/24)</formula>
    </cfRule>
    <cfRule type="expression" dxfId="4133" priority="154">
      <formula>AND(E$9&gt;=8/24,E$9&lt;14/24)</formula>
    </cfRule>
    <cfRule type="expression" dxfId="4132" priority="155">
      <formula>E$9&lt;8/24</formula>
    </cfRule>
  </conditionalFormatting>
  <conditionalFormatting sqref="E45:AF47">
    <cfRule type="expression" dxfId="4131" priority="151">
      <formula>E45&gt;$AG45</formula>
    </cfRule>
  </conditionalFormatting>
  <conditionalFormatting sqref="AG48">
    <cfRule type="expression" dxfId="4130" priority="147">
      <formula>AG$9&gt;=20/24</formula>
    </cfRule>
    <cfRule type="expression" dxfId="4129" priority="148">
      <formula>AND(AG$9&gt;=14/24,AG$9&lt;20/24)</formula>
    </cfRule>
    <cfRule type="expression" dxfId="4128" priority="149">
      <formula>AND(AG$9&gt;=8/24,AG$9&lt;14/24)</formula>
    </cfRule>
    <cfRule type="expression" dxfId="4127" priority="150">
      <formula>AG$9&lt;8/24</formula>
    </cfRule>
  </conditionalFormatting>
  <conditionalFormatting sqref="AG48">
    <cfRule type="expression" dxfId="4126" priority="146">
      <formula>AG48&gt;$AG48</formula>
    </cfRule>
  </conditionalFormatting>
  <conditionalFormatting sqref="C103:AF103">
    <cfRule type="expression" dxfId="4125" priority="142">
      <formula>C$9&gt;=20/24</formula>
    </cfRule>
    <cfRule type="expression" dxfId="4124" priority="143">
      <formula>AND(C$9&gt;=14/24,C$9&lt;20/24)</formula>
    </cfRule>
    <cfRule type="expression" dxfId="4123" priority="144">
      <formula>AND(C$9&gt;=8/24,C$9&lt;14/24)</formula>
    </cfRule>
    <cfRule type="expression" dxfId="4122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121" priority="140">
      <formula>$AH37=0</formula>
    </cfRule>
  </conditionalFormatting>
  <conditionalFormatting sqref="A86">
    <cfRule type="expression" dxfId="4120" priority="138">
      <formula>$AH86=0</formula>
    </cfRule>
  </conditionalFormatting>
  <conditionalFormatting sqref="A83">
    <cfRule type="expression" dxfId="4119" priority="139">
      <formula>$AH83=0</formula>
    </cfRule>
  </conditionalFormatting>
  <conditionalFormatting sqref="A113">
    <cfRule type="expression" dxfId="4118" priority="129">
      <formula>$AH113=0</formula>
    </cfRule>
  </conditionalFormatting>
  <conditionalFormatting sqref="D106:AF106">
    <cfRule type="expression" dxfId="4117" priority="125">
      <formula>D$9&gt;=20/24</formula>
    </cfRule>
    <cfRule type="expression" dxfId="4116" priority="126">
      <formula>AND(D$9&gt;=14/24,D$9&lt;20/24)</formula>
    </cfRule>
    <cfRule type="expression" dxfId="4115" priority="127">
      <formula>AND(D$9&gt;=8/24,D$9&lt;14/24)</formula>
    </cfRule>
    <cfRule type="expression" dxfId="4114" priority="128">
      <formula>D$9&lt;8/24</formula>
    </cfRule>
  </conditionalFormatting>
  <conditionalFormatting sqref="A106">
    <cfRule type="expression" dxfId="4113" priority="124">
      <formula>$AH106=0</formula>
    </cfRule>
  </conditionalFormatting>
  <conditionalFormatting sqref="A19">
    <cfRule type="expression" dxfId="4112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111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4110" priority="116">
      <formula>Y$9&gt;=20/24</formula>
    </cfRule>
    <cfRule type="expression" dxfId="4109" priority="117">
      <formula>AND(Y$9&gt;=14/24,Y$9&lt;20/24)</formula>
    </cfRule>
    <cfRule type="expression" dxfId="4108" priority="118">
      <formula>AND(Y$9&gt;=8/24,Y$9&lt;14/24)</formula>
    </cfRule>
    <cfRule type="expression" dxfId="4107" priority="119">
      <formula>Y$9&lt;8/24</formula>
    </cfRule>
  </conditionalFormatting>
  <conditionalFormatting sqref="Y96:AD102">
    <cfRule type="expression" dxfId="4106" priority="112">
      <formula>Y$9&gt;=20/24</formula>
    </cfRule>
    <cfRule type="expression" dxfId="4105" priority="113">
      <formula>AND(Y$9&gt;=14/24,Y$9&lt;20/24)</formula>
    </cfRule>
    <cfRule type="expression" dxfId="4104" priority="114">
      <formula>AND(Y$9&gt;=8/24,Y$9&lt;14/24)</formula>
    </cfRule>
    <cfRule type="expression" dxfId="4103" priority="115">
      <formula>Y$9&lt;8/24</formula>
    </cfRule>
  </conditionalFormatting>
  <conditionalFormatting sqref="B105:C105 B107:C112 B15:W20 B22:W40 B21:Y21">
    <cfRule type="expression" dxfId="4102" priority="108">
      <formula>B$9&gt;=20/24</formula>
    </cfRule>
    <cfRule type="expression" dxfId="4101" priority="109">
      <formula>AND(B$9&gt;=14/24,B$9&lt;20/24)</formula>
    </cfRule>
    <cfRule type="expression" dxfId="4100" priority="110">
      <formula>AND(B$9&gt;=8/24,B$9&lt;14/24)</formula>
    </cfRule>
    <cfRule type="expression" dxfId="4099" priority="111">
      <formula>B$9&lt;8/24</formula>
    </cfRule>
  </conditionalFormatting>
  <conditionalFormatting sqref="B43:S43">
    <cfRule type="expression" dxfId="4098" priority="104">
      <formula>B$9&gt;=20/24</formula>
    </cfRule>
    <cfRule type="expression" dxfId="4097" priority="105">
      <formula>AND(B$9&gt;=14/24,B$9&lt;20/24)</formula>
    </cfRule>
    <cfRule type="expression" dxfId="4096" priority="106">
      <formula>AND(B$9&gt;=8/24,B$9&lt;14/24)</formula>
    </cfRule>
    <cfRule type="expression" dxfId="4095" priority="107">
      <formula>B$9&lt;8/24</formula>
    </cfRule>
  </conditionalFormatting>
  <conditionalFormatting sqref="B43:S43 B15:W20 B22:W40 B21:Y21">
    <cfRule type="expression" dxfId="4094" priority="103">
      <formula>B15&gt;$AG15</formula>
    </cfRule>
  </conditionalFormatting>
  <conditionalFormatting sqref="B95:D95">
    <cfRule type="expression" dxfId="4093" priority="99">
      <formula>B$9&gt;=20/24</formula>
    </cfRule>
    <cfRule type="expression" dxfId="4092" priority="100">
      <formula>AND(B$9&gt;=14/24,B$9&lt;20/24)</formula>
    </cfRule>
    <cfRule type="expression" dxfId="4091" priority="101">
      <formula>AND(B$9&gt;=8/24,B$9&lt;14/24)</formula>
    </cfRule>
    <cfRule type="expression" dxfId="4090" priority="102">
      <formula>B$9&lt;8/24</formula>
    </cfRule>
  </conditionalFormatting>
  <conditionalFormatting sqref="B67:D67 B50:D51">
    <cfRule type="expression" dxfId="4089" priority="95">
      <formula>B$9&gt;=20/24</formula>
    </cfRule>
    <cfRule type="expression" dxfId="4088" priority="96">
      <formula>AND(B$9&gt;=14/24,B$9&lt;20/24)</formula>
    </cfRule>
    <cfRule type="expression" dxfId="4087" priority="97">
      <formula>AND(B$9&gt;=8/24,B$9&lt;14/24)</formula>
    </cfRule>
    <cfRule type="expression" dxfId="4086" priority="98">
      <formula>B$9&lt;8/24</formula>
    </cfRule>
  </conditionalFormatting>
  <conditionalFormatting sqref="B49:D49">
    <cfRule type="expression" dxfId="4085" priority="91">
      <formula>B$9&gt;=20/24</formula>
    </cfRule>
    <cfRule type="expression" dxfId="4084" priority="92">
      <formula>AND(B$9&gt;=14/24,B$9&lt;20/24)</formula>
    </cfRule>
    <cfRule type="expression" dxfId="4083" priority="93">
      <formula>AND(B$9&gt;=8/24,B$9&lt;14/24)</formula>
    </cfRule>
    <cfRule type="expression" dxfId="4082" priority="94">
      <formula>B$9&lt;8/24</formula>
    </cfRule>
  </conditionalFormatting>
  <conditionalFormatting sqref="B49:D51">
    <cfRule type="expression" dxfId="4081" priority="90">
      <formula>B49&gt;$AG49</formula>
    </cfRule>
  </conditionalFormatting>
  <conditionalFormatting sqref="B82:C82 B96:D102 B92:W92 B79:AF81 B68:D72 B63:Q65 V70:W70 E70:U72 V71:AF72">
    <cfRule type="expression" dxfId="4080" priority="86">
      <formula>B$9&gt;=20/24</formula>
    </cfRule>
    <cfRule type="expression" dxfId="4079" priority="87">
      <formula>AND(B$9&gt;=14/24,B$9&lt;20/24)</formula>
    </cfRule>
    <cfRule type="expression" dxfId="4078" priority="88">
      <formula>AND(B$9&gt;=8/24,B$9&lt;14/24)</formula>
    </cfRule>
    <cfRule type="expression" dxfId="4077" priority="89">
      <formula>B$9&lt;8/24</formula>
    </cfRule>
  </conditionalFormatting>
  <conditionalFormatting sqref="B52:L53 B63:Q65">
    <cfRule type="expression" dxfId="4076" priority="85">
      <formula>B52&gt;$AG52</formula>
    </cfRule>
  </conditionalFormatting>
  <conditionalFormatting sqref="B54:L54">
    <cfRule type="expression" dxfId="4075" priority="81">
      <formula>B$9&gt;=20/24</formula>
    </cfRule>
    <cfRule type="expression" dxfId="4074" priority="82">
      <formula>AND(B$9&gt;=14/24,B$9&lt;20/24)</formula>
    </cfRule>
    <cfRule type="expression" dxfId="4073" priority="83">
      <formula>AND(B$9&gt;=8/24,B$9&lt;14/24)</formula>
    </cfRule>
    <cfRule type="expression" dxfId="4072" priority="84">
      <formula>B$9&lt;8/24</formula>
    </cfRule>
  </conditionalFormatting>
  <conditionalFormatting sqref="B54:L54">
    <cfRule type="expression" dxfId="4071" priority="80">
      <formula>B54&gt;$AG54</formula>
    </cfRule>
  </conditionalFormatting>
  <conditionalFormatting sqref="B84 B93">
    <cfRule type="expression" dxfId="4070" priority="76">
      <formula>B$9&gt;=20/24</formula>
    </cfRule>
    <cfRule type="expression" dxfId="4069" priority="77">
      <formula>AND(B$9&gt;=14/24,B$9&lt;20/24)</formula>
    </cfRule>
    <cfRule type="expression" dxfId="4068" priority="78">
      <formula>AND(B$9&gt;=8/24,B$9&lt;14/24)</formula>
    </cfRule>
    <cfRule type="expression" dxfId="4067" priority="79">
      <formula>B$9&lt;8/24</formula>
    </cfRule>
  </conditionalFormatting>
  <conditionalFormatting sqref="B42:W42">
    <cfRule type="expression" dxfId="4066" priority="72">
      <formula>B$9&gt;=20/24</formula>
    </cfRule>
    <cfRule type="expression" dxfId="4065" priority="73">
      <formula>AND(B$9&gt;=14/24,B$9&lt;20/24)</formula>
    </cfRule>
    <cfRule type="expression" dxfId="4064" priority="74">
      <formula>AND(B$9&gt;=8/24,B$9&lt;14/24)</formula>
    </cfRule>
    <cfRule type="expression" dxfId="4063" priority="75">
      <formula>B$9&lt;8/24</formula>
    </cfRule>
  </conditionalFormatting>
  <conditionalFormatting sqref="B42:W42">
    <cfRule type="expression" dxfId="4062" priority="71">
      <formula>B42&gt;$AG42</formula>
    </cfRule>
  </conditionalFormatting>
  <conditionalFormatting sqref="B94:AF94 B66:AF66 B83:AF83 B85:AF85">
    <cfRule type="expression" dxfId="4061" priority="67">
      <formula>B$9&gt;=20/24</formula>
    </cfRule>
    <cfRule type="expression" dxfId="4060" priority="68">
      <formula>AND(B$9&gt;=14/24,B$9&lt;20/24)</formula>
    </cfRule>
    <cfRule type="expression" dxfId="4059" priority="69">
      <formula>AND(B$9&gt;=8/24,B$9&lt;14/24)</formula>
    </cfRule>
    <cfRule type="expression" dxfId="4058" priority="70">
      <formula>B$9&lt;8/24</formula>
    </cfRule>
  </conditionalFormatting>
  <conditionalFormatting sqref="B44:AF44 B61:AF62 B66:AF66">
    <cfRule type="expression" dxfId="4057" priority="66">
      <formula>B44&gt;$AG44</formula>
    </cfRule>
  </conditionalFormatting>
  <conditionalFormatting sqref="B78:AF78">
    <cfRule type="expression" dxfId="4056" priority="62">
      <formula>B$9&gt;=20/24</formula>
    </cfRule>
    <cfRule type="expression" dxfId="4055" priority="63">
      <formula>AND(B$9&gt;=14/24,B$9&lt;20/24)</formula>
    </cfRule>
    <cfRule type="expression" dxfId="4054" priority="64">
      <formula>AND(B$9&gt;=8/24,B$9&lt;14/24)</formula>
    </cfRule>
    <cfRule type="expression" dxfId="4053" priority="65">
      <formula>B$9&lt;8/24</formula>
    </cfRule>
  </conditionalFormatting>
  <conditionalFormatting sqref="B87:W91">
    <cfRule type="expression" dxfId="4052" priority="58">
      <formula>B$9&gt;=20/24</formula>
    </cfRule>
    <cfRule type="expression" dxfId="4051" priority="59">
      <formula>AND(B$9&gt;=14/24,B$9&lt;20/24)</formula>
    </cfRule>
    <cfRule type="expression" dxfId="4050" priority="60">
      <formula>AND(B$9&gt;=8/24,B$9&lt;14/24)</formula>
    </cfRule>
    <cfRule type="expression" dxfId="4049" priority="61">
      <formula>B$9&lt;8/24</formula>
    </cfRule>
  </conditionalFormatting>
  <conditionalFormatting sqref="B45:D47">
    <cfRule type="expression" dxfId="4048" priority="54">
      <formula>B$9&gt;=20/24</formula>
    </cfRule>
    <cfRule type="expression" dxfId="4047" priority="55">
      <formula>AND(B$9&gt;=14/24,B$9&lt;20/24)</formula>
    </cfRule>
    <cfRule type="expression" dxfId="4046" priority="56">
      <formula>AND(B$9&gt;=8/24,B$9&lt;14/24)</formula>
    </cfRule>
    <cfRule type="expression" dxfId="4045" priority="57">
      <formula>B$9&lt;8/24</formula>
    </cfRule>
  </conditionalFormatting>
  <conditionalFormatting sqref="B45:D47">
    <cfRule type="expression" dxfId="4044" priority="53">
      <formula>B45&gt;$AG45</formula>
    </cfRule>
  </conditionalFormatting>
  <conditionalFormatting sqref="B48:AF48">
    <cfRule type="expression" dxfId="4043" priority="49">
      <formula>B$9&gt;=20/24</formula>
    </cfRule>
    <cfRule type="expression" dxfId="4042" priority="50">
      <formula>AND(B$9&gt;=14/24,B$9&lt;20/24)</formula>
    </cfRule>
    <cfRule type="expression" dxfId="4041" priority="51">
      <formula>AND(B$9&gt;=8/24,B$9&lt;14/24)</formula>
    </cfRule>
    <cfRule type="expression" dxfId="4040" priority="52">
      <formula>B$9&lt;8/24</formula>
    </cfRule>
  </conditionalFormatting>
  <conditionalFormatting sqref="B48:AF48">
    <cfRule type="expression" dxfId="4039" priority="48">
      <formula>B48&gt;$AG48</formula>
    </cfRule>
  </conditionalFormatting>
  <conditionalFormatting sqref="B103">
    <cfRule type="expression" dxfId="4038" priority="44">
      <formula>B$9&gt;=20/24</formula>
    </cfRule>
    <cfRule type="expression" dxfId="4037" priority="45">
      <formula>AND(B$9&gt;=14/24,B$9&lt;20/24)</formula>
    </cfRule>
    <cfRule type="expression" dxfId="4036" priority="46">
      <formula>AND(B$9&gt;=8/24,B$9&lt;14/24)</formula>
    </cfRule>
    <cfRule type="expression" dxfId="4035" priority="47">
      <formula>B$9&lt;8/24</formula>
    </cfRule>
  </conditionalFormatting>
  <conditionalFormatting sqref="B106:C106">
    <cfRule type="expression" dxfId="4034" priority="32">
      <formula>B$9&gt;=20/24</formula>
    </cfRule>
    <cfRule type="expression" dxfId="4033" priority="33">
      <formula>AND(B$9&gt;=14/24,B$9&lt;20/24)</formula>
    </cfRule>
    <cfRule type="expression" dxfId="4032" priority="34">
      <formula>AND(B$9&gt;=8/24,B$9&lt;14/24)</formula>
    </cfRule>
    <cfRule type="expression" dxfId="4031" priority="35">
      <formula>B$9&lt;8/24</formula>
    </cfRule>
  </conditionalFormatting>
  <conditionalFormatting sqref="B55:L60 M57:W60 X55:AF60">
    <cfRule type="expression" dxfId="4030" priority="28">
      <formula>B$9&gt;=20/24</formula>
    </cfRule>
    <cfRule type="expression" dxfId="4029" priority="29">
      <formula>AND(B$9&gt;=14/24,B$9&lt;20/24)</formula>
    </cfRule>
    <cfRule type="expression" dxfId="4028" priority="30">
      <formula>AND(B$9&gt;=8/24,B$9&lt;14/24)</formula>
    </cfRule>
    <cfRule type="expression" dxfId="4027" priority="31">
      <formula>B$9&lt;8/24</formula>
    </cfRule>
  </conditionalFormatting>
  <conditionalFormatting sqref="B55:L60 M57:W60 X55:AF60">
    <cfRule type="expression" dxfId="4026" priority="27">
      <formula>B55&gt;$AG55</formula>
    </cfRule>
  </conditionalFormatting>
  <conditionalFormatting sqref="B12:W14 B41:W41">
    <cfRule type="expression" dxfId="4025" priority="26">
      <formula>B12&gt;$AG12</formula>
    </cfRule>
  </conditionalFormatting>
  <conditionalFormatting sqref="B11:W11">
    <cfRule type="expression" dxfId="4024" priority="22">
      <formula>B$9&gt;=20/24</formula>
    </cfRule>
    <cfRule type="expression" dxfId="4023" priority="23">
      <formula>AND(B$9&gt;=14/24,B$9&lt;20/24)</formula>
    </cfRule>
    <cfRule type="expression" dxfId="4022" priority="24">
      <formula>AND(B$9&gt;=8/24,B$9&lt;14/24)</formula>
    </cfRule>
    <cfRule type="expression" dxfId="4021" priority="25">
      <formula>B$9&lt;8/24</formula>
    </cfRule>
  </conditionalFormatting>
  <conditionalFormatting sqref="B11:W11">
    <cfRule type="expression" dxfId="4020" priority="21">
      <formula>B11&gt;$AG11</formula>
    </cfRule>
  </conditionalFormatting>
  <conditionalFormatting sqref="B12:W14">
    <cfRule type="expression" dxfId="4019" priority="17">
      <formula>B$9&gt;=20/24</formula>
    </cfRule>
    <cfRule type="expression" dxfId="4018" priority="18">
      <formula>AND(B$9&gt;=14/24,B$9&lt;20/24)</formula>
    </cfRule>
    <cfRule type="expression" dxfId="4017" priority="19">
      <formula>AND(B$9&gt;=8/24,B$9&lt;14/24)</formula>
    </cfRule>
    <cfRule type="expression" dxfId="4016" priority="20">
      <formula>B$9&lt;8/24</formula>
    </cfRule>
  </conditionalFormatting>
  <conditionalFormatting sqref="B41:W41">
    <cfRule type="expression" dxfId="4015" priority="13">
      <formula>B$9&gt;=20/24</formula>
    </cfRule>
    <cfRule type="expression" dxfId="4014" priority="14">
      <formula>AND(B$9&gt;=14/24,B$9&lt;20/24)</formula>
    </cfRule>
    <cfRule type="expression" dxfId="4013" priority="15">
      <formula>AND(B$9&gt;=8/24,B$9&lt;14/24)</formula>
    </cfRule>
    <cfRule type="expression" dxfId="4012" priority="16">
      <formula>B$9&lt;8/24</formula>
    </cfRule>
  </conditionalFormatting>
  <conditionalFormatting sqref="B73:AF77">
    <cfRule type="expression" dxfId="4011" priority="9">
      <formula>B$9&gt;=20/24</formula>
    </cfRule>
    <cfRule type="expression" dxfId="4010" priority="10">
      <formula>AND(B$9&gt;=14/24,B$9&lt;20/24)</formula>
    </cfRule>
    <cfRule type="expression" dxfId="4009" priority="11">
      <formula>AND(B$9&gt;=8/24,B$9&lt;14/24)</formula>
    </cfRule>
    <cfRule type="expression" dxfId="4008" priority="12">
      <formula>B$9&lt;8/24</formula>
    </cfRule>
  </conditionalFormatting>
  <conditionalFormatting sqref="AL74:AN74 AL80:AN80 AN75:AN76">
    <cfRule type="expression" dxfId="4007" priority="5">
      <formula>AL$9&gt;=20/24</formula>
    </cfRule>
    <cfRule type="expression" dxfId="4006" priority="6">
      <formula>AND(AL$9&gt;=14/24,AL$9&lt;20/24)</formula>
    </cfRule>
    <cfRule type="expression" dxfId="4005" priority="7">
      <formula>AND(AL$9&gt;=8/24,AL$9&lt;14/24)</formula>
    </cfRule>
    <cfRule type="expression" dxfId="4004" priority="8">
      <formula>AL$9&lt;8/24</formula>
    </cfRule>
  </conditionalFormatting>
  <conditionalFormatting sqref="AN77:AN78">
    <cfRule type="expression" dxfId="4003" priority="1">
      <formula>AN$9&gt;=20/24</formula>
    </cfRule>
    <cfRule type="expression" dxfId="4002" priority="2">
      <formula>AND(AN$9&gt;=14/24,AN$9&lt;20/24)</formula>
    </cfRule>
    <cfRule type="expression" dxfId="4001" priority="3">
      <formula>AND(AN$9&gt;=8/24,AN$9&lt;14/24)</formula>
    </cfRule>
    <cfRule type="expression" dxfId="4000" priority="4">
      <formula>AN$9&lt;8/24</formula>
    </cfRule>
  </conditionalFormatting>
  <conditionalFormatting sqref="AL75:AM79">
    <cfRule type="expression" dxfId="3999" priority="258">
      <formula>AJ$9&gt;=20/24</formula>
    </cfRule>
    <cfRule type="expression" dxfId="3998" priority="259">
      <formula>AND(AJ$9&gt;=14/24,AJ$9&lt;20/24)</formula>
    </cfRule>
    <cfRule type="expression" dxfId="3997" priority="260">
      <formula>AND(AJ$9&gt;=8/24,AJ$9&lt;14/24)</formula>
    </cfRule>
    <cfRule type="expression" dxfId="3996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CC8552E7-7D07-406D-A69D-D221FF78639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DEEAA094-4F89-42E1-B4AD-7AFE32B0999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7D395907-11D6-42F4-A04B-AF70E83AB60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EB591141-F52D-44A2-93A5-FB17FEE85F5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A6B42B2F-26F9-4AAB-A990-EF580CE4661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370D26DC-203A-4A72-8B60-3E633B27A02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2BFCB042-4255-4A54-B862-9EBEF26442E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50E9EE0B-735E-48E8-92F2-55A27B05CD7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C1BFFDED-C204-40BE-99AF-4FC0C01E6B9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11755176-DCFE-4EFF-9C3B-00459BB69E7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DF8B0D8F-B0EA-462A-BFA2-BAA90B0EA9E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CC4F64BE-1C6B-45D1-8C9C-AD725FCFF11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401DA00E-BCDC-4861-8615-A471B0C4C7F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7E8650F7-8341-4395-B49B-2E140546D2D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FF03049C-333F-45CB-9CFE-8E7CE58C5FA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019A6776-0111-4BB4-A611-DCECE0108C6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J274"/>
  <sheetViews>
    <sheetView workbookViewId="0">
      <pane ySplit="10" topLeftCell="A50" activePane="bottomLeft" state="frozen"/>
      <selection pane="bottomLeft" activeCell="AF66" sqref="AF6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2079/09/26</v>
      </c>
      <c r="C4" s="197"/>
      <c r="D4" s="197"/>
      <c r="E4" s="198" t="str">
        <f ca="1">"2079/"&amp;"09/"&amp;INT(MID(CELL("filename",G6),FIND("]",CELL("filename",G6))+1,200))</f>
        <v>2079/09/26</v>
      </c>
      <c r="F4" s="198"/>
      <c r="G4" s="198"/>
      <c r="H4" s="198" t="str">
        <f ca="1">TEXT(E4,"dddd")</f>
        <v>Tuesday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394</v>
      </c>
      <c r="C5" s="30">
        <f t="shared" si="0"/>
        <v>398.4</v>
      </c>
      <c r="D5" s="30">
        <f t="shared" si="0"/>
        <v>369.6</v>
      </c>
      <c r="E5" s="30">
        <f t="shared" si="0"/>
        <v>310.60000000000002</v>
      </c>
      <c r="F5" s="30">
        <f t="shared" si="0"/>
        <v>300.5</v>
      </c>
      <c r="G5" s="30">
        <f t="shared" si="0"/>
        <v>348.7</v>
      </c>
      <c r="H5" s="30">
        <f t="shared" si="0"/>
        <v>407</v>
      </c>
      <c r="I5" s="30">
        <f t="shared" si="0"/>
        <v>437.8</v>
      </c>
      <c r="J5" s="30">
        <f t="shared" si="0"/>
        <v>405</v>
      </c>
      <c r="K5" s="30">
        <f t="shared" si="0"/>
        <v>314</v>
      </c>
      <c r="L5" s="30">
        <f t="shared" si="0"/>
        <v>288.70000000000005</v>
      </c>
      <c r="M5" s="30">
        <f t="shared" si="0"/>
        <v>199.7</v>
      </c>
      <c r="N5" s="30">
        <f t="shared" si="0"/>
        <v>188.8</v>
      </c>
      <c r="O5" s="30">
        <f t="shared" si="0"/>
        <v>233</v>
      </c>
      <c r="P5" s="30">
        <f t="shared" si="0"/>
        <v>410.3</v>
      </c>
      <c r="Q5" s="30">
        <f t="shared" si="0"/>
        <v>406</v>
      </c>
      <c r="R5" s="30">
        <f t="shared" si="0"/>
        <v>428.4</v>
      </c>
      <c r="S5" s="30">
        <f t="shared" si="0"/>
        <v>413.8</v>
      </c>
      <c r="T5" s="30">
        <f t="shared" si="0"/>
        <v>378.7</v>
      </c>
      <c r="U5" s="30">
        <f t="shared" si="0"/>
        <v>267</v>
      </c>
      <c r="V5" s="30">
        <f t="shared" si="0"/>
        <v>223.6</v>
      </c>
      <c r="W5" s="30">
        <f t="shared" si="0"/>
        <v>221.8</v>
      </c>
      <c r="X5" s="30">
        <f t="shared" si="0"/>
        <v>230</v>
      </c>
      <c r="Y5" s="30">
        <f t="shared" si="0"/>
        <v>226.20000000000002</v>
      </c>
      <c r="Z5" s="30">
        <f t="shared" si="0"/>
        <v>193.7</v>
      </c>
      <c r="AA5" s="30">
        <f t="shared" si="0"/>
        <v>228</v>
      </c>
      <c r="AB5" s="30">
        <f t="shared" si="0"/>
        <v>288.60000000000002</v>
      </c>
      <c r="AC5" s="30">
        <f t="shared" si="0"/>
        <v>368.1</v>
      </c>
      <c r="AD5" s="30">
        <f t="shared" si="0"/>
        <v>212</v>
      </c>
      <c r="AE5" s="30">
        <f t="shared" si="0"/>
        <v>396</v>
      </c>
      <c r="AF5" s="30">
        <f>B78</f>
        <v>434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1625MW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Load=961</v>
      </c>
      <c r="B7" s="35">
        <f t="shared" ref="B7:AF7" si="1">B85</f>
        <v>1078.54</v>
      </c>
      <c r="C7" s="35">
        <f t="shared" si="1"/>
        <v>1023.54</v>
      </c>
      <c r="D7" s="35">
        <f t="shared" si="1"/>
        <v>1026.8400000000001</v>
      </c>
      <c r="E7" s="35">
        <f t="shared" si="1"/>
        <v>1035.74</v>
      </c>
      <c r="F7" s="35">
        <f t="shared" si="1"/>
        <v>1014.0400000000001</v>
      </c>
      <c r="G7" s="35">
        <f t="shared" si="1"/>
        <v>1068.1400000000001</v>
      </c>
      <c r="H7" s="35">
        <f t="shared" si="1"/>
        <v>1147.3400000000001</v>
      </c>
      <c r="I7" s="35">
        <f t="shared" si="1"/>
        <v>1224.44</v>
      </c>
      <c r="J7" s="35">
        <f t="shared" si="1"/>
        <v>1314.9399999999998</v>
      </c>
      <c r="K7" s="35">
        <f t="shared" si="1"/>
        <v>1450.04</v>
      </c>
      <c r="L7" s="35">
        <f t="shared" si="1"/>
        <v>1625.04</v>
      </c>
      <c r="M7" s="35">
        <f t="shared" si="1"/>
        <v>1510.84</v>
      </c>
      <c r="N7" s="35">
        <f>N85</f>
        <v>1455.94</v>
      </c>
      <c r="O7" s="35">
        <f t="shared" si="1"/>
        <v>1336.54</v>
      </c>
      <c r="P7" s="35">
        <f t="shared" si="1"/>
        <v>1309.94</v>
      </c>
      <c r="Q7" s="35">
        <f t="shared" si="1"/>
        <v>1431.34</v>
      </c>
      <c r="R7" s="35">
        <f t="shared" si="1"/>
        <v>1427.04</v>
      </c>
      <c r="S7" s="35">
        <f t="shared" si="1"/>
        <v>1441.44</v>
      </c>
      <c r="T7" s="35">
        <f t="shared" si="1"/>
        <v>1434.44</v>
      </c>
      <c r="U7" s="35">
        <f t="shared" si="1"/>
        <v>1401.8400000000001</v>
      </c>
      <c r="V7" s="35">
        <f t="shared" si="1"/>
        <v>1301.7400000000002</v>
      </c>
      <c r="W7" s="35">
        <f t="shared" si="1"/>
        <v>1591.74</v>
      </c>
      <c r="X7" s="35">
        <f>X85</f>
        <v>1804.44</v>
      </c>
      <c r="Y7" s="35">
        <f t="shared" si="1"/>
        <v>1777.64</v>
      </c>
      <c r="Z7" s="35">
        <f t="shared" si="1"/>
        <v>1736.24</v>
      </c>
      <c r="AA7" s="35">
        <f t="shared" si="1"/>
        <v>1700.74</v>
      </c>
      <c r="AB7" s="35">
        <f t="shared" si="1"/>
        <v>1658.04</v>
      </c>
      <c r="AC7" s="35">
        <f t="shared" si="1"/>
        <v>1579.3400000000001</v>
      </c>
      <c r="AD7" s="35">
        <f t="shared" si="1"/>
        <v>1470.7399999999998</v>
      </c>
      <c r="AE7" s="35">
        <f t="shared" si="1"/>
        <v>960.54</v>
      </c>
      <c r="AF7" s="35">
        <f t="shared" si="1"/>
        <v>1124.8399999999999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20</v>
      </c>
      <c r="C11" s="45">
        <v>20</v>
      </c>
      <c r="D11" s="45">
        <v>20.9</v>
      </c>
      <c r="E11" s="45">
        <v>20.9</v>
      </c>
      <c r="F11" s="45">
        <v>20.9</v>
      </c>
      <c r="G11" s="45">
        <v>22.1</v>
      </c>
      <c r="H11" s="45">
        <v>22.1</v>
      </c>
      <c r="I11" s="45">
        <v>22.1</v>
      </c>
      <c r="J11" s="45">
        <v>22</v>
      </c>
      <c r="K11" s="45">
        <v>22</v>
      </c>
      <c r="L11" s="45">
        <v>22</v>
      </c>
      <c r="M11" s="45">
        <v>22</v>
      </c>
      <c r="N11" s="45">
        <v>22</v>
      </c>
      <c r="O11" s="45">
        <v>22</v>
      </c>
      <c r="P11" s="45">
        <v>22</v>
      </c>
      <c r="Q11" s="45">
        <v>22</v>
      </c>
      <c r="R11" s="45">
        <v>22</v>
      </c>
      <c r="S11" s="45">
        <v>21.2</v>
      </c>
      <c r="T11" s="45">
        <v>21.2</v>
      </c>
      <c r="U11" s="45">
        <v>21.2</v>
      </c>
      <c r="V11" s="45">
        <v>21.2</v>
      </c>
      <c r="W11" s="45">
        <v>21.2</v>
      </c>
      <c r="X11" s="45">
        <v>19.600000000000001</v>
      </c>
      <c r="Y11" s="45">
        <v>19.600000000000001</v>
      </c>
      <c r="Z11" s="45">
        <v>20.100000000000001</v>
      </c>
      <c r="AA11" s="45">
        <v>20.100000000000001</v>
      </c>
      <c r="AB11" s="45">
        <v>20.100000000000001</v>
      </c>
      <c r="AC11" s="45">
        <v>20.100000000000001</v>
      </c>
      <c r="AD11" s="45">
        <v>20.100000000000001</v>
      </c>
      <c r="AE11" s="45">
        <v>20.100000000000001</v>
      </c>
      <c r="AF11" s="45">
        <v>20.100000000000001</v>
      </c>
      <c r="AG11" s="47">
        <v>52.4</v>
      </c>
      <c r="AH11" s="48">
        <f t="shared" ref="AH11:AH74" si="2">MAX(B11:AF11)</f>
        <v>22.1</v>
      </c>
      <c r="AI11" s="49">
        <f t="shared" ref="AI11:AI74" si="3">MIN(B11:AF11)</f>
        <v>19.600000000000001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39.700000000000003</v>
      </c>
      <c r="C12" s="45">
        <v>39.700000000000003</v>
      </c>
      <c r="D12" s="45">
        <v>39.700000000000003</v>
      </c>
      <c r="E12" s="45">
        <v>39.700000000000003</v>
      </c>
      <c r="F12" s="45">
        <v>39.700000000000003</v>
      </c>
      <c r="G12" s="45">
        <v>39.700000000000003</v>
      </c>
      <c r="H12" s="45">
        <v>39.700000000000003</v>
      </c>
      <c r="I12" s="45">
        <v>39.700000000000003</v>
      </c>
      <c r="J12" s="45">
        <v>40.200000000000003</v>
      </c>
      <c r="K12" s="45">
        <v>40.200000000000003</v>
      </c>
      <c r="L12" s="45">
        <v>40.200000000000003</v>
      </c>
      <c r="M12" s="45">
        <v>40.200000000000003</v>
      </c>
      <c r="N12" s="45">
        <v>40.200000000000003</v>
      </c>
      <c r="O12" s="45">
        <v>40.200000000000003</v>
      </c>
      <c r="P12" s="45">
        <v>40.200000000000003</v>
      </c>
      <c r="Q12" s="45">
        <v>40.200000000000003</v>
      </c>
      <c r="R12" s="45">
        <v>40.200000000000003</v>
      </c>
      <c r="S12" s="45">
        <v>40.200000000000003</v>
      </c>
      <c r="T12" s="45">
        <v>40.200000000000003</v>
      </c>
      <c r="U12" s="45">
        <v>40.200000000000003</v>
      </c>
      <c r="V12" s="45">
        <v>40.200000000000003</v>
      </c>
      <c r="W12" s="45">
        <v>40.200000000000003</v>
      </c>
      <c r="X12" s="45">
        <v>40.200000000000003</v>
      </c>
      <c r="Y12" s="45">
        <v>40.200000000000003</v>
      </c>
      <c r="Z12" s="45">
        <v>40.200000000000003</v>
      </c>
      <c r="AA12" s="45">
        <v>40.200000000000003</v>
      </c>
      <c r="AB12" s="45">
        <v>40.200000000000003</v>
      </c>
      <c r="AC12" s="45">
        <v>40.200000000000003</v>
      </c>
      <c r="AD12" s="45">
        <v>40.200000000000003</v>
      </c>
      <c r="AE12" s="45">
        <v>40.200000000000003</v>
      </c>
      <c r="AF12" s="45">
        <v>40.200000000000003</v>
      </c>
      <c r="AG12" s="51">
        <v>50</v>
      </c>
      <c r="AH12" s="48">
        <f t="shared" si="2"/>
        <v>40.200000000000003</v>
      </c>
      <c r="AI12" s="49">
        <f t="shared" si="3"/>
        <v>39.700000000000003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22</v>
      </c>
      <c r="C13" s="45">
        <v>22</v>
      </c>
      <c r="D13" s="45">
        <v>21.6</v>
      </c>
      <c r="E13" s="45">
        <v>21.6</v>
      </c>
      <c r="F13" s="45">
        <v>21.6</v>
      </c>
      <c r="G13" s="45">
        <v>21.6</v>
      </c>
      <c r="H13" s="45">
        <v>21.6</v>
      </c>
      <c r="I13" s="45">
        <v>21.6</v>
      </c>
      <c r="J13" s="45">
        <v>20.6</v>
      </c>
      <c r="K13" s="45">
        <v>20.6</v>
      </c>
      <c r="L13" s="45">
        <v>20.6</v>
      </c>
      <c r="M13" s="45">
        <v>20.6</v>
      </c>
      <c r="N13" s="45">
        <v>20.6</v>
      </c>
      <c r="O13" s="45">
        <v>20.6</v>
      </c>
      <c r="P13" s="45">
        <v>20.6</v>
      </c>
      <c r="Q13" s="45">
        <v>20.6</v>
      </c>
      <c r="R13" s="45">
        <v>20.6</v>
      </c>
      <c r="S13" s="45">
        <v>20.6</v>
      </c>
      <c r="T13" s="45">
        <v>20.6</v>
      </c>
      <c r="U13" s="45">
        <v>20.6</v>
      </c>
      <c r="V13" s="45">
        <v>20.6</v>
      </c>
      <c r="W13" s="45">
        <v>20.6</v>
      </c>
      <c r="X13" s="45">
        <v>20.6</v>
      </c>
      <c r="Y13" s="45">
        <v>20.6</v>
      </c>
      <c r="Z13" s="45">
        <v>20.6</v>
      </c>
      <c r="AA13" s="45">
        <v>20.6</v>
      </c>
      <c r="AB13" s="45">
        <v>20.6</v>
      </c>
      <c r="AC13" s="45">
        <v>20.6</v>
      </c>
      <c r="AD13" s="45">
        <v>20.6</v>
      </c>
      <c r="AE13" s="45">
        <v>20.6</v>
      </c>
      <c r="AF13" s="45">
        <v>20.6</v>
      </c>
      <c r="AG13" s="51">
        <v>45</v>
      </c>
      <c r="AH13" s="48">
        <f t="shared" si="2"/>
        <v>22</v>
      </c>
      <c r="AI13" s="49">
        <f t="shared" si="3"/>
        <v>20.6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10</v>
      </c>
      <c r="C14" s="45">
        <v>10</v>
      </c>
      <c r="D14" s="45">
        <v>11.5</v>
      </c>
      <c r="E14" s="45">
        <v>11.5</v>
      </c>
      <c r="F14" s="45">
        <v>11.5</v>
      </c>
      <c r="G14" s="45">
        <v>11.5</v>
      </c>
      <c r="H14" s="45">
        <v>11.5</v>
      </c>
      <c r="I14" s="45">
        <v>11.5</v>
      </c>
      <c r="J14" s="45">
        <v>11</v>
      </c>
      <c r="K14" s="45">
        <v>11</v>
      </c>
      <c r="L14" s="45">
        <v>11</v>
      </c>
      <c r="M14" s="45">
        <v>11</v>
      </c>
      <c r="N14" s="45">
        <v>11</v>
      </c>
      <c r="O14" s="45">
        <v>11</v>
      </c>
      <c r="P14" s="45">
        <v>11</v>
      </c>
      <c r="Q14" s="45">
        <v>11</v>
      </c>
      <c r="R14" s="45">
        <v>11</v>
      </c>
      <c r="S14" s="45">
        <v>11</v>
      </c>
      <c r="T14" s="45">
        <v>11</v>
      </c>
      <c r="U14" s="45">
        <v>11</v>
      </c>
      <c r="V14" s="45">
        <v>11</v>
      </c>
      <c r="W14" s="45">
        <v>11</v>
      </c>
      <c r="X14" s="45">
        <v>11</v>
      </c>
      <c r="Y14" s="45">
        <v>11</v>
      </c>
      <c r="Z14" s="45">
        <v>11</v>
      </c>
      <c r="AA14" s="45">
        <v>11</v>
      </c>
      <c r="AB14" s="45">
        <v>11</v>
      </c>
      <c r="AC14" s="45">
        <v>11</v>
      </c>
      <c r="AD14" s="45">
        <v>11</v>
      </c>
      <c r="AE14" s="45">
        <v>11</v>
      </c>
      <c r="AF14" s="45">
        <v>11</v>
      </c>
      <c r="AG14" s="51">
        <v>42</v>
      </c>
      <c r="AH14" s="48">
        <f t="shared" si="2"/>
        <v>11.5</v>
      </c>
      <c r="AI14" s="49">
        <f t="shared" si="3"/>
        <v>10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</v>
      </c>
      <c r="C15" s="45">
        <v>17</v>
      </c>
      <c r="D15" s="45">
        <v>17</v>
      </c>
      <c r="E15" s="45">
        <v>17</v>
      </c>
      <c r="F15" s="45">
        <v>17</v>
      </c>
      <c r="G15" s="45">
        <v>17</v>
      </c>
      <c r="H15" s="45">
        <v>17</v>
      </c>
      <c r="I15" s="45">
        <v>17</v>
      </c>
      <c r="J15" s="45">
        <v>17</v>
      </c>
      <c r="K15" s="45">
        <v>17</v>
      </c>
      <c r="L15" s="45">
        <v>17</v>
      </c>
      <c r="M15" s="45">
        <v>17</v>
      </c>
      <c r="N15" s="45">
        <v>17</v>
      </c>
      <c r="O15" s="45">
        <v>17</v>
      </c>
      <c r="P15" s="45">
        <v>17</v>
      </c>
      <c r="Q15" s="45">
        <v>17</v>
      </c>
      <c r="R15" s="45">
        <v>17</v>
      </c>
      <c r="S15" s="45">
        <v>17</v>
      </c>
      <c r="T15" s="45">
        <v>17</v>
      </c>
      <c r="U15" s="45">
        <v>17</v>
      </c>
      <c r="V15" s="45">
        <v>17</v>
      </c>
      <c r="W15" s="45">
        <v>17</v>
      </c>
      <c r="X15" s="45">
        <v>17</v>
      </c>
      <c r="Y15" s="45">
        <v>17</v>
      </c>
      <c r="Z15" s="45">
        <v>17</v>
      </c>
      <c r="AA15" s="45">
        <v>17</v>
      </c>
      <c r="AB15" s="45">
        <v>17</v>
      </c>
      <c r="AC15" s="45">
        <v>17</v>
      </c>
      <c r="AD15" s="45">
        <v>17</v>
      </c>
      <c r="AE15" s="45">
        <v>17</v>
      </c>
      <c r="AF15" s="45">
        <v>17</v>
      </c>
      <c r="AG15" s="51">
        <v>36</v>
      </c>
      <c r="AH15" s="48">
        <f t="shared" si="2"/>
        <v>17</v>
      </c>
      <c r="AI15" s="49">
        <f t="shared" si="3"/>
        <v>17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9.5</v>
      </c>
      <c r="C16" s="45">
        <v>9.5</v>
      </c>
      <c r="D16" s="45">
        <v>9.5</v>
      </c>
      <c r="E16" s="45">
        <v>9.5</v>
      </c>
      <c r="F16" s="45">
        <v>9.5</v>
      </c>
      <c r="G16" s="45">
        <v>9.5</v>
      </c>
      <c r="H16" s="45">
        <v>9.5</v>
      </c>
      <c r="I16" s="45">
        <v>9.5</v>
      </c>
      <c r="J16" s="45">
        <v>10.4</v>
      </c>
      <c r="K16" s="45">
        <v>10.4</v>
      </c>
      <c r="L16" s="45">
        <v>10.4</v>
      </c>
      <c r="M16" s="45">
        <v>10.4</v>
      </c>
      <c r="N16" s="45">
        <v>10.4</v>
      </c>
      <c r="O16" s="45">
        <v>10.4</v>
      </c>
      <c r="P16" s="45">
        <v>10.4</v>
      </c>
      <c r="Q16" s="45">
        <v>10.4</v>
      </c>
      <c r="R16" s="45">
        <v>10.4</v>
      </c>
      <c r="S16" s="45">
        <v>10.4</v>
      </c>
      <c r="T16" s="45">
        <v>10.4</v>
      </c>
      <c r="U16" s="45">
        <v>10.4</v>
      </c>
      <c r="V16" s="45">
        <v>10.4</v>
      </c>
      <c r="W16" s="45">
        <v>10.4</v>
      </c>
      <c r="X16" s="45">
        <v>10.4</v>
      </c>
      <c r="Y16" s="45">
        <v>10.4</v>
      </c>
      <c r="Z16" s="45">
        <v>10.4</v>
      </c>
      <c r="AA16" s="45">
        <v>10.4</v>
      </c>
      <c r="AB16" s="45">
        <v>10.4</v>
      </c>
      <c r="AC16" s="45">
        <v>10.4</v>
      </c>
      <c r="AD16" s="45">
        <v>10.4</v>
      </c>
      <c r="AE16" s="45">
        <v>10.4</v>
      </c>
      <c r="AF16" s="45">
        <v>10.4</v>
      </c>
      <c r="AG16" s="52">
        <v>30</v>
      </c>
      <c r="AH16" s="48">
        <f t="shared" si="2"/>
        <v>10.4</v>
      </c>
      <c r="AI16" s="49">
        <f t="shared" si="3"/>
        <v>9.5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9</v>
      </c>
      <c r="C17" s="45">
        <v>9</v>
      </c>
      <c r="D17" s="45">
        <v>9</v>
      </c>
      <c r="E17" s="45">
        <v>9</v>
      </c>
      <c r="F17" s="45">
        <v>9</v>
      </c>
      <c r="G17" s="45">
        <v>9</v>
      </c>
      <c r="H17" s="45">
        <v>9</v>
      </c>
      <c r="I17" s="45">
        <v>9</v>
      </c>
      <c r="J17" s="45">
        <v>9</v>
      </c>
      <c r="K17" s="45">
        <v>9</v>
      </c>
      <c r="L17" s="45">
        <v>9</v>
      </c>
      <c r="M17" s="45">
        <v>9</v>
      </c>
      <c r="N17" s="45">
        <v>9</v>
      </c>
      <c r="O17" s="45">
        <v>9</v>
      </c>
      <c r="P17" s="45">
        <v>9</v>
      </c>
      <c r="Q17" s="45">
        <v>9</v>
      </c>
      <c r="R17" s="45">
        <v>9</v>
      </c>
      <c r="S17" s="45">
        <v>9</v>
      </c>
      <c r="T17" s="45">
        <v>9</v>
      </c>
      <c r="U17" s="45">
        <v>9</v>
      </c>
      <c r="V17" s="45">
        <v>9</v>
      </c>
      <c r="W17" s="45">
        <v>9</v>
      </c>
      <c r="X17" s="45">
        <v>9</v>
      </c>
      <c r="Y17" s="45">
        <v>9</v>
      </c>
      <c r="Z17" s="45">
        <v>9</v>
      </c>
      <c r="AA17" s="45">
        <v>9</v>
      </c>
      <c r="AB17" s="45">
        <v>9</v>
      </c>
      <c r="AC17" s="45">
        <v>9</v>
      </c>
      <c r="AD17" s="45">
        <v>9</v>
      </c>
      <c r="AE17" s="45">
        <v>9</v>
      </c>
      <c r="AF17" s="45">
        <v>9</v>
      </c>
      <c r="AG17" s="51">
        <v>24.2</v>
      </c>
      <c r="AH17" s="48">
        <f t="shared" si="2"/>
        <v>9</v>
      </c>
      <c r="AI17" s="49">
        <f t="shared" si="3"/>
        <v>9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51">
        <v>25</v>
      </c>
      <c r="AH20" s="48">
        <f t="shared" si="2"/>
        <v>10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9.4</v>
      </c>
      <c r="C24" s="45">
        <v>9.4</v>
      </c>
      <c r="D24" s="45">
        <v>9.4</v>
      </c>
      <c r="E24" s="45">
        <v>9.4</v>
      </c>
      <c r="F24" s="45">
        <v>9.4</v>
      </c>
      <c r="G24" s="45">
        <v>9.4</v>
      </c>
      <c r="H24" s="45">
        <v>9.4</v>
      </c>
      <c r="I24" s="45">
        <v>9.4</v>
      </c>
      <c r="J24" s="45">
        <v>9.4</v>
      </c>
      <c r="K24" s="45">
        <v>9.4</v>
      </c>
      <c r="L24" s="45">
        <v>9.4</v>
      </c>
      <c r="M24" s="45">
        <v>9.4</v>
      </c>
      <c r="N24" s="45">
        <v>9.4</v>
      </c>
      <c r="O24" s="45">
        <v>9.4</v>
      </c>
      <c r="P24" s="45">
        <v>9.4</v>
      </c>
      <c r="Q24" s="45">
        <v>9.4</v>
      </c>
      <c r="R24" s="45">
        <v>9.4</v>
      </c>
      <c r="S24" s="45">
        <v>9.4</v>
      </c>
      <c r="T24" s="45">
        <v>9.4</v>
      </c>
      <c r="U24" s="45">
        <v>9.4</v>
      </c>
      <c r="V24" s="45">
        <v>9.4</v>
      </c>
      <c r="W24" s="45">
        <v>9.4</v>
      </c>
      <c r="X24" s="45">
        <v>9.4</v>
      </c>
      <c r="Y24" s="45">
        <v>9.4</v>
      </c>
      <c r="Z24" s="45">
        <v>9.4</v>
      </c>
      <c r="AA24" s="45">
        <v>9.4</v>
      </c>
      <c r="AB24" s="45">
        <v>9.4</v>
      </c>
      <c r="AC24" s="45">
        <v>9.4</v>
      </c>
      <c r="AD24" s="45">
        <v>9.4</v>
      </c>
      <c r="AE24" s="45">
        <v>9.4</v>
      </c>
      <c r="AF24" s="45">
        <v>9.4</v>
      </c>
      <c r="AG24" s="51">
        <v>23.5</v>
      </c>
      <c r="AH24" s="48">
        <f t="shared" si="2"/>
        <v>9.4</v>
      </c>
      <c r="AI24" s="49">
        <f t="shared" si="3"/>
        <v>9.4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9.4</v>
      </c>
      <c r="C28" s="45">
        <v>9.4</v>
      </c>
      <c r="D28" s="45">
        <v>9.4</v>
      </c>
      <c r="E28" s="45">
        <v>9.4</v>
      </c>
      <c r="F28" s="45">
        <v>9.4</v>
      </c>
      <c r="G28" s="45">
        <v>9.4</v>
      </c>
      <c r="H28" s="45">
        <v>9.4</v>
      </c>
      <c r="I28" s="45">
        <v>9.4</v>
      </c>
      <c r="J28" s="45">
        <v>9.4</v>
      </c>
      <c r="K28" s="45">
        <v>9.4</v>
      </c>
      <c r="L28" s="45">
        <v>9.4</v>
      </c>
      <c r="M28" s="45">
        <v>9.4</v>
      </c>
      <c r="N28" s="45">
        <v>9.4</v>
      </c>
      <c r="O28" s="45">
        <v>9.4</v>
      </c>
      <c r="P28" s="45">
        <v>9.4</v>
      </c>
      <c r="Q28" s="45">
        <v>9.4</v>
      </c>
      <c r="R28" s="45">
        <v>9.4</v>
      </c>
      <c r="S28" s="45">
        <v>9.4</v>
      </c>
      <c r="T28" s="45">
        <v>9.4</v>
      </c>
      <c r="U28" s="45">
        <v>9.4</v>
      </c>
      <c r="V28" s="45">
        <v>9.4</v>
      </c>
      <c r="W28" s="45">
        <v>9.4</v>
      </c>
      <c r="X28" s="45">
        <v>9.4</v>
      </c>
      <c r="Y28" s="45">
        <v>9.4</v>
      </c>
      <c r="Z28" s="45">
        <v>9.4</v>
      </c>
      <c r="AA28" s="45">
        <v>9.4</v>
      </c>
      <c r="AB28" s="45">
        <v>9.4</v>
      </c>
      <c r="AC28" s="45">
        <v>9.4</v>
      </c>
      <c r="AD28" s="45">
        <v>9.4</v>
      </c>
      <c r="AE28" s="45">
        <v>9.4</v>
      </c>
      <c r="AF28" s="45">
        <v>9.4</v>
      </c>
      <c r="AG28" s="51">
        <v>22</v>
      </c>
      <c r="AH28" s="48">
        <f t="shared" si="2"/>
        <v>9.4</v>
      </c>
      <c r="AI28" s="49">
        <f t="shared" si="3"/>
        <v>9.4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>
        <v>1.2</v>
      </c>
      <c r="S32" s="45">
        <v>1.2</v>
      </c>
      <c r="T32" s="45">
        <v>1.2</v>
      </c>
      <c r="U32" s="45">
        <v>1.2</v>
      </c>
      <c r="V32" s="45">
        <v>1.2</v>
      </c>
      <c r="W32" s="45">
        <v>1.2</v>
      </c>
      <c r="X32" s="45">
        <v>1.2</v>
      </c>
      <c r="Y32" s="45">
        <v>1.2</v>
      </c>
      <c r="Z32" s="45">
        <v>1.2</v>
      </c>
      <c r="AA32" s="45">
        <v>1.2</v>
      </c>
      <c r="AB32" s="45">
        <v>1.2</v>
      </c>
      <c r="AC32" s="45">
        <v>1.2</v>
      </c>
      <c r="AD32" s="45">
        <v>1.2</v>
      </c>
      <c r="AE32" s="45">
        <v>1.2</v>
      </c>
      <c r="AF32" s="45">
        <v>1.2</v>
      </c>
      <c r="AG32" s="51">
        <v>13.6</v>
      </c>
      <c r="AH32" s="48">
        <f t="shared" si="2"/>
        <v>1.2</v>
      </c>
      <c r="AI32" s="49">
        <f t="shared" si="3"/>
        <v>1.2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150</v>
      </c>
      <c r="C42" s="57">
        <v>150</v>
      </c>
      <c r="D42" s="57">
        <v>150</v>
      </c>
      <c r="E42" s="57">
        <v>150</v>
      </c>
      <c r="F42" s="57">
        <v>150</v>
      </c>
      <c r="G42" s="57">
        <v>150</v>
      </c>
      <c r="H42" s="57">
        <v>150</v>
      </c>
      <c r="I42" s="57">
        <v>150</v>
      </c>
      <c r="J42" s="57">
        <v>150</v>
      </c>
      <c r="K42" s="57">
        <v>150</v>
      </c>
      <c r="L42" s="57">
        <v>150</v>
      </c>
      <c r="M42" s="57">
        <v>150</v>
      </c>
      <c r="N42" s="57">
        <v>150</v>
      </c>
      <c r="O42" s="57">
        <v>150</v>
      </c>
      <c r="P42" s="57">
        <v>150</v>
      </c>
      <c r="Q42" s="57">
        <v>150</v>
      </c>
      <c r="R42" s="57">
        <v>150</v>
      </c>
      <c r="S42" s="57">
        <v>150</v>
      </c>
      <c r="T42" s="57">
        <v>150</v>
      </c>
      <c r="U42" s="57">
        <v>150</v>
      </c>
      <c r="V42" s="57">
        <v>150</v>
      </c>
      <c r="W42" s="57">
        <v>150</v>
      </c>
      <c r="X42" s="57">
        <v>150</v>
      </c>
      <c r="Y42" s="57">
        <v>150</v>
      </c>
      <c r="Z42" s="57">
        <v>150</v>
      </c>
      <c r="AA42" s="57">
        <v>150</v>
      </c>
      <c r="AB42" s="57">
        <v>150</v>
      </c>
      <c r="AC42" s="57">
        <v>150</v>
      </c>
      <c r="AD42" s="57">
        <v>150</v>
      </c>
      <c r="AE42" s="57">
        <v>150</v>
      </c>
      <c r="AF42" s="57">
        <v>150</v>
      </c>
      <c r="AG42" s="55">
        <v>85</v>
      </c>
      <c r="AH42" s="48">
        <f t="shared" si="2"/>
        <v>150</v>
      </c>
      <c r="AI42" s="49">
        <f t="shared" si="3"/>
        <v>150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467.79999999999995</v>
      </c>
      <c r="C44" s="61">
        <f t="shared" si="4"/>
        <v>467.79999999999995</v>
      </c>
      <c r="D44" s="61">
        <f t="shared" si="4"/>
        <v>469.79999999999995</v>
      </c>
      <c r="E44" s="61">
        <f t="shared" si="4"/>
        <v>469.79999999999995</v>
      </c>
      <c r="F44" s="61">
        <f t="shared" si="4"/>
        <v>469.79999999999995</v>
      </c>
      <c r="G44" s="61">
        <f t="shared" si="4"/>
        <v>471</v>
      </c>
      <c r="H44" s="61">
        <f t="shared" si="4"/>
        <v>471</v>
      </c>
      <c r="I44" s="61">
        <f t="shared" si="4"/>
        <v>471</v>
      </c>
      <c r="J44" s="61">
        <f t="shared" si="4"/>
        <v>470.8</v>
      </c>
      <c r="K44" s="61">
        <f t="shared" si="4"/>
        <v>470.8</v>
      </c>
      <c r="L44" s="61">
        <f t="shared" si="4"/>
        <v>470.8</v>
      </c>
      <c r="M44" s="61">
        <f t="shared" si="4"/>
        <v>470.8</v>
      </c>
      <c r="N44" s="61">
        <f t="shared" si="4"/>
        <v>470.8</v>
      </c>
      <c r="O44" s="61">
        <f t="shared" si="4"/>
        <v>470.8</v>
      </c>
      <c r="P44" s="61">
        <f t="shared" si="4"/>
        <v>470.8</v>
      </c>
      <c r="Q44" s="61">
        <f t="shared" si="4"/>
        <v>470.8</v>
      </c>
      <c r="R44" s="61">
        <f t="shared" si="4"/>
        <v>470.8</v>
      </c>
      <c r="S44" s="61">
        <f t="shared" si="4"/>
        <v>470</v>
      </c>
      <c r="T44" s="61">
        <f t="shared" si="4"/>
        <v>470</v>
      </c>
      <c r="U44" s="61">
        <f t="shared" si="4"/>
        <v>470</v>
      </c>
      <c r="V44" s="61">
        <f t="shared" si="4"/>
        <v>470</v>
      </c>
      <c r="W44" s="61">
        <f t="shared" si="4"/>
        <v>470</v>
      </c>
      <c r="X44" s="61">
        <v>468.4</v>
      </c>
      <c r="Y44" s="61">
        <f t="shared" si="4"/>
        <v>468.4</v>
      </c>
      <c r="Z44" s="61">
        <f t="shared" si="4"/>
        <v>468.9</v>
      </c>
      <c r="AA44" s="61">
        <f t="shared" si="4"/>
        <v>468.9</v>
      </c>
      <c r="AB44" s="61">
        <f t="shared" si="4"/>
        <v>468.9</v>
      </c>
      <c r="AC44" s="61">
        <f t="shared" si="4"/>
        <v>468.9</v>
      </c>
      <c r="AD44" s="61">
        <f t="shared" si="4"/>
        <v>468.9</v>
      </c>
      <c r="AE44" s="61">
        <f t="shared" si="4"/>
        <v>468.9</v>
      </c>
      <c r="AF44" s="61">
        <f t="shared" si="4"/>
        <v>468.9</v>
      </c>
      <c r="AG44" s="62">
        <f t="shared" si="4"/>
        <v>814.78000000000009</v>
      </c>
      <c r="AH44" s="48">
        <f t="shared" si="2"/>
        <v>471</v>
      </c>
      <c r="AI44" s="49">
        <f t="shared" si="3"/>
        <v>467.79999999999995</v>
      </c>
      <c r="AK44" s="50"/>
    </row>
    <row r="45" spans="1:88" x14ac:dyDescent="0.25">
      <c r="A45" s="6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20</v>
      </c>
      <c r="K45" s="45">
        <v>20</v>
      </c>
      <c r="L45" s="45">
        <v>150</v>
      </c>
      <c r="M45" s="164">
        <v>230</v>
      </c>
      <c r="N45" s="164">
        <v>300</v>
      </c>
      <c r="O45" s="45">
        <v>230</v>
      </c>
      <c r="P45" s="45">
        <v>120</v>
      </c>
      <c r="Q45" s="45">
        <v>60</v>
      </c>
      <c r="R45" s="45">
        <v>60</v>
      </c>
      <c r="S45" s="45">
        <v>60</v>
      </c>
      <c r="T45" s="45">
        <v>60</v>
      </c>
      <c r="U45" s="45">
        <v>60</v>
      </c>
      <c r="V45" s="45">
        <v>125</v>
      </c>
      <c r="W45" s="45">
        <v>225</v>
      </c>
      <c r="X45" s="45">
        <v>305</v>
      </c>
      <c r="Y45" s="45">
        <v>270</v>
      </c>
      <c r="Z45" s="45">
        <v>270</v>
      </c>
      <c r="AA45" s="45">
        <v>295</v>
      </c>
      <c r="AB45" s="45">
        <v>260</v>
      </c>
      <c r="AC45" s="45">
        <v>150</v>
      </c>
      <c r="AD45" s="45">
        <v>80</v>
      </c>
      <c r="AE45" s="45">
        <v>15</v>
      </c>
      <c r="AF45" s="45">
        <v>25</v>
      </c>
      <c r="AG45" s="52">
        <v>456</v>
      </c>
      <c r="AH45" s="48">
        <f t="shared" si="2"/>
        <v>305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41</v>
      </c>
      <c r="AK46" s="50"/>
    </row>
    <row r="47" spans="1:88" ht="15.75" thickBot="1" x14ac:dyDescent="0.3">
      <c r="A47" s="66" t="s">
        <v>55</v>
      </c>
      <c r="B47" s="67">
        <v>12</v>
      </c>
      <c r="C47" s="67">
        <v>12</v>
      </c>
      <c r="D47" s="67">
        <v>12.2</v>
      </c>
      <c r="E47" s="67">
        <v>12.2</v>
      </c>
      <c r="F47" s="67">
        <v>12.2</v>
      </c>
      <c r="G47" s="67">
        <v>12.2</v>
      </c>
      <c r="H47" s="67">
        <v>12.2</v>
      </c>
      <c r="I47" s="67">
        <v>12.2</v>
      </c>
      <c r="J47" s="67">
        <v>12.2</v>
      </c>
      <c r="K47" s="67">
        <v>12.2</v>
      </c>
      <c r="L47" s="67">
        <v>12.2</v>
      </c>
      <c r="M47" s="67">
        <v>12.2</v>
      </c>
      <c r="N47" s="67">
        <v>12.2</v>
      </c>
      <c r="O47" s="67">
        <v>12.2</v>
      </c>
      <c r="P47" s="67">
        <v>12.2</v>
      </c>
      <c r="Q47" s="67">
        <v>12.2</v>
      </c>
      <c r="R47" s="67">
        <v>12.2</v>
      </c>
      <c r="S47" s="67">
        <v>12.2</v>
      </c>
      <c r="T47" s="67">
        <v>12.2</v>
      </c>
      <c r="U47" s="67">
        <v>12.2</v>
      </c>
      <c r="V47" s="67">
        <v>12.2</v>
      </c>
      <c r="W47" s="67">
        <v>12.2</v>
      </c>
      <c r="X47" s="67">
        <v>14</v>
      </c>
      <c r="Y47" s="67">
        <v>18</v>
      </c>
      <c r="Z47" s="67">
        <v>18</v>
      </c>
      <c r="AA47" s="67">
        <v>18</v>
      </c>
      <c r="AB47" s="67">
        <v>18</v>
      </c>
      <c r="AC47" s="67">
        <v>18</v>
      </c>
      <c r="AD47" s="67">
        <v>12.2</v>
      </c>
      <c r="AE47" s="67">
        <v>13</v>
      </c>
      <c r="AF47" s="67">
        <v>13</v>
      </c>
      <c r="AG47" s="68">
        <v>22.1</v>
      </c>
      <c r="AH47" s="48">
        <f t="shared" si="2"/>
        <v>18</v>
      </c>
      <c r="AI47" s="49">
        <f t="shared" si="3"/>
        <v>12</v>
      </c>
      <c r="AK47" s="50"/>
    </row>
    <row r="48" spans="1:88" ht="15.75" thickBot="1" x14ac:dyDescent="0.3">
      <c r="A48" s="69" t="s">
        <v>56</v>
      </c>
      <c r="B48" s="61">
        <f t="shared" ref="B48:AG48" si="5">SUM(B45:B47)</f>
        <v>53</v>
      </c>
      <c r="C48" s="61">
        <f t="shared" si="5"/>
        <v>53</v>
      </c>
      <c r="D48" s="61">
        <f t="shared" si="5"/>
        <v>53.2</v>
      </c>
      <c r="E48" s="61">
        <f t="shared" si="5"/>
        <v>53.2</v>
      </c>
      <c r="F48" s="61">
        <f t="shared" si="5"/>
        <v>53.2</v>
      </c>
      <c r="G48" s="61">
        <f t="shared" si="5"/>
        <v>53.2</v>
      </c>
      <c r="H48" s="61">
        <f t="shared" si="5"/>
        <v>53.2</v>
      </c>
      <c r="I48" s="61">
        <f t="shared" si="5"/>
        <v>53.2</v>
      </c>
      <c r="J48" s="61">
        <f t="shared" si="5"/>
        <v>73.2</v>
      </c>
      <c r="K48" s="61">
        <f t="shared" si="5"/>
        <v>73.2</v>
      </c>
      <c r="L48" s="61">
        <f t="shared" si="5"/>
        <v>203.2</v>
      </c>
      <c r="M48" s="61">
        <f t="shared" si="5"/>
        <v>283.2</v>
      </c>
      <c r="N48" s="61">
        <f t="shared" si="5"/>
        <v>353.2</v>
      </c>
      <c r="O48" s="61">
        <f t="shared" si="5"/>
        <v>283.2</v>
      </c>
      <c r="P48" s="61">
        <f t="shared" si="5"/>
        <v>173.2</v>
      </c>
      <c r="Q48" s="61">
        <f t="shared" si="5"/>
        <v>113.2</v>
      </c>
      <c r="R48" s="61">
        <f t="shared" si="5"/>
        <v>113.2</v>
      </c>
      <c r="S48" s="61">
        <f t="shared" si="5"/>
        <v>113.2</v>
      </c>
      <c r="T48" s="61">
        <f t="shared" si="5"/>
        <v>113.2</v>
      </c>
      <c r="U48" s="61">
        <f t="shared" si="5"/>
        <v>113.2</v>
      </c>
      <c r="V48" s="61">
        <f t="shared" si="5"/>
        <v>178.2</v>
      </c>
      <c r="W48" s="61">
        <f t="shared" si="5"/>
        <v>278.2</v>
      </c>
      <c r="X48" s="61">
        <v>360</v>
      </c>
      <c r="Y48" s="61">
        <f t="shared" si="5"/>
        <v>329</v>
      </c>
      <c r="Z48" s="61">
        <f t="shared" si="5"/>
        <v>329</v>
      </c>
      <c r="AA48" s="61">
        <f t="shared" si="5"/>
        <v>354</v>
      </c>
      <c r="AB48" s="61">
        <f t="shared" si="5"/>
        <v>319</v>
      </c>
      <c r="AC48" s="61">
        <f t="shared" si="5"/>
        <v>209</v>
      </c>
      <c r="AD48" s="61">
        <f t="shared" si="5"/>
        <v>133.19999999999999</v>
      </c>
      <c r="AE48" s="61">
        <f t="shared" si="5"/>
        <v>69</v>
      </c>
      <c r="AF48" s="61">
        <f t="shared" si="5"/>
        <v>79</v>
      </c>
      <c r="AG48" s="62">
        <f t="shared" si="5"/>
        <v>538.1</v>
      </c>
      <c r="AH48" s="48">
        <f t="shared" si="2"/>
        <v>360</v>
      </c>
      <c r="AI48" s="49">
        <f t="shared" si="3"/>
        <v>53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30</v>
      </c>
      <c r="G49" s="45">
        <v>92</v>
      </c>
      <c r="H49" s="45">
        <v>105</v>
      </c>
      <c r="I49" s="45">
        <v>107.8</v>
      </c>
      <c r="J49" s="45">
        <v>125</v>
      </c>
      <c r="K49" s="45">
        <v>124</v>
      </c>
      <c r="L49" s="45">
        <v>142</v>
      </c>
      <c r="M49" s="45">
        <v>132</v>
      </c>
      <c r="N49" s="45">
        <v>113.7</v>
      </c>
      <c r="O49" s="45">
        <v>113.7</v>
      </c>
      <c r="P49" s="45">
        <v>123.7</v>
      </c>
      <c r="Q49" s="45">
        <v>127</v>
      </c>
      <c r="R49" s="45">
        <v>127</v>
      </c>
      <c r="S49" s="45">
        <v>122</v>
      </c>
      <c r="T49" s="45">
        <v>131</v>
      </c>
      <c r="U49" s="45">
        <v>127</v>
      </c>
      <c r="V49" s="45">
        <v>96</v>
      </c>
      <c r="W49" s="45">
        <v>96.7</v>
      </c>
      <c r="X49" s="45">
        <v>138.30000000000001</v>
      </c>
      <c r="Y49" s="45">
        <v>138.30000000000001</v>
      </c>
      <c r="Z49" s="45">
        <v>129.6</v>
      </c>
      <c r="AA49" s="45">
        <v>122.2</v>
      </c>
      <c r="AB49" s="45">
        <v>97.6</v>
      </c>
      <c r="AC49" s="45">
        <v>86</v>
      </c>
      <c r="AD49" s="45">
        <v>48</v>
      </c>
      <c r="AE49" s="45">
        <v>0</v>
      </c>
      <c r="AF49" s="45">
        <v>0</v>
      </c>
      <c r="AG49" s="52">
        <v>144</v>
      </c>
      <c r="AH49" s="48">
        <f t="shared" si="2"/>
        <v>142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20</v>
      </c>
      <c r="I50" s="65">
        <v>36</v>
      </c>
      <c r="J50" s="65">
        <v>48.5</v>
      </c>
      <c r="K50" s="65">
        <v>46</v>
      </c>
      <c r="L50" s="65">
        <v>60</v>
      </c>
      <c r="M50" s="65">
        <v>59.6</v>
      </c>
      <c r="N50" s="65">
        <v>49.4</v>
      </c>
      <c r="O50" s="65">
        <v>49.4</v>
      </c>
      <c r="P50" s="65">
        <v>50.4</v>
      </c>
      <c r="Q50" s="65">
        <v>58</v>
      </c>
      <c r="R50" s="65">
        <v>58</v>
      </c>
      <c r="S50" s="45">
        <v>51.3</v>
      </c>
      <c r="T50" s="45">
        <v>51.7</v>
      </c>
      <c r="U50" s="45">
        <v>62</v>
      </c>
      <c r="V50" s="45">
        <v>54</v>
      </c>
      <c r="W50" s="45">
        <v>52.8</v>
      </c>
      <c r="X50" s="45">
        <v>68.8</v>
      </c>
      <c r="Y50" s="45">
        <v>68.8</v>
      </c>
      <c r="Z50" s="45">
        <v>62.4</v>
      </c>
      <c r="AA50" s="45">
        <v>41.4</v>
      </c>
      <c r="AB50" s="65">
        <v>32.6</v>
      </c>
      <c r="AC50" s="65">
        <v>31</v>
      </c>
      <c r="AD50" s="65">
        <v>0</v>
      </c>
      <c r="AE50" s="65">
        <v>0</v>
      </c>
      <c r="AF50" s="65">
        <v>0</v>
      </c>
      <c r="AG50" s="55">
        <v>70</v>
      </c>
      <c r="AH50" s="48">
        <f t="shared" si="2"/>
        <v>68.8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15</v>
      </c>
      <c r="C51" s="65">
        <v>0</v>
      </c>
      <c r="D51" s="65">
        <v>0</v>
      </c>
      <c r="E51" s="65">
        <v>37.700000000000003</v>
      </c>
      <c r="F51" s="65">
        <v>45</v>
      </c>
      <c r="G51" s="65">
        <v>46</v>
      </c>
      <c r="H51" s="65">
        <v>44</v>
      </c>
      <c r="I51" s="65">
        <v>45</v>
      </c>
      <c r="J51" s="65">
        <v>55.2</v>
      </c>
      <c r="K51" s="65">
        <v>67</v>
      </c>
      <c r="L51" s="65">
        <v>53</v>
      </c>
      <c r="M51" s="65">
        <v>55.4</v>
      </c>
      <c r="N51" s="65">
        <v>55.2</v>
      </c>
      <c r="O51" s="65">
        <v>59</v>
      </c>
      <c r="P51" s="65">
        <v>49.6</v>
      </c>
      <c r="Q51" s="65">
        <v>40.700000000000003</v>
      </c>
      <c r="R51" s="65">
        <v>40.700000000000003</v>
      </c>
      <c r="S51" s="45">
        <v>46.2</v>
      </c>
      <c r="T51" s="45">
        <v>46.2</v>
      </c>
      <c r="U51" s="45">
        <v>40.4</v>
      </c>
      <c r="V51" s="45">
        <v>34</v>
      </c>
      <c r="W51" s="45">
        <v>46.5</v>
      </c>
      <c r="X51" s="45">
        <v>69</v>
      </c>
      <c r="Y51" s="45">
        <v>65</v>
      </c>
      <c r="Z51" s="45">
        <v>68.3</v>
      </c>
      <c r="AA51" s="45">
        <v>69.2</v>
      </c>
      <c r="AB51" s="65">
        <v>68.3</v>
      </c>
      <c r="AC51" s="65">
        <v>68</v>
      </c>
      <c r="AD51" s="65">
        <v>60.5</v>
      </c>
      <c r="AE51" s="65">
        <v>60.5</v>
      </c>
      <c r="AF51" s="65">
        <v>45</v>
      </c>
      <c r="AG51" s="55">
        <v>69</v>
      </c>
      <c r="AH51" s="48">
        <f t="shared" si="2"/>
        <v>69.2</v>
      </c>
      <c r="AI51" s="49">
        <f t="shared" si="3"/>
        <v>0</v>
      </c>
      <c r="AK51" s="50"/>
    </row>
    <row r="52" spans="1:41" x14ac:dyDescent="0.25">
      <c r="A52" s="54" t="s">
        <v>60</v>
      </c>
      <c r="B52" s="57">
        <v>57.7</v>
      </c>
      <c r="C52" s="57">
        <v>57.7</v>
      </c>
      <c r="D52" s="57">
        <v>54.4</v>
      </c>
      <c r="E52" s="57">
        <v>54.4</v>
      </c>
      <c r="F52" s="57">
        <v>54.4</v>
      </c>
      <c r="G52" s="57">
        <v>54.4</v>
      </c>
      <c r="H52" s="57">
        <v>54.4</v>
      </c>
      <c r="I52" s="57">
        <v>53.4</v>
      </c>
      <c r="J52" s="57">
        <v>53.4</v>
      </c>
      <c r="K52" s="57">
        <v>53</v>
      </c>
      <c r="L52" s="57">
        <v>53.7</v>
      </c>
      <c r="M52" s="65">
        <v>53.9</v>
      </c>
      <c r="N52" s="65">
        <v>55.2</v>
      </c>
      <c r="O52" s="65">
        <v>55.2</v>
      </c>
      <c r="P52" s="65">
        <v>55.4</v>
      </c>
      <c r="Q52" s="65">
        <v>55.4</v>
      </c>
      <c r="R52" s="65">
        <v>55.4</v>
      </c>
      <c r="S52" s="45">
        <v>54.4</v>
      </c>
      <c r="T52" s="45">
        <v>52.6</v>
      </c>
      <c r="U52" s="45">
        <v>54.6</v>
      </c>
      <c r="V52" s="45">
        <v>54.6</v>
      </c>
      <c r="W52" s="65">
        <v>55.4</v>
      </c>
      <c r="X52" s="65">
        <v>55.2</v>
      </c>
      <c r="Y52" s="65">
        <v>55.2</v>
      </c>
      <c r="Z52" s="65">
        <v>55.2</v>
      </c>
      <c r="AA52" s="65">
        <v>55.2</v>
      </c>
      <c r="AB52" s="65">
        <v>55.6</v>
      </c>
      <c r="AC52" s="65">
        <v>55.6</v>
      </c>
      <c r="AD52" s="65">
        <v>55.2</v>
      </c>
      <c r="AE52" s="65">
        <v>55.2</v>
      </c>
      <c r="AF52" s="65">
        <v>55.2</v>
      </c>
      <c r="AG52" s="55">
        <v>60</v>
      </c>
      <c r="AH52" s="48">
        <f t="shared" si="2"/>
        <v>57.7</v>
      </c>
      <c r="AI52" s="49">
        <f t="shared" si="3"/>
        <v>52.6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10</v>
      </c>
      <c r="L53" s="57">
        <v>20</v>
      </c>
      <c r="M53" s="65">
        <v>29.3</v>
      </c>
      <c r="N53" s="65">
        <v>29.3</v>
      </c>
      <c r="O53" s="65">
        <v>25</v>
      </c>
      <c r="P53" s="65">
        <v>14.7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20.6</v>
      </c>
      <c r="X53" s="65">
        <v>30</v>
      </c>
      <c r="Y53" s="65">
        <v>30</v>
      </c>
      <c r="Z53" s="65">
        <v>28.7</v>
      </c>
      <c r="AA53" s="65">
        <v>28.2</v>
      </c>
      <c r="AB53" s="65">
        <v>20</v>
      </c>
      <c r="AC53" s="65">
        <v>12</v>
      </c>
      <c r="AD53" s="65">
        <v>12</v>
      </c>
      <c r="AE53" s="65">
        <v>0</v>
      </c>
      <c r="AF53" s="65">
        <v>0</v>
      </c>
      <c r="AG53" s="55">
        <v>30</v>
      </c>
      <c r="AH53" s="48">
        <f t="shared" si="2"/>
        <v>30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8</v>
      </c>
      <c r="N54" s="65">
        <v>8</v>
      </c>
      <c r="O54" s="65">
        <v>8</v>
      </c>
      <c r="P54" s="65">
        <v>8</v>
      </c>
      <c r="Q54" s="65">
        <v>8</v>
      </c>
      <c r="R54" s="65">
        <v>8</v>
      </c>
      <c r="S54" s="65">
        <v>8</v>
      </c>
      <c r="T54" s="65">
        <v>8</v>
      </c>
      <c r="U54" s="65">
        <v>8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8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>
        <v>17</v>
      </c>
      <c r="S55" s="65">
        <v>17</v>
      </c>
      <c r="T55" s="65">
        <v>17</v>
      </c>
      <c r="U55" s="65">
        <v>17</v>
      </c>
      <c r="V55" s="65">
        <v>17</v>
      </c>
      <c r="W55" s="65">
        <v>17</v>
      </c>
      <c r="X55" s="6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5">
        <v>24</v>
      </c>
      <c r="AH55" s="48">
        <f t="shared" si="2"/>
        <v>17</v>
      </c>
      <c r="AI55" s="49">
        <f t="shared" si="3"/>
        <v>17</v>
      </c>
      <c r="AK55" s="50"/>
    </row>
    <row r="56" spans="1:41" x14ac:dyDescent="0.25">
      <c r="A56" s="54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5">
        <v>15</v>
      </c>
      <c r="AH56" s="48">
        <f t="shared" si="2"/>
        <v>3.2</v>
      </c>
      <c r="AI56" s="49">
        <f t="shared" si="3"/>
        <v>3.2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12.4</v>
      </c>
      <c r="C57" s="65">
        <v>12.4</v>
      </c>
      <c r="D57" s="65">
        <v>12.4</v>
      </c>
      <c r="E57" s="65">
        <v>12.4</v>
      </c>
      <c r="F57" s="65">
        <v>12.4</v>
      </c>
      <c r="G57" s="65">
        <v>12.4</v>
      </c>
      <c r="H57" s="65">
        <v>12.4</v>
      </c>
      <c r="I57" s="65">
        <v>12.4</v>
      </c>
      <c r="J57" s="65">
        <v>12.4</v>
      </c>
      <c r="K57" s="65">
        <v>12.4</v>
      </c>
      <c r="L57" s="65">
        <v>12.4</v>
      </c>
      <c r="M57" s="65">
        <v>12.4</v>
      </c>
      <c r="N57" s="65">
        <v>12.4</v>
      </c>
      <c r="O57" s="65">
        <v>12.4</v>
      </c>
      <c r="P57" s="65">
        <v>12.4</v>
      </c>
      <c r="Q57" s="65">
        <v>11.6</v>
      </c>
      <c r="R57" s="65">
        <v>11.6</v>
      </c>
      <c r="S57" s="65">
        <v>11.6</v>
      </c>
      <c r="T57" s="65">
        <v>11.6</v>
      </c>
      <c r="U57" s="65">
        <v>11.6</v>
      </c>
      <c r="V57" s="65">
        <v>11.6</v>
      </c>
      <c r="W57" s="65">
        <v>11.6</v>
      </c>
      <c r="X57" s="65">
        <v>11.6</v>
      </c>
      <c r="Y57" s="65">
        <v>11.6</v>
      </c>
      <c r="Z57" s="65">
        <v>11.6</v>
      </c>
      <c r="AA57" s="65">
        <v>11.6</v>
      </c>
      <c r="AB57" s="65">
        <v>11.6</v>
      </c>
      <c r="AC57" s="65">
        <v>11.6</v>
      </c>
      <c r="AD57" s="65">
        <v>11.6</v>
      </c>
      <c r="AE57" s="65">
        <v>11.6</v>
      </c>
      <c r="AF57" s="65">
        <v>11.6</v>
      </c>
      <c r="AG57" s="55">
        <v>14.1</v>
      </c>
      <c r="AH57" s="48">
        <f t="shared" si="2"/>
        <v>12.4</v>
      </c>
      <c r="AI57" s="49">
        <f t="shared" si="3"/>
        <v>11.6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5.4</v>
      </c>
      <c r="C58" s="65">
        <v>5.4</v>
      </c>
      <c r="D58" s="65">
        <v>5.4</v>
      </c>
      <c r="E58" s="65">
        <v>5.4</v>
      </c>
      <c r="F58" s="65">
        <v>5.4</v>
      </c>
      <c r="G58" s="65">
        <v>5.4</v>
      </c>
      <c r="H58" s="65">
        <v>5.4</v>
      </c>
      <c r="I58" s="65">
        <v>5.4</v>
      </c>
      <c r="J58" s="65">
        <v>5.4</v>
      </c>
      <c r="K58" s="65">
        <v>5.4</v>
      </c>
      <c r="L58" s="65">
        <v>5.4</v>
      </c>
      <c r="M58" s="65">
        <v>5.4</v>
      </c>
      <c r="N58" s="65">
        <v>5.4</v>
      </c>
      <c r="O58" s="65">
        <v>4.9000000000000004</v>
      </c>
      <c r="P58" s="65">
        <v>4.9000000000000004</v>
      </c>
      <c r="Q58" s="65">
        <v>4.9000000000000004</v>
      </c>
      <c r="R58" s="65">
        <v>4.9000000000000004</v>
      </c>
      <c r="S58" s="65">
        <v>4.9000000000000004</v>
      </c>
      <c r="T58" s="65">
        <v>4.9000000000000004</v>
      </c>
      <c r="U58" s="65">
        <v>4.9000000000000004</v>
      </c>
      <c r="V58" s="65">
        <v>4.9000000000000004</v>
      </c>
      <c r="W58" s="65">
        <v>4.9000000000000004</v>
      </c>
      <c r="X58" s="65">
        <v>4.9000000000000004</v>
      </c>
      <c r="Y58" s="65">
        <v>4.9000000000000004</v>
      </c>
      <c r="Z58" s="65">
        <v>4.9000000000000004</v>
      </c>
      <c r="AA58" s="65">
        <v>4.9000000000000004</v>
      </c>
      <c r="AB58" s="65">
        <v>4.9000000000000004</v>
      </c>
      <c r="AC58" s="65">
        <v>4.9000000000000004</v>
      </c>
      <c r="AD58" s="65">
        <v>4.9000000000000004</v>
      </c>
      <c r="AE58" s="65">
        <v>4.9000000000000004</v>
      </c>
      <c r="AF58" s="65">
        <v>4.9000000000000004</v>
      </c>
      <c r="AG58" s="55">
        <v>14</v>
      </c>
      <c r="AH58" s="48">
        <f t="shared" si="2"/>
        <v>5.4</v>
      </c>
      <c r="AI58" s="49">
        <f t="shared" si="3"/>
        <v>4.9000000000000004</v>
      </c>
      <c r="AK58" s="50"/>
    </row>
    <row r="59" spans="1:41" x14ac:dyDescent="0.25">
      <c r="A59" s="54" t="s">
        <v>67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>
        <v>6.5</v>
      </c>
      <c r="O59" s="65">
        <v>6.5</v>
      </c>
      <c r="P59" s="65">
        <v>6.5</v>
      </c>
      <c r="Q59" s="65">
        <v>6.5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68</v>
      </c>
      <c r="B60" s="65">
        <v>3</v>
      </c>
      <c r="C60" s="65">
        <v>3</v>
      </c>
      <c r="D60" s="65">
        <v>3</v>
      </c>
      <c r="E60" s="65">
        <v>3</v>
      </c>
      <c r="F60" s="65">
        <v>3</v>
      </c>
      <c r="G60" s="65">
        <v>3</v>
      </c>
      <c r="H60" s="65">
        <v>3</v>
      </c>
      <c r="I60" s="65">
        <v>3</v>
      </c>
      <c r="J60" s="65">
        <v>3</v>
      </c>
      <c r="K60" s="65">
        <v>3</v>
      </c>
      <c r="L60" s="65">
        <v>3</v>
      </c>
      <c r="M60" s="65">
        <v>3</v>
      </c>
      <c r="N60" s="65">
        <v>3</v>
      </c>
      <c r="O60" s="65">
        <v>3</v>
      </c>
      <c r="P60" s="65">
        <v>3</v>
      </c>
      <c r="Q60" s="65">
        <v>3</v>
      </c>
      <c r="R60" s="65">
        <v>3</v>
      </c>
      <c r="S60" s="65">
        <v>3</v>
      </c>
      <c r="T60" s="65">
        <v>3</v>
      </c>
      <c r="U60" s="65">
        <v>3</v>
      </c>
      <c r="V60" s="65">
        <v>3</v>
      </c>
      <c r="W60" s="65">
        <v>3</v>
      </c>
      <c r="X60" s="65">
        <v>3</v>
      </c>
      <c r="Y60" s="65">
        <v>3</v>
      </c>
      <c r="Z60" s="65">
        <v>3</v>
      </c>
      <c r="AA60" s="65">
        <v>3</v>
      </c>
      <c r="AB60" s="65">
        <v>3</v>
      </c>
      <c r="AC60" s="65">
        <v>3</v>
      </c>
      <c r="AD60" s="65">
        <v>3</v>
      </c>
      <c r="AE60" s="65">
        <v>3</v>
      </c>
      <c r="AF60" s="65">
        <v>3</v>
      </c>
      <c r="AG60" s="55">
        <v>6.2</v>
      </c>
      <c r="AH60" s="48">
        <f t="shared" si="2"/>
        <v>3</v>
      </c>
      <c r="AI60" s="49">
        <f t="shared" si="3"/>
        <v>3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6">SUM(B49:B61)</f>
        <v>123.74000000000002</v>
      </c>
      <c r="C62" s="61">
        <f t="shared" si="6"/>
        <v>108.74000000000002</v>
      </c>
      <c r="D62" s="61">
        <f t="shared" si="6"/>
        <v>105.44000000000003</v>
      </c>
      <c r="E62" s="61">
        <f t="shared" si="6"/>
        <v>143.13999999999999</v>
      </c>
      <c r="F62" s="61">
        <f t="shared" si="6"/>
        <v>180.44</v>
      </c>
      <c r="G62" s="61">
        <f t="shared" si="6"/>
        <v>243.44</v>
      </c>
      <c r="H62" s="61">
        <f t="shared" si="6"/>
        <v>274.44</v>
      </c>
      <c r="I62" s="61">
        <f t="shared" si="6"/>
        <v>293.24</v>
      </c>
      <c r="J62" s="61">
        <f t="shared" si="6"/>
        <v>333.13999999999993</v>
      </c>
      <c r="K62" s="61">
        <f t="shared" si="6"/>
        <v>351.03999999999996</v>
      </c>
      <c r="L62" s="61">
        <f t="shared" si="6"/>
        <v>379.73999999999995</v>
      </c>
      <c r="M62" s="61">
        <f t="shared" si="6"/>
        <v>389.23999999999995</v>
      </c>
      <c r="N62" s="61">
        <f t="shared" si="6"/>
        <v>361.84</v>
      </c>
      <c r="O62" s="61">
        <f t="shared" si="6"/>
        <v>360.84</v>
      </c>
      <c r="P62" s="61">
        <f>SUM(P49:P61)</f>
        <v>352.33999999999992</v>
      </c>
      <c r="Q62" s="61">
        <f t="shared" si="6"/>
        <v>338.84</v>
      </c>
      <c r="R62" s="61">
        <f t="shared" si="6"/>
        <v>338.84</v>
      </c>
      <c r="S62" s="61">
        <f t="shared" si="6"/>
        <v>331.64</v>
      </c>
      <c r="T62" s="61">
        <f t="shared" si="6"/>
        <v>339.24</v>
      </c>
      <c r="U62" s="61">
        <f t="shared" si="6"/>
        <v>341.74</v>
      </c>
      <c r="V62" s="61">
        <f t="shared" si="6"/>
        <v>288.34000000000003</v>
      </c>
      <c r="W62" s="61">
        <f t="shared" si="6"/>
        <v>321.74</v>
      </c>
      <c r="X62" s="61">
        <f t="shared" si="6"/>
        <v>411.04</v>
      </c>
      <c r="Y62" s="61">
        <f t="shared" si="6"/>
        <v>407.04</v>
      </c>
      <c r="Z62" s="61">
        <f t="shared" si="6"/>
        <v>393.94</v>
      </c>
      <c r="AA62" s="61">
        <f t="shared" si="6"/>
        <v>365.94</v>
      </c>
      <c r="AB62" s="61">
        <f t="shared" si="6"/>
        <v>323.84000000000003</v>
      </c>
      <c r="AC62" s="61">
        <f t="shared" si="6"/>
        <v>302.34000000000003</v>
      </c>
      <c r="AD62" s="61">
        <f t="shared" si="6"/>
        <v>225.43999999999997</v>
      </c>
      <c r="AE62" s="61">
        <f t="shared" si="6"/>
        <v>165.43999999999997</v>
      </c>
      <c r="AF62" s="61">
        <f t="shared" si="6"/>
        <v>149.94</v>
      </c>
      <c r="AG62" s="62">
        <f t="shared" si="6"/>
        <v>489.91</v>
      </c>
      <c r="AH62" s="48">
        <f t="shared" si="2"/>
        <v>411.04</v>
      </c>
      <c r="AI62" s="49">
        <f t="shared" si="3"/>
        <v>105.44000000000003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14</v>
      </c>
      <c r="K63" s="45">
        <v>20</v>
      </c>
      <c r="L63" s="45">
        <v>50</v>
      </c>
      <c r="M63" s="45">
        <v>50</v>
      </c>
      <c r="N63" s="45">
        <v>40</v>
      </c>
      <c r="O63" s="45">
        <v>20</v>
      </c>
      <c r="P63" s="45">
        <v>60</v>
      </c>
      <c r="Q63" s="45">
        <v>60</v>
      </c>
      <c r="R63" s="45">
        <v>60</v>
      </c>
      <c r="S63" s="45">
        <v>60</v>
      </c>
      <c r="T63" s="45">
        <v>60</v>
      </c>
      <c r="U63" s="45">
        <v>60</v>
      </c>
      <c r="V63" s="45">
        <v>60</v>
      </c>
      <c r="W63" s="45">
        <v>60</v>
      </c>
      <c r="X63" s="45">
        <v>60</v>
      </c>
      <c r="Y63" s="45">
        <v>60</v>
      </c>
      <c r="Z63" s="45">
        <v>60</v>
      </c>
      <c r="AA63" s="45">
        <v>60</v>
      </c>
      <c r="AB63" s="45">
        <v>60</v>
      </c>
      <c r="AC63" s="45">
        <v>55</v>
      </c>
      <c r="AD63" s="45">
        <v>50</v>
      </c>
      <c r="AE63" s="45">
        <v>30</v>
      </c>
      <c r="AF63" s="45">
        <v>20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9</v>
      </c>
      <c r="L64" s="65">
        <v>20</v>
      </c>
      <c r="M64" s="65">
        <v>21.2</v>
      </c>
      <c r="N64" s="65">
        <v>22.3</v>
      </c>
      <c r="O64" s="65">
        <v>9.5</v>
      </c>
      <c r="P64" s="65">
        <v>15.1</v>
      </c>
      <c r="Q64" s="45">
        <v>28</v>
      </c>
      <c r="R64" s="45">
        <v>28</v>
      </c>
      <c r="S64" s="45">
        <v>28</v>
      </c>
      <c r="T64" s="45">
        <v>28</v>
      </c>
      <c r="U64" s="45">
        <v>28</v>
      </c>
      <c r="V64" s="45">
        <v>28</v>
      </c>
      <c r="W64" s="45">
        <v>28</v>
      </c>
      <c r="X64" s="45">
        <v>28</v>
      </c>
      <c r="Y64" s="45">
        <v>28</v>
      </c>
      <c r="Z64" s="45">
        <v>28</v>
      </c>
      <c r="AA64" s="45">
        <v>28</v>
      </c>
      <c r="AB64" s="65">
        <v>28</v>
      </c>
      <c r="AC64" s="65">
        <v>26</v>
      </c>
      <c r="AD64" s="65">
        <v>18.8</v>
      </c>
      <c r="AE64" s="65">
        <v>11.1</v>
      </c>
      <c r="AF64" s="45">
        <v>8</v>
      </c>
      <c r="AG64" s="55">
        <v>32</v>
      </c>
      <c r="AH64" s="48">
        <f t="shared" si="2"/>
        <v>28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3.3</v>
      </c>
      <c r="L65" s="67">
        <v>7.3</v>
      </c>
      <c r="M65" s="67">
        <v>7.7</v>
      </c>
      <c r="N65" s="67">
        <v>8.1</v>
      </c>
      <c r="O65" s="67">
        <v>3.4</v>
      </c>
      <c r="P65" s="67">
        <v>5.5</v>
      </c>
      <c r="Q65" s="45">
        <v>10.199999999999999</v>
      </c>
      <c r="R65" s="45">
        <v>10.199999999999999</v>
      </c>
      <c r="S65" s="45">
        <v>10.199999999999999</v>
      </c>
      <c r="T65" s="45">
        <v>10.199999999999999</v>
      </c>
      <c r="U65" s="45">
        <v>10.199999999999999</v>
      </c>
      <c r="V65" s="45">
        <v>10.199999999999999</v>
      </c>
      <c r="W65" s="45">
        <v>10.199999999999999</v>
      </c>
      <c r="X65" s="45">
        <v>10.199999999999999</v>
      </c>
      <c r="Y65" s="45">
        <v>10.199999999999999</v>
      </c>
      <c r="Z65" s="45">
        <v>10.199999999999999</v>
      </c>
      <c r="AA65" s="45">
        <v>10.199999999999999</v>
      </c>
      <c r="AB65" s="67">
        <v>10.3</v>
      </c>
      <c r="AC65" s="67">
        <v>9.5</v>
      </c>
      <c r="AD65" s="67">
        <v>6.3</v>
      </c>
      <c r="AE65" s="67">
        <v>4.0999999999999996</v>
      </c>
      <c r="AF65" s="45">
        <v>3</v>
      </c>
      <c r="AG65" s="68">
        <v>14</v>
      </c>
      <c r="AH65" s="48">
        <f t="shared" si="2"/>
        <v>10.3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77.3</v>
      </c>
      <c r="M66" s="61">
        <f t="shared" ref="M66:AF66" si="7">M63+M64+M65</f>
        <v>78.900000000000006</v>
      </c>
      <c r="N66" s="61">
        <f t="shared" si="7"/>
        <v>70.399999999999991</v>
      </c>
      <c r="O66" s="61">
        <f t="shared" si="7"/>
        <v>32.9</v>
      </c>
      <c r="P66" s="61">
        <f t="shared" si="7"/>
        <v>80.599999999999994</v>
      </c>
      <c r="Q66" s="61">
        <f t="shared" si="7"/>
        <v>98.2</v>
      </c>
      <c r="R66" s="61">
        <f t="shared" si="7"/>
        <v>98.2</v>
      </c>
      <c r="S66" s="61">
        <f t="shared" si="7"/>
        <v>98.2</v>
      </c>
      <c r="T66" s="61">
        <f t="shared" si="7"/>
        <v>98.2</v>
      </c>
      <c r="U66" s="61">
        <f t="shared" si="7"/>
        <v>98.2</v>
      </c>
      <c r="V66" s="61">
        <f t="shared" si="7"/>
        <v>98.2</v>
      </c>
      <c r="W66" s="61">
        <f t="shared" si="7"/>
        <v>98.2</v>
      </c>
      <c r="X66" s="61">
        <f t="shared" si="7"/>
        <v>98.2</v>
      </c>
      <c r="Y66" s="61">
        <f t="shared" si="7"/>
        <v>98.2</v>
      </c>
      <c r="Z66" s="61">
        <f t="shared" si="7"/>
        <v>98.2</v>
      </c>
      <c r="AA66" s="61">
        <f t="shared" si="7"/>
        <v>98.2</v>
      </c>
      <c r="AB66" s="61">
        <f t="shared" si="7"/>
        <v>98.3</v>
      </c>
      <c r="AC66" s="61">
        <f t="shared" si="7"/>
        <v>90.5</v>
      </c>
      <c r="AD66" s="61">
        <f t="shared" si="7"/>
        <v>75.099999999999994</v>
      </c>
      <c r="AE66" s="61">
        <f t="shared" si="7"/>
        <v>45.2</v>
      </c>
      <c r="AF66" s="61">
        <f t="shared" si="7"/>
        <v>31</v>
      </c>
      <c r="AG66" s="62">
        <f t="shared" ref="AG66" si="8">SUM(AG63:AG65)</f>
        <v>106</v>
      </c>
      <c r="AH66" s="48">
        <f t="shared" si="2"/>
        <v>98.3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64</v>
      </c>
      <c r="C67" s="45">
        <v>64</v>
      </c>
      <c r="D67" s="45">
        <v>67.400000000000006</v>
      </c>
      <c r="E67" s="45">
        <v>63.6</v>
      </c>
      <c r="F67" s="45">
        <v>62.6</v>
      </c>
      <c r="G67" s="45">
        <v>69.5</v>
      </c>
      <c r="H67" s="45">
        <v>72.7</v>
      </c>
      <c r="I67" s="45">
        <v>75</v>
      </c>
      <c r="J67" s="45">
        <v>61.2</v>
      </c>
      <c r="K67" s="45">
        <v>69</v>
      </c>
      <c r="L67" s="45">
        <v>47</v>
      </c>
      <c r="M67" s="45">
        <v>47.2</v>
      </c>
      <c r="N67" s="45">
        <v>38</v>
      </c>
      <c r="O67" s="45">
        <v>35.799999999999997</v>
      </c>
      <c r="P67" s="45">
        <v>37</v>
      </c>
      <c r="Q67" s="45">
        <v>73.3</v>
      </c>
      <c r="R67" s="45">
        <v>70</v>
      </c>
      <c r="S67" s="45">
        <v>67.400000000000006</v>
      </c>
      <c r="T67" s="45">
        <v>62.2</v>
      </c>
      <c r="U67" s="45">
        <v>66.8</v>
      </c>
      <c r="V67" s="45">
        <v>70</v>
      </c>
      <c r="W67" s="45">
        <v>52.6</v>
      </c>
      <c r="X67" s="45">
        <v>55.5</v>
      </c>
      <c r="Y67" s="45">
        <v>51</v>
      </c>
      <c r="Z67" s="45">
        <v>55.4</v>
      </c>
      <c r="AA67" s="45">
        <v>52.8</v>
      </c>
      <c r="AB67" s="45">
        <v>56</v>
      </c>
      <c r="AC67" s="45">
        <v>59.6</v>
      </c>
      <c r="AD67" s="45">
        <v>64.099999999999994</v>
      </c>
      <c r="AE67" s="45">
        <v>57</v>
      </c>
      <c r="AF67" s="45">
        <v>65</v>
      </c>
      <c r="AG67" s="52"/>
      <c r="AH67" s="48">
        <f t="shared" si="2"/>
        <v>75</v>
      </c>
      <c r="AI67" s="49">
        <f t="shared" si="3"/>
        <v>35.799999999999997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275</v>
      </c>
      <c r="C69" s="65">
        <v>238</v>
      </c>
      <c r="D69" s="65">
        <v>238</v>
      </c>
      <c r="E69" s="65">
        <v>215</v>
      </c>
      <c r="F69" s="65">
        <v>210</v>
      </c>
      <c r="G69" s="65">
        <v>220</v>
      </c>
      <c r="H69" s="65">
        <v>235</v>
      </c>
      <c r="I69" s="65">
        <v>281</v>
      </c>
      <c r="J69" s="65">
        <v>288</v>
      </c>
      <c r="K69" s="65">
        <v>251</v>
      </c>
      <c r="L69" s="65">
        <v>170</v>
      </c>
      <c r="M69" s="65">
        <v>146.9</v>
      </c>
      <c r="N69" s="65">
        <v>72</v>
      </c>
      <c r="O69" s="65">
        <v>65</v>
      </c>
      <c r="P69" s="65">
        <v>185</v>
      </c>
      <c r="Q69" s="65">
        <v>326</v>
      </c>
      <c r="R69" s="65">
        <v>325</v>
      </c>
      <c r="S69" s="65">
        <v>350</v>
      </c>
      <c r="T69" s="65">
        <v>340.6</v>
      </c>
      <c r="U69" s="65">
        <v>300.89999999999998</v>
      </c>
      <c r="V69" s="65">
        <v>186</v>
      </c>
      <c r="W69" s="65">
        <v>160</v>
      </c>
      <c r="X69" s="65">
        <v>147.30000000000001</v>
      </c>
      <c r="Y69" s="65">
        <v>160</v>
      </c>
      <c r="Z69" s="65">
        <v>151.80000000000001</v>
      </c>
      <c r="AA69" s="65">
        <v>121.9</v>
      </c>
      <c r="AB69" s="65">
        <v>153</v>
      </c>
      <c r="AC69" s="65">
        <v>210</v>
      </c>
      <c r="AD69" s="65">
        <v>285</v>
      </c>
      <c r="AE69" s="65">
        <v>136</v>
      </c>
      <c r="AF69" s="65">
        <v>312</v>
      </c>
      <c r="AG69" s="75"/>
      <c r="AH69" s="48">
        <f t="shared" si="2"/>
        <v>350</v>
      </c>
      <c r="AI69" s="49">
        <f t="shared" si="3"/>
        <v>65</v>
      </c>
      <c r="AK69" s="50"/>
    </row>
    <row r="70" spans="1:40" x14ac:dyDescent="0.25">
      <c r="A70" s="54" t="s">
        <v>78</v>
      </c>
      <c r="B70" s="76">
        <v>54</v>
      </c>
      <c r="C70" s="76">
        <v>51</v>
      </c>
      <c r="D70" s="76">
        <v>52</v>
      </c>
      <c r="E70" s="76">
        <v>50</v>
      </c>
      <c r="F70" s="76">
        <v>32</v>
      </c>
      <c r="G70" s="76">
        <v>0</v>
      </c>
      <c r="H70" s="76">
        <v>0</v>
      </c>
      <c r="I70" s="76">
        <v>10</v>
      </c>
      <c r="J70" s="76">
        <v>53.6</v>
      </c>
      <c r="K70" s="76">
        <v>49</v>
      </c>
      <c r="L70" s="76">
        <v>51</v>
      </c>
      <c r="M70" s="76">
        <v>48.6</v>
      </c>
      <c r="N70" s="76">
        <v>48.7</v>
      </c>
      <c r="O70" s="76">
        <v>47</v>
      </c>
      <c r="P70" s="76">
        <v>5</v>
      </c>
      <c r="Q70" s="76">
        <v>5</v>
      </c>
      <c r="R70" s="76">
        <v>5</v>
      </c>
      <c r="S70" s="76">
        <v>5</v>
      </c>
      <c r="T70" s="76">
        <v>5</v>
      </c>
      <c r="U70" s="76">
        <v>5</v>
      </c>
      <c r="V70" s="76">
        <v>5</v>
      </c>
      <c r="W70" s="76">
        <v>5</v>
      </c>
      <c r="X70" s="65">
        <v>8</v>
      </c>
      <c r="Y70" s="65">
        <v>8</v>
      </c>
      <c r="Z70" s="65">
        <v>8</v>
      </c>
      <c r="AA70" s="65">
        <v>8</v>
      </c>
      <c r="AB70" s="65">
        <v>8</v>
      </c>
      <c r="AC70" s="65">
        <v>8</v>
      </c>
      <c r="AD70" s="65">
        <v>8</v>
      </c>
      <c r="AE70" s="65">
        <v>8</v>
      </c>
      <c r="AF70" s="65">
        <v>8</v>
      </c>
      <c r="AG70" s="75"/>
      <c r="AH70" s="48">
        <f t="shared" si="2"/>
        <v>54</v>
      </c>
      <c r="AI70" s="49">
        <f t="shared" si="3"/>
        <v>0</v>
      </c>
      <c r="AK70" s="50"/>
    </row>
    <row r="71" spans="1:40" x14ac:dyDescent="0.25">
      <c r="A71" s="54" t="s">
        <v>79</v>
      </c>
      <c r="B71" s="45">
        <v>30</v>
      </c>
      <c r="C71" s="45">
        <v>30</v>
      </c>
      <c r="D71" s="45">
        <v>30</v>
      </c>
      <c r="E71" s="45">
        <v>30</v>
      </c>
      <c r="F71" s="45">
        <v>0</v>
      </c>
      <c r="G71" s="45">
        <v>0</v>
      </c>
      <c r="H71" s="45">
        <v>30</v>
      </c>
      <c r="I71" s="45">
        <v>30</v>
      </c>
      <c r="J71" s="45">
        <v>24</v>
      </c>
      <c r="K71" s="45">
        <v>25</v>
      </c>
      <c r="L71" s="45">
        <v>35</v>
      </c>
      <c r="M71" s="45">
        <v>35</v>
      </c>
      <c r="N71" s="45">
        <v>35</v>
      </c>
      <c r="O71" s="45">
        <v>35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75"/>
      <c r="AH71" s="48">
        <f t="shared" si="2"/>
        <v>35</v>
      </c>
      <c r="AI71" s="49">
        <f t="shared" si="3"/>
        <v>0</v>
      </c>
      <c r="AK71" s="50"/>
    </row>
    <row r="72" spans="1:40" x14ac:dyDescent="0.25">
      <c r="A72" s="54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0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5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6</v>
      </c>
      <c r="C74" s="77">
        <v>6</v>
      </c>
      <c r="D74" s="77">
        <v>6</v>
      </c>
      <c r="E74" s="77">
        <v>6</v>
      </c>
      <c r="F74" s="77">
        <v>6</v>
      </c>
      <c r="G74" s="77">
        <v>6</v>
      </c>
      <c r="H74" s="77">
        <v>6</v>
      </c>
      <c r="I74" s="77">
        <v>6</v>
      </c>
      <c r="J74" s="77">
        <v>6</v>
      </c>
      <c r="K74" s="77">
        <v>6</v>
      </c>
      <c r="L74" s="77">
        <v>6</v>
      </c>
      <c r="M74" s="77">
        <v>6</v>
      </c>
      <c r="N74" s="77">
        <v>6</v>
      </c>
      <c r="O74" s="77">
        <v>6</v>
      </c>
      <c r="P74" s="77">
        <v>6</v>
      </c>
      <c r="Q74" s="77">
        <v>6</v>
      </c>
      <c r="R74" s="77">
        <v>6</v>
      </c>
      <c r="S74" s="77">
        <v>6</v>
      </c>
      <c r="T74" s="77">
        <v>6</v>
      </c>
      <c r="U74" s="77">
        <v>6</v>
      </c>
      <c r="V74" s="77">
        <v>6</v>
      </c>
      <c r="W74" s="77">
        <v>6</v>
      </c>
      <c r="X74" s="77">
        <v>6</v>
      </c>
      <c r="Y74" s="77">
        <v>6</v>
      </c>
      <c r="Z74" s="77">
        <v>6</v>
      </c>
      <c r="AA74" s="77">
        <v>6</v>
      </c>
      <c r="AB74" s="77">
        <v>6</v>
      </c>
      <c r="AC74" s="77">
        <v>6</v>
      </c>
      <c r="AD74" s="77">
        <v>6</v>
      </c>
      <c r="AE74" s="77">
        <v>6</v>
      </c>
      <c r="AF74" s="77">
        <v>6</v>
      </c>
      <c r="AG74" s="75"/>
      <c r="AH74" s="48">
        <f t="shared" si="2"/>
        <v>6</v>
      </c>
      <c r="AI74" s="49">
        <f t="shared" si="3"/>
        <v>6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9">MAX(B75:AF75)</f>
        <v>0</v>
      </c>
      <c r="AI75" s="49">
        <f t="shared" ref="AI75:AI113" si="10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9"/>
        <v>0</v>
      </c>
      <c r="AI76" s="49">
        <f t="shared" si="10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9"/>
        <v>0</v>
      </c>
      <c r="AI77" s="49">
        <f t="shared" si="10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1">SUMIF(B67:B77,"&gt;0")</f>
        <v>434</v>
      </c>
      <c r="C78" s="61">
        <f t="shared" si="11"/>
        <v>394</v>
      </c>
      <c r="D78" s="61">
        <f t="shared" si="11"/>
        <v>398.4</v>
      </c>
      <c r="E78" s="61">
        <f t="shared" si="11"/>
        <v>369.6</v>
      </c>
      <c r="F78" s="61">
        <f t="shared" si="11"/>
        <v>310.60000000000002</v>
      </c>
      <c r="G78" s="61">
        <f t="shared" si="11"/>
        <v>300.5</v>
      </c>
      <c r="H78" s="61">
        <f t="shared" si="11"/>
        <v>348.7</v>
      </c>
      <c r="I78" s="61">
        <f t="shared" si="11"/>
        <v>407</v>
      </c>
      <c r="J78" s="61">
        <f t="shared" si="11"/>
        <v>437.8</v>
      </c>
      <c r="K78" s="61">
        <f t="shared" si="11"/>
        <v>405</v>
      </c>
      <c r="L78" s="61">
        <f t="shared" si="11"/>
        <v>314</v>
      </c>
      <c r="M78" s="61">
        <f t="shared" si="11"/>
        <v>288.70000000000005</v>
      </c>
      <c r="N78" s="61">
        <f t="shared" si="11"/>
        <v>199.7</v>
      </c>
      <c r="O78" s="61">
        <f t="shared" si="11"/>
        <v>188.8</v>
      </c>
      <c r="P78" s="61">
        <f t="shared" si="11"/>
        <v>233</v>
      </c>
      <c r="Q78" s="61">
        <f t="shared" si="11"/>
        <v>410.3</v>
      </c>
      <c r="R78" s="61">
        <f t="shared" si="11"/>
        <v>406</v>
      </c>
      <c r="S78" s="61">
        <f t="shared" si="11"/>
        <v>428.4</v>
      </c>
      <c r="T78" s="61">
        <f t="shared" si="11"/>
        <v>413.8</v>
      </c>
      <c r="U78" s="61">
        <f t="shared" si="11"/>
        <v>378.7</v>
      </c>
      <c r="V78" s="61">
        <f t="shared" si="11"/>
        <v>267</v>
      </c>
      <c r="W78" s="61">
        <f t="shared" si="11"/>
        <v>223.6</v>
      </c>
      <c r="X78" s="61">
        <f t="shared" si="11"/>
        <v>221.8</v>
      </c>
      <c r="Y78" s="61">
        <f t="shared" si="11"/>
        <v>230</v>
      </c>
      <c r="Z78" s="61">
        <f t="shared" si="11"/>
        <v>226.20000000000002</v>
      </c>
      <c r="AA78" s="61">
        <f t="shared" si="11"/>
        <v>193.7</v>
      </c>
      <c r="AB78" s="61">
        <f t="shared" si="11"/>
        <v>228</v>
      </c>
      <c r="AC78" s="61">
        <f t="shared" si="11"/>
        <v>288.60000000000002</v>
      </c>
      <c r="AD78" s="61">
        <f t="shared" si="11"/>
        <v>368.1</v>
      </c>
      <c r="AE78" s="61">
        <f t="shared" si="11"/>
        <v>212</v>
      </c>
      <c r="AF78" s="61">
        <f t="shared" si="11"/>
        <v>396</v>
      </c>
      <c r="AG78" s="81">
        <f>SUM(AG67:AG77)</f>
        <v>0</v>
      </c>
      <c r="AH78" s="48">
        <f t="shared" si="9"/>
        <v>437.8</v>
      </c>
      <c r="AI78" s="49">
        <f t="shared" si="10"/>
        <v>188.8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9"/>
        <v>0</v>
      </c>
      <c r="AI79" s="49">
        <f t="shared" si="10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9"/>
        <v>0</v>
      </c>
      <c r="AI80" s="49">
        <f t="shared" si="10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9"/>
        <v>0</v>
      </c>
      <c r="AI81" s="49">
        <f t="shared" si="10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9"/>
        <v>0</v>
      </c>
      <c r="AI82" s="49">
        <f t="shared" si="10"/>
        <v>0</v>
      </c>
    </row>
    <row r="83" spans="1:37" ht="15.75" thickBot="1" x14ac:dyDescent="0.3">
      <c r="A83" s="74" t="s">
        <v>91</v>
      </c>
      <c r="B83" s="83">
        <f>B44+B48+B66+B62+B78+B82</f>
        <v>1078.54</v>
      </c>
      <c r="C83" s="83">
        <f t="shared" ref="C83:AG83" si="12">C44+C48+C66+C62+C78+C82</f>
        <v>1023.54</v>
      </c>
      <c r="D83" s="83">
        <f t="shared" si="12"/>
        <v>1026.8400000000001</v>
      </c>
      <c r="E83" s="83">
        <f t="shared" si="12"/>
        <v>1035.74</v>
      </c>
      <c r="F83" s="83">
        <f t="shared" si="12"/>
        <v>1014.0400000000001</v>
      </c>
      <c r="G83" s="83">
        <f t="shared" si="12"/>
        <v>1068.1400000000001</v>
      </c>
      <c r="H83" s="83">
        <f t="shared" si="12"/>
        <v>1147.3400000000001</v>
      </c>
      <c r="I83" s="83">
        <f t="shared" si="12"/>
        <v>1224.44</v>
      </c>
      <c r="J83" s="83">
        <f t="shared" si="12"/>
        <v>1314.9399999999998</v>
      </c>
      <c r="K83" s="83">
        <f t="shared" si="12"/>
        <v>1300.04</v>
      </c>
      <c r="L83" s="83">
        <f t="shared" si="12"/>
        <v>1445.04</v>
      </c>
      <c r="M83" s="83">
        <f t="shared" si="12"/>
        <v>1510.84</v>
      </c>
      <c r="N83" s="83">
        <f t="shared" si="12"/>
        <v>1455.94</v>
      </c>
      <c r="O83" s="83">
        <f t="shared" si="12"/>
        <v>1336.54</v>
      </c>
      <c r="P83" s="83">
        <f t="shared" si="12"/>
        <v>1309.94</v>
      </c>
      <c r="Q83" s="83">
        <f t="shared" si="12"/>
        <v>1431.34</v>
      </c>
      <c r="R83" s="83">
        <f t="shared" si="12"/>
        <v>1427.04</v>
      </c>
      <c r="S83" s="83">
        <f t="shared" si="12"/>
        <v>1441.44</v>
      </c>
      <c r="T83" s="83">
        <f t="shared" si="12"/>
        <v>1434.44</v>
      </c>
      <c r="U83" s="83">
        <f t="shared" si="12"/>
        <v>1401.8400000000001</v>
      </c>
      <c r="V83" s="83">
        <f t="shared" si="12"/>
        <v>1301.7400000000002</v>
      </c>
      <c r="W83" s="83">
        <f t="shared" si="12"/>
        <v>1391.74</v>
      </c>
      <c r="X83" s="83">
        <f t="shared" si="12"/>
        <v>1559.44</v>
      </c>
      <c r="Y83" s="83">
        <f t="shared" si="12"/>
        <v>1532.64</v>
      </c>
      <c r="Z83" s="83">
        <f t="shared" si="12"/>
        <v>1516.24</v>
      </c>
      <c r="AA83" s="83">
        <f t="shared" si="12"/>
        <v>1480.74</v>
      </c>
      <c r="AB83" s="83">
        <f t="shared" si="12"/>
        <v>1438.04</v>
      </c>
      <c r="AC83" s="83">
        <f t="shared" si="12"/>
        <v>1359.3400000000001</v>
      </c>
      <c r="AD83" s="83">
        <f t="shared" si="12"/>
        <v>1270.7399999999998</v>
      </c>
      <c r="AE83" s="83">
        <f t="shared" si="12"/>
        <v>960.54</v>
      </c>
      <c r="AF83" s="83">
        <f t="shared" si="12"/>
        <v>1124.8399999999999</v>
      </c>
      <c r="AG83" s="62">
        <f t="shared" si="12"/>
        <v>2004.1900000000003</v>
      </c>
      <c r="AH83" s="48">
        <f>MAX(B83:AF83)</f>
        <v>1559.44</v>
      </c>
      <c r="AI83" s="49">
        <f>MIN(B83:AF83)</f>
        <v>960.54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>
        <v>150</v>
      </c>
      <c r="L84" s="85">
        <v>180</v>
      </c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>
        <v>200</v>
      </c>
      <c r="X84" s="85">
        <v>245</v>
      </c>
      <c r="Y84" s="85">
        <v>245</v>
      </c>
      <c r="Z84" s="85">
        <v>220</v>
      </c>
      <c r="AA84" s="85">
        <v>220</v>
      </c>
      <c r="AB84" s="85">
        <v>220</v>
      </c>
      <c r="AC84" s="85">
        <v>220</v>
      </c>
      <c r="AD84" s="85">
        <v>200</v>
      </c>
      <c r="AE84" s="85"/>
      <c r="AF84" s="85"/>
      <c r="AG84" s="81"/>
      <c r="AH84" s="48">
        <f t="shared" si="9"/>
        <v>245</v>
      </c>
      <c r="AI84" s="49">
        <f t="shared" si="10"/>
        <v>150</v>
      </c>
    </row>
    <row r="85" spans="1:37" ht="15.75" thickBot="1" x14ac:dyDescent="0.3">
      <c r="A85" s="74" t="s">
        <v>93</v>
      </c>
      <c r="B85" s="83">
        <f>B83+B84</f>
        <v>1078.54</v>
      </c>
      <c r="C85" s="83">
        <f t="shared" ref="C85:AF85" si="13">C83+C84</f>
        <v>1023.54</v>
      </c>
      <c r="D85" s="83">
        <f t="shared" si="13"/>
        <v>1026.8400000000001</v>
      </c>
      <c r="E85" s="83">
        <f t="shared" si="13"/>
        <v>1035.74</v>
      </c>
      <c r="F85" s="83">
        <f t="shared" si="13"/>
        <v>1014.0400000000001</v>
      </c>
      <c r="G85" s="83">
        <f t="shared" si="13"/>
        <v>1068.1400000000001</v>
      </c>
      <c r="H85" s="83">
        <f t="shared" si="13"/>
        <v>1147.3400000000001</v>
      </c>
      <c r="I85" s="83">
        <f t="shared" si="13"/>
        <v>1224.44</v>
      </c>
      <c r="J85" s="83">
        <f t="shared" si="13"/>
        <v>1314.9399999999998</v>
      </c>
      <c r="K85" s="83">
        <f t="shared" si="13"/>
        <v>1450.04</v>
      </c>
      <c r="L85" s="83">
        <f t="shared" si="13"/>
        <v>1625.04</v>
      </c>
      <c r="M85" s="83">
        <f t="shared" si="13"/>
        <v>1510.84</v>
      </c>
      <c r="N85" s="83">
        <f t="shared" si="13"/>
        <v>1455.94</v>
      </c>
      <c r="O85" s="83">
        <f t="shared" si="13"/>
        <v>1336.54</v>
      </c>
      <c r="P85" s="83">
        <f t="shared" si="13"/>
        <v>1309.94</v>
      </c>
      <c r="Q85" s="83">
        <f t="shared" si="13"/>
        <v>1431.34</v>
      </c>
      <c r="R85" s="83">
        <f t="shared" si="13"/>
        <v>1427.04</v>
      </c>
      <c r="S85" s="83">
        <f t="shared" si="13"/>
        <v>1441.44</v>
      </c>
      <c r="T85" s="83">
        <f t="shared" si="13"/>
        <v>1434.44</v>
      </c>
      <c r="U85" s="83">
        <f t="shared" si="13"/>
        <v>1401.8400000000001</v>
      </c>
      <c r="V85" s="83">
        <f t="shared" si="13"/>
        <v>1301.7400000000002</v>
      </c>
      <c r="W85" s="83">
        <f t="shared" si="13"/>
        <v>1591.74</v>
      </c>
      <c r="X85" s="83">
        <f t="shared" si="13"/>
        <v>1804.44</v>
      </c>
      <c r="Y85" s="83">
        <f t="shared" si="13"/>
        <v>1777.64</v>
      </c>
      <c r="Z85" s="83">
        <f t="shared" si="13"/>
        <v>1736.24</v>
      </c>
      <c r="AA85" s="83">
        <f t="shared" si="13"/>
        <v>1700.74</v>
      </c>
      <c r="AB85" s="83">
        <f t="shared" si="13"/>
        <v>1658.04</v>
      </c>
      <c r="AC85" s="83">
        <f t="shared" si="13"/>
        <v>1579.3400000000001</v>
      </c>
      <c r="AD85" s="83">
        <f t="shared" si="13"/>
        <v>1470.7399999999998</v>
      </c>
      <c r="AE85" s="83">
        <f t="shared" si="13"/>
        <v>960.54</v>
      </c>
      <c r="AF85" s="83">
        <f t="shared" si="13"/>
        <v>1124.8399999999999</v>
      </c>
      <c r="AG85" s="81">
        <f>AG82+AG78+AG66+AG62+AG44+AG84</f>
        <v>1466.0900000000001</v>
      </c>
      <c r="AH85" s="48">
        <f t="shared" si="9"/>
        <v>1804.44</v>
      </c>
      <c r="AI85" s="49">
        <f t="shared" si="10"/>
        <v>960.54</v>
      </c>
    </row>
    <row r="86" spans="1:37" ht="15.75" thickBot="1" x14ac:dyDescent="0.3">
      <c r="A86" s="74" t="s">
        <v>94</v>
      </c>
      <c r="B86" s="83">
        <f t="shared" ref="B86:AF86" si="14">B85-B93</f>
        <v>1078.54</v>
      </c>
      <c r="C86" s="83">
        <f t="shared" si="14"/>
        <v>1023.54</v>
      </c>
      <c r="D86" s="83">
        <f t="shared" si="14"/>
        <v>1026.8400000000001</v>
      </c>
      <c r="E86" s="83">
        <f t="shared" si="14"/>
        <v>1035.74</v>
      </c>
      <c r="F86" s="83">
        <f t="shared" si="14"/>
        <v>1014.0400000000001</v>
      </c>
      <c r="G86" s="83">
        <f t="shared" si="14"/>
        <v>1068.1400000000001</v>
      </c>
      <c r="H86" s="83">
        <f t="shared" si="14"/>
        <v>1147.3400000000001</v>
      </c>
      <c r="I86" s="83">
        <f t="shared" si="14"/>
        <v>1224.44</v>
      </c>
      <c r="J86" s="83">
        <f t="shared" si="14"/>
        <v>1314.9399999999998</v>
      </c>
      <c r="K86" s="83">
        <f t="shared" si="14"/>
        <v>1450.04</v>
      </c>
      <c r="L86" s="83">
        <f t="shared" si="14"/>
        <v>1625.04</v>
      </c>
      <c r="M86" s="83">
        <f t="shared" si="14"/>
        <v>1510.84</v>
      </c>
      <c r="N86" s="83">
        <f t="shared" si="14"/>
        <v>1455.94</v>
      </c>
      <c r="O86" s="83">
        <f t="shared" si="14"/>
        <v>1336.54</v>
      </c>
      <c r="P86" s="83">
        <f t="shared" si="14"/>
        <v>1309.94</v>
      </c>
      <c r="Q86" s="83">
        <f t="shared" si="14"/>
        <v>1431.34</v>
      </c>
      <c r="R86" s="83">
        <f t="shared" si="14"/>
        <v>1427.04</v>
      </c>
      <c r="S86" s="83">
        <f t="shared" si="14"/>
        <v>1441.44</v>
      </c>
      <c r="T86" s="83">
        <f t="shared" si="14"/>
        <v>1434.44</v>
      </c>
      <c r="U86" s="83">
        <f t="shared" si="14"/>
        <v>1401.8400000000001</v>
      </c>
      <c r="V86" s="83">
        <f t="shared" si="14"/>
        <v>1301.7400000000002</v>
      </c>
      <c r="W86" s="83">
        <f t="shared" si="14"/>
        <v>1591.74</v>
      </c>
      <c r="X86" s="83">
        <v>1704.6399999999999</v>
      </c>
      <c r="Y86" s="83">
        <f t="shared" si="14"/>
        <v>1777.64</v>
      </c>
      <c r="Z86" s="83">
        <f t="shared" si="14"/>
        <v>1736.24</v>
      </c>
      <c r="AA86" s="83">
        <f t="shared" si="14"/>
        <v>1700.74</v>
      </c>
      <c r="AB86" s="83">
        <f t="shared" si="14"/>
        <v>1658.04</v>
      </c>
      <c r="AC86" s="83">
        <f t="shared" si="14"/>
        <v>1579.3400000000001</v>
      </c>
      <c r="AD86" s="83">
        <f t="shared" si="14"/>
        <v>1470.7399999999998</v>
      </c>
      <c r="AE86" s="83">
        <f t="shared" si="14"/>
        <v>960.54</v>
      </c>
      <c r="AF86" s="83">
        <f t="shared" si="14"/>
        <v>1124.8399999999999</v>
      </c>
      <c r="AG86" s="81"/>
      <c r="AH86" s="48">
        <f t="shared" si="9"/>
        <v>1777.64</v>
      </c>
      <c r="AI86" s="49">
        <f t="shared" si="10"/>
        <v>960.54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9"/>
        <v>0</v>
      </c>
      <c r="AI87" s="49">
        <f t="shared" si="10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9"/>
        <v>0</v>
      </c>
      <c r="AI88" s="49">
        <f t="shared" si="10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9"/>
        <v>0</v>
      </c>
      <c r="AI89" s="49">
        <f t="shared" si="10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9"/>
        <v>0</v>
      </c>
      <c r="AI90" s="49">
        <f t="shared" si="10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9"/>
        <v>0</v>
      </c>
      <c r="AI91" s="49">
        <f t="shared" si="10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9"/>
        <v>0</v>
      </c>
      <c r="AI92" s="49">
        <f t="shared" si="10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>
        <v>0</v>
      </c>
      <c r="Z93" s="61">
        <v>0</v>
      </c>
      <c r="AA93" s="61">
        <v>0</v>
      </c>
      <c r="AB93" s="61">
        <v>0</v>
      </c>
      <c r="AC93" s="61"/>
      <c r="AD93" s="61"/>
      <c r="AE93" s="61"/>
      <c r="AF93" s="61"/>
      <c r="AG93" s="81"/>
      <c r="AH93" s="48">
        <f t="shared" si="9"/>
        <v>0</v>
      </c>
      <c r="AI93" s="49">
        <f t="shared" si="10"/>
        <v>0</v>
      </c>
      <c r="AK93" s="50"/>
    </row>
    <row r="94" spans="1:37" ht="15.75" thickBot="1" x14ac:dyDescent="0.3">
      <c r="A94" s="74" t="s">
        <v>99</v>
      </c>
      <c r="B94" s="61">
        <f t="shared" ref="B94:AF94" si="15">B78-B93</f>
        <v>434</v>
      </c>
      <c r="C94" s="61">
        <f t="shared" si="15"/>
        <v>394</v>
      </c>
      <c r="D94" s="61">
        <f t="shared" si="15"/>
        <v>398.4</v>
      </c>
      <c r="E94" s="61">
        <f t="shared" si="15"/>
        <v>369.6</v>
      </c>
      <c r="F94" s="61">
        <f t="shared" si="15"/>
        <v>310.60000000000002</v>
      </c>
      <c r="G94" s="61">
        <f t="shared" si="15"/>
        <v>300.5</v>
      </c>
      <c r="H94" s="61">
        <f t="shared" si="15"/>
        <v>348.7</v>
      </c>
      <c r="I94" s="61">
        <f t="shared" si="15"/>
        <v>407</v>
      </c>
      <c r="J94" s="61">
        <f t="shared" si="15"/>
        <v>437.8</v>
      </c>
      <c r="K94" s="61">
        <f t="shared" si="15"/>
        <v>405</v>
      </c>
      <c r="L94" s="61">
        <f t="shared" si="15"/>
        <v>314</v>
      </c>
      <c r="M94" s="61">
        <f t="shared" si="15"/>
        <v>288.70000000000005</v>
      </c>
      <c r="N94" s="61">
        <f t="shared" si="15"/>
        <v>199.7</v>
      </c>
      <c r="O94" s="61">
        <f t="shared" si="15"/>
        <v>188.8</v>
      </c>
      <c r="P94" s="61">
        <f t="shared" si="15"/>
        <v>233</v>
      </c>
      <c r="Q94" s="61">
        <f t="shared" si="15"/>
        <v>410.3</v>
      </c>
      <c r="R94" s="61">
        <f t="shared" si="15"/>
        <v>406</v>
      </c>
      <c r="S94" s="61">
        <f t="shared" si="15"/>
        <v>428.4</v>
      </c>
      <c r="T94" s="61">
        <f t="shared" si="15"/>
        <v>413.8</v>
      </c>
      <c r="U94" s="61">
        <f t="shared" si="15"/>
        <v>378.7</v>
      </c>
      <c r="V94" s="61">
        <f t="shared" si="15"/>
        <v>267</v>
      </c>
      <c r="W94" s="61">
        <f t="shared" si="15"/>
        <v>223.6</v>
      </c>
      <c r="X94" s="61">
        <f t="shared" si="15"/>
        <v>221.8</v>
      </c>
      <c r="Y94" s="61">
        <f t="shared" si="15"/>
        <v>230</v>
      </c>
      <c r="Z94" s="61">
        <f t="shared" si="15"/>
        <v>226.20000000000002</v>
      </c>
      <c r="AA94" s="61">
        <f t="shared" si="15"/>
        <v>193.7</v>
      </c>
      <c r="AB94" s="61">
        <f t="shared" si="15"/>
        <v>228</v>
      </c>
      <c r="AC94" s="61">
        <f t="shared" si="15"/>
        <v>288.60000000000002</v>
      </c>
      <c r="AD94" s="61">
        <f t="shared" si="15"/>
        <v>368.1</v>
      </c>
      <c r="AE94" s="61">
        <f t="shared" si="15"/>
        <v>212</v>
      </c>
      <c r="AF94" s="61">
        <f t="shared" si="15"/>
        <v>396</v>
      </c>
      <c r="AG94" s="81"/>
      <c r="AH94" s="48">
        <f t="shared" si="9"/>
        <v>437.8</v>
      </c>
      <c r="AI94" s="49">
        <f t="shared" si="10"/>
        <v>188.8</v>
      </c>
    </row>
    <row r="95" spans="1:37" x14ac:dyDescent="0.25">
      <c r="A95" s="88" t="s">
        <v>100</v>
      </c>
      <c r="B95" s="89">
        <v>49.89</v>
      </c>
      <c r="C95" s="89">
        <v>49.973999999999997</v>
      </c>
      <c r="D95" s="89">
        <v>50</v>
      </c>
      <c r="E95" s="89">
        <v>50.06</v>
      </c>
      <c r="F95" s="89">
        <v>49.994999999999997</v>
      </c>
      <c r="G95" s="89">
        <v>50.078000000000003</v>
      </c>
      <c r="H95" s="89">
        <v>50.051000000000002</v>
      </c>
      <c r="I95" s="89">
        <v>49.93</v>
      </c>
      <c r="J95" s="89">
        <v>50.122</v>
      </c>
      <c r="K95" s="89">
        <v>49.92</v>
      </c>
      <c r="L95" s="89">
        <v>49.97</v>
      </c>
      <c r="M95" s="89">
        <v>50.029000000000003</v>
      </c>
      <c r="N95" s="89">
        <v>50.067</v>
      </c>
      <c r="O95" s="89">
        <v>50.003</v>
      </c>
      <c r="P95" s="89">
        <v>49.966000000000001</v>
      </c>
      <c r="Q95" s="89">
        <v>50.206000000000003</v>
      </c>
      <c r="R95" s="89">
        <v>50.143000000000001</v>
      </c>
      <c r="S95" s="89">
        <v>50.033999999999999</v>
      </c>
      <c r="T95" s="89">
        <v>49.927999999999997</v>
      </c>
      <c r="U95" s="89">
        <v>49.865000000000002</v>
      </c>
      <c r="V95" s="89">
        <v>49.776000000000003</v>
      </c>
      <c r="W95" s="89">
        <v>49.81</v>
      </c>
      <c r="X95" s="89">
        <v>49.837000000000003</v>
      </c>
      <c r="Y95" s="89">
        <v>49.819000000000003</v>
      </c>
      <c r="Z95" s="89">
        <v>49.862000000000002</v>
      </c>
      <c r="AA95" s="89">
        <v>49.83</v>
      </c>
      <c r="AB95" s="89">
        <v>50.12</v>
      </c>
      <c r="AC95" s="89">
        <v>49.912999999999997</v>
      </c>
      <c r="AD95" s="89">
        <v>50.073</v>
      </c>
      <c r="AE95" s="89">
        <v>50.02</v>
      </c>
      <c r="AF95" s="89">
        <v>50.031999999999996</v>
      </c>
      <c r="AG95" s="90"/>
      <c r="AH95" s="48">
        <f t="shared" si="9"/>
        <v>50.206000000000003</v>
      </c>
      <c r="AI95" s="49">
        <f t="shared" si="10"/>
        <v>49.776000000000003</v>
      </c>
    </row>
    <row r="96" spans="1:37" x14ac:dyDescent="0.25">
      <c r="A96" s="91" t="s">
        <v>101</v>
      </c>
      <c r="B96" s="65">
        <v>127</v>
      </c>
      <c r="C96" s="65">
        <v>128.80000000000001</v>
      </c>
      <c r="D96" s="65">
        <v>128.80000000000001</v>
      </c>
      <c r="E96" s="65">
        <v>128.6</v>
      </c>
      <c r="F96" s="65">
        <v>129.1</v>
      </c>
      <c r="G96" s="65">
        <v>127.9</v>
      </c>
      <c r="H96" s="65">
        <v>128.6</v>
      </c>
      <c r="I96" s="65">
        <v>125.4</v>
      </c>
      <c r="J96" s="65">
        <v>126.6</v>
      </c>
      <c r="K96" s="65">
        <v>127.8</v>
      </c>
      <c r="L96" s="65">
        <v>127</v>
      </c>
      <c r="M96" s="65">
        <v>127.2</v>
      </c>
      <c r="N96" s="65">
        <v>127</v>
      </c>
      <c r="O96" s="65">
        <v>126.2</v>
      </c>
      <c r="P96" s="65">
        <v>126.5</v>
      </c>
      <c r="Q96" s="65">
        <v>125.7</v>
      </c>
      <c r="R96" s="65">
        <v>126.3</v>
      </c>
      <c r="S96" s="65">
        <v>124.4</v>
      </c>
      <c r="T96" s="65">
        <v>125.4</v>
      </c>
      <c r="U96" s="65">
        <v>126.9</v>
      </c>
      <c r="V96" s="65">
        <v>129.30000000000001</v>
      </c>
      <c r="W96" s="65">
        <v>126.7</v>
      </c>
      <c r="X96" s="65">
        <v>126.4</v>
      </c>
      <c r="Y96" s="65">
        <v>127.1</v>
      </c>
      <c r="Z96" s="65">
        <v>127.7</v>
      </c>
      <c r="AA96" s="65">
        <v>128</v>
      </c>
      <c r="AB96" s="65">
        <v>128.69999999999999</v>
      </c>
      <c r="AC96" s="65">
        <v>128.80000000000001</v>
      </c>
      <c r="AD96" s="65">
        <v>130</v>
      </c>
      <c r="AE96" s="65">
        <v>127.4</v>
      </c>
      <c r="AF96" s="65">
        <v>126.3</v>
      </c>
      <c r="AG96" s="92"/>
      <c r="AH96" s="48">
        <f t="shared" si="9"/>
        <v>130</v>
      </c>
      <c r="AI96" s="49">
        <f t="shared" si="10"/>
        <v>124.4</v>
      </c>
    </row>
    <row r="97" spans="1:35" x14ac:dyDescent="0.25">
      <c r="A97" s="91" t="s">
        <v>102</v>
      </c>
      <c r="B97" s="65">
        <v>131</v>
      </c>
      <c r="C97" s="65">
        <v>132</v>
      </c>
      <c r="D97" s="65">
        <v>132.5</v>
      </c>
      <c r="E97" s="65">
        <v>132.6</v>
      </c>
      <c r="F97" s="65">
        <v>132.80000000000001</v>
      </c>
      <c r="G97" s="65">
        <v>131.80000000000001</v>
      </c>
      <c r="H97" s="65">
        <v>132.1</v>
      </c>
      <c r="I97" s="65">
        <v>129.19999999999999</v>
      </c>
      <c r="J97" s="65">
        <v>129.5</v>
      </c>
      <c r="K97" s="65">
        <v>129</v>
      </c>
      <c r="L97" s="65">
        <v>128</v>
      </c>
      <c r="M97" s="65">
        <v>128.19999999999999</v>
      </c>
      <c r="N97" s="65">
        <v>128</v>
      </c>
      <c r="O97" s="65">
        <v>127.4</v>
      </c>
      <c r="P97" s="65">
        <v>128.30000000000001</v>
      </c>
      <c r="Q97" s="65">
        <v>128.5</v>
      </c>
      <c r="R97" s="65">
        <v>128.6</v>
      </c>
      <c r="S97" s="65">
        <v>127.7</v>
      </c>
      <c r="T97" s="65">
        <v>128.6</v>
      </c>
      <c r="U97" s="65">
        <v>129.4</v>
      </c>
      <c r="V97" s="65">
        <v>130.5</v>
      </c>
      <c r="W97" s="65">
        <v>128.5</v>
      </c>
      <c r="X97" s="65">
        <v>128</v>
      </c>
      <c r="Y97" s="65">
        <v>128.5</v>
      </c>
      <c r="Z97" s="65">
        <v>129.1</v>
      </c>
      <c r="AA97" s="65">
        <v>129.4</v>
      </c>
      <c r="AB97" s="65">
        <v>130.19999999999999</v>
      </c>
      <c r="AC97" s="65">
        <v>133.1</v>
      </c>
      <c r="AD97" s="65">
        <v>131.69999999999999</v>
      </c>
      <c r="AE97" s="65">
        <v>130.69999999999999</v>
      </c>
      <c r="AF97" s="65">
        <v>130</v>
      </c>
      <c r="AG97" s="92"/>
      <c r="AH97" s="48">
        <f t="shared" si="9"/>
        <v>133.1</v>
      </c>
      <c r="AI97" s="49">
        <f t="shared" si="10"/>
        <v>127.4</v>
      </c>
    </row>
    <row r="98" spans="1:35" x14ac:dyDescent="0.25">
      <c r="A98" s="91" t="s">
        <v>103</v>
      </c>
      <c r="B98" s="65">
        <v>130</v>
      </c>
      <c r="C98" s="65">
        <v>131</v>
      </c>
      <c r="D98" s="65">
        <v>132.9</v>
      </c>
      <c r="E98" s="65">
        <v>132.6</v>
      </c>
      <c r="F98" s="65">
        <v>132.6</v>
      </c>
      <c r="G98" s="65">
        <v>131.9</v>
      </c>
      <c r="H98" s="65">
        <v>130.4</v>
      </c>
      <c r="I98" s="65">
        <v>129.5</v>
      </c>
      <c r="J98" s="65">
        <v>130.4</v>
      </c>
      <c r="K98" s="65">
        <v>129</v>
      </c>
      <c r="L98" s="65">
        <v>130</v>
      </c>
      <c r="M98" s="65">
        <v>128.69999999999999</v>
      </c>
      <c r="N98" s="65">
        <v>130</v>
      </c>
      <c r="O98" s="65">
        <v>131.69999999999999</v>
      </c>
      <c r="P98" s="65">
        <v>129.80000000000001</v>
      </c>
      <c r="Q98" s="65">
        <v>129.1</v>
      </c>
      <c r="R98" s="65">
        <v>126.6</v>
      </c>
      <c r="S98" s="65">
        <v>127.5</v>
      </c>
      <c r="T98" s="65">
        <v>128.6</v>
      </c>
      <c r="U98" s="65">
        <v>129.30000000000001</v>
      </c>
      <c r="V98" s="65">
        <v>134.1</v>
      </c>
      <c r="W98" s="65">
        <v>131.19999999999999</v>
      </c>
      <c r="X98" s="65">
        <v>130.4</v>
      </c>
      <c r="Y98" s="65">
        <v>132.6</v>
      </c>
      <c r="Z98" s="65">
        <v>134.5</v>
      </c>
      <c r="AA98" s="65">
        <v>134.9</v>
      </c>
      <c r="AB98" s="65">
        <v>131.4</v>
      </c>
      <c r="AC98" s="65">
        <v>134.30000000000001</v>
      </c>
      <c r="AD98" s="65">
        <v>133</v>
      </c>
      <c r="AE98" s="65">
        <v>126.6</v>
      </c>
      <c r="AF98" s="65">
        <v>129</v>
      </c>
      <c r="AG98" s="92"/>
      <c r="AH98" s="48">
        <f t="shared" si="9"/>
        <v>134.9</v>
      </c>
      <c r="AI98" s="49">
        <f t="shared" si="10"/>
        <v>126.6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9"/>
        <v>0</v>
      </c>
      <c r="AI99" s="49">
        <f t="shared" si="10"/>
        <v>0</v>
      </c>
    </row>
    <row r="100" spans="1:35" x14ac:dyDescent="0.25">
      <c r="A100" s="93" t="s">
        <v>105</v>
      </c>
      <c r="B100" s="94">
        <v>134</v>
      </c>
      <c r="C100" s="94">
        <v>132</v>
      </c>
      <c r="D100" s="94">
        <v>134.5</v>
      </c>
      <c r="E100" s="94">
        <v>134.5</v>
      </c>
      <c r="F100" s="94">
        <v>132.1</v>
      </c>
      <c r="G100" s="94">
        <v>133.69999999999999</v>
      </c>
      <c r="H100" s="94">
        <v>133.80000000000001</v>
      </c>
      <c r="I100" s="94">
        <v>129</v>
      </c>
      <c r="J100" s="94">
        <v>132.69999999999999</v>
      </c>
      <c r="K100" s="94">
        <v>134.9</v>
      </c>
      <c r="L100" s="94">
        <v>132</v>
      </c>
      <c r="M100" s="94">
        <v>133.5</v>
      </c>
      <c r="N100" s="94">
        <v>132</v>
      </c>
      <c r="O100" s="94">
        <v>132</v>
      </c>
      <c r="P100" s="94">
        <v>130.80000000000001</v>
      </c>
      <c r="Q100" s="94">
        <v>134.5</v>
      </c>
      <c r="R100" s="94">
        <v>134</v>
      </c>
      <c r="S100" s="94">
        <v>131.19999999999999</v>
      </c>
      <c r="T100" s="94">
        <v>133.6</v>
      </c>
      <c r="U100" s="94">
        <v>134.30000000000001</v>
      </c>
      <c r="V100" s="94">
        <v>132.80000000000001</v>
      </c>
      <c r="W100" s="94">
        <v>132.1</v>
      </c>
      <c r="X100" s="94">
        <v>132.80000000000001</v>
      </c>
      <c r="Y100" s="94">
        <v>135</v>
      </c>
      <c r="Z100" s="94">
        <v>135.30000000000001</v>
      </c>
      <c r="AA100" s="94">
        <v>133.19999999999999</v>
      </c>
      <c r="AB100" s="94">
        <v>133.30000000000001</v>
      </c>
      <c r="AC100" s="94">
        <v>133.5</v>
      </c>
      <c r="AD100" s="94">
        <v>134.6</v>
      </c>
      <c r="AE100" s="94">
        <v>130.9</v>
      </c>
      <c r="AF100" s="94">
        <v>128.4</v>
      </c>
      <c r="AG100" s="95"/>
      <c r="AH100" s="48">
        <f t="shared" si="9"/>
        <v>135.30000000000001</v>
      </c>
      <c r="AI100" s="49">
        <f t="shared" si="10"/>
        <v>128.4</v>
      </c>
    </row>
    <row r="101" spans="1:35" x14ac:dyDescent="0.25">
      <c r="A101" s="91" t="s">
        <v>106</v>
      </c>
      <c r="B101" s="65">
        <v>129</v>
      </c>
      <c r="C101" s="65"/>
      <c r="D101" s="65">
        <v>125.7</v>
      </c>
      <c r="E101" s="65">
        <v>129.30000000000001</v>
      </c>
      <c r="F101" s="65">
        <v>128.6</v>
      </c>
      <c r="G101" s="65">
        <v>127.6</v>
      </c>
      <c r="H101" s="65">
        <v>125.9</v>
      </c>
      <c r="I101" s="65">
        <v>128</v>
      </c>
      <c r="J101" s="65">
        <v>133.4</v>
      </c>
      <c r="K101" s="65">
        <v>131</v>
      </c>
      <c r="L101" s="65">
        <v>131</v>
      </c>
      <c r="M101" s="65">
        <v>132.4</v>
      </c>
      <c r="N101" s="65">
        <v>129</v>
      </c>
      <c r="O101" s="65">
        <v>130</v>
      </c>
      <c r="P101" s="65">
        <v>127.8</v>
      </c>
      <c r="Q101" s="65">
        <v>125.7</v>
      </c>
      <c r="R101" s="65">
        <v>131.1</v>
      </c>
      <c r="S101" s="65">
        <v>130.4</v>
      </c>
      <c r="T101" s="65">
        <v>129.9</v>
      </c>
      <c r="U101" s="65">
        <v>132.6</v>
      </c>
      <c r="V101" s="65">
        <v>133.30000000000001</v>
      </c>
      <c r="W101" s="65">
        <v>132.69999999999999</v>
      </c>
      <c r="X101" s="65">
        <v>134.5</v>
      </c>
      <c r="Y101" s="65">
        <v>134.69999999999999</v>
      </c>
      <c r="Z101" s="65">
        <v>134.5</v>
      </c>
      <c r="AA101" s="65">
        <v>135.30000000000001</v>
      </c>
      <c r="AB101" s="65">
        <v>133.6</v>
      </c>
      <c r="AC101" s="65">
        <v>133.4</v>
      </c>
      <c r="AD101" s="65">
        <v>136.19999999999999</v>
      </c>
      <c r="AE101" s="65">
        <v>133.19999999999999</v>
      </c>
      <c r="AF101" s="65">
        <v>130.9</v>
      </c>
      <c r="AG101" s="92"/>
      <c r="AH101" s="48">
        <f t="shared" si="9"/>
        <v>136.19999999999999</v>
      </c>
      <c r="AI101" s="49">
        <f t="shared" si="10"/>
        <v>125.7</v>
      </c>
    </row>
    <row r="102" spans="1:35" ht="15.75" thickBot="1" x14ac:dyDescent="0.3">
      <c r="A102" s="91" t="s">
        <v>107</v>
      </c>
      <c r="B102" s="96">
        <v>65.7</v>
      </c>
      <c r="C102" s="96">
        <v>66.3</v>
      </c>
      <c r="D102" s="96">
        <v>66.7</v>
      </c>
      <c r="E102" s="96">
        <v>66.599999999999994</v>
      </c>
      <c r="F102" s="96">
        <v>66.8</v>
      </c>
      <c r="G102" s="96">
        <v>66.099999999999994</v>
      </c>
      <c r="H102" s="96">
        <v>66.099999999999994</v>
      </c>
      <c r="I102" s="96">
        <v>64.7</v>
      </c>
      <c r="J102" s="96">
        <v>64.8</v>
      </c>
      <c r="K102" s="96">
        <v>64.400000000000006</v>
      </c>
      <c r="L102" s="96">
        <v>64</v>
      </c>
      <c r="M102" s="96">
        <v>63.9</v>
      </c>
      <c r="N102" s="96">
        <v>64</v>
      </c>
      <c r="O102" s="96">
        <v>64</v>
      </c>
      <c r="P102" s="96">
        <v>63.9</v>
      </c>
      <c r="Q102" s="96">
        <v>64.2</v>
      </c>
      <c r="R102" s="96">
        <v>64.400000000000006</v>
      </c>
      <c r="S102" s="96">
        <v>64.3</v>
      </c>
      <c r="T102" s="96">
        <v>64.400000000000006</v>
      </c>
      <c r="U102" s="96">
        <v>64.900000000000006</v>
      </c>
      <c r="V102" s="96">
        <v>65.099999999999994</v>
      </c>
      <c r="W102" s="96">
        <v>64.400000000000006</v>
      </c>
      <c r="X102" s="96">
        <v>63.8</v>
      </c>
      <c r="Y102" s="96">
        <v>65</v>
      </c>
      <c r="Z102" s="96">
        <v>64.3</v>
      </c>
      <c r="AA102" s="96">
        <v>64.5</v>
      </c>
      <c r="AB102" s="96">
        <v>65</v>
      </c>
      <c r="AC102" s="96">
        <v>65</v>
      </c>
      <c r="AD102" s="96">
        <v>66</v>
      </c>
      <c r="AE102" s="96">
        <v>65.599999999999994</v>
      </c>
      <c r="AF102" s="96">
        <v>65.599999999999994</v>
      </c>
      <c r="AG102" s="97"/>
      <c r="AH102" s="48">
        <f t="shared" si="9"/>
        <v>66.8</v>
      </c>
      <c r="AI102" s="49">
        <f t="shared" si="10"/>
        <v>63.8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9"/>
        <v>0</v>
      </c>
      <c r="AI103" s="49">
        <f t="shared" si="10"/>
        <v>0</v>
      </c>
    </row>
    <row r="104" spans="1:35" ht="15.75" thickBot="1" x14ac:dyDescent="0.3">
      <c r="A104" s="99" t="s">
        <v>108</v>
      </c>
      <c r="B104" s="100">
        <f t="shared" ref="B104:AF104" si="16">SUM(B16,B22,B25:B26,B52,B54:B55,B57,B59,B105:B109,B131,B137,B143,B152,B154,B166,B173,B176:B177,B184,B186,B188,B192:B194,B196:B198,B203,B209:B210,B212:B214,B222,B227)</f>
        <v>149.10000000000002</v>
      </c>
      <c r="C104" s="100">
        <f t="shared" si="16"/>
        <v>130.04000000000002</v>
      </c>
      <c r="D104" s="100">
        <f t="shared" si="16"/>
        <v>119.74000000000001</v>
      </c>
      <c r="E104" s="100">
        <f t="shared" si="16"/>
        <v>119.24000000000001</v>
      </c>
      <c r="F104" s="100">
        <f t="shared" si="16"/>
        <v>119.84000000000002</v>
      </c>
      <c r="G104" s="100">
        <f t="shared" si="16"/>
        <v>169.44000000000003</v>
      </c>
      <c r="H104" s="100">
        <f t="shared" si="16"/>
        <v>172.24</v>
      </c>
      <c r="I104" s="100">
        <f t="shared" si="16"/>
        <v>215.84</v>
      </c>
      <c r="J104" s="100">
        <f t="shared" si="16"/>
        <v>260.44</v>
      </c>
      <c r="K104" s="100">
        <f t="shared" si="16"/>
        <v>326.24</v>
      </c>
      <c r="L104" s="100">
        <f t="shared" si="16"/>
        <v>351.94</v>
      </c>
      <c r="M104" s="100">
        <f t="shared" si="16"/>
        <v>402.64000000000004</v>
      </c>
      <c r="N104" s="100">
        <f t="shared" si="16"/>
        <v>380.44</v>
      </c>
      <c r="O104" s="100">
        <f t="shared" si="16"/>
        <v>365.74</v>
      </c>
      <c r="P104" s="100">
        <v>42</v>
      </c>
      <c r="Q104" s="100">
        <f t="shared" si="16"/>
        <v>320.09999999999997</v>
      </c>
      <c r="R104" s="100">
        <f t="shared" si="16"/>
        <v>298.59999999999997</v>
      </c>
      <c r="S104" s="100">
        <f t="shared" si="16"/>
        <v>292.10000000000002</v>
      </c>
      <c r="T104" s="100">
        <f t="shared" si="16"/>
        <v>296.59999999999997</v>
      </c>
      <c r="U104" s="100">
        <f t="shared" si="16"/>
        <v>307</v>
      </c>
      <c r="V104" s="100">
        <f t="shared" si="16"/>
        <v>274</v>
      </c>
      <c r="W104" s="100">
        <f t="shared" si="16"/>
        <v>357.20000000000005</v>
      </c>
      <c r="X104" s="100">
        <v>390.59708333333339</v>
      </c>
      <c r="Y104" s="100">
        <f t="shared" si="16"/>
        <v>269.19999999999993</v>
      </c>
      <c r="Z104" s="100">
        <f t="shared" si="16"/>
        <v>290.59999999999997</v>
      </c>
      <c r="AA104" s="100">
        <f t="shared" si="16"/>
        <v>415.30000000000007</v>
      </c>
      <c r="AB104" s="100">
        <f t="shared" si="16"/>
        <v>304.89999999999998</v>
      </c>
      <c r="AC104" s="100">
        <f t="shared" si="16"/>
        <v>387.3</v>
      </c>
      <c r="AD104" s="100">
        <f t="shared" si="16"/>
        <v>338.40000000000003</v>
      </c>
      <c r="AE104" s="100">
        <f t="shared" si="16"/>
        <v>234.5</v>
      </c>
      <c r="AF104" s="100">
        <f t="shared" si="16"/>
        <v>182.3</v>
      </c>
      <c r="AG104" s="101"/>
      <c r="AH104" s="48">
        <f t="shared" si="9"/>
        <v>415.30000000000007</v>
      </c>
      <c r="AI104" s="49">
        <f t="shared" si="10"/>
        <v>42</v>
      </c>
    </row>
    <row r="105" spans="1:35" x14ac:dyDescent="0.25">
      <c r="A105" s="88" t="s">
        <v>109</v>
      </c>
      <c r="B105" s="102">
        <v>-1</v>
      </c>
      <c r="C105" s="102">
        <v>-12</v>
      </c>
      <c r="D105" s="102">
        <v>-8.6999999999999993</v>
      </c>
      <c r="E105" s="102">
        <v>0.9</v>
      </c>
      <c r="F105" s="102">
        <v>6.3</v>
      </c>
      <c r="G105" s="102">
        <v>10</v>
      </c>
      <c r="H105" s="102">
        <v>15.9</v>
      </c>
      <c r="I105" s="102">
        <v>19.600000000000001</v>
      </c>
      <c r="J105" s="102">
        <v>28.7</v>
      </c>
      <c r="K105" s="102">
        <v>37</v>
      </c>
      <c r="L105" s="102">
        <v>36</v>
      </c>
      <c r="M105" s="102">
        <v>34.4</v>
      </c>
      <c r="N105" s="102">
        <v>32</v>
      </c>
      <c r="O105" s="102">
        <v>36</v>
      </c>
      <c r="P105" s="102">
        <v>25</v>
      </c>
      <c r="Q105" s="102">
        <v>17.399999999999999</v>
      </c>
      <c r="R105" s="102">
        <v>10.3</v>
      </c>
      <c r="S105" s="102">
        <v>11.4</v>
      </c>
      <c r="T105" s="102">
        <v>12.2</v>
      </c>
      <c r="U105" s="102">
        <v>11.8</v>
      </c>
      <c r="V105" s="102">
        <v>15.2</v>
      </c>
      <c r="W105" s="102">
        <v>21.1</v>
      </c>
      <c r="X105" s="102">
        <v>28.6</v>
      </c>
      <c r="Y105" s="102">
        <v>34.200000000000003</v>
      </c>
      <c r="Z105" s="102">
        <v>33.5</v>
      </c>
      <c r="AA105" s="102">
        <v>28</v>
      </c>
      <c r="AB105" s="102">
        <v>26.4</v>
      </c>
      <c r="AC105" s="102">
        <v>26</v>
      </c>
      <c r="AD105" s="102">
        <v>9.8000000000000007</v>
      </c>
      <c r="AE105" s="102">
        <v>-1.8</v>
      </c>
      <c r="AF105" s="102">
        <v>-11.1</v>
      </c>
      <c r="AG105" s="103">
        <v>75</v>
      </c>
      <c r="AH105" s="48">
        <f t="shared" si="9"/>
        <v>37</v>
      </c>
      <c r="AI105" s="49">
        <f t="shared" si="10"/>
        <v>-12</v>
      </c>
    </row>
    <row r="106" spans="1:35" x14ac:dyDescent="0.25">
      <c r="A106" s="91" t="s">
        <v>110</v>
      </c>
      <c r="B106" s="104">
        <v>0</v>
      </c>
      <c r="C106" s="104">
        <v>-10</v>
      </c>
      <c r="D106" s="104">
        <v>-5</v>
      </c>
      <c r="E106" s="104">
        <v>6.2</v>
      </c>
      <c r="F106" s="104">
        <v>14.5</v>
      </c>
      <c r="G106" s="104">
        <v>18.399999999999999</v>
      </c>
      <c r="H106" s="104">
        <v>26.6</v>
      </c>
      <c r="I106" s="104">
        <v>33.299999999999997</v>
      </c>
      <c r="J106" s="104">
        <v>40</v>
      </c>
      <c r="K106" s="104">
        <v>49</v>
      </c>
      <c r="L106" s="104">
        <v>49</v>
      </c>
      <c r="M106" s="104">
        <v>44.5</v>
      </c>
      <c r="N106" s="104">
        <v>41</v>
      </c>
      <c r="O106" s="104">
        <v>47</v>
      </c>
      <c r="P106" s="104">
        <v>36.299999999999997</v>
      </c>
      <c r="Q106" s="104">
        <v>26.5</v>
      </c>
      <c r="R106" s="104">
        <v>15.2</v>
      </c>
      <c r="S106" s="104">
        <v>18.100000000000001</v>
      </c>
      <c r="T106" s="104">
        <v>18.3</v>
      </c>
      <c r="U106" s="104">
        <v>18.5</v>
      </c>
      <c r="V106" s="104">
        <v>22.2</v>
      </c>
      <c r="W106" s="104">
        <v>16.8</v>
      </c>
      <c r="X106" s="104">
        <v>33.5</v>
      </c>
      <c r="Y106" s="104">
        <v>40.6</v>
      </c>
      <c r="Z106" s="104">
        <v>40.1</v>
      </c>
      <c r="AA106" s="104">
        <v>30.8</v>
      </c>
      <c r="AB106" s="104">
        <v>29.5</v>
      </c>
      <c r="AC106" s="104">
        <v>28.7</v>
      </c>
      <c r="AD106" s="104">
        <v>8.3000000000000007</v>
      </c>
      <c r="AE106" s="104">
        <v>-4</v>
      </c>
      <c r="AF106" s="104">
        <v>-12.3</v>
      </c>
      <c r="AG106" s="103">
        <v>240</v>
      </c>
      <c r="AH106" s="48">
        <f t="shared" si="9"/>
        <v>49</v>
      </c>
      <c r="AI106" s="49">
        <f t="shared" si="10"/>
        <v>-12.3</v>
      </c>
    </row>
    <row r="107" spans="1:35" x14ac:dyDescent="0.25">
      <c r="A107" s="91" t="s">
        <v>111</v>
      </c>
      <c r="B107" s="104">
        <v>-50</v>
      </c>
      <c r="C107" s="104">
        <v>-43</v>
      </c>
      <c r="D107" s="104">
        <f>-23-26</f>
        <v>-49</v>
      </c>
      <c r="E107" s="104">
        <v>-62</v>
      </c>
      <c r="F107" s="104">
        <f>-32-35</f>
        <v>-67</v>
      </c>
      <c r="G107" s="104">
        <f>-26-28</f>
        <v>-54</v>
      </c>
      <c r="H107" s="104">
        <f>-23-27</f>
        <v>-50</v>
      </c>
      <c r="I107" s="104">
        <f>-18.6-21</f>
        <v>-39.6</v>
      </c>
      <c r="J107" s="104">
        <v>-25</v>
      </c>
      <c r="K107" s="104">
        <v>4</v>
      </c>
      <c r="L107" s="104">
        <v>6</v>
      </c>
      <c r="M107" s="104">
        <v>55</v>
      </c>
      <c r="N107" s="104">
        <v>55</v>
      </c>
      <c r="O107" s="104">
        <v>50</v>
      </c>
      <c r="P107" s="104">
        <v>11</v>
      </c>
      <c r="Q107" s="104">
        <v>-4</v>
      </c>
      <c r="R107" s="104">
        <v>-6</v>
      </c>
      <c r="S107" s="104">
        <v>-11.2</v>
      </c>
      <c r="T107" s="104">
        <v>-8.8000000000000007</v>
      </c>
      <c r="U107" s="104">
        <v>-1.1000000000000001</v>
      </c>
      <c r="V107" s="104">
        <v>19.5</v>
      </c>
      <c r="W107" s="104">
        <v>27.5</v>
      </c>
      <c r="X107" s="104">
        <v>77.3</v>
      </c>
      <c r="Y107" s="104">
        <f>-38-33</f>
        <v>-71</v>
      </c>
      <c r="Z107" s="104">
        <f>-38-33</f>
        <v>-71</v>
      </c>
      <c r="AA107" s="104">
        <v>75.3</v>
      </c>
      <c r="AB107" s="104">
        <v>-35</v>
      </c>
      <c r="AC107" s="104">
        <f>36.5+32.5</f>
        <v>69</v>
      </c>
      <c r="AD107" s="104">
        <f>26+23.4</f>
        <v>49.4</v>
      </c>
      <c r="AE107" s="104">
        <v>-4</v>
      </c>
      <c r="AF107" s="104">
        <v>-32</v>
      </c>
      <c r="AG107" s="103">
        <v>240</v>
      </c>
      <c r="AH107" s="48">
        <f t="shared" si="9"/>
        <v>77.3</v>
      </c>
      <c r="AI107" s="49">
        <f t="shared" si="10"/>
        <v>-71</v>
      </c>
    </row>
    <row r="108" spans="1:35" x14ac:dyDescent="0.25">
      <c r="A108" s="91" t="s">
        <v>112</v>
      </c>
      <c r="B108" s="104">
        <v>-1</v>
      </c>
      <c r="C108" s="104">
        <v>0</v>
      </c>
      <c r="D108" s="104">
        <v>-4</v>
      </c>
      <c r="E108" s="104">
        <v>-6.9</v>
      </c>
      <c r="F108" s="104">
        <v>-5.5</v>
      </c>
      <c r="G108" s="104">
        <v>6.2</v>
      </c>
      <c r="H108" s="104">
        <v>-2.1</v>
      </c>
      <c r="I108" s="104">
        <v>0.3</v>
      </c>
      <c r="J108" s="104">
        <v>11.8</v>
      </c>
      <c r="K108" s="104">
        <v>24</v>
      </c>
      <c r="L108" s="104">
        <v>54</v>
      </c>
      <c r="M108" s="104">
        <v>48</v>
      </c>
      <c r="N108" s="104">
        <v>40</v>
      </c>
      <c r="O108" s="104">
        <v>30</v>
      </c>
      <c r="P108" s="104">
        <v>45</v>
      </c>
      <c r="Q108" s="104">
        <v>42.3</v>
      </c>
      <c r="R108" s="104">
        <v>42</v>
      </c>
      <c r="S108" s="104">
        <v>38</v>
      </c>
      <c r="T108" s="104">
        <v>42</v>
      </c>
      <c r="U108" s="104">
        <v>43.7</v>
      </c>
      <c r="V108" s="104"/>
      <c r="W108" s="104">
        <v>50.3</v>
      </c>
      <c r="X108" s="104">
        <v>58.6</v>
      </c>
      <c r="Y108" s="104">
        <v>60.3</v>
      </c>
      <c r="Z108" s="104">
        <v>59.3</v>
      </c>
      <c r="AA108" s="104">
        <v>60.1</v>
      </c>
      <c r="AB108" s="104">
        <v>59.9</v>
      </c>
      <c r="AC108" s="104">
        <v>56.2</v>
      </c>
      <c r="AD108" s="104">
        <v>43.2</v>
      </c>
      <c r="AE108" s="104">
        <v>26.4</v>
      </c>
      <c r="AF108" s="104">
        <v>16</v>
      </c>
      <c r="AG108" s="103">
        <v>60</v>
      </c>
      <c r="AH108" s="48">
        <f t="shared" si="9"/>
        <v>60.3</v>
      </c>
      <c r="AI108" s="49">
        <f t="shared" si="10"/>
        <v>-6.9</v>
      </c>
    </row>
    <row r="109" spans="1:35" x14ac:dyDescent="0.25">
      <c r="A109" s="105" t="s">
        <v>113</v>
      </c>
      <c r="B109" s="106">
        <v>73</v>
      </c>
      <c r="C109" s="106">
        <v>66</v>
      </c>
      <c r="D109" s="106">
        <v>60.7</v>
      </c>
      <c r="E109" s="106">
        <v>55.3</v>
      </c>
      <c r="F109" s="106">
        <v>45.8</v>
      </c>
      <c r="G109" s="106">
        <v>63.1</v>
      </c>
      <c r="H109" s="106">
        <v>56.1</v>
      </c>
      <c r="I109" s="106">
        <v>77.5</v>
      </c>
      <c r="J109" s="106">
        <v>79.3</v>
      </c>
      <c r="K109" s="106">
        <v>87</v>
      </c>
      <c r="L109" s="106">
        <v>81</v>
      </c>
      <c r="M109" s="106">
        <v>86.6</v>
      </c>
      <c r="N109" s="106">
        <v>77</v>
      </c>
      <c r="O109" s="106">
        <v>67.3</v>
      </c>
      <c r="P109" s="106">
        <v>94</v>
      </c>
      <c r="Q109" s="106">
        <v>104</v>
      </c>
      <c r="R109" s="106">
        <v>103.2</v>
      </c>
      <c r="S109" s="106">
        <v>102.9</v>
      </c>
      <c r="T109" s="106">
        <v>101.8</v>
      </c>
      <c r="U109" s="106">
        <v>101</v>
      </c>
      <c r="V109" s="106">
        <v>92</v>
      </c>
      <c r="W109" s="106">
        <v>115.6</v>
      </c>
      <c r="X109" s="106">
        <v>100.6</v>
      </c>
      <c r="Y109" s="106">
        <v>79.400000000000006</v>
      </c>
      <c r="Z109" s="106">
        <v>103</v>
      </c>
      <c r="AA109" s="106">
        <v>95.4</v>
      </c>
      <c r="AB109" s="106">
        <v>98</v>
      </c>
      <c r="AC109" s="106">
        <v>81.3</v>
      </c>
      <c r="AD109" s="106">
        <v>102</v>
      </c>
      <c r="AE109" s="106">
        <v>92.2</v>
      </c>
      <c r="AF109" s="106">
        <v>96</v>
      </c>
      <c r="AG109" s="107">
        <v>120</v>
      </c>
      <c r="AH109" s="48">
        <f t="shared" si="9"/>
        <v>115.6</v>
      </c>
      <c r="AI109" s="49">
        <f t="shared" si="10"/>
        <v>45.8</v>
      </c>
    </row>
    <row r="110" spans="1:35" x14ac:dyDescent="0.25">
      <c r="A110" s="105" t="s">
        <v>115</v>
      </c>
      <c r="B110" s="106">
        <v>82</v>
      </c>
      <c r="C110" s="106">
        <v>73</v>
      </c>
      <c r="D110" s="106">
        <v>70.900000000000006</v>
      </c>
      <c r="E110" s="106">
        <v>65</v>
      </c>
      <c r="F110" s="106">
        <v>60</v>
      </c>
      <c r="G110" s="106">
        <v>70.7</v>
      </c>
      <c r="H110" s="106">
        <v>59.8</v>
      </c>
      <c r="I110" s="106">
        <v>82</v>
      </c>
      <c r="J110" s="106">
        <v>74</v>
      </c>
      <c r="K110" s="106">
        <v>62</v>
      </c>
      <c r="L110" s="106">
        <v>62</v>
      </c>
      <c r="M110" s="106">
        <v>77.2</v>
      </c>
      <c r="N110" s="106">
        <v>82</v>
      </c>
      <c r="O110" s="106">
        <v>82</v>
      </c>
      <c r="P110" s="106">
        <v>76</v>
      </c>
      <c r="Q110" s="106">
        <v>100</v>
      </c>
      <c r="R110" s="106">
        <v>102</v>
      </c>
      <c r="S110" s="106">
        <v>103.7</v>
      </c>
      <c r="T110" s="106">
        <v>101.4</v>
      </c>
      <c r="U110" s="106">
        <v>92.1</v>
      </c>
      <c r="V110" s="106"/>
      <c r="W110" s="106">
        <v>87.3</v>
      </c>
      <c r="X110" s="106">
        <v>105.6</v>
      </c>
      <c r="Y110" s="106">
        <v>101.4</v>
      </c>
      <c r="Z110" s="106">
        <v>97.8</v>
      </c>
      <c r="AA110" s="106">
        <v>97.9</v>
      </c>
      <c r="AB110" s="106">
        <v>95</v>
      </c>
      <c r="AC110" s="106">
        <v>94.6</v>
      </c>
      <c r="AD110" s="106">
        <v>88.1</v>
      </c>
      <c r="AE110" s="106">
        <v>81.2</v>
      </c>
      <c r="AF110" s="106">
        <v>101.5</v>
      </c>
      <c r="AG110" s="107"/>
      <c r="AH110" s="48">
        <f t="shared" si="9"/>
        <v>105.6</v>
      </c>
      <c r="AI110" s="49">
        <f t="shared" si="10"/>
        <v>59.8</v>
      </c>
    </row>
    <row r="111" spans="1:35" x14ac:dyDescent="0.25">
      <c r="A111" s="105" t="s">
        <v>116</v>
      </c>
      <c r="B111" s="106">
        <v>30</v>
      </c>
      <c r="C111" s="106">
        <v>37</v>
      </c>
      <c r="D111" s="106">
        <v>34</v>
      </c>
      <c r="E111" s="106">
        <v>34.299999999999997</v>
      </c>
      <c r="F111" s="106">
        <v>32</v>
      </c>
      <c r="G111" s="106">
        <v>30.7</v>
      </c>
      <c r="H111" s="106">
        <v>25.8</v>
      </c>
      <c r="I111" s="106">
        <v>26.4</v>
      </c>
      <c r="J111" s="106">
        <v>15.7</v>
      </c>
      <c r="K111" s="106">
        <v>9.4</v>
      </c>
      <c r="L111" s="106">
        <v>8</v>
      </c>
      <c r="M111" s="106">
        <v>11.7</v>
      </c>
      <c r="N111" s="106">
        <v>14</v>
      </c>
      <c r="O111" s="106">
        <v>11</v>
      </c>
      <c r="P111" s="106">
        <v>28</v>
      </c>
      <c r="Q111" s="106">
        <v>42.8</v>
      </c>
      <c r="R111" s="106">
        <v>53</v>
      </c>
      <c r="S111" s="106">
        <v>50.9</v>
      </c>
      <c r="T111" s="106">
        <v>54.1</v>
      </c>
      <c r="U111" s="106">
        <v>48.7</v>
      </c>
      <c r="V111" s="106"/>
      <c r="W111" s="106"/>
      <c r="X111" s="106">
        <v>30</v>
      </c>
      <c r="Y111" s="106">
        <v>30.6</v>
      </c>
      <c r="Z111" s="106">
        <v>31.6</v>
      </c>
      <c r="AA111" s="106">
        <v>34.799999999999997</v>
      </c>
      <c r="AB111" s="106">
        <v>34.4</v>
      </c>
      <c r="AC111" s="106">
        <v>34.6</v>
      </c>
      <c r="AD111" s="106">
        <v>41.1</v>
      </c>
      <c r="AE111" s="106">
        <v>50.4</v>
      </c>
      <c r="AF111" s="106">
        <v>56.4</v>
      </c>
      <c r="AG111" s="108"/>
      <c r="AH111" s="48">
        <f t="shared" si="9"/>
        <v>56.4</v>
      </c>
      <c r="AI111" s="49">
        <f t="shared" si="10"/>
        <v>8</v>
      </c>
    </row>
    <row r="112" spans="1:35" x14ac:dyDescent="0.25">
      <c r="A112" s="109" t="s">
        <v>117</v>
      </c>
      <c r="B112" s="94">
        <v>36</v>
      </c>
      <c r="C112" s="94">
        <v>38</v>
      </c>
      <c r="D112" s="94">
        <v>40.700000000000003</v>
      </c>
      <c r="E112" s="94">
        <v>38.700000000000003</v>
      </c>
      <c r="F112" s="94">
        <v>45.8</v>
      </c>
      <c r="G112" s="94">
        <v>38.9</v>
      </c>
      <c r="H112" s="94">
        <v>34.6</v>
      </c>
      <c r="I112" s="94">
        <v>17.3</v>
      </c>
      <c r="J112" s="94">
        <v>1.3</v>
      </c>
      <c r="K112" s="94">
        <v>18</v>
      </c>
      <c r="L112" s="94">
        <v>16</v>
      </c>
      <c r="M112" s="94">
        <v>-27.5</v>
      </c>
      <c r="N112" s="94">
        <v>-21</v>
      </c>
      <c r="O112" s="94">
        <v>-8</v>
      </c>
      <c r="P112" s="94">
        <v>6.2</v>
      </c>
      <c r="Q112" s="94">
        <v>15.2</v>
      </c>
      <c r="R112" s="94">
        <v>22</v>
      </c>
      <c r="S112" s="94">
        <v>14.3</v>
      </c>
      <c r="T112" s="94">
        <v>7.2</v>
      </c>
      <c r="U112" s="94">
        <v>6.2</v>
      </c>
      <c r="V112" s="94">
        <v>4</v>
      </c>
      <c r="W112" s="94">
        <v>-33.700000000000003</v>
      </c>
      <c r="X112" s="94"/>
      <c r="Y112" s="94">
        <v>37.299999999999997</v>
      </c>
      <c r="Z112" s="94">
        <v>-33.1</v>
      </c>
      <c r="AA112" s="94">
        <v>-22</v>
      </c>
      <c r="AB112" s="94">
        <v>-13.7</v>
      </c>
      <c r="AC112" s="94">
        <v>-2.2000000000000002</v>
      </c>
      <c r="AD112" s="94">
        <v>3.3</v>
      </c>
      <c r="AE112" s="94">
        <v>25.9</v>
      </c>
      <c r="AF112" s="94">
        <v>30.7</v>
      </c>
      <c r="AG112" s="108"/>
      <c r="AH112" s="48">
        <f t="shared" si="9"/>
        <v>45.8</v>
      </c>
      <c r="AI112" s="49">
        <f t="shared" si="10"/>
        <v>-33.700000000000003</v>
      </c>
    </row>
    <row r="113" spans="1:37" ht="15.75" thickBot="1" x14ac:dyDescent="0.3">
      <c r="A113" s="109" t="s">
        <v>118</v>
      </c>
      <c r="B113" s="94">
        <v>24</v>
      </c>
      <c r="C113" s="94">
        <v>14</v>
      </c>
      <c r="D113" s="94">
        <v>21.5</v>
      </c>
      <c r="E113" s="94">
        <v>31.6</v>
      </c>
      <c r="F113" s="94">
        <v>34</v>
      </c>
      <c r="G113" s="94">
        <v>27.3</v>
      </c>
      <c r="H113" s="94">
        <v>29.2</v>
      </c>
      <c r="I113" s="94">
        <v>20.2</v>
      </c>
      <c r="J113" s="94">
        <v>20.6</v>
      </c>
      <c r="K113" s="94">
        <v>10</v>
      </c>
      <c r="L113" s="94">
        <v>17</v>
      </c>
      <c r="M113" s="94">
        <v>-26.3</v>
      </c>
      <c r="N113" s="94">
        <v>-28</v>
      </c>
      <c r="O113" s="94">
        <v>-33</v>
      </c>
      <c r="P113" s="94">
        <v>-2.8</v>
      </c>
      <c r="Q113" s="94">
        <v>14</v>
      </c>
      <c r="R113" s="94">
        <v>14</v>
      </c>
      <c r="S113" s="94">
        <v>17.7</v>
      </c>
      <c r="T113" s="94">
        <v>15.2</v>
      </c>
      <c r="U113" s="94">
        <v>13.5</v>
      </c>
      <c r="V113" s="94">
        <v>5.3</v>
      </c>
      <c r="W113" s="94">
        <v>-11.7</v>
      </c>
      <c r="X113" s="94"/>
      <c r="Y113" s="94">
        <v>34.1</v>
      </c>
      <c r="Z113" s="94">
        <v>30.6</v>
      </c>
      <c r="AA113" s="94">
        <v>-35.9</v>
      </c>
      <c r="AB113" s="94">
        <v>-32.299999999999997</v>
      </c>
      <c r="AC113" s="94">
        <v>-34.700000000000003</v>
      </c>
      <c r="AD113" s="94">
        <v>21.2</v>
      </c>
      <c r="AE113" s="94">
        <v>-3.2</v>
      </c>
      <c r="AF113" s="94">
        <v>8.1999999999999993</v>
      </c>
      <c r="AG113" s="108"/>
      <c r="AH113" s="48">
        <f t="shared" si="9"/>
        <v>34.1</v>
      </c>
      <c r="AI113" s="49">
        <f t="shared" si="10"/>
        <v>-35.9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17">SUM(B115:B219)</f>
        <v>0</v>
      </c>
      <c r="C220" s="125">
        <f t="shared" si="17"/>
        <v>0</v>
      </c>
      <c r="D220" s="125">
        <f t="shared" si="17"/>
        <v>0</v>
      </c>
      <c r="E220" s="125">
        <f t="shared" si="17"/>
        <v>0</v>
      </c>
      <c r="F220" s="125">
        <f t="shared" si="17"/>
        <v>0</v>
      </c>
      <c r="G220" s="125">
        <f t="shared" si="17"/>
        <v>0</v>
      </c>
      <c r="H220" s="125">
        <f t="shared" si="17"/>
        <v>0</v>
      </c>
      <c r="I220" s="125">
        <f t="shared" si="17"/>
        <v>0</v>
      </c>
      <c r="J220" s="125">
        <f t="shared" si="17"/>
        <v>0</v>
      </c>
      <c r="K220" s="125">
        <f t="shared" si="17"/>
        <v>0</v>
      </c>
      <c r="L220" s="125">
        <f t="shared" si="17"/>
        <v>0</v>
      </c>
      <c r="M220" s="125">
        <f t="shared" si="17"/>
        <v>0</v>
      </c>
      <c r="N220" s="125">
        <f t="shared" si="17"/>
        <v>0</v>
      </c>
      <c r="O220" s="125">
        <f t="shared" si="17"/>
        <v>0</v>
      </c>
      <c r="P220" s="125">
        <f t="shared" si="17"/>
        <v>0</v>
      </c>
      <c r="Q220" s="125">
        <f t="shared" si="17"/>
        <v>0</v>
      </c>
      <c r="R220" s="125">
        <f t="shared" si="17"/>
        <v>0</v>
      </c>
      <c r="S220" s="125">
        <f t="shared" si="17"/>
        <v>0</v>
      </c>
      <c r="T220" s="125">
        <f t="shared" si="17"/>
        <v>0</v>
      </c>
      <c r="U220" s="125">
        <f t="shared" si="17"/>
        <v>0</v>
      </c>
      <c r="V220" s="125">
        <f t="shared" si="17"/>
        <v>0</v>
      </c>
      <c r="W220" s="125">
        <f t="shared" si="17"/>
        <v>0</v>
      </c>
      <c r="X220" s="125">
        <f t="shared" si="17"/>
        <v>0</v>
      </c>
      <c r="Y220" s="125">
        <f t="shared" si="17"/>
        <v>0</v>
      </c>
      <c r="Z220" s="125">
        <f t="shared" si="17"/>
        <v>0</v>
      </c>
      <c r="AA220" s="125">
        <f t="shared" si="17"/>
        <v>0</v>
      </c>
      <c r="AB220" s="125">
        <f t="shared" si="17"/>
        <v>0</v>
      </c>
      <c r="AC220" s="125">
        <f t="shared" si="17"/>
        <v>0</v>
      </c>
      <c r="AD220" s="125">
        <f t="shared" si="17"/>
        <v>0</v>
      </c>
      <c r="AE220" s="125">
        <f t="shared" si="17"/>
        <v>0</v>
      </c>
      <c r="AF220" s="126">
        <f t="shared" si="17"/>
        <v>0</v>
      </c>
      <c r="AG220" s="127">
        <f t="shared" si="17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18">AF222</f>
        <v>0</v>
      </c>
      <c r="C222" s="129">
        <v>0.3</v>
      </c>
      <c r="D222" s="129">
        <f t="shared" ref="D222:P227" si="19">C222</f>
        <v>0.3</v>
      </c>
      <c r="E222" s="129">
        <f t="shared" si="19"/>
        <v>0.3</v>
      </c>
      <c r="F222" s="129">
        <f t="shared" si="19"/>
        <v>0.3</v>
      </c>
      <c r="G222" s="129">
        <f t="shared" si="19"/>
        <v>0.3</v>
      </c>
      <c r="H222" s="129">
        <f t="shared" si="19"/>
        <v>0.3</v>
      </c>
      <c r="I222" s="129">
        <f t="shared" si="19"/>
        <v>0.3</v>
      </c>
      <c r="J222" s="129">
        <f t="shared" si="19"/>
        <v>0.3</v>
      </c>
      <c r="K222" s="129">
        <f t="shared" si="19"/>
        <v>0.3</v>
      </c>
      <c r="L222" s="129">
        <f t="shared" si="19"/>
        <v>0.3</v>
      </c>
      <c r="M222" s="129">
        <f t="shared" si="19"/>
        <v>0.3</v>
      </c>
      <c r="N222" s="129">
        <f t="shared" si="19"/>
        <v>0.3</v>
      </c>
      <c r="O222" s="129">
        <f t="shared" si="19"/>
        <v>0.3</v>
      </c>
      <c r="P222" s="129">
        <f t="shared" si="19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18"/>
        <v>0</v>
      </c>
      <c r="C223" s="117">
        <v>0.4</v>
      </c>
      <c r="D223" s="117">
        <f t="shared" si="19"/>
        <v>0.4</v>
      </c>
      <c r="E223" s="117">
        <f t="shared" si="19"/>
        <v>0.4</v>
      </c>
      <c r="F223" s="117">
        <f t="shared" si="19"/>
        <v>0.4</v>
      </c>
      <c r="G223" s="117">
        <f t="shared" si="19"/>
        <v>0.4</v>
      </c>
      <c r="H223" s="117">
        <f t="shared" si="19"/>
        <v>0.4</v>
      </c>
      <c r="I223" s="117">
        <f t="shared" si="19"/>
        <v>0.4</v>
      </c>
      <c r="J223" s="117">
        <f t="shared" si="19"/>
        <v>0.4</v>
      </c>
      <c r="K223" s="117">
        <f t="shared" si="19"/>
        <v>0.4</v>
      </c>
      <c r="L223" s="117">
        <f t="shared" si="19"/>
        <v>0.4</v>
      </c>
      <c r="M223" s="117">
        <f t="shared" si="19"/>
        <v>0.4</v>
      </c>
      <c r="N223" s="117">
        <f t="shared" si="19"/>
        <v>0.4</v>
      </c>
      <c r="O223" s="117">
        <f t="shared" si="19"/>
        <v>0.4</v>
      </c>
      <c r="P223" s="117">
        <f t="shared" si="19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18"/>
        <v>0</v>
      </c>
      <c r="C224" s="117">
        <v>1.5</v>
      </c>
      <c r="D224" s="117">
        <f t="shared" si="19"/>
        <v>1.5</v>
      </c>
      <c r="E224" s="117">
        <f t="shared" si="19"/>
        <v>1.5</v>
      </c>
      <c r="F224" s="117">
        <f t="shared" si="19"/>
        <v>1.5</v>
      </c>
      <c r="G224" s="117">
        <f t="shared" si="19"/>
        <v>1.5</v>
      </c>
      <c r="H224" s="117">
        <f t="shared" si="19"/>
        <v>1.5</v>
      </c>
      <c r="I224" s="100">
        <f t="shared" ref="I224" ca="1" si="20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19"/>
        <v>1.5</v>
      </c>
      <c r="K224" s="117">
        <f t="shared" ca="1" si="19"/>
        <v>1.5</v>
      </c>
      <c r="L224" s="117">
        <f t="shared" ca="1" si="19"/>
        <v>1.5</v>
      </c>
      <c r="M224" s="117">
        <f t="shared" ca="1" si="19"/>
        <v>1.5</v>
      </c>
      <c r="N224" s="117">
        <f t="shared" ca="1" si="19"/>
        <v>1.5</v>
      </c>
      <c r="O224" s="117">
        <f t="shared" ca="1" si="19"/>
        <v>1.5</v>
      </c>
      <c r="P224" s="117">
        <f t="shared" ca="1" si="19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18"/>
        <v>0</v>
      </c>
      <c r="C225" s="117">
        <v>0.3</v>
      </c>
      <c r="D225" s="117">
        <f t="shared" si="19"/>
        <v>0.3</v>
      </c>
      <c r="E225" s="117">
        <f t="shared" si="19"/>
        <v>0.3</v>
      </c>
      <c r="F225" s="117">
        <f t="shared" si="19"/>
        <v>0.3</v>
      </c>
      <c r="G225" s="117">
        <f t="shared" si="19"/>
        <v>0.3</v>
      </c>
      <c r="H225" s="117">
        <f t="shared" si="19"/>
        <v>0.3</v>
      </c>
      <c r="I225" s="117">
        <f t="shared" si="19"/>
        <v>0.3</v>
      </c>
      <c r="J225" s="117">
        <f t="shared" si="19"/>
        <v>0.3</v>
      </c>
      <c r="K225" s="117">
        <f t="shared" si="19"/>
        <v>0.3</v>
      </c>
      <c r="L225" s="117">
        <f t="shared" si="19"/>
        <v>0.3</v>
      </c>
      <c r="M225" s="117">
        <f t="shared" si="19"/>
        <v>0.3</v>
      </c>
      <c r="N225" s="117">
        <f t="shared" si="19"/>
        <v>0.3</v>
      </c>
      <c r="O225" s="117">
        <f t="shared" si="19"/>
        <v>0.3</v>
      </c>
      <c r="P225" s="117">
        <f t="shared" si="19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18"/>
        <v>0</v>
      </c>
      <c r="C226" s="117">
        <v>0.4</v>
      </c>
      <c r="D226" s="117">
        <f t="shared" si="19"/>
        <v>0.4</v>
      </c>
      <c r="E226" s="117">
        <f t="shared" si="19"/>
        <v>0.4</v>
      </c>
      <c r="F226" s="117">
        <f t="shared" si="19"/>
        <v>0.4</v>
      </c>
      <c r="G226" s="117">
        <f t="shared" si="19"/>
        <v>0.4</v>
      </c>
      <c r="H226" s="117">
        <f t="shared" si="19"/>
        <v>0.4</v>
      </c>
      <c r="I226" s="117">
        <f t="shared" si="19"/>
        <v>0.4</v>
      </c>
      <c r="J226" s="117">
        <f t="shared" si="19"/>
        <v>0.4</v>
      </c>
      <c r="K226" s="117">
        <f t="shared" si="19"/>
        <v>0.4</v>
      </c>
      <c r="L226" s="117">
        <f t="shared" si="19"/>
        <v>0.4</v>
      </c>
      <c r="M226" s="117">
        <f t="shared" si="19"/>
        <v>0.4</v>
      </c>
      <c r="N226" s="117">
        <f t="shared" si="19"/>
        <v>0.4</v>
      </c>
      <c r="O226" s="117">
        <f t="shared" si="19"/>
        <v>0.4</v>
      </c>
      <c r="P226" s="117">
        <f t="shared" si="19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18"/>
        <v>0</v>
      </c>
      <c r="C227" s="121">
        <v>0.64</v>
      </c>
      <c r="D227" s="121">
        <f t="shared" si="19"/>
        <v>0.64</v>
      </c>
      <c r="E227" s="121">
        <f t="shared" si="19"/>
        <v>0.64</v>
      </c>
      <c r="F227" s="121">
        <f t="shared" si="19"/>
        <v>0.64</v>
      </c>
      <c r="G227" s="121">
        <f t="shared" si="19"/>
        <v>0.64</v>
      </c>
      <c r="H227" s="121">
        <f t="shared" si="19"/>
        <v>0.64</v>
      </c>
      <c r="I227" s="121">
        <f t="shared" si="19"/>
        <v>0.64</v>
      </c>
      <c r="J227" s="121">
        <f t="shared" si="19"/>
        <v>0.64</v>
      </c>
      <c r="K227" s="121">
        <f t="shared" si="19"/>
        <v>0.64</v>
      </c>
      <c r="L227" s="121">
        <f t="shared" si="19"/>
        <v>0.64</v>
      </c>
      <c r="M227" s="121">
        <f t="shared" si="19"/>
        <v>0.64</v>
      </c>
      <c r="N227" s="121">
        <f t="shared" si="19"/>
        <v>0.64</v>
      </c>
      <c r="O227" s="121">
        <f t="shared" si="19"/>
        <v>0.64</v>
      </c>
      <c r="P227" s="121">
        <f t="shared" si="19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1">SUM(B222:B227)</f>
        <v>0</v>
      </c>
      <c r="C228" s="125">
        <f t="shared" si="21"/>
        <v>3.54</v>
      </c>
      <c r="D228" s="125">
        <f t="shared" si="21"/>
        <v>3.54</v>
      </c>
      <c r="E228" s="125">
        <f t="shared" si="21"/>
        <v>3.54</v>
      </c>
      <c r="F228" s="125">
        <f t="shared" si="21"/>
        <v>3.54</v>
      </c>
      <c r="G228" s="125">
        <f t="shared" si="21"/>
        <v>3.54</v>
      </c>
      <c r="H228" s="125">
        <f t="shared" si="21"/>
        <v>3.54</v>
      </c>
      <c r="I228" s="125">
        <f t="shared" ca="1" si="21"/>
        <v>3.54</v>
      </c>
      <c r="J228" s="125">
        <f t="shared" ca="1" si="21"/>
        <v>3.54</v>
      </c>
      <c r="K228" s="125">
        <f t="shared" ca="1" si="21"/>
        <v>3.54</v>
      </c>
      <c r="L228" s="125">
        <f t="shared" ca="1" si="21"/>
        <v>3.54</v>
      </c>
      <c r="M228" s="125">
        <f t="shared" ca="1" si="21"/>
        <v>3.54</v>
      </c>
      <c r="N228" s="125">
        <f t="shared" ca="1" si="21"/>
        <v>3.54</v>
      </c>
      <c r="O228" s="125">
        <f t="shared" ca="1" si="21"/>
        <v>3.54</v>
      </c>
      <c r="P228" s="125">
        <f t="shared" ca="1" si="21"/>
        <v>3.54</v>
      </c>
      <c r="Q228" s="125">
        <f t="shared" si="21"/>
        <v>0</v>
      </c>
      <c r="R228" s="125">
        <f t="shared" si="21"/>
        <v>0</v>
      </c>
      <c r="S228" s="125">
        <f t="shared" si="21"/>
        <v>0</v>
      </c>
      <c r="T228" s="125">
        <f t="shared" si="21"/>
        <v>0</v>
      </c>
      <c r="U228" s="125">
        <f t="shared" si="21"/>
        <v>0</v>
      </c>
      <c r="V228" s="125">
        <f t="shared" si="21"/>
        <v>0</v>
      </c>
      <c r="W228" s="125">
        <f t="shared" si="21"/>
        <v>0</v>
      </c>
      <c r="X228" s="125">
        <f t="shared" si="21"/>
        <v>0</v>
      </c>
      <c r="Y228" s="125">
        <f t="shared" si="21"/>
        <v>0</v>
      </c>
      <c r="Z228" s="125">
        <f t="shared" si="21"/>
        <v>0</v>
      </c>
      <c r="AA228" s="125">
        <f t="shared" si="21"/>
        <v>0</v>
      </c>
      <c r="AB228" s="125">
        <f t="shared" si="21"/>
        <v>0</v>
      </c>
      <c r="AC228" s="125">
        <f t="shared" si="21"/>
        <v>0</v>
      </c>
      <c r="AD228" s="125">
        <f t="shared" si="21"/>
        <v>0</v>
      </c>
      <c r="AE228" s="125">
        <f t="shared" si="21"/>
        <v>0</v>
      </c>
      <c r="AF228" s="125">
        <f t="shared" si="21"/>
        <v>0</v>
      </c>
      <c r="AG228" s="134">
        <f t="shared" si="21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1625.04</v>
      </c>
      <c r="C237" s="150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26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2079/09/26)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2079/09/26)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2">B85</f>
        <v>1078.54</v>
      </c>
      <c r="U242" s="159">
        <f t="shared" si="22"/>
        <v>1023.54</v>
      </c>
      <c r="V242" s="159">
        <f t="shared" si="22"/>
        <v>1026.8400000000001</v>
      </c>
      <c r="W242" s="159">
        <f t="shared" si="22"/>
        <v>1035.74</v>
      </c>
      <c r="X242" s="159">
        <f t="shared" si="22"/>
        <v>1014.0400000000001</v>
      </c>
      <c r="Y242" s="159">
        <f t="shared" si="22"/>
        <v>1068.1400000000001</v>
      </c>
      <c r="Z242" s="159">
        <f t="shared" si="22"/>
        <v>1147.3400000000001</v>
      </c>
      <c r="AA242" s="159">
        <f t="shared" si="22"/>
        <v>1224.44</v>
      </c>
      <c r="AB242" s="159">
        <f t="shared" si="22"/>
        <v>1314.9399999999998</v>
      </c>
      <c r="AC242" s="159">
        <f t="shared" si="22"/>
        <v>1450.04</v>
      </c>
      <c r="AD242" s="159">
        <f t="shared" si="22"/>
        <v>1625.04</v>
      </c>
      <c r="AE242" s="159">
        <f t="shared" si="22"/>
        <v>1510.84</v>
      </c>
      <c r="AF242" s="159">
        <f t="shared" si="22"/>
        <v>1455.94</v>
      </c>
      <c r="AG242" s="159">
        <f t="shared" si="22"/>
        <v>1336.54</v>
      </c>
      <c r="AH242" s="159">
        <f t="shared" si="22"/>
        <v>1309.94</v>
      </c>
      <c r="AI242" s="159">
        <f t="shared" si="22"/>
        <v>1431.34</v>
      </c>
      <c r="AJ242" s="159">
        <f t="shared" si="22"/>
        <v>1427.04</v>
      </c>
      <c r="AK242" s="159">
        <f t="shared" si="22"/>
        <v>1441.44</v>
      </c>
      <c r="AL242" s="159">
        <f t="shared" si="22"/>
        <v>1434.44</v>
      </c>
      <c r="AM242" s="159">
        <f t="shared" si="22"/>
        <v>1401.8400000000001</v>
      </c>
      <c r="AN242" s="159">
        <f t="shared" si="22"/>
        <v>1301.7400000000002</v>
      </c>
      <c r="AO242" s="159">
        <f t="shared" si="22"/>
        <v>1591.74</v>
      </c>
      <c r="AP242" s="159">
        <f t="shared" si="22"/>
        <v>1804.44</v>
      </c>
      <c r="AQ242" s="159">
        <f t="shared" si="22"/>
        <v>1777.64</v>
      </c>
      <c r="AR242" s="159">
        <f t="shared" si="22"/>
        <v>1736.24</v>
      </c>
      <c r="AS242" s="159">
        <f t="shared" si="22"/>
        <v>1700.74</v>
      </c>
      <c r="AT242" s="159">
        <f t="shared" si="22"/>
        <v>1658.04</v>
      </c>
      <c r="AU242" s="159">
        <f t="shared" si="22"/>
        <v>1579.3400000000001</v>
      </c>
      <c r="AV242" s="159">
        <f t="shared" si="22"/>
        <v>1470.7399999999998</v>
      </c>
      <c r="AW242" s="159">
        <f t="shared" si="22"/>
        <v>960.54</v>
      </c>
      <c r="AX242" s="159">
        <f t="shared" si="22"/>
        <v>1124.8399999999999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3">C227</f>
        <v>0.64</v>
      </c>
      <c r="C263" s="162">
        <f t="shared" si="23"/>
        <v>0.64</v>
      </c>
      <c r="D263" s="162">
        <f t="shared" si="23"/>
        <v>0.64</v>
      </c>
      <c r="E263" s="162">
        <f t="shared" si="23"/>
        <v>0.64</v>
      </c>
      <c r="F263" s="162">
        <f t="shared" si="23"/>
        <v>0.64</v>
      </c>
      <c r="G263" s="162">
        <f t="shared" si="23"/>
        <v>0.64</v>
      </c>
      <c r="H263" s="162">
        <f t="shared" si="23"/>
        <v>0.64</v>
      </c>
      <c r="I263" s="162">
        <f t="shared" si="23"/>
        <v>0.64</v>
      </c>
      <c r="J263" s="162">
        <f t="shared" si="23"/>
        <v>0.64</v>
      </c>
      <c r="K263" s="162">
        <f t="shared" si="23"/>
        <v>0.64</v>
      </c>
      <c r="L263" s="162">
        <f t="shared" si="23"/>
        <v>0.64</v>
      </c>
      <c r="M263" s="162">
        <f t="shared" si="23"/>
        <v>0.64</v>
      </c>
      <c r="N263" s="162">
        <f t="shared" si="23"/>
        <v>0.64</v>
      </c>
      <c r="O263" s="162">
        <f t="shared" si="23"/>
        <v>0.64</v>
      </c>
      <c r="P263" s="162">
        <f t="shared" si="23"/>
        <v>0</v>
      </c>
      <c r="Q263" s="162">
        <f t="shared" si="23"/>
        <v>0</v>
      </c>
      <c r="R263" s="162">
        <f t="shared" si="23"/>
        <v>0</v>
      </c>
      <c r="S263" s="162">
        <f t="shared" si="23"/>
        <v>0</v>
      </c>
      <c r="T263" s="162">
        <f t="shared" si="23"/>
        <v>0</v>
      </c>
      <c r="U263" s="162">
        <f t="shared" si="23"/>
        <v>0</v>
      </c>
      <c r="V263" s="162">
        <f t="shared" si="23"/>
        <v>0</v>
      </c>
      <c r="W263" s="162">
        <f t="shared" si="23"/>
        <v>0</v>
      </c>
      <c r="X263" s="162">
        <f t="shared" si="23"/>
        <v>0</v>
      </c>
      <c r="Y263" s="162">
        <f t="shared" si="23"/>
        <v>0</v>
      </c>
      <c r="Z263" s="162">
        <f t="shared" si="23"/>
        <v>0</v>
      </c>
      <c r="AA263" s="162">
        <f t="shared" si="23"/>
        <v>0</v>
      </c>
      <c r="AB263" s="162">
        <f t="shared" si="23"/>
        <v>0</v>
      </c>
      <c r="AC263" s="162">
        <f t="shared" si="23"/>
        <v>0</v>
      </c>
      <c r="AD263" s="162">
        <f t="shared" si="23"/>
        <v>0</v>
      </c>
      <c r="AE263" s="162">
        <f t="shared" si="23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4">IF(B231&lt;100,"",B231-520)</f>
        <v/>
      </c>
      <c r="C264" s="163" t="str">
        <f t="shared" si="24"/>
        <v/>
      </c>
      <c r="D264" s="163" t="str">
        <f t="shared" si="24"/>
        <v/>
      </c>
      <c r="E264" s="163" t="str">
        <f t="shared" si="24"/>
        <v/>
      </c>
      <c r="F264" s="163" t="str">
        <f t="shared" si="24"/>
        <v/>
      </c>
      <c r="G264" s="163" t="str">
        <f t="shared" si="24"/>
        <v/>
      </c>
      <c r="H264" s="163" t="str">
        <f t="shared" si="24"/>
        <v/>
      </c>
      <c r="I264" s="163" t="str">
        <f t="shared" si="24"/>
        <v/>
      </c>
      <c r="J264" s="163" t="str">
        <f t="shared" si="24"/>
        <v/>
      </c>
      <c r="K264" s="163" t="str">
        <f t="shared" si="24"/>
        <v/>
      </c>
      <c r="L264" s="163" t="str">
        <f t="shared" si="24"/>
        <v/>
      </c>
      <c r="M264" s="163" t="str">
        <f t="shared" si="24"/>
        <v/>
      </c>
      <c r="N264" s="163" t="str">
        <f t="shared" si="24"/>
        <v/>
      </c>
      <c r="O264" s="163" t="str">
        <f t="shared" si="24"/>
        <v/>
      </c>
      <c r="P264" s="163" t="str">
        <f t="shared" si="24"/>
        <v/>
      </c>
      <c r="Q264" s="163" t="str">
        <f t="shared" si="24"/>
        <v/>
      </c>
      <c r="R264" s="163" t="str">
        <f t="shared" si="24"/>
        <v/>
      </c>
      <c r="S264" s="163" t="str">
        <f t="shared" si="24"/>
        <v/>
      </c>
      <c r="T264" s="163" t="str">
        <f t="shared" si="24"/>
        <v/>
      </c>
      <c r="U264" s="163" t="str">
        <f t="shared" si="24"/>
        <v/>
      </c>
      <c r="V264" s="163" t="str">
        <f t="shared" si="24"/>
        <v/>
      </c>
      <c r="W264" s="163" t="str">
        <f t="shared" si="24"/>
        <v/>
      </c>
      <c r="X264" s="163" t="str">
        <f t="shared" si="24"/>
        <v/>
      </c>
      <c r="Y264" s="163" t="str">
        <f t="shared" si="24"/>
        <v/>
      </c>
      <c r="Z264" s="163" t="str">
        <f t="shared" si="24"/>
        <v/>
      </c>
      <c r="AA264" s="163" t="str">
        <f t="shared" si="24"/>
        <v/>
      </c>
      <c r="AB264" s="163" t="str">
        <f t="shared" si="24"/>
        <v/>
      </c>
      <c r="AC264" s="163" t="str">
        <f t="shared" si="24"/>
        <v/>
      </c>
      <c r="AD264" s="163" t="str">
        <f t="shared" si="24"/>
        <v/>
      </c>
      <c r="AE264" s="163" t="str">
        <f t="shared" si="24"/>
        <v/>
      </c>
      <c r="AF264" s="163" t="str">
        <f t="shared" si="24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5">IF(B232&lt;100,"",B232-620)</f>
        <v/>
      </c>
      <c r="C265" s="163" t="str">
        <f t="shared" si="25"/>
        <v/>
      </c>
      <c r="D265" s="163" t="str">
        <f t="shared" si="25"/>
        <v/>
      </c>
      <c r="E265" s="163" t="str">
        <f t="shared" si="25"/>
        <v/>
      </c>
      <c r="F265" s="163" t="str">
        <f t="shared" si="25"/>
        <v/>
      </c>
      <c r="G265" s="163" t="str">
        <f t="shared" si="25"/>
        <v/>
      </c>
      <c r="H265" s="163" t="str">
        <f t="shared" si="25"/>
        <v/>
      </c>
      <c r="I265" s="163" t="str">
        <f t="shared" si="25"/>
        <v/>
      </c>
      <c r="J265" s="163" t="str">
        <f t="shared" si="25"/>
        <v/>
      </c>
      <c r="K265" s="163" t="str">
        <f t="shared" si="25"/>
        <v/>
      </c>
      <c r="L265" s="163" t="str">
        <f t="shared" si="25"/>
        <v/>
      </c>
      <c r="M265" s="163" t="str">
        <f t="shared" si="25"/>
        <v/>
      </c>
      <c r="N265" s="163" t="str">
        <f t="shared" si="25"/>
        <v/>
      </c>
      <c r="O265" s="163" t="str">
        <f t="shared" si="25"/>
        <v/>
      </c>
      <c r="P265" s="163" t="str">
        <f t="shared" si="25"/>
        <v/>
      </c>
      <c r="Q265" s="163" t="str">
        <f t="shared" si="25"/>
        <v/>
      </c>
      <c r="R265" s="163" t="str">
        <f t="shared" si="25"/>
        <v/>
      </c>
      <c r="S265" s="163" t="str">
        <f t="shared" si="25"/>
        <v/>
      </c>
      <c r="T265" s="163" t="str">
        <f t="shared" si="25"/>
        <v/>
      </c>
      <c r="U265" s="163" t="str">
        <f t="shared" si="25"/>
        <v/>
      </c>
      <c r="V265" s="163" t="str">
        <f t="shared" si="25"/>
        <v/>
      </c>
      <c r="W265" s="163" t="str">
        <f t="shared" si="25"/>
        <v/>
      </c>
      <c r="X265" s="163" t="str">
        <f t="shared" si="25"/>
        <v/>
      </c>
      <c r="Y265" s="163" t="str">
        <f t="shared" si="25"/>
        <v/>
      </c>
      <c r="Z265" s="163" t="str">
        <f t="shared" si="25"/>
        <v/>
      </c>
      <c r="AA265" s="163" t="str">
        <f t="shared" si="25"/>
        <v/>
      </c>
      <c r="AB265" s="163" t="str">
        <f t="shared" si="25"/>
        <v/>
      </c>
      <c r="AC265" s="163" t="str">
        <f t="shared" si="25"/>
        <v/>
      </c>
      <c r="AD265" s="163" t="str">
        <f t="shared" si="25"/>
        <v/>
      </c>
      <c r="AE265" s="163" t="str">
        <f t="shared" si="25"/>
        <v/>
      </c>
      <c r="AF265" s="163" t="str">
        <f t="shared" si="25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26">IF(B233&lt;100,"",B233-330)</f>
        <v/>
      </c>
      <c r="C266" s="163" t="str">
        <f t="shared" si="26"/>
        <v/>
      </c>
      <c r="D266" s="163" t="str">
        <f t="shared" si="26"/>
        <v/>
      </c>
      <c r="E266" s="163" t="str">
        <f t="shared" si="26"/>
        <v/>
      </c>
      <c r="F266" s="163" t="str">
        <f t="shared" si="26"/>
        <v/>
      </c>
      <c r="G266" s="163" t="str">
        <f t="shared" si="26"/>
        <v/>
      </c>
      <c r="H266" s="163" t="str">
        <f t="shared" si="26"/>
        <v/>
      </c>
      <c r="I266" s="163" t="str">
        <f t="shared" si="26"/>
        <v/>
      </c>
      <c r="J266" s="163" t="str">
        <f t="shared" si="26"/>
        <v/>
      </c>
      <c r="K266" s="163" t="str">
        <f t="shared" si="26"/>
        <v/>
      </c>
      <c r="L266" s="163" t="str">
        <f t="shared" si="26"/>
        <v/>
      </c>
      <c r="M266" s="163" t="str">
        <f t="shared" si="26"/>
        <v/>
      </c>
      <c r="N266" s="163" t="str">
        <f t="shared" si="26"/>
        <v/>
      </c>
      <c r="O266" s="163" t="str">
        <f t="shared" si="26"/>
        <v/>
      </c>
      <c r="P266" s="163" t="str">
        <f t="shared" si="26"/>
        <v/>
      </c>
      <c r="Q266" s="163" t="str">
        <f t="shared" si="26"/>
        <v/>
      </c>
      <c r="R266" s="163" t="str">
        <f t="shared" si="26"/>
        <v/>
      </c>
      <c r="S266" s="163" t="str">
        <f t="shared" si="26"/>
        <v/>
      </c>
      <c r="T266" s="163" t="str">
        <f t="shared" si="26"/>
        <v/>
      </c>
      <c r="U266" s="163" t="str">
        <f t="shared" si="26"/>
        <v/>
      </c>
      <c r="V266" s="163" t="str">
        <f t="shared" si="26"/>
        <v/>
      </c>
      <c r="W266" s="163" t="str">
        <f t="shared" si="26"/>
        <v/>
      </c>
      <c r="X266" s="163" t="str">
        <f t="shared" si="26"/>
        <v/>
      </c>
      <c r="Y266" s="163" t="str">
        <f t="shared" si="26"/>
        <v/>
      </c>
      <c r="Z266" s="163" t="str">
        <f t="shared" si="26"/>
        <v/>
      </c>
      <c r="AA266" s="163" t="str">
        <f t="shared" si="26"/>
        <v/>
      </c>
      <c r="AB266" s="163" t="str">
        <f t="shared" si="26"/>
        <v/>
      </c>
      <c r="AC266" s="163" t="str">
        <f t="shared" si="26"/>
        <v/>
      </c>
      <c r="AD266" s="163" t="str">
        <f t="shared" si="26"/>
        <v/>
      </c>
      <c r="AE266" s="163" t="str">
        <f t="shared" si="26"/>
        <v/>
      </c>
      <c r="AF266" s="163" t="str">
        <f t="shared" si="26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27">IF(B234&lt;100,"",B234-1500)</f>
        <v/>
      </c>
      <c r="C267" s="163" t="str">
        <f t="shared" si="27"/>
        <v/>
      </c>
      <c r="D267" s="163" t="str">
        <f t="shared" si="27"/>
        <v/>
      </c>
      <c r="E267" s="163" t="str">
        <f t="shared" si="27"/>
        <v/>
      </c>
      <c r="F267" s="163" t="str">
        <f t="shared" si="27"/>
        <v/>
      </c>
      <c r="G267" s="163" t="str">
        <f t="shared" si="27"/>
        <v/>
      </c>
      <c r="H267" s="163" t="str">
        <f t="shared" si="27"/>
        <v/>
      </c>
      <c r="I267" s="163" t="str">
        <f t="shared" si="27"/>
        <v/>
      </c>
      <c r="J267" s="163" t="str">
        <f t="shared" si="27"/>
        <v/>
      </c>
      <c r="K267" s="163" t="str">
        <f t="shared" si="27"/>
        <v/>
      </c>
      <c r="L267" s="163" t="str">
        <f t="shared" si="27"/>
        <v/>
      </c>
      <c r="M267" s="163" t="str">
        <f t="shared" si="27"/>
        <v/>
      </c>
      <c r="N267" s="163" t="str">
        <f t="shared" si="27"/>
        <v/>
      </c>
      <c r="O267" s="163" t="str">
        <f t="shared" si="27"/>
        <v/>
      </c>
      <c r="P267" s="163" t="str">
        <f t="shared" si="27"/>
        <v/>
      </c>
      <c r="Q267" s="163" t="str">
        <f t="shared" si="27"/>
        <v/>
      </c>
      <c r="R267" s="163" t="str">
        <f t="shared" si="27"/>
        <v/>
      </c>
      <c r="S267" s="163" t="str">
        <f t="shared" si="27"/>
        <v/>
      </c>
      <c r="T267" s="163" t="str">
        <f t="shared" si="27"/>
        <v/>
      </c>
      <c r="U267" s="163" t="str">
        <f t="shared" si="27"/>
        <v/>
      </c>
      <c r="V267" s="163" t="str">
        <f t="shared" si="27"/>
        <v/>
      </c>
      <c r="W267" s="163" t="str">
        <f t="shared" si="27"/>
        <v/>
      </c>
      <c r="X267" s="163" t="str">
        <f t="shared" si="27"/>
        <v/>
      </c>
      <c r="Y267" s="163" t="str">
        <f t="shared" si="27"/>
        <v/>
      </c>
      <c r="Z267" s="163" t="str">
        <f t="shared" si="27"/>
        <v/>
      </c>
      <c r="AA267" s="163" t="str">
        <f t="shared" si="27"/>
        <v/>
      </c>
      <c r="AB267" s="163" t="str">
        <f t="shared" si="27"/>
        <v/>
      </c>
      <c r="AC267" s="163" t="str">
        <f t="shared" si="27"/>
        <v/>
      </c>
      <c r="AD267" s="163" t="str">
        <f t="shared" si="27"/>
        <v/>
      </c>
      <c r="AE267" s="163" t="str">
        <f t="shared" si="27"/>
        <v/>
      </c>
      <c r="AF267" s="163" t="str">
        <f t="shared" si="27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7:AF112 D105:AF105 X11:AF41">
    <cfRule type="expression" dxfId="3979" priority="234">
      <formula>B$9&gt;=20/24</formula>
    </cfRule>
    <cfRule type="expression" dxfId="3978" priority="235">
      <formula>AND(B$9&gt;=14/24,B$9&lt;20/24)</formula>
    </cfRule>
    <cfRule type="expression" dxfId="3977" priority="236">
      <formula>AND(B$9&gt;=8/24,B$9&lt;14/24)</formula>
    </cfRule>
    <cfRule type="expression" dxfId="3976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X11:AF41">
    <cfRule type="expression" dxfId="3975" priority="232">
      <formula>X11&gt;$AG11</formula>
    </cfRule>
  </conditionalFormatting>
  <conditionalFormatting sqref="A95:A105 A55:A82 A91:A93 A198:A228 A42:A53 A114:A185 A38:A39 A87:A89 A84:A85 A107:A109 A35:A36 A17:A18 A11:A15 A20:A33">
    <cfRule type="expression" dxfId="3974" priority="231">
      <formula>$AH11=0</formula>
    </cfRule>
  </conditionalFormatting>
  <conditionalFormatting sqref="A110">
    <cfRule type="expression" dxfId="3973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3972" priority="228">
      <formula>$AH41=0</formula>
    </cfRule>
  </conditionalFormatting>
  <conditionalFormatting sqref="A94">
    <cfRule type="expression" dxfId="3971" priority="227">
      <formula>$AH94=0</formula>
    </cfRule>
  </conditionalFormatting>
  <conditionalFormatting sqref="A16">
    <cfRule type="expression" dxfId="3970" priority="226">
      <formula>$AH16=0</formula>
    </cfRule>
  </conditionalFormatting>
  <conditionalFormatting sqref="A192:A197">
    <cfRule type="expression" dxfId="3969" priority="225">
      <formula>$AH192=0</formula>
    </cfRule>
  </conditionalFormatting>
  <conditionalFormatting sqref="A186:A191">
    <cfRule type="expression" dxfId="3968" priority="224">
      <formula>$AH186=0</formula>
    </cfRule>
  </conditionalFormatting>
  <conditionalFormatting sqref="A54">
    <cfRule type="expression" dxfId="3967" priority="223">
      <formula>$AH54=0</formula>
    </cfRule>
  </conditionalFormatting>
  <conditionalFormatting sqref="A90">
    <cfRule type="expression" dxfId="3966" priority="222">
      <formula>$AH90=0</formula>
    </cfRule>
  </conditionalFormatting>
  <conditionalFormatting sqref="E95:X95 AD95:AF95">
    <cfRule type="expression" dxfId="3965" priority="218">
      <formula>E$9&gt;=20/24</formula>
    </cfRule>
    <cfRule type="expression" dxfId="3964" priority="219">
      <formula>AND(E$9&gt;=14/24,E$9&lt;20/24)</formula>
    </cfRule>
    <cfRule type="expression" dxfId="3963" priority="220">
      <formula>AND(E$9&gt;=8/24,E$9&lt;14/24)</formula>
    </cfRule>
    <cfRule type="expression" dxfId="3962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961" priority="240">
      <formula>C$9&gt;=20/24</formula>
    </cfRule>
    <cfRule type="expression" dxfId="3960" priority="241">
      <formula>AND(C$9&gt;=14/24,C$9&lt;20/24)</formula>
    </cfRule>
    <cfRule type="expression" dxfId="3959" priority="242">
      <formula>AND(C$9&gt;=8/24,C$9&lt;14/24)</formula>
    </cfRule>
    <cfRule type="expression" dxfId="3958" priority="243">
      <formula>C$9&lt;8/24</formula>
    </cfRule>
  </conditionalFormatting>
  <conditionalFormatting sqref="A229">
    <cfRule type="expression" dxfId="3957" priority="244">
      <formula>$AH229=0</formula>
    </cfRule>
  </conditionalFormatting>
  <conditionalFormatting sqref="AG241">
    <cfRule type="expression" dxfId="3956" priority="245">
      <formula>B$9&gt;=20/24</formula>
    </cfRule>
    <cfRule type="expression" dxfId="3955" priority="246">
      <formula>AND(B$9&gt;=14/24,B$9&lt;20/24)</formula>
    </cfRule>
    <cfRule type="expression" dxfId="3954" priority="247">
      <formula>AND(B$9&gt;=8/24,B$9&lt;14/24)</formula>
    </cfRule>
    <cfRule type="expression" dxfId="3953" priority="248">
      <formula>B$9&lt;8/24</formula>
    </cfRule>
  </conditionalFormatting>
  <conditionalFormatting sqref="S8">
    <cfRule type="expression" dxfId="3952" priority="213">
      <formula>U$9&gt;=20/24</formula>
    </cfRule>
    <cfRule type="expression" dxfId="3951" priority="214">
      <formula>AND(U$9&gt;=14/24,U$9&lt;20/24)</formula>
    </cfRule>
    <cfRule type="expression" dxfId="3950" priority="215">
      <formula>AND(U$9&gt;=8/24,U$9&lt;14/24)</formula>
    </cfRule>
    <cfRule type="expression" dxfId="3949" priority="216">
      <formula>U$9&lt;8/24</formula>
    </cfRule>
  </conditionalFormatting>
  <conditionalFormatting sqref="AB8">
    <cfRule type="expression" dxfId="3948" priority="209">
      <formula>AD$9&gt;=20/24</formula>
    </cfRule>
    <cfRule type="expression" dxfId="3947" priority="210">
      <formula>AND(AD$9&gt;=14/24,AD$9&lt;20/24)</formula>
    </cfRule>
    <cfRule type="expression" dxfId="3946" priority="211">
      <formula>AND(AD$9&gt;=8/24,AD$9&lt;14/24)</formula>
    </cfRule>
    <cfRule type="expression" dxfId="3945" priority="212">
      <formula>AD$9&lt;8/24</formula>
    </cfRule>
  </conditionalFormatting>
  <conditionalFormatting sqref="AH241:AX241">
    <cfRule type="expression" dxfId="3944" priority="249">
      <formula>AG$9&gt;=20/24</formula>
    </cfRule>
    <cfRule type="expression" dxfId="3943" priority="250">
      <formula>AND(AG$9&gt;=14/24,AG$9&lt;20/24)</formula>
    </cfRule>
    <cfRule type="expression" dxfId="3942" priority="251">
      <formula>AND(AG$9&gt;=8/24,AG$9&lt;14/24)</formula>
    </cfRule>
    <cfRule type="expression" dxfId="3941" priority="252">
      <formula>AG$9&lt;8/24</formula>
    </cfRule>
  </conditionalFormatting>
  <conditionalFormatting sqref="T241">
    <cfRule type="expression" dxfId="3940" priority="253">
      <formula>AX$9&gt;=20/24</formula>
    </cfRule>
    <cfRule type="expression" dxfId="3939" priority="254">
      <formula>AND(AX$9&gt;=14/24,AX$9&lt;20/24)</formula>
    </cfRule>
    <cfRule type="expression" dxfId="3938" priority="255">
      <formula>AND(AX$9&gt;=8/24,AX$9&lt;14/24)</formula>
    </cfRule>
    <cfRule type="expression" dxfId="3937" priority="256">
      <formula>AX$9&lt;8/24</formula>
    </cfRule>
  </conditionalFormatting>
  <conditionalFormatting sqref="A111:A112">
    <cfRule type="expression" dxfId="3936" priority="208">
      <formula>$AH111=0</formula>
    </cfRule>
  </conditionalFormatting>
  <conditionalFormatting sqref="AB50:AB51 M50:R54 S53:V54 W54 W52:AB53 AC50:AF53 E67:AF67">
    <cfRule type="expression" dxfId="3935" priority="204">
      <formula>E$9&gt;=20/24</formula>
    </cfRule>
    <cfRule type="expression" dxfId="3934" priority="205">
      <formula>AND(E$9&gt;=14/24,E$9&lt;20/24)</formula>
    </cfRule>
    <cfRule type="expression" dxfId="3933" priority="206">
      <formula>AND(E$9&gt;=8/24,E$9&lt;14/24)</formula>
    </cfRule>
    <cfRule type="expression" dxfId="3932" priority="207">
      <formula>E$9&lt;8/24</formula>
    </cfRule>
  </conditionalFormatting>
  <conditionalFormatting sqref="M49:R49 AB49:AF49">
    <cfRule type="expression" dxfId="3931" priority="200">
      <formula>M$9&gt;=20/24</formula>
    </cfRule>
    <cfRule type="expression" dxfId="3930" priority="201">
      <formula>AND(M$9&gt;=14/24,M$9&lt;20/24)</formula>
    </cfRule>
    <cfRule type="expression" dxfId="3929" priority="202">
      <formula>AND(M$9&gt;=8/24,M$9&lt;14/24)</formula>
    </cfRule>
    <cfRule type="expression" dxfId="3928" priority="203">
      <formula>M$9&lt;8/24</formula>
    </cfRule>
  </conditionalFormatting>
  <conditionalFormatting sqref="AB49:AB51 M49:R54 S53:V54 W54 W52:AB53 AC49:AF53">
    <cfRule type="expression" dxfId="3927" priority="199">
      <formula>M49&gt;$AG49</formula>
    </cfRule>
  </conditionalFormatting>
  <conditionalFormatting sqref="D82:AF82 M96:X102 X92:AF92 X43:AF43 AB63:AF65 E68:AE69 X70:AE70 AF68:AF70 AD96:AF102">
    <cfRule type="expression" dxfId="3926" priority="195">
      <formula>D$9&gt;=20/24</formula>
    </cfRule>
    <cfRule type="expression" dxfId="3925" priority="196">
      <formula>AND(D$9&gt;=14/24,D$9&lt;20/24)</formula>
    </cfRule>
    <cfRule type="expression" dxfId="3924" priority="197">
      <formula>AND(D$9&gt;=8/24,D$9&lt;14/24)</formula>
    </cfRule>
    <cfRule type="expression" dxfId="3923" priority="198">
      <formula>D$9&lt;8/24</formula>
    </cfRule>
  </conditionalFormatting>
  <conditionalFormatting sqref="X43:AF43 AB63:AF65">
    <cfRule type="expression" dxfId="3922" priority="194">
      <formula>X43&gt;$AG43</formula>
    </cfRule>
  </conditionalFormatting>
  <conditionalFormatting sqref="S52:V52 S49:AA51">
    <cfRule type="expression" dxfId="3921" priority="190">
      <formula>S$9&gt;=20/24</formula>
    </cfRule>
    <cfRule type="expression" dxfId="3920" priority="191">
      <formula>AND(S$9&gt;=14/24,S$9&lt;20/24)</formula>
    </cfRule>
    <cfRule type="expression" dxfId="3919" priority="192">
      <formula>AND(S$9&gt;=8/24,S$9&lt;14/24)</formula>
    </cfRule>
    <cfRule type="expression" dxfId="3918" priority="193">
      <formula>S$9&lt;8/24</formula>
    </cfRule>
  </conditionalFormatting>
  <conditionalFormatting sqref="S52:V52 S49:AA51">
    <cfRule type="expression" dxfId="3917" priority="189">
      <formula>S49&gt;$AG49</formula>
    </cfRule>
  </conditionalFormatting>
  <conditionalFormatting sqref="C84:AF84 C93:AF93">
    <cfRule type="expression" dxfId="3916" priority="185">
      <formula>C$9&gt;=20/24</formula>
    </cfRule>
    <cfRule type="expression" dxfId="3915" priority="186">
      <formula>AND(C$9&gt;=14/24,C$9&lt;20/24)</formula>
    </cfRule>
    <cfRule type="expression" dxfId="3914" priority="187">
      <formula>AND(C$9&gt;=8/24,C$9&lt;14/24)</formula>
    </cfRule>
    <cfRule type="expression" dxfId="3913" priority="188">
      <formula>C$9&lt;8/24</formula>
    </cfRule>
  </conditionalFormatting>
  <conditionalFormatting sqref="T43:W43">
    <cfRule type="expression" dxfId="3912" priority="181">
      <formula>T$9&gt;=20/24</formula>
    </cfRule>
    <cfRule type="expression" dxfId="3911" priority="182">
      <formula>AND(T$9&gt;=14/24,T$9&lt;20/24)</formula>
    </cfRule>
    <cfRule type="expression" dxfId="3910" priority="183">
      <formula>AND(T$9&gt;=8/24,T$9&lt;14/24)</formula>
    </cfRule>
    <cfRule type="expression" dxfId="3909" priority="184">
      <formula>T$9&lt;8/24</formula>
    </cfRule>
  </conditionalFormatting>
  <conditionalFormatting sqref="T43:W43">
    <cfRule type="expression" dxfId="3908" priority="180">
      <formula>T43&gt;$AG43</formula>
    </cfRule>
  </conditionalFormatting>
  <conditionalFormatting sqref="E50:L51 X42:AF42">
    <cfRule type="expression" dxfId="3907" priority="176">
      <formula>E$9&gt;=20/24</formula>
    </cfRule>
    <cfRule type="expression" dxfId="3906" priority="177">
      <formula>AND(E$9&gt;=14/24,E$9&lt;20/24)</formula>
    </cfRule>
    <cfRule type="expression" dxfId="3905" priority="178">
      <formula>AND(E$9&gt;=8/24,E$9&lt;14/24)</formula>
    </cfRule>
    <cfRule type="expression" dxfId="3904" priority="179">
      <formula>E$9&lt;8/24</formula>
    </cfRule>
  </conditionalFormatting>
  <conditionalFormatting sqref="E49:L49">
    <cfRule type="expression" dxfId="3903" priority="172">
      <formula>E$9&gt;=20/24</formula>
    </cfRule>
    <cfRule type="expression" dxfId="3902" priority="173">
      <formula>AND(E$9&gt;=14/24,E$9&lt;20/24)</formula>
    </cfRule>
    <cfRule type="expression" dxfId="3901" priority="174">
      <formula>AND(E$9&gt;=8/24,E$9&lt;14/24)</formula>
    </cfRule>
    <cfRule type="expression" dxfId="3900" priority="175">
      <formula>E$9&lt;8/24</formula>
    </cfRule>
  </conditionalFormatting>
  <conditionalFormatting sqref="E49:L51 X42:AF42">
    <cfRule type="expression" dxfId="3899" priority="171">
      <formula>E42&gt;$AG42</formula>
    </cfRule>
  </conditionalFormatting>
  <conditionalFormatting sqref="AG66 AG83 E96:L102 Q63:AA65">
    <cfRule type="expression" dxfId="3898" priority="167">
      <formula>E$9&gt;=20/24</formula>
    </cfRule>
    <cfRule type="expression" dxfId="3897" priority="168">
      <formula>AND(E$9&gt;=14/24,E$9&lt;20/24)</formula>
    </cfRule>
    <cfRule type="expression" dxfId="3896" priority="169">
      <formula>AND(E$9&gt;=8/24,E$9&lt;14/24)</formula>
    </cfRule>
    <cfRule type="expression" dxfId="3895" priority="170">
      <formula>E$9&lt;8/24</formula>
    </cfRule>
  </conditionalFormatting>
  <conditionalFormatting sqref="AG44 AG62 AG66 Q63:AA65">
    <cfRule type="expression" dxfId="3894" priority="166">
      <formula>Q44&gt;$AG44</formula>
    </cfRule>
  </conditionalFormatting>
  <conditionalFormatting sqref="X54:AF54">
    <cfRule type="expression" dxfId="3893" priority="162">
      <formula>X$9&gt;=20/24</formula>
    </cfRule>
    <cfRule type="expression" dxfId="3892" priority="163">
      <formula>AND(X$9&gt;=14/24,X$9&lt;20/24)</formula>
    </cfRule>
    <cfRule type="expression" dxfId="3891" priority="164">
      <formula>AND(X$9&gt;=8/24,X$9&lt;14/24)</formula>
    </cfRule>
    <cfRule type="expression" dxfId="3890" priority="165">
      <formula>X$9&lt;8/24</formula>
    </cfRule>
  </conditionalFormatting>
  <conditionalFormatting sqref="X54:AF54">
    <cfRule type="expression" dxfId="3889" priority="161">
      <formula>X54&gt;$AG54</formula>
    </cfRule>
  </conditionalFormatting>
  <conditionalFormatting sqref="A40">
    <cfRule type="expression" dxfId="3888" priority="160">
      <formula>$AH40=0</formula>
    </cfRule>
  </conditionalFormatting>
  <conditionalFormatting sqref="X87:AF91">
    <cfRule type="expression" dxfId="3887" priority="156">
      <formula>X$9&gt;=20/24</formula>
    </cfRule>
    <cfRule type="expression" dxfId="3886" priority="157">
      <formula>AND(X$9&gt;=14/24,X$9&lt;20/24)</formula>
    </cfRule>
    <cfRule type="expression" dxfId="3885" priority="158">
      <formula>AND(X$9&gt;=8/24,X$9&lt;14/24)</formula>
    </cfRule>
    <cfRule type="expression" dxfId="3884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F45:AF47">
    <cfRule type="expression" dxfId="3883" priority="152">
      <formula>F$9&gt;=20/24</formula>
    </cfRule>
    <cfRule type="expression" dxfId="3882" priority="153">
      <formula>AND(F$9&gt;=14/24,F$9&lt;20/24)</formula>
    </cfRule>
    <cfRule type="expression" dxfId="3881" priority="154">
      <formula>AND(F$9&gt;=8/24,F$9&lt;14/24)</formula>
    </cfRule>
    <cfRule type="expression" dxfId="3880" priority="155">
      <formula>F$9&lt;8/24</formula>
    </cfRule>
  </conditionalFormatting>
  <conditionalFormatting sqref="F45:AF47">
    <cfRule type="expression" dxfId="3879" priority="151">
      <formula>F45&gt;$AG45</formula>
    </cfRule>
  </conditionalFormatting>
  <conditionalFormatting sqref="AG48">
    <cfRule type="expression" dxfId="3878" priority="147">
      <formula>AG$9&gt;=20/24</formula>
    </cfRule>
    <cfRule type="expression" dxfId="3877" priority="148">
      <formula>AND(AG$9&gt;=14/24,AG$9&lt;20/24)</formula>
    </cfRule>
    <cfRule type="expression" dxfId="3876" priority="149">
      <formula>AND(AG$9&gt;=8/24,AG$9&lt;14/24)</formula>
    </cfRule>
    <cfRule type="expression" dxfId="3875" priority="150">
      <formula>AG$9&lt;8/24</formula>
    </cfRule>
  </conditionalFormatting>
  <conditionalFormatting sqref="AG48">
    <cfRule type="expression" dxfId="3874" priority="146">
      <formula>AG48&gt;$AG48</formula>
    </cfRule>
  </conditionalFormatting>
  <conditionalFormatting sqref="C103:AF103">
    <cfRule type="expression" dxfId="3873" priority="142">
      <formula>C$9&gt;=20/24</formula>
    </cfRule>
    <cfRule type="expression" dxfId="3872" priority="143">
      <formula>AND(C$9&gt;=14/24,C$9&lt;20/24)</formula>
    </cfRule>
    <cfRule type="expression" dxfId="3871" priority="144">
      <formula>AND(C$9&gt;=8/24,C$9&lt;14/24)</formula>
    </cfRule>
    <cfRule type="expression" dxfId="3870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869" priority="140">
      <formula>$AH37=0</formula>
    </cfRule>
  </conditionalFormatting>
  <conditionalFormatting sqref="A86">
    <cfRule type="expression" dxfId="3868" priority="138">
      <formula>$AH86=0</formula>
    </cfRule>
  </conditionalFormatting>
  <conditionalFormatting sqref="A83">
    <cfRule type="expression" dxfId="3867" priority="139">
      <formula>$AH83=0</formula>
    </cfRule>
  </conditionalFormatting>
  <conditionalFormatting sqref="A113">
    <cfRule type="expression" dxfId="3866" priority="129">
      <formula>$AH113=0</formula>
    </cfRule>
  </conditionalFormatting>
  <conditionalFormatting sqref="D106:AF106">
    <cfRule type="expression" dxfId="3865" priority="125">
      <formula>D$9&gt;=20/24</formula>
    </cfRule>
    <cfRule type="expression" dxfId="3864" priority="126">
      <formula>AND(D$9&gt;=14/24,D$9&lt;20/24)</formula>
    </cfRule>
    <cfRule type="expression" dxfId="3863" priority="127">
      <formula>AND(D$9&gt;=8/24,D$9&lt;14/24)</formula>
    </cfRule>
    <cfRule type="expression" dxfId="3862" priority="128">
      <formula>D$9&lt;8/24</formula>
    </cfRule>
  </conditionalFormatting>
  <conditionalFormatting sqref="A106">
    <cfRule type="expression" dxfId="3861" priority="124">
      <formula>$AH106=0</formula>
    </cfRule>
  </conditionalFormatting>
  <conditionalFormatting sqref="A19">
    <cfRule type="expression" dxfId="3860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859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3858" priority="116">
      <formula>Y$9&gt;=20/24</formula>
    </cfRule>
    <cfRule type="expression" dxfId="3857" priority="117">
      <formula>AND(Y$9&gt;=14/24,Y$9&lt;20/24)</formula>
    </cfRule>
    <cfRule type="expression" dxfId="3856" priority="118">
      <formula>AND(Y$9&gt;=8/24,Y$9&lt;14/24)</formula>
    </cfRule>
    <cfRule type="expression" dxfId="3855" priority="119">
      <formula>Y$9&lt;8/24</formula>
    </cfRule>
  </conditionalFormatting>
  <conditionalFormatting sqref="Y96:AC102">
    <cfRule type="expression" dxfId="3854" priority="112">
      <formula>Y$9&gt;=20/24</formula>
    </cfRule>
    <cfRule type="expression" dxfId="3853" priority="113">
      <formula>AND(Y$9&gt;=14/24,Y$9&lt;20/24)</formula>
    </cfRule>
    <cfRule type="expression" dxfId="3852" priority="114">
      <formula>AND(Y$9&gt;=8/24,Y$9&lt;14/24)</formula>
    </cfRule>
    <cfRule type="expression" dxfId="3851" priority="115">
      <formula>Y$9&lt;8/24</formula>
    </cfRule>
  </conditionalFormatting>
  <conditionalFormatting sqref="B105:C105 B107:C112 B15:W40">
    <cfRule type="expression" dxfId="3850" priority="108">
      <formula>B$9&gt;=20/24</formula>
    </cfRule>
    <cfRule type="expression" dxfId="3849" priority="109">
      <formula>AND(B$9&gt;=14/24,B$9&lt;20/24)</formula>
    </cfRule>
    <cfRule type="expression" dxfId="3848" priority="110">
      <formula>AND(B$9&gt;=8/24,B$9&lt;14/24)</formula>
    </cfRule>
    <cfRule type="expression" dxfId="3847" priority="111">
      <formula>B$9&lt;8/24</formula>
    </cfRule>
  </conditionalFormatting>
  <conditionalFormatting sqref="B43:S43">
    <cfRule type="expression" dxfId="3846" priority="104">
      <formula>B$9&gt;=20/24</formula>
    </cfRule>
    <cfRule type="expression" dxfId="3845" priority="105">
      <formula>AND(B$9&gt;=14/24,B$9&lt;20/24)</formula>
    </cfRule>
    <cfRule type="expression" dxfId="3844" priority="106">
      <formula>AND(B$9&gt;=8/24,B$9&lt;14/24)</formula>
    </cfRule>
    <cfRule type="expression" dxfId="3843" priority="107">
      <formula>B$9&lt;8/24</formula>
    </cfRule>
  </conditionalFormatting>
  <conditionalFormatting sqref="B43:S43 B15:W40">
    <cfRule type="expression" dxfId="3842" priority="103">
      <formula>B15&gt;$AG15</formula>
    </cfRule>
  </conditionalFormatting>
  <conditionalFormatting sqref="B95:D95">
    <cfRule type="expression" dxfId="3841" priority="99">
      <formula>B$9&gt;=20/24</formula>
    </cfRule>
    <cfRule type="expression" dxfId="3840" priority="100">
      <formula>AND(B$9&gt;=14/24,B$9&lt;20/24)</formula>
    </cfRule>
    <cfRule type="expression" dxfId="3839" priority="101">
      <formula>AND(B$9&gt;=8/24,B$9&lt;14/24)</formula>
    </cfRule>
    <cfRule type="expression" dxfId="3838" priority="102">
      <formula>B$9&lt;8/24</formula>
    </cfRule>
  </conditionalFormatting>
  <conditionalFormatting sqref="B67:D67 B50:D51">
    <cfRule type="expression" dxfId="3837" priority="95">
      <formula>B$9&gt;=20/24</formula>
    </cfRule>
    <cfRule type="expression" dxfId="3836" priority="96">
      <formula>AND(B$9&gt;=14/24,B$9&lt;20/24)</formula>
    </cfRule>
    <cfRule type="expression" dxfId="3835" priority="97">
      <formula>AND(B$9&gt;=8/24,B$9&lt;14/24)</formula>
    </cfRule>
    <cfRule type="expression" dxfId="3834" priority="98">
      <formula>B$9&lt;8/24</formula>
    </cfRule>
  </conditionalFormatting>
  <conditionalFormatting sqref="B49:D49">
    <cfRule type="expression" dxfId="3833" priority="91">
      <formula>B$9&gt;=20/24</formula>
    </cfRule>
    <cfRule type="expression" dxfId="3832" priority="92">
      <formula>AND(B$9&gt;=14/24,B$9&lt;20/24)</formula>
    </cfRule>
    <cfRule type="expression" dxfId="3831" priority="93">
      <formula>AND(B$9&gt;=8/24,B$9&lt;14/24)</formula>
    </cfRule>
    <cfRule type="expression" dxfId="3830" priority="94">
      <formula>B$9&lt;8/24</formula>
    </cfRule>
  </conditionalFormatting>
  <conditionalFormatting sqref="B49:D51">
    <cfRule type="expression" dxfId="3829" priority="90">
      <formula>B49&gt;$AG49</formula>
    </cfRule>
  </conditionalFormatting>
  <conditionalFormatting sqref="B82:C82 B68:D72 B96:D102 B92:W92 B79:AF81 B63:P65 E70:W72 X71:AF72">
    <cfRule type="expression" dxfId="3828" priority="86">
      <formula>B$9&gt;=20/24</formula>
    </cfRule>
    <cfRule type="expression" dxfId="3827" priority="87">
      <formula>AND(B$9&gt;=14/24,B$9&lt;20/24)</formula>
    </cfRule>
    <cfRule type="expression" dxfId="3826" priority="88">
      <formula>AND(B$9&gt;=8/24,B$9&lt;14/24)</formula>
    </cfRule>
    <cfRule type="expression" dxfId="3825" priority="89">
      <formula>B$9&lt;8/24</formula>
    </cfRule>
  </conditionalFormatting>
  <conditionalFormatting sqref="B52:L53 B63:P65">
    <cfRule type="expression" dxfId="3824" priority="85">
      <formula>B52&gt;$AG52</formula>
    </cfRule>
  </conditionalFormatting>
  <conditionalFormatting sqref="B54:L54">
    <cfRule type="expression" dxfId="3823" priority="81">
      <formula>B$9&gt;=20/24</formula>
    </cfRule>
    <cfRule type="expression" dxfId="3822" priority="82">
      <formula>AND(B$9&gt;=14/24,B$9&lt;20/24)</formula>
    </cfRule>
    <cfRule type="expression" dxfId="3821" priority="83">
      <formula>AND(B$9&gt;=8/24,B$9&lt;14/24)</formula>
    </cfRule>
    <cfRule type="expression" dxfId="3820" priority="84">
      <formula>B$9&lt;8/24</formula>
    </cfRule>
  </conditionalFormatting>
  <conditionalFormatting sqref="B54:L54">
    <cfRule type="expression" dxfId="3819" priority="80">
      <formula>B54&gt;$AG54</formula>
    </cfRule>
  </conditionalFormatting>
  <conditionalFormatting sqref="B84 B93">
    <cfRule type="expression" dxfId="3818" priority="76">
      <formula>B$9&gt;=20/24</formula>
    </cfRule>
    <cfRule type="expression" dxfId="3817" priority="77">
      <formula>AND(B$9&gt;=14/24,B$9&lt;20/24)</formula>
    </cfRule>
    <cfRule type="expression" dxfId="3816" priority="78">
      <formula>AND(B$9&gt;=8/24,B$9&lt;14/24)</formula>
    </cfRule>
    <cfRule type="expression" dxfId="3815" priority="79">
      <formula>B$9&lt;8/24</formula>
    </cfRule>
  </conditionalFormatting>
  <conditionalFormatting sqref="B42:W42">
    <cfRule type="expression" dxfId="3814" priority="72">
      <formula>B$9&gt;=20/24</formula>
    </cfRule>
    <cfRule type="expression" dxfId="3813" priority="73">
      <formula>AND(B$9&gt;=14/24,B$9&lt;20/24)</formula>
    </cfRule>
    <cfRule type="expression" dxfId="3812" priority="74">
      <formula>AND(B$9&gt;=8/24,B$9&lt;14/24)</formula>
    </cfRule>
    <cfRule type="expression" dxfId="3811" priority="75">
      <formula>B$9&lt;8/24</formula>
    </cfRule>
  </conditionalFormatting>
  <conditionalFormatting sqref="B42:W42">
    <cfRule type="expression" dxfId="3810" priority="71">
      <formula>B42&gt;$AG42</formula>
    </cfRule>
  </conditionalFormatting>
  <conditionalFormatting sqref="B66:AF66 B83:AF83 B94:AF94 B85:AF85">
    <cfRule type="expression" dxfId="3809" priority="67">
      <formula>B$9&gt;=20/24</formula>
    </cfRule>
    <cfRule type="expression" dxfId="3808" priority="68">
      <formula>AND(B$9&gt;=14/24,B$9&lt;20/24)</formula>
    </cfRule>
    <cfRule type="expression" dxfId="3807" priority="69">
      <formula>AND(B$9&gt;=8/24,B$9&lt;14/24)</formula>
    </cfRule>
    <cfRule type="expression" dxfId="3806" priority="70">
      <formula>B$9&lt;8/24</formula>
    </cfRule>
  </conditionalFormatting>
  <conditionalFormatting sqref="B61:AF62 B66:AF66 B44:AF44">
    <cfRule type="expression" dxfId="3805" priority="66">
      <formula>B44&gt;$AG44</formula>
    </cfRule>
  </conditionalFormatting>
  <conditionalFormatting sqref="B78:AF78">
    <cfRule type="expression" dxfId="3804" priority="62">
      <formula>B$9&gt;=20/24</formula>
    </cfRule>
    <cfRule type="expression" dxfId="3803" priority="63">
      <formula>AND(B$9&gt;=14/24,B$9&lt;20/24)</formula>
    </cfRule>
    <cfRule type="expression" dxfId="3802" priority="64">
      <formula>AND(B$9&gt;=8/24,B$9&lt;14/24)</formula>
    </cfRule>
    <cfRule type="expression" dxfId="3801" priority="65">
      <formula>B$9&lt;8/24</formula>
    </cfRule>
  </conditionalFormatting>
  <conditionalFormatting sqref="B87:W91">
    <cfRule type="expression" dxfId="3800" priority="58">
      <formula>B$9&gt;=20/24</formula>
    </cfRule>
    <cfRule type="expression" dxfId="3799" priority="59">
      <formula>AND(B$9&gt;=14/24,B$9&lt;20/24)</formula>
    </cfRule>
    <cfRule type="expression" dxfId="3798" priority="60">
      <formula>AND(B$9&gt;=8/24,B$9&lt;14/24)</formula>
    </cfRule>
    <cfRule type="expression" dxfId="3797" priority="61">
      <formula>B$9&lt;8/24</formula>
    </cfRule>
  </conditionalFormatting>
  <conditionalFormatting sqref="B45:E47">
    <cfRule type="expression" dxfId="3796" priority="54">
      <formula>B$9&gt;=20/24</formula>
    </cfRule>
    <cfRule type="expression" dxfId="3795" priority="55">
      <formula>AND(B$9&gt;=14/24,B$9&lt;20/24)</formula>
    </cfRule>
    <cfRule type="expression" dxfId="3794" priority="56">
      <formula>AND(B$9&gt;=8/24,B$9&lt;14/24)</formula>
    </cfRule>
    <cfRule type="expression" dxfId="3793" priority="57">
      <formula>B$9&lt;8/24</formula>
    </cfRule>
  </conditionalFormatting>
  <conditionalFormatting sqref="B45:E47">
    <cfRule type="expression" dxfId="3792" priority="53">
      <formula>B45&gt;$AG45</formula>
    </cfRule>
  </conditionalFormatting>
  <conditionalFormatting sqref="B48:AF48">
    <cfRule type="expression" dxfId="3791" priority="49">
      <formula>B$9&gt;=20/24</formula>
    </cfRule>
    <cfRule type="expression" dxfId="3790" priority="50">
      <formula>AND(B$9&gt;=14/24,B$9&lt;20/24)</formula>
    </cfRule>
    <cfRule type="expression" dxfId="3789" priority="51">
      <formula>AND(B$9&gt;=8/24,B$9&lt;14/24)</formula>
    </cfRule>
    <cfRule type="expression" dxfId="3788" priority="52">
      <formula>B$9&lt;8/24</formula>
    </cfRule>
  </conditionalFormatting>
  <conditionalFormatting sqref="B48:AF48">
    <cfRule type="expression" dxfId="3787" priority="48">
      <formula>B48&gt;$AG48</formula>
    </cfRule>
  </conditionalFormatting>
  <conditionalFormatting sqref="B103">
    <cfRule type="expression" dxfId="3786" priority="44">
      <formula>B$9&gt;=20/24</formula>
    </cfRule>
    <cfRule type="expression" dxfId="3785" priority="45">
      <formula>AND(B$9&gt;=14/24,B$9&lt;20/24)</formula>
    </cfRule>
    <cfRule type="expression" dxfId="3784" priority="46">
      <formula>AND(B$9&gt;=8/24,B$9&lt;14/24)</formula>
    </cfRule>
    <cfRule type="expression" dxfId="3783" priority="47">
      <formula>B$9&lt;8/24</formula>
    </cfRule>
  </conditionalFormatting>
  <conditionalFormatting sqref="B106:C106">
    <cfRule type="expression" dxfId="3782" priority="32">
      <formula>B$9&gt;=20/24</formula>
    </cfRule>
    <cfRule type="expression" dxfId="3781" priority="33">
      <formula>AND(B$9&gt;=14/24,B$9&lt;20/24)</formula>
    </cfRule>
    <cfRule type="expression" dxfId="3780" priority="34">
      <formula>AND(B$9&gt;=8/24,B$9&lt;14/24)</formula>
    </cfRule>
    <cfRule type="expression" dxfId="3779" priority="35">
      <formula>B$9&lt;8/24</formula>
    </cfRule>
  </conditionalFormatting>
  <conditionalFormatting sqref="B55:AF60">
    <cfRule type="expression" dxfId="3778" priority="28">
      <formula>B$9&gt;=20/24</formula>
    </cfRule>
    <cfRule type="expression" dxfId="3777" priority="29">
      <formula>AND(B$9&gt;=14/24,B$9&lt;20/24)</formula>
    </cfRule>
    <cfRule type="expression" dxfId="3776" priority="30">
      <formula>AND(B$9&gt;=8/24,B$9&lt;14/24)</formula>
    </cfRule>
    <cfRule type="expression" dxfId="3775" priority="31">
      <formula>B$9&lt;8/24</formula>
    </cfRule>
  </conditionalFormatting>
  <conditionalFormatting sqref="B55:AF60">
    <cfRule type="expression" dxfId="3774" priority="27">
      <formula>B55&gt;$AG55</formula>
    </cfRule>
  </conditionalFormatting>
  <conditionalFormatting sqref="B12:W14 B41:W41">
    <cfRule type="expression" dxfId="3773" priority="26">
      <formula>B12&gt;$AG12</formula>
    </cfRule>
  </conditionalFormatting>
  <conditionalFormatting sqref="B11:W11">
    <cfRule type="expression" dxfId="3772" priority="22">
      <formula>B$9&gt;=20/24</formula>
    </cfRule>
    <cfRule type="expression" dxfId="3771" priority="23">
      <formula>AND(B$9&gt;=14/24,B$9&lt;20/24)</formula>
    </cfRule>
    <cfRule type="expression" dxfId="3770" priority="24">
      <formula>AND(B$9&gt;=8/24,B$9&lt;14/24)</formula>
    </cfRule>
    <cfRule type="expression" dxfId="3769" priority="25">
      <formula>B$9&lt;8/24</formula>
    </cfRule>
  </conditionalFormatting>
  <conditionalFormatting sqref="B11:W11">
    <cfRule type="expression" dxfId="3768" priority="21">
      <formula>B11&gt;$AG11</formula>
    </cfRule>
  </conditionalFormatting>
  <conditionalFormatting sqref="B12:W14">
    <cfRule type="expression" dxfId="3767" priority="17">
      <formula>B$9&gt;=20/24</formula>
    </cfRule>
    <cfRule type="expression" dxfId="3766" priority="18">
      <formula>AND(B$9&gt;=14/24,B$9&lt;20/24)</formula>
    </cfRule>
    <cfRule type="expression" dxfId="3765" priority="19">
      <formula>AND(B$9&gt;=8/24,B$9&lt;14/24)</formula>
    </cfRule>
    <cfRule type="expression" dxfId="3764" priority="20">
      <formula>B$9&lt;8/24</formula>
    </cfRule>
  </conditionalFormatting>
  <conditionalFormatting sqref="B41:W41">
    <cfRule type="expression" dxfId="3763" priority="13">
      <formula>B$9&gt;=20/24</formula>
    </cfRule>
    <cfRule type="expression" dxfId="3762" priority="14">
      <formula>AND(B$9&gt;=14/24,B$9&lt;20/24)</formula>
    </cfRule>
    <cfRule type="expression" dxfId="3761" priority="15">
      <formula>AND(B$9&gt;=8/24,B$9&lt;14/24)</formula>
    </cfRule>
    <cfRule type="expression" dxfId="3760" priority="16">
      <formula>B$9&lt;8/24</formula>
    </cfRule>
  </conditionalFormatting>
  <conditionalFormatting sqref="B73:AF77">
    <cfRule type="expression" dxfId="3759" priority="9">
      <formula>B$9&gt;=20/24</formula>
    </cfRule>
    <cfRule type="expression" dxfId="3758" priority="10">
      <formula>AND(B$9&gt;=14/24,B$9&lt;20/24)</formula>
    </cfRule>
    <cfRule type="expression" dxfId="3757" priority="11">
      <formula>AND(B$9&gt;=8/24,B$9&lt;14/24)</formula>
    </cfRule>
    <cfRule type="expression" dxfId="3756" priority="12">
      <formula>B$9&lt;8/24</formula>
    </cfRule>
  </conditionalFormatting>
  <conditionalFormatting sqref="AL74:AN74 AL80:AN80 AN75:AN76">
    <cfRule type="expression" dxfId="3755" priority="5">
      <formula>AL$9&gt;=20/24</formula>
    </cfRule>
    <cfRule type="expression" dxfId="3754" priority="6">
      <formula>AND(AL$9&gt;=14/24,AL$9&lt;20/24)</formula>
    </cfRule>
    <cfRule type="expression" dxfId="3753" priority="7">
      <formula>AND(AL$9&gt;=8/24,AL$9&lt;14/24)</formula>
    </cfRule>
    <cfRule type="expression" dxfId="3752" priority="8">
      <formula>AL$9&lt;8/24</formula>
    </cfRule>
  </conditionalFormatting>
  <conditionalFormatting sqref="AN77:AN78">
    <cfRule type="expression" dxfId="3751" priority="1">
      <formula>AN$9&gt;=20/24</formula>
    </cfRule>
    <cfRule type="expression" dxfId="3750" priority="2">
      <formula>AND(AN$9&gt;=14/24,AN$9&lt;20/24)</formula>
    </cfRule>
    <cfRule type="expression" dxfId="3749" priority="3">
      <formula>AND(AN$9&gt;=8/24,AN$9&lt;14/24)</formula>
    </cfRule>
    <cfRule type="expression" dxfId="3748" priority="4">
      <formula>AN$9&lt;8/24</formula>
    </cfRule>
  </conditionalFormatting>
  <conditionalFormatting sqref="AL75:AM79">
    <cfRule type="expression" dxfId="3747" priority="258">
      <formula>AJ$9&gt;=20/24</formula>
    </cfRule>
    <cfRule type="expression" dxfId="3746" priority="259">
      <formula>AND(AJ$9&gt;=14/24,AJ$9&lt;20/24)</formula>
    </cfRule>
    <cfRule type="expression" dxfId="3745" priority="260">
      <formula>AND(AJ$9&gt;=8/24,AJ$9&lt;14/24)</formula>
    </cfRule>
    <cfRule type="expression" dxfId="3744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154081EC-9CF5-4D48-9C12-11BAA1BEF7F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056BD3B7-22A9-44F9-8CF9-3BE1654E5EA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4F47A994-C87F-42B0-A17A-FE02325F787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EADE2640-5414-4614-960D-053B6456D33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BD2A1783-C57D-4873-A2A9-2E04CA2FA54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A9BABCBC-054C-488E-A1C5-19E651B8DF9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79900454-4939-4FC1-903E-33ECA822806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8BFC9FD7-E37B-42C1-A500-697391D7228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930BC8FA-9471-408D-A423-49BE824B736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FD5549C6-67AD-40A4-B450-5632003F803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899ED117-3D1B-4B54-B39F-A27D0CF4557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FB06DFCD-BC40-4C04-AF4C-00AA1BC7831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CE32F789-A8C3-41F8-BA9C-1F468A9A4D5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E505BFF4-ABDC-4FD2-ABF3-AD0DB910AAC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B189EB1D-C330-497F-B695-0EA0FDA5EE4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9F4728ED-5092-4C5F-9E3A-4AB9B79C647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J274"/>
  <sheetViews>
    <sheetView workbookViewId="0">
      <pane ySplit="10" topLeftCell="A59" activePane="bottomLeft" state="frozen"/>
      <selection pane="bottomLeft" activeCell="AE49" sqref="AE4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2079/09/27</v>
      </c>
      <c r="C4" s="197"/>
      <c r="D4" s="197"/>
      <c r="E4" s="198" t="str">
        <f ca="1">"2079/"&amp;"09/"&amp;INT(MID(CELL("filename",G6),FIND("]",CELL("filename",G6))+1,200))</f>
        <v>2079/09/27</v>
      </c>
      <c r="F4" s="198"/>
      <c r="G4" s="198"/>
      <c r="H4" s="198" t="str">
        <f ca="1">TEXT(E4,"dddd")</f>
        <v>Wednesday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345</v>
      </c>
      <c r="C5" s="30">
        <f t="shared" si="0"/>
        <v>319</v>
      </c>
      <c r="D5" s="30">
        <f t="shared" si="0"/>
        <v>340</v>
      </c>
      <c r="E5" s="30">
        <f t="shared" si="0"/>
        <v>338</v>
      </c>
      <c r="F5" s="30">
        <f t="shared" si="0"/>
        <v>340</v>
      </c>
      <c r="G5" s="30">
        <f t="shared" si="0"/>
        <v>336.7</v>
      </c>
      <c r="H5" s="30">
        <f t="shared" si="0"/>
        <v>434</v>
      </c>
      <c r="I5" s="30">
        <f t="shared" si="0"/>
        <v>446</v>
      </c>
      <c r="J5" s="30">
        <f t="shared" si="0"/>
        <v>226</v>
      </c>
      <c r="K5" s="30">
        <f t="shared" si="0"/>
        <v>210</v>
      </c>
      <c r="L5" s="30">
        <f t="shared" si="0"/>
        <v>200.3</v>
      </c>
      <c r="M5" s="30">
        <f t="shared" si="0"/>
        <v>119.89999999999999</v>
      </c>
      <c r="N5" s="30">
        <f t="shared" si="0"/>
        <v>79.3</v>
      </c>
      <c r="O5" s="30">
        <f t="shared" si="0"/>
        <v>214.5</v>
      </c>
      <c r="P5" s="30">
        <f t="shared" si="0"/>
        <v>393.3</v>
      </c>
      <c r="Q5" s="30">
        <f t="shared" si="0"/>
        <v>417.70000000000005</v>
      </c>
      <c r="R5" s="30">
        <f t="shared" si="0"/>
        <v>416.9</v>
      </c>
      <c r="S5" s="30">
        <f t="shared" si="0"/>
        <v>425.2</v>
      </c>
      <c r="T5" s="30">
        <f t="shared" si="0"/>
        <v>294.10000000000002</v>
      </c>
      <c r="U5" s="30">
        <f t="shared" si="0"/>
        <v>226</v>
      </c>
      <c r="V5" s="30">
        <f t="shared" si="0"/>
        <v>236.5</v>
      </c>
      <c r="W5" s="30">
        <f t="shared" si="0"/>
        <v>198.7</v>
      </c>
      <c r="X5" s="30">
        <f t="shared" si="0"/>
        <v>145.69999999999999</v>
      </c>
      <c r="Y5" s="30">
        <f t="shared" si="0"/>
        <v>174.8</v>
      </c>
      <c r="Z5" s="30">
        <f t="shared" si="0"/>
        <v>155.39999999999998</v>
      </c>
      <c r="AA5" s="30">
        <f t="shared" si="0"/>
        <v>178.8</v>
      </c>
      <c r="AB5" s="30">
        <f t="shared" si="0"/>
        <v>202</v>
      </c>
      <c r="AC5" s="30">
        <f t="shared" si="0"/>
        <v>189</v>
      </c>
      <c r="AD5" s="30">
        <f t="shared" si="0"/>
        <v>371.1</v>
      </c>
      <c r="AE5" s="30">
        <f t="shared" si="0"/>
        <v>418</v>
      </c>
      <c r="AF5" s="30">
        <f>B78</f>
        <v>338.9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0.75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1658MW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Load=1012</v>
      </c>
      <c r="B7" s="35">
        <f t="shared" ref="B7:AF7" si="1">B85</f>
        <v>1049.7399999999998</v>
      </c>
      <c r="C7" s="35">
        <f t="shared" si="1"/>
        <v>1067.8399999999999</v>
      </c>
      <c r="D7" s="35">
        <f t="shared" si="1"/>
        <v>1027.6399999999999</v>
      </c>
      <c r="E7" s="35">
        <f t="shared" si="1"/>
        <v>1012.34</v>
      </c>
      <c r="F7" s="35">
        <f t="shared" si="1"/>
        <v>1046.54</v>
      </c>
      <c r="G7" s="35">
        <f t="shared" si="1"/>
        <v>1079.74</v>
      </c>
      <c r="H7" s="35">
        <f t="shared" si="1"/>
        <v>1131.8399999999999</v>
      </c>
      <c r="I7" s="35">
        <f t="shared" si="1"/>
        <v>1260.44</v>
      </c>
      <c r="J7" s="35">
        <f t="shared" si="1"/>
        <v>1304.3399999999999</v>
      </c>
      <c r="K7" s="35">
        <f t="shared" si="1"/>
        <v>1542.84</v>
      </c>
      <c r="L7" s="35">
        <f t="shared" si="1"/>
        <v>1605.54</v>
      </c>
      <c r="M7" s="35">
        <f t="shared" si="1"/>
        <v>1641.24</v>
      </c>
      <c r="N7" s="35">
        <f>N85</f>
        <v>1658.44</v>
      </c>
      <c r="O7" s="35">
        <f t="shared" si="1"/>
        <v>1589.24</v>
      </c>
      <c r="P7" s="35">
        <f t="shared" si="1"/>
        <v>1553.94</v>
      </c>
      <c r="Q7" s="35">
        <f t="shared" si="1"/>
        <v>1486.54</v>
      </c>
      <c r="R7" s="35">
        <f t="shared" si="1"/>
        <v>1447.14</v>
      </c>
      <c r="S7" s="35">
        <f t="shared" si="1"/>
        <v>1408.54</v>
      </c>
      <c r="T7" s="35">
        <f t="shared" si="1"/>
        <v>1423.34</v>
      </c>
      <c r="U7" s="35">
        <f t="shared" si="1"/>
        <v>1361.3400000000001</v>
      </c>
      <c r="V7" s="35">
        <f t="shared" si="1"/>
        <v>1437.1399999999999</v>
      </c>
      <c r="W7" s="35">
        <f t="shared" si="1"/>
        <v>1515.7400000000002</v>
      </c>
      <c r="X7" s="35">
        <f t="shared" si="1"/>
        <v>1779.24</v>
      </c>
      <c r="Y7" s="35">
        <f t="shared" si="1"/>
        <v>1759.64</v>
      </c>
      <c r="Z7" s="35">
        <f t="shared" si="1"/>
        <v>1728.44</v>
      </c>
      <c r="AA7" s="35">
        <f t="shared" si="1"/>
        <v>1699.04</v>
      </c>
      <c r="AB7" s="35">
        <f t="shared" si="1"/>
        <v>1625.94</v>
      </c>
      <c r="AC7" s="35">
        <f t="shared" si="1"/>
        <v>1542.24</v>
      </c>
      <c r="AD7" s="35">
        <f t="shared" si="1"/>
        <v>1434.64</v>
      </c>
      <c r="AE7" s="35">
        <f t="shared" si="1"/>
        <v>1108.8400000000001</v>
      </c>
      <c r="AF7" s="35">
        <f t="shared" si="1"/>
        <v>1131.8400000000001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20.100000000000001</v>
      </c>
      <c r="C11" s="45">
        <v>20.100000000000001</v>
      </c>
      <c r="D11" s="45">
        <v>20.100000000000001</v>
      </c>
      <c r="E11" s="45">
        <v>20.100000000000001</v>
      </c>
      <c r="F11" s="45">
        <v>20.9</v>
      </c>
      <c r="G11" s="45">
        <v>20.9</v>
      </c>
      <c r="H11" s="45">
        <v>20.9</v>
      </c>
      <c r="I11" s="45">
        <v>20.7</v>
      </c>
      <c r="J11" s="45">
        <v>20.7</v>
      </c>
      <c r="K11" s="45">
        <v>20.7</v>
      </c>
      <c r="L11" s="45">
        <v>20.7</v>
      </c>
      <c r="M11" s="45">
        <v>22.5</v>
      </c>
      <c r="N11" s="45">
        <v>19.899999999999999</v>
      </c>
      <c r="O11" s="45">
        <v>19.899999999999999</v>
      </c>
      <c r="P11" s="45">
        <v>22</v>
      </c>
      <c r="Q11" s="45">
        <v>22</v>
      </c>
      <c r="R11" s="45">
        <v>22</v>
      </c>
      <c r="S11" s="45">
        <v>22</v>
      </c>
      <c r="T11" s="45">
        <v>22</v>
      </c>
      <c r="U11" s="45">
        <v>22</v>
      </c>
      <c r="V11" s="45">
        <v>22</v>
      </c>
      <c r="W11" s="45">
        <v>20</v>
      </c>
      <c r="X11" s="45">
        <v>20</v>
      </c>
      <c r="Y11" s="45">
        <v>20</v>
      </c>
      <c r="Z11" s="45">
        <v>20</v>
      </c>
      <c r="AA11" s="45">
        <v>20</v>
      </c>
      <c r="AB11" s="45">
        <v>20</v>
      </c>
      <c r="AC11" s="45">
        <v>20</v>
      </c>
      <c r="AD11" s="45">
        <v>20</v>
      </c>
      <c r="AE11" s="45">
        <v>20</v>
      </c>
      <c r="AF11" s="45">
        <v>20</v>
      </c>
      <c r="AG11" s="47">
        <v>52.4</v>
      </c>
      <c r="AH11" s="48">
        <f t="shared" ref="AH11:AH74" si="2">MAX(B11:AF11)</f>
        <v>22.5</v>
      </c>
      <c r="AI11" s="49">
        <f t="shared" ref="AI11:AI74" si="3">MIN(B11:AF11)</f>
        <v>19.899999999999999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40.200000000000003</v>
      </c>
      <c r="C12" s="45">
        <v>40.200000000000003</v>
      </c>
      <c r="D12" s="45">
        <v>40.200000000000003</v>
      </c>
      <c r="E12" s="45">
        <v>40.200000000000003</v>
      </c>
      <c r="F12" s="45">
        <v>40.1</v>
      </c>
      <c r="G12" s="45">
        <v>40.1</v>
      </c>
      <c r="H12" s="45">
        <v>40.1</v>
      </c>
      <c r="I12" s="45">
        <v>40.1</v>
      </c>
      <c r="J12" s="45">
        <v>40.200000000000003</v>
      </c>
      <c r="K12" s="45">
        <v>40.200000000000003</v>
      </c>
      <c r="L12" s="45">
        <v>40.200000000000003</v>
      </c>
      <c r="M12" s="45">
        <v>39.9</v>
      </c>
      <c r="N12" s="45">
        <v>39.9</v>
      </c>
      <c r="O12" s="45">
        <v>39.9</v>
      </c>
      <c r="P12" s="45">
        <v>39.6</v>
      </c>
      <c r="Q12" s="45">
        <v>39.6</v>
      </c>
      <c r="R12" s="45">
        <v>39.6</v>
      </c>
      <c r="S12" s="45">
        <v>39.6</v>
      </c>
      <c r="T12" s="45">
        <v>39.6</v>
      </c>
      <c r="U12" s="45">
        <v>39.6</v>
      </c>
      <c r="V12" s="45">
        <v>39.6</v>
      </c>
      <c r="W12" s="45">
        <v>39.6</v>
      </c>
      <c r="X12" s="45">
        <v>39.6</v>
      </c>
      <c r="Y12" s="45">
        <v>39.6</v>
      </c>
      <c r="Z12" s="45">
        <v>39.6</v>
      </c>
      <c r="AA12" s="45">
        <v>39.6</v>
      </c>
      <c r="AB12" s="45">
        <v>39.6</v>
      </c>
      <c r="AC12" s="45">
        <v>39.6</v>
      </c>
      <c r="AD12" s="45">
        <v>39.6</v>
      </c>
      <c r="AE12" s="45">
        <v>39.6</v>
      </c>
      <c r="AF12" s="45">
        <v>39.6</v>
      </c>
      <c r="AG12" s="51">
        <v>50</v>
      </c>
      <c r="AH12" s="48">
        <f t="shared" si="2"/>
        <v>40.200000000000003</v>
      </c>
      <c r="AI12" s="49">
        <f t="shared" si="3"/>
        <v>39.6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20.6</v>
      </c>
      <c r="C13" s="45">
        <v>20.6</v>
      </c>
      <c r="D13" s="45">
        <v>20.6</v>
      </c>
      <c r="E13" s="45">
        <v>20.6</v>
      </c>
      <c r="F13" s="45">
        <v>20</v>
      </c>
      <c r="G13" s="45">
        <v>20</v>
      </c>
      <c r="H13" s="45">
        <v>20</v>
      </c>
      <c r="I13" s="45">
        <v>20</v>
      </c>
      <c r="J13" s="45">
        <v>20</v>
      </c>
      <c r="K13" s="45">
        <v>20</v>
      </c>
      <c r="L13" s="45">
        <v>20</v>
      </c>
      <c r="M13" s="45">
        <v>20.3</v>
      </c>
      <c r="N13" s="45">
        <v>21.2</v>
      </c>
      <c r="O13" s="45">
        <v>21.2</v>
      </c>
      <c r="P13" s="45">
        <v>20.6</v>
      </c>
      <c r="Q13" s="45">
        <v>20.6</v>
      </c>
      <c r="R13" s="45">
        <v>20.6</v>
      </c>
      <c r="S13" s="45">
        <v>20.6</v>
      </c>
      <c r="T13" s="45">
        <v>20.6</v>
      </c>
      <c r="U13" s="45">
        <v>20.6</v>
      </c>
      <c r="V13" s="45">
        <v>20.6</v>
      </c>
      <c r="W13" s="45">
        <v>20.6</v>
      </c>
      <c r="X13" s="45">
        <v>20.6</v>
      </c>
      <c r="Y13" s="45">
        <v>20.6</v>
      </c>
      <c r="Z13" s="45">
        <v>20.6</v>
      </c>
      <c r="AA13" s="45">
        <v>20.6</v>
      </c>
      <c r="AB13" s="45">
        <v>20.6</v>
      </c>
      <c r="AC13" s="45">
        <v>20.6</v>
      </c>
      <c r="AD13" s="45">
        <v>20.6</v>
      </c>
      <c r="AE13" s="45">
        <v>20.6</v>
      </c>
      <c r="AF13" s="45">
        <v>20.6</v>
      </c>
      <c r="AG13" s="51">
        <v>45</v>
      </c>
      <c r="AH13" s="48">
        <f t="shared" si="2"/>
        <v>21.2</v>
      </c>
      <c r="AI13" s="49">
        <f t="shared" si="3"/>
        <v>20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11</v>
      </c>
      <c r="C14" s="45">
        <v>11</v>
      </c>
      <c r="D14" s="45">
        <v>11</v>
      </c>
      <c r="E14" s="45">
        <v>11</v>
      </c>
      <c r="F14" s="45">
        <v>11</v>
      </c>
      <c r="G14" s="45">
        <v>11</v>
      </c>
      <c r="H14" s="45">
        <v>11</v>
      </c>
      <c r="I14" s="45">
        <v>11</v>
      </c>
      <c r="J14" s="45">
        <v>11</v>
      </c>
      <c r="K14" s="45">
        <v>11</v>
      </c>
      <c r="L14" s="45">
        <v>11</v>
      </c>
      <c r="M14" s="45">
        <v>10.5</v>
      </c>
      <c r="N14" s="45">
        <v>10.5</v>
      </c>
      <c r="O14" s="45">
        <v>10.5</v>
      </c>
      <c r="P14" s="45">
        <v>10.5</v>
      </c>
      <c r="Q14" s="45">
        <v>10.5</v>
      </c>
      <c r="R14" s="45">
        <v>10.5</v>
      </c>
      <c r="S14" s="45">
        <v>10.5</v>
      </c>
      <c r="T14" s="45">
        <v>10.5</v>
      </c>
      <c r="U14" s="45">
        <v>10.5</v>
      </c>
      <c r="V14" s="45">
        <v>10.5</v>
      </c>
      <c r="W14" s="45">
        <v>10.5</v>
      </c>
      <c r="X14" s="45">
        <v>10.5</v>
      </c>
      <c r="Y14" s="45">
        <v>10.5</v>
      </c>
      <c r="Z14" s="45">
        <v>10.5</v>
      </c>
      <c r="AA14" s="45">
        <v>10.5</v>
      </c>
      <c r="AB14" s="45">
        <v>10.5</v>
      </c>
      <c r="AC14" s="45">
        <v>10.5</v>
      </c>
      <c r="AD14" s="45">
        <v>10.5</v>
      </c>
      <c r="AE14" s="45">
        <v>10.5</v>
      </c>
      <c r="AF14" s="45">
        <v>10.5</v>
      </c>
      <c r="AG14" s="51">
        <v>42</v>
      </c>
      <c r="AH14" s="48">
        <f t="shared" si="2"/>
        <v>11</v>
      </c>
      <c r="AI14" s="49">
        <f t="shared" si="3"/>
        <v>10.5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</v>
      </c>
      <c r="C15" s="45">
        <v>17</v>
      </c>
      <c r="D15" s="45">
        <v>17</v>
      </c>
      <c r="E15" s="45">
        <v>17</v>
      </c>
      <c r="F15" s="45">
        <v>17</v>
      </c>
      <c r="G15" s="45">
        <v>17</v>
      </c>
      <c r="H15" s="45">
        <v>17</v>
      </c>
      <c r="I15" s="45">
        <v>17</v>
      </c>
      <c r="J15" s="45">
        <v>17</v>
      </c>
      <c r="K15" s="45">
        <v>17</v>
      </c>
      <c r="L15" s="45">
        <v>17</v>
      </c>
      <c r="M15" s="45">
        <v>17</v>
      </c>
      <c r="N15" s="45">
        <v>17</v>
      </c>
      <c r="O15" s="45">
        <v>17</v>
      </c>
      <c r="P15" s="45">
        <v>17</v>
      </c>
      <c r="Q15" s="45">
        <v>17</v>
      </c>
      <c r="R15" s="45">
        <v>17</v>
      </c>
      <c r="S15" s="45">
        <v>17</v>
      </c>
      <c r="T15" s="45">
        <v>17</v>
      </c>
      <c r="U15" s="45">
        <v>17</v>
      </c>
      <c r="V15" s="45">
        <v>17</v>
      </c>
      <c r="W15" s="45">
        <v>17</v>
      </c>
      <c r="X15" s="45">
        <v>17</v>
      </c>
      <c r="Y15" s="45">
        <v>17</v>
      </c>
      <c r="Z15" s="45">
        <v>17</v>
      </c>
      <c r="AA15" s="45">
        <v>17</v>
      </c>
      <c r="AB15" s="45">
        <v>17</v>
      </c>
      <c r="AC15" s="45">
        <v>17</v>
      </c>
      <c r="AD15" s="45">
        <v>17</v>
      </c>
      <c r="AE15" s="45">
        <v>17</v>
      </c>
      <c r="AF15" s="45">
        <v>17</v>
      </c>
      <c r="AG15" s="51">
        <v>36</v>
      </c>
      <c r="AH15" s="48">
        <f t="shared" si="2"/>
        <v>17</v>
      </c>
      <c r="AI15" s="49">
        <f t="shared" si="3"/>
        <v>17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10.4</v>
      </c>
      <c r="C16" s="45">
        <v>10.4</v>
      </c>
      <c r="D16" s="45">
        <v>10.4</v>
      </c>
      <c r="E16" s="45">
        <v>10.4</v>
      </c>
      <c r="F16" s="45">
        <v>10.4</v>
      </c>
      <c r="G16" s="45">
        <v>10.4</v>
      </c>
      <c r="H16" s="45">
        <v>10.4</v>
      </c>
      <c r="I16" s="45">
        <v>10.4</v>
      </c>
      <c r="J16" s="45">
        <v>10.4</v>
      </c>
      <c r="K16" s="45">
        <v>10.4</v>
      </c>
      <c r="L16" s="45">
        <v>10.4</v>
      </c>
      <c r="M16" s="45">
        <v>9.9</v>
      </c>
      <c r="N16" s="45">
        <v>9.9</v>
      </c>
      <c r="O16" s="45">
        <v>9.9</v>
      </c>
      <c r="P16" s="45">
        <v>9.9</v>
      </c>
      <c r="Q16" s="45">
        <v>9.9</v>
      </c>
      <c r="R16" s="45">
        <v>9.9</v>
      </c>
      <c r="S16" s="45">
        <v>9.9</v>
      </c>
      <c r="T16" s="45">
        <v>9.9</v>
      </c>
      <c r="U16" s="45">
        <v>9.9</v>
      </c>
      <c r="V16" s="45">
        <v>9.9</v>
      </c>
      <c r="W16" s="45">
        <v>9.9</v>
      </c>
      <c r="X16" s="45">
        <v>9.9</v>
      </c>
      <c r="Y16" s="45">
        <v>9.9</v>
      </c>
      <c r="Z16" s="45">
        <v>9.9</v>
      </c>
      <c r="AA16" s="45">
        <v>9.9</v>
      </c>
      <c r="AB16" s="45">
        <v>9.9</v>
      </c>
      <c r="AC16" s="45">
        <v>9.9</v>
      </c>
      <c r="AD16" s="45">
        <v>9.9</v>
      </c>
      <c r="AE16" s="45">
        <v>9.9</v>
      </c>
      <c r="AF16" s="45">
        <v>9.9</v>
      </c>
      <c r="AG16" s="52">
        <v>30</v>
      </c>
      <c r="AH16" s="48">
        <f t="shared" si="2"/>
        <v>10.4</v>
      </c>
      <c r="AI16" s="49">
        <f t="shared" si="3"/>
        <v>9.9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9</v>
      </c>
      <c r="C17" s="45">
        <v>9</v>
      </c>
      <c r="D17" s="45">
        <v>9</v>
      </c>
      <c r="E17" s="45">
        <v>9</v>
      </c>
      <c r="F17" s="45">
        <v>9</v>
      </c>
      <c r="G17" s="45">
        <v>9</v>
      </c>
      <c r="H17" s="45">
        <v>9</v>
      </c>
      <c r="I17" s="45">
        <v>9</v>
      </c>
      <c r="J17" s="45">
        <v>9</v>
      </c>
      <c r="K17" s="45">
        <v>9</v>
      </c>
      <c r="L17" s="45">
        <v>9</v>
      </c>
      <c r="M17" s="45">
        <v>9.3000000000000007</v>
      </c>
      <c r="N17" s="45">
        <v>9.3000000000000007</v>
      </c>
      <c r="O17" s="45">
        <v>9.3000000000000007</v>
      </c>
      <c r="P17" s="45">
        <v>9.3000000000000007</v>
      </c>
      <c r="Q17" s="45">
        <v>9.3000000000000007</v>
      </c>
      <c r="R17" s="45">
        <v>9.3000000000000007</v>
      </c>
      <c r="S17" s="45">
        <v>9.3000000000000007</v>
      </c>
      <c r="T17" s="45">
        <v>9.3000000000000007</v>
      </c>
      <c r="U17" s="45">
        <v>9.3000000000000007</v>
      </c>
      <c r="V17" s="45">
        <v>9.3000000000000007</v>
      </c>
      <c r="W17" s="45">
        <v>9.3000000000000007</v>
      </c>
      <c r="X17" s="45">
        <v>9.3000000000000007</v>
      </c>
      <c r="Y17" s="45">
        <v>9.3000000000000007</v>
      </c>
      <c r="Z17" s="45">
        <v>9.3000000000000007</v>
      </c>
      <c r="AA17" s="45">
        <v>9.3000000000000007</v>
      </c>
      <c r="AB17" s="45">
        <v>9.3000000000000007</v>
      </c>
      <c r="AC17" s="45">
        <v>9.3000000000000007</v>
      </c>
      <c r="AD17" s="45">
        <v>9.3000000000000007</v>
      </c>
      <c r="AE17" s="45">
        <v>9.3000000000000007</v>
      </c>
      <c r="AF17" s="45">
        <v>9.3000000000000007</v>
      </c>
      <c r="AG17" s="51">
        <v>24.2</v>
      </c>
      <c r="AH17" s="48">
        <f t="shared" si="2"/>
        <v>9.3000000000000007</v>
      </c>
      <c r="AI17" s="49">
        <f t="shared" si="3"/>
        <v>9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51">
        <v>25</v>
      </c>
      <c r="AH20" s="48">
        <f t="shared" si="2"/>
        <v>10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9.4</v>
      </c>
      <c r="C24" s="45">
        <v>9.4</v>
      </c>
      <c r="D24" s="45">
        <v>9.4</v>
      </c>
      <c r="E24" s="45">
        <v>9.4</v>
      </c>
      <c r="F24" s="45">
        <v>9.4</v>
      </c>
      <c r="G24" s="45">
        <v>9.4</v>
      </c>
      <c r="H24" s="45">
        <v>9.4</v>
      </c>
      <c r="I24" s="45">
        <v>9.4</v>
      </c>
      <c r="J24" s="45">
        <v>9.4</v>
      </c>
      <c r="K24" s="45">
        <v>9.4</v>
      </c>
      <c r="L24" s="45">
        <v>9.4</v>
      </c>
      <c r="M24" s="45">
        <v>9.4</v>
      </c>
      <c r="N24" s="45">
        <v>9.4</v>
      </c>
      <c r="O24" s="45">
        <v>9.4</v>
      </c>
      <c r="P24" s="45">
        <v>9.4</v>
      </c>
      <c r="Q24" s="45">
        <v>9.4</v>
      </c>
      <c r="R24" s="45">
        <v>9.4</v>
      </c>
      <c r="S24" s="45">
        <v>9.4</v>
      </c>
      <c r="T24" s="45">
        <v>9.4</v>
      </c>
      <c r="U24" s="45">
        <v>9.4</v>
      </c>
      <c r="V24" s="45">
        <v>9.4</v>
      </c>
      <c r="W24" s="45">
        <v>9.4</v>
      </c>
      <c r="X24" s="45">
        <v>9.4</v>
      </c>
      <c r="Y24" s="45">
        <v>9.4</v>
      </c>
      <c r="Z24" s="45">
        <v>9.4</v>
      </c>
      <c r="AA24" s="45">
        <v>9.4</v>
      </c>
      <c r="AB24" s="45">
        <v>9.4</v>
      </c>
      <c r="AC24" s="45">
        <v>9.4</v>
      </c>
      <c r="AD24" s="45">
        <v>9.4</v>
      </c>
      <c r="AE24" s="45">
        <v>9.4</v>
      </c>
      <c r="AF24" s="45">
        <v>9.4</v>
      </c>
      <c r="AG24" s="51">
        <v>23.5</v>
      </c>
      <c r="AH24" s="48">
        <f t="shared" si="2"/>
        <v>9.4</v>
      </c>
      <c r="AI24" s="49">
        <f t="shared" si="3"/>
        <v>9.4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9.4</v>
      </c>
      <c r="C28" s="45">
        <v>9.4</v>
      </c>
      <c r="D28" s="45">
        <v>9.4</v>
      </c>
      <c r="E28" s="45">
        <v>9.4</v>
      </c>
      <c r="F28" s="45">
        <v>9.4</v>
      </c>
      <c r="G28" s="45">
        <v>9.4</v>
      </c>
      <c r="H28" s="45">
        <v>9.4</v>
      </c>
      <c r="I28" s="45">
        <v>9.4</v>
      </c>
      <c r="J28" s="45">
        <v>9.4</v>
      </c>
      <c r="K28" s="45">
        <v>9.4</v>
      </c>
      <c r="L28" s="45">
        <v>9.4</v>
      </c>
      <c r="M28" s="45">
        <v>9.4</v>
      </c>
      <c r="N28" s="45">
        <v>9.4</v>
      </c>
      <c r="O28" s="45">
        <v>9.4</v>
      </c>
      <c r="P28" s="45">
        <v>9.4</v>
      </c>
      <c r="Q28" s="45">
        <v>9.4</v>
      </c>
      <c r="R28" s="45">
        <v>9.4</v>
      </c>
      <c r="S28" s="45">
        <v>9.4</v>
      </c>
      <c r="T28" s="45">
        <v>9.4</v>
      </c>
      <c r="U28" s="45">
        <v>9.4</v>
      </c>
      <c r="V28" s="45">
        <v>9.4</v>
      </c>
      <c r="W28" s="45">
        <v>9.4</v>
      </c>
      <c r="X28" s="45">
        <v>9.4</v>
      </c>
      <c r="Y28" s="45">
        <v>9.4</v>
      </c>
      <c r="Z28" s="45">
        <v>9.4</v>
      </c>
      <c r="AA28" s="45">
        <v>9.4</v>
      </c>
      <c r="AB28" s="45">
        <v>9.4</v>
      </c>
      <c r="AC28" s="45">
        <v>9.4</v>
      </c>
      <c r="AD28" s="45">
        <v>9.4</v>
      </c>
      <c r="AE28" s="45">
        <v>9.4</v>
      </c>
      <c r="AF28" s="45">
        <v>9.4</v>
      </c>
      <c r="AG28" s="51">
        <v>22</v>
      </c>
      <c r="AH28" s="48">
        <f t="shared" si="2"/>
        <v>9.4</v>
      </c>
      <c r="AI28" s="49">
        <f t="shared" si="3"/>
        <v>9.4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>
        <v>1.2</v>
      </c>
      <c r="S32" s="45">
        <v>1.2</v>
      </c>
      <c r="T32" s="45">
        <v>1.2</v>
      </c>
      <c r="U32" s="45">
        <v>1.2</v>
      </c>
      <c r="V32" s="45">
        <v>1.2</v>
      </c>
      <c r="W32" s="45">
        <v>1.2</v>
      </c>
      <c r="X32" s="45">
        <v>1.2</v>
      </c>
      <c r="Y32" s="45">
        <v>1.2</v>
      </c>
      <c r="Z32" s="45">
        <v>1.2</v>
      </c>
      <c r="AA32" s="45">
        <v>1.2</v>
      </c>
      <c r="AB32" s="45">
        <v>1.2</v>
      </c>
      <c r="AC32" s="45">
        <v>1.2</v>
      </c>
      <c r="AD32" s="45">
        <v>1.2</v>
      </c>
      <c r="AE32" s="45">
        <v>1.2</v>
      </c>
      <c r="AF32" s="45">
        <v>1.2</v>
      </c>
      <c r="AG32" s="51">
        <v>13.6</v>
      </c>
      <c r="AH32" s="48">
        <f t="shared" si="2"/>
        <v>1.2</v>
      </c>
      <c r="AI32" s="49">
        <f t="shared" si="3"/>
        <v>1.2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150</v>
      </c>
      <c r="C42" s="57">
        <v>150</v>
      </c>
      <c r="D42" s="57">
        <v>150</v>
      </c>
      <c r="E42" s="57">
        <v>150</v>
      </c>
      <c r="F42" s="57">
        <v>150</v>
      </c>
      <c r="G42" s="57">
        <v>150</v>
      </c>
      <c r="H42" s="57">
        <v>150</v>
      </c>
      <c r="I42" s="57">
        <v>150</v>
      </c>
      <c r="J42" s="57">
        <v>150</v>
      </c>
      <c r="K42" s="57">
        <v>150</v>
      </c>
      <c r="L42" s="57">
        <v>150</v>
      </c>
      <c r="M42" s="57">
        <v>150</v>
      </c>
      <c r="N42" s="57">
        <v>150</v>
      </c>
      <c r="O42" s="57">
        <v>150</v>
      </c>
      <c r="P42" s="57">
        <v>150</v>
      </c>
      <c r="Q42" s="57">
        <v>150</v>
      </c>
      <c r="R42" s="57">
        <v>150</v>
      </c>
      <c r="S42" s="57">
        <v>150</v>
      </c>
      <c r="T42" s="57">
        <v>150</v>
      </c>
      <c r="U42" s="57">
        <v>150</v>
      </c>
      <c r="V42" s="57">
        <v>150</v>
      </c>
      <c r="W42" s="57">
        <v>150</v>
      </c>
      <c r="X42" s="57">
        <v>150</v>
      </c>
      <c r="Y42" s="57">
        <v>150</v>
      </c>
      <c r="Z42" s="57">
        <v>150</v>
      </c>
      <c r="AA42" s="57">
        <v>150</v>
      </c>
      <c r="AB42" s="57">
        <v>150</v>
      </c>
      <c r="AC42" s="57">
        <v>150</v>
      </c>
      <c r="AD42" s="57">
        <v>150</v>
      </c>
      <c r="AE42" s="57">
        <v>150</v>
      </c>
      <c r="AF42" s="57">
        <v>150</v>
      </c>
      <c r="AG42" s="55">
        <v>85</v>
      </c>
      <c r="AH42" s="48">
        <f t="shared" si="2"/>
        <v>150</v>
      </c>
      <c r="AI42" s="49">
        <f t="shared" si="3"/>
        <v>150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468.9</v>
      </c>
      <c r="C44" s="61">
        <f t="shared" si="4"/>
        <v>468.9</v>
      </c>
      <c r="D44" s="61">
        <f t="shared" si="4"/>
        <v>468.9</v>
      </c>
      <c r="E44" s="61">
        <f t="shared" si="4"/>
        <v>468.9</v>
      </c>
      <c r="F44" s="61">
        <f t="shared" si="4"/>
        <v>469</v>
      </c>
      <c r="G44" s="61">
        <f t="shared" si="4"/>
        <v>469</v>
      </c>
      <c r="H44" s="61">
        <f t="shared" si="4"/>
        <v>469</v>
      </c>
      <c r="I44" s="61">
        <f t="shared" si="4"/>
        <v>468.79999999999995</v>
      </c>
      <c r="J44" s="61">
        <f t="shared" si="4"/>
        <v>468.9</v>
      </c>
      <c r="K44" s="61">
        <f t="shared" si="4"/>
        <v>468.9</v>
      </c>
      <c r="L44" s="61">
        <f t="shared" si="4"/>
        <v>468.9</v>
      </c>
      <c r="M44" s="61">
        <f t="shared" si="4"/>
        <v>470</v>
      </c>
      <c r="N44" s="61">
        <f t="shared" si="4"/>
        <v>468.29999999999995</v>
      </c>
      <c r="O44" s="61">
        <f t="shared" si="4"/>
        <v>468.29999999999995</v>
      </c>
      <c r="P44" s="61">
        <f t="shared" si="4"/>
        <v>469.5</v>
      </c>
      <c r="Q44" s="61">
        <f t="shared" si="4"/>
        <v>469.5</v>
      </c>
      <c r="R44" s="61">
        <f t="shared" si="4"/>
        <v>469.5</v>
      </c>
      <c r="S44" s="61">
        <f t="shared" si="4"/>
        <v>469.5</v>
      </c>
      <c r="T44" s="61">
        <f t="shared" si="4"/>
        <v>469.5</v>
      </c>
      <c r="U44" s="61">
        <f t="shared" si="4"/>
        <v>469.5</v>
      </c>
      <c r="V44" s="61">
        <f t="shared" si="4"/>
        <v>469.5</v>
      </c>
      <c r="W44" s="61">
        <f t="shared" si="4"/>
        <v>467.5</v>
      </c>
      <c r="X44" s="61">
        <f t="shared" si="4"/>
        <v>467.5</v>
      </c>
      <c r="Y44" s="61">
        <f t="shared" si="4"/>
        <v>467.5</v>
      </c>
      <c r="Z44" s="61">
        <f t="shared" si="4"/>
        <v>467.5</v>
      </c>
      <c r="AA44" s="61">
        <f t="shared" si="4"/>
        <v>467.5</v>
      </c>
      <c r="AB44" s="61">
        <f t="shared" si="4"/>
        <v>467.5</v>
      </c>
      <c r="AC44" s="61">
        <f t="shared" si="4"/>
        <v>467.5</v>
      </c>
      <c r="AD44" s="61">
        <f t="shared" si="4"/>
        <v>467.5</v>
      </c>
      <c r="AE44" s="61">
        <f t="shared" si="4"/>
        <v>467.5</v>
      </c>
      <c r="AF44" s="61">
        <f t="shared" si="4"/>
        <v>467.5</v>
      </c>
      <c r="AG44" s="62">
        <f t="shared" si="4"/>
        <v>814.78000000000009</v>
      </c>
      <c r="AH44" s="48">
        <f t="shared" si="2"/>
        <v>470</v>
      </c>
      <c r="AI44" s="49">
        <f t="shared" si="3"/>
        <v>467.5</v>
      </c>
      <c r="AK44" s="50"/>
    </row>
    <row r="45" spans="1:88" x14ac:dyDescent="0.25">
      <c r="A45" s="63" t="s">
        <v>53</v>
      </c>
      <c r="B45" s="45">
        <v>40</v>
      </c>
      <c r="C45" s="45">
        <v>60</v>
      </c>
      <c r="D45" s="45">
        <v>40</v>
      </c>
      <c r="E45" s="45">
        <v>15</v>
      </c>
      <c r="F45" s="45">
        <v>45</v>
      </c>
      <c r="G45" s="45">
        <v>50</v>
      </c>
      <c r="H45" s="45">
        <v>76</v>
      </c>
      <c r="I45" s="45">
        <v>30</v>
      </c>
      <c r="J45" s="45">
        <v>30</v>
      </c>
      <c r="K45" s="45">
        <v>220</v>
      </c>
      <c r="L45" s="45">
        <v>200</v>
      </c>
      <c r="M45" s="164">
        <v>240</v>
      </c>
      <c r="N45" s="164">
        <v>310</v>
      </c>
      <c r="O45" s="45">
        <v>305</v>
      </c>
      <c r="P45" s="45">
        <v>205</v>
      </c>
      <c r="Q45" s="45">
        <v>110</v>
      </c>
      <c r="R45" s="45">
        <v>70</v>
      </c>
      <c r="S45" s="45">
        <v>50</v>
      </c>
      <c r="T45" s="45">
        <v>75</v>
      </c>
      <c r="U45" s="45">
        <v>150</v>
      </c>
      <c r="V45" s="45">
        <v>120</v>
      </c>
      <c r="W45" s="45">
        <v>140</v>
      </c>
      <c r="X45" s="45">
        <v>320</v>
      </c>
      <c r="Y45" s="45">
        <v>360</v>
      </c>
      <c r="Z45" s="45">
        <v>320</v>
      </c>
      <c r="AA45" s="45">
        <v>310</v>
      </c>
      <c r="AB45" s="45">
        <v>250</v>
      </c>
      <c r="AC45" s="45">
        <v>210</v>
      </c>
      <c r="AD45" s="45">
        <v>150</v>
      </c>
      <c r="AE45" s="45">
        <v>15</v>
      </c>
      <c r="AF45" s="45">
        <v>15</v>
      </c>
      <c r="AG45" s="52">
        <v>456</v>
      </c>
      <c r="AH45" s="48">
        <f t="shared" si="2"/>
        <v>360</v>
      </c>
      <c r="AI45" s="49">
        <f t="shared" si="3"/>
        <v>15</v>
      </c>
      <c r="AK45" s="50"/>
    </row>
    <row r="46" spans="1:88" x14ac:dyDescent="0.25">
      <c r="A46" s="64" t="s">
        <v>54</v>
      </c>
      <c r="B46" s="65">
        <v>41</v>
      </c>
      <c r="C46" s="65">
        <v>40</v>
      </c>
      <c r="D46" s="65">
        <v>40</v>
      </c>
      <c r="E46" s="65">
        <v>40</v>
      </c>
      <c r="F46" s="65">
        <v>40</v>
      </c>
      <c r="G46" s="65">
        <v>40</v>
      </c>
      <c r="H46" s="65">
        <v>40</v>
      </c>
      <c r="I46" s="65">
        <v>40</v>
      </c>
      <c r="J46" s="65">
        <v>40</v>
      </c>
      <c r="K46" s="65">
        <v>40</v>
      </c>
      <c r="L46" s="65">
        <v>40</v>
      </c>
      <c r="M46" s="65">
        <v>40</v>
      </c>
      <c r="N46" s="65">
        <v>40</v>
      </c>
      <c r="O46" s="65">
        <v>40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40</v>
      </c>
      <c r="AK46" s="50"/>
    </row>
    <row r="47" spans="1:88" ht="15.75" thickBot="1" x14ac:dyDescent="0.3">
      <c r="A47" s="66" t="s">
        <v>55</v>
      </c>
      <c r="B47" s="67">
        <v>14</v>
      </c>
      <c r="C47" s="67">
        <v>13</v>
      </c>
      <c r="D47" s="67">
        <v>13</v>
      </c>
      <c r="E47" s="67">
        <v>12.1</v>
      </c>
      <c r="F47" s="67">
        <v>12</v>
      </c>
      <c r="G47" s="67">
        <v>12</v>
      </c>
      <c r="H47" s="67" t="s">
        <v>292</v>
      </c>
      <c r="I47" s="67">
        <v>12.1</v>
      </c>
      <c r="J47" s="67">
        <v>12.3</v>
      </c>
      <c r="K47" s="67">
        <v>12.2</v>
      </c>
      <c r="L47" s="67">
        <v>12.2</v>
      </c>
      <c r="M47" s="67">
        <v>12.1</v>
      </c>
      <c r="N47" s="67">
        <v>12.1</v>
      </c>
      <c r="O47" s="67">
        <v>12.1</v>
      </c>
      <c r="P47" s="67">
        <v>12.1</v>
      </c>
      <c r="Q47" s="67">
        <v>12.2</v>
      </c>
      <c r="R47" s="67">
        <v>12.2</v>
      </c>
      <c r="S47" s="67">
        <v>12.2</v>
      </c>
      <c r="T47" s="67">
        <v>13.5</v>
      </c>
      <c r="U47" s="67">
        <v>13.6</v>
      </c>
      <c r="V47" s="67">
        <v>13.4</v>
      </c>
      <c r="W47" s="67">
        <v>13.6</v>
      </c>
      <c r="X47" s="67">
        <v>13.6</v>
      </c>
      <c r="Y47" s="67">
        <v>18.2</v>
      </c>
      <c r="Z47" s="67">
        <v>18.100000000000001</v>
      </c>
      <c r="AA47" s="67">
        <v>18.100000000000001</v>
      </c>
      <c r="AB47" s="67">
        <v>18.100000000000001</v>
      </c>
      <c r="AC47" s="67">
        <v>18.100000000000001</v>
      </c>
      <c r="AD47" s="67">
        <v>18.100000000000001</v>
      </c>
      <c r="AE47" s="67">
        <v>18.100000000000001</v>
      </c>
      <c r="AF47" s="67">
        <v>18.100000000000001</v>
      </c>
      <c r="AG47" s="68">
        <v>22.1</v>
      </c>
      <c r="AH47" s="48">
        <f t="shared" si="2"/>
        <v>18.2</v>
      </c>
      <c r="AI47" s="49">
        <f t="shared" si="3"/>
        <v>12</v>
      </c>
      <c r="AK47" s="50"/>
    </row>
    <row r="48" spans="1:88" ht="15.75" thickBot="1" x14ac:dyDescent="0.3">
      <c r="A48" s="69" t="s">
        <v>56</v>
      </c>
      <c r="B48" s="61">
        <f t="shared" ref="B48:AG48" si="5">SUM(B45:B47)</f>
        <v>95</v>
      </c>
      <c r="C48" s="61">
        <f t="shared" si="5"/>
        <v>113</v>
      </c>
      <c r="D48" s="61">
        <f t="shared" si="5"/>
        <v>93</v>
      </c>
      <c r="E48" s="61">
        <f t="shared" si="5"/>
        <v>67.099999999999994</v>
      </c>
      <c r="F48" s="61">
        <f t="shared" si="5"/>
        <v>97</v>
      </c>
      <c r="G48" s="61">
        <f t="shared" si="5"/>
        <v>102</v>
      </c>
      <c r="H48" s="61">
        <f t="shared" si="5"/>
        <v>116</v>
      </c>
      <c r="I48" s="61">
        <f t="shared" si="5"/>
        <v>82.1</v>
      </c>
      <c r="J48" s="61">
        <f t="shared" si="5"/>
        <v>82.3</v>
      </c>
      <c r="K48" s="61">
        <f t="shared" si="5"/>
        <v>272.2</v>
      </c>
      <c r="L48" s="61">
        <f t="shared" si="5"/>
        <v>252.2</v>
      </c>
      <c r="M48" s="61">
        <f t="shared" si="5"/>
        <v>292.10000000000002</v>
      </c>
      <c r="N48" s="61">
        <f t="shared" si="5"/>
        <v>362.1</v>
      </c>
      <c r="O48" s="61">
        <f t="shared" si="5"/>
        <v>357.1</v>
      </c>
      <c r="P48" s="61">
        <f t="shared" si="5"/>
        <v>258.10000000000002</v>
      </c>
      <c r="Q48" s="61">
        <f t="shared" si="5"/>
        <v>163.19999999999999</v>
      </c>
      <c r="R48" s="61">
        <f t="shared" si="5"/>
        <v>123.2</v>
      </c>
      <c r="S48" s="61">
        <f t="shared" si="5"/>
        <v>103.2</v>
      </c>
      <c r="T48" s="61">
        <f t="shared" si="5"/>
        <v>129.5</v>
      </c>
      <c r="U48" s="61">
        <f t="shared" si="5"/>
        <v>204.6</v>
      </c>
      <c r="V48" s="61">
        <f t="shared" si="5"/>
        <v>174.4</v>
      </c>
      <c r="W48" s="61">
        <f t="shared" si="5"/>
        <v>194.6</v>
      </c>
      <c r="X48" s="61">
        <f t="shared" si="5"/>
        <v>374.6</v>
      </c>
      <c r="Y48" s="61">
        <f t="shared" si="5"/>
        <v>419.2</v>
      </c>
      <c r="Z48" s="61">
        <f t="shared" si="5"/>
        <v>379.1</v>
      </c>
      <c r="AA48" s="61">
        <f t="shared" si="5"/>
        <v>369.1</v>
      </c>
      <c r="AB48" s="61">
        <f t="shared" si="5"/>
        <v>309.10000000000002</v>
      </c>
      <c r="AC48" s="61">
        <f t="shared" si="5"/>
        <v>269.10000000000002</v>
      </c>
      <c r="AD48" s="61">
        <f t="shared" si="5"/>
        <v>209.1</v>
      </c>
      <c r="AE48" s="61">
        <f t="shared" si="5"/>
        <v>74.099999999999994</v>
      </c>
      <c r="AF48" s="61">
        <f t="shared" si="5"/>
        <v>74.099999999999994</v>
      </c>
      <c r="AG48" s="62">
        <f t="shared" si="5"/>
        <v>538.1</v>
      </c>
      <c r="AH48" s="48">
        <f t="shared" si="2"/>
        <v>419.2</v>
      </c>
      <c r="AI48" s="49">
        <f t="shared" si="3"/>
        <v>67.099999999999994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30</v>
      </c>
      <c r="I49" s="45">
        <v>61.5</v>
      </c>
      <c r="J49" s="45">
        <v>80</v>
      </c>
      <c r="K49" s="45">
        <v>115</v>
      </c>
      <c r="L49" s="45">
        <v>116.2</v>
      </c>
      <c r="M49" s="45">
        <v>115.9</v>
      </c>
      <c r="N49" s="45">
        <v>116.1</v>
      </c>
      <c r="O49" s="45">
        <v>106.9</v>
      </c>
      <c r="P49" s="45">
        <v>106.9</v>
      </c>
      <c r="Q49" s="45">
        <v>141.6</v>
      </c>
      <c r="R49" s="45">
        <v>121.8</v>
      </c>
      <c r="S49" s="45">
        <v>101.8</v>
      </c>
      <c r="T49" s="45">
        <v>101.8</v>
      </c>
      <c r="U49" s="45">
        <v>101.8</v>
      </c>
      <c r="V49" s="45">
        <v>111.5</v>
      </c>
      <c r="W49" s="45">
        <v>111.5</v>
      </c>
      <c r="X49" s="45">
        <v>139</v>
      </c>
      <c r="Y49" s="45">
        <v>139</v>
      </c>
      <c r="Z49" s="45">
        <v>139</v>
      </c>
      <c r="AA49" s="45">
        <v>139</v>
      </c>
      <c r="AB49" s="45">
        <v>122.4</v>
      </c>
      <c r="AC49" s="45">
        <v>71.5</v>
      </c>
      <c r="AD49" s="45">
        <v>61.2</v>
      </c>
      <c r="AE49" s="45">
        <v>25</v>
      </c>
      <c r="AF49" s="45">
        <v>25</v>
      </c>
      <c r="AG49" s="52">
        <v>144</v>
      </c>
      <c r="AH49" s="48">
        <f t="shared" si="2"/>
        <v>141.6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35</v>
      </c>
      <c r="H50" s="65">
        <v>34.4</v>
      </c>
      <c r="I50" s="65">
        <v>68.099999999999994</v>
      </c>
      <c r="J50" s="65">
        <v>65</v>
      </c>
      <c r="K50" s="65">
        <v>65</v>
      </c>
      <c r="L50" s="65">
        <v>65</v>
      </c>
      <c r="M50" s="65">
        <v>61.4</v>
      </c>
      <c r="N50" s="65">
        <v>59.6</v>
      </c>
      <c r="O50" s="65">
        <v>45.8</v>
      </c>
      <c r="P50" s="65">
        <v>45.8</v>
      </c>
      <c r="Q50" s="65">
        <v>59.7</v>
      </c>
      <c r="R50" s="45">
        <v>51.2</v>
      </c>
      <c r="S50" s="45">
        <v>53.2</v>
      </c>
      <c r="T50" s="45">
        <v>53.2</v>
      </c>
      <c r="U50" s="45">
        <v>53.2</v>
      </c>
      <c r="V50" s="45">
        <v>54.1</v>
      </c>
      <c r="W50" s="45">
        <v>54.1</v>
      </c>
      <c r="X50" s="45">
        <v>67</v>
      </c>
      <c r="Y50" s="45">
        <v>66.5</v>
      </c>
      <c r="Z50" s="45">
        <v>51.3</v>
      </c>
      <c r="AA50" s="45">
        <v>51.3</v>
      </c>
      <c r="AB50" s="65">
        <v>35.1</v>
      </c>
      <c r="AC50" s="65">
        <v>30.1</v>
      </c>
      <c r="AD50" s="65">
        <v>22</v>
      </c>
      <c r="AE50" s="65">
        <v>0</v>
      </c>
      <c r="AF50" s="65">
        <v>0</v>
      </c>
      <c r="AG50" s="55">
        <v>70</v>
      </c>
      <c r="AH50" s="48">
        <f t="shared" si="2"/>
        <v>68.099999999999994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45</v>
      </c>
      <c r="C51" s="65">
        <v>39</v>
      </c>
      <c r="D51" s="65">
        <v>45</v>
      </c>
      <c r="E51" s="65">
        <v>32</v>
      </c>
      <c r="F51" s="65">
        <v>40</v>
      </c>
      <c r="G51" s="65">
        <v>32</v>
      </c>
      <c r="H51" s="65">
        <v>43.2</v>
      </c>
      <c r="I51" s="65">
        <v>33.200000000000003</v>
      </c>
      <c r="J51" s="65">
        <v>44.2</v>
      </c>
      <c r="K51" s="65">
        <v>33.799999999999997</v>
      </c>
      <c r="L51" s="65">
        <v>35</v>
      </c>
      <c r="M51" s="65">
        <v>34.6</v>
      </c>
      <c r="N51" s="65">
        <v>34</v>
      </c>
      <c r="O51" s="65">
        <v>34.200000000000003</v>
      </c>
      <c r="P51" s="65">
        <v>34.200000000000003</v>
      </c>
      <c r="Q51" s="65">
        <v>43.8</v>
      </c>
      <c r="R51" s="45">
        <v>36.5</v>
      </c>
      <c r="S51" s="45">
        <v>36.700000000000003</v>
      </c>
      <c r="T51" s="45">
        <v>36.700000000000003</v>
      </c>
      <c r="U51" s="45">
        <v>36.700000000000003</v>
      </c>
      <c r="V51" s="45">
        <v>53.2</v>
      </c>
      <c r="W51" s="45">
        <v>53.2</v>
      </c>
      <c r="X51" s="45">
        <v>68.400000000000006</v>
      </c>
      <c r="Y51" s="45">
        <v>67.7</v>
      </c>
      <c r="Z51" s="45">
        <v>67.2</v>
      </c>
      <c r="AA51" s="45">
        <v>67.2</v>
      </c>
      <c r="AB51" s="65">
        <v>67.5</v>
      </c>
      <c r="AC51" s="65">
        <v>67.8</v>
      </c>
      <c r="AD51" s="65">
        <v>50.3</v>
      </c>
      <c r="AE51" s="65">
        <v>52.4</v>
      </c>
      <c r="AF51" s="65">
        <v>44.8</v>
      </c>
      <c r="AG51" s="55">
        <v>69</v>
      </c>
      <c r="AH51" s="48">
        <f t="shared" si="2"/>
        <v>68.400000000000006</v>
      </c>
      <c r="AI51" s="49">
        <f t="shared" si="3"/>
        <v>32</v>
      </c>
      <c r="AK51" s="50"/>
    </row>
    <row r="52" spans="1:41" x14ac:dyDescent="0.25">
      <c r="A52" s="54" t="s">
        <v>60</v>
      </c>
      <c r="B52" s="57">
        <v>55.2</v>
      </c>
      <c r="C52" s="57">
        <v>55.2</v>
      </c>
      <c r="D52" s="57">
        <v>55</v>
      </c>
      <c r="E52" s="57">
        <v>55</v>
      </c>
      <c r="F52" s="57">
        <v>53.2</v>
      </c>
      <c r="G52" s="57">
        <v>53</v>
      </c>
      <c r="H52" s="57">
        <v>53.4</v>
      </c>
      <c r="I52" s="57">
        <v>54.2</v>
      </c>
      <c r="J52" s="57">
        <v>54.3</v>
      </c>
      <c r="K52" s="57">
        <v>54.3</v>
      </c>
      <c r="L52" s="57">
        <v>54.2</v>
      </c>
      <c r="M52" s="65">
        <v>54.2</v>
      </c>
      <c r="N52" s="65">
        <v>54.2</v>
      </c>
      <c r="O52" s="65">
        <v>54.2</v>
      </c>
      <c r="P52" s="65">
        <v>54.2</v>
      </c>
      <c r="Q52" s="65">
        <v>52.4</v>
      </c>
      <c r="R52" s="45">
        <v>52.6</v>
      </c>
      <c r="S52" s="45">
        <v>52.6</v>
      </c>
      <c r="T52" s="45">
        <v>52.6</v>
      </c>
      <c r="U52" s="45">
        <v>52.6</v>
      </c>
      <c r="V52" s="45">
        <v>51.6</v>
      </c>
      <c r="W52" s="45">
        <v>51.6</v>
      </c>
      <c r="X52" s="65">
        <v>51.6</v>
      </c>
      <c r="Y52" s="65">
        <v>51.6</v>
      </c>
      <c r="Z52" s="65">
        <v>53.7</v>
      </c>
      <c r="AA52" s="65">
        <v>53.7</v>
      </c>
      <c r="AB52" s="65">
        <v>53.7</v>
      </c>
      <c r="AC52" s="65">
        <v>53.4</v>
      </c>
      <c r="AD52" s="65">
        <v>53.7</v>
      </c>
      <c r="AE52" s="65">
        <v>54.2</v>
      </c>
      <c r="AF52" s="65">
        <v>54.2</v>
      </c>
      <c r="AG52" s="55">
        <v>60</v>
      </c>
      <c r="AH52" s="48">
        <f t="shared" si="2"/>
        <v>55.2</v>
      </c>
      <c r="AI52" s="49">
        <f t="shared" si="3"/>
        <v>51.6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10</v>
      </c>
      <c r="J53" s="57">
        <v>15</v>
      </c>
      <c r="K53" s="57">
        <v>24</v>
      </c>
      <c r="L53" s="57">
        <v>30</v>
      </c>
      <c r="M53" s="65">
        <v>30</v>
      </c>
      <c r="N53" s="65">
        <v>28.5</v>
      </c>
      <c r="O53" s="65">
        <v>27.7</v>
      </c>
      <c r="P53" s="65">
        <v>27.7</v>
      </c>
      <c r="Q53" s="65">
        <v>0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45">
        <v>0</v>
      </c>
      <c r="X53" s="65">
        <v>26</v>
      </c>
      <c r="Y53" s="65">
        <v>26</v>
      </c>
      <c r="Z53" s="65">
        <v>28.8</v>
      </c>
      <c r="AA53" s="65">
        <v>28.8</v>
      </c>
      <c r="AB53" s="65">
        <v>24.8</v>
      </c>
      <c r="AC53" s="65">
        <v>13.8</v>
      </c>
      <c r="AD53" s="65">
        <v>14.8</v>
      </c>
      <c r="AE53" s="65">
        <v>0</v>
      </c>
      <c r="AF53" s="65">
        <v>0</v>
      </c>
      <c r="AG53" s="55">
        <v>30</v>
      </c>
      <c r="AH53" s="48">
        <f t="shared" si="2"/>
        <v>30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0</v>
      </c>
      <c r="N54" s="65">
        <v>8</v>
      </c>
      <c r="O54" s="65">
        <v>8</v>
      </c>
      <c r="P54" s="65">
        <v>8</v>
      </c>
      <c r="Q54" s="65">
        <v>8</v>
      </c>
      <c r="R54" s="45">
        <v>8</v>
      </c>
      <c r="S54" s="45">
        <v>8</v>
      </c>
      <c r="T54" s="45">
        <v>8</v>
      </c>
      <c r="U54" s="45">
        <v>2</v>
      </c>
      <c r="V54" s="45">
        <v>0</v>
      </c>
      <c r="W54" s="4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8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17.3</v>
      </c>
      <c r="J55" s="65">
        <v>17.2</v>
      </c>
      <c r="K55" s="65">
        <v>17.2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17.100000000000001</v>
      </c>
      <c r="S55" s="65">
        <v>17.100000000000001</v>
      </c>
      <c r="T55" s="65">
        <v>17.100000000000001</v>
      </c>
      <c r="U55" s="65">
        <v>17.100000000000001</v>
      </c>
      <c r="V55" s="65">
        <v>17.100000000000001</v>
      </c>
      <c r="W55" s="65">
        <v>17.100000000000001</v>
      </c>
      <c r="X55" s="65">
        <v>17.100000000000001</v>
      </c>
      <c r="Y55" s="65">
        <v>17.100000000000001</v>
      </c>
      <c r="Z55" s="65">
        <v>17.100000000000001</v>
      </c>
      <c r="AA55" s="65">
        <v>17.100000000000001</v>
      </c>
      <c r="AB55" s="65">
        <v>17.100000000000001</v>
      </c>
      <c r="AC55" s="65">
        <v>17.100000000000001</v>
      </c>
      <c r="AD55" s="65">
        <v>17.100000000000001</v>
      </c>
      <c r="AE55" s="65">
        <v>17.100000000000001</v>
      </c>
      <c r="AF55" s="65">
        <v>17.100000000000001</v>
      </c>
      <c r="AG55" s="55">
        <v>24</v>
      </c>
      <c r="AH55" s="48">
        <f t="shared" si="2"/>
        <v>17.3</v>
      </c>
      <c r="AI55" s="49">
        <f t="shared" si="3"/>
        <v>17</v>
      </c>
      <c r="AK55" s="50"/>
    </row>
    <row r="56" spans="1:41" x14ac:dyDescent="0.25">
      <c r="A56" s="54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2.5</v>
      </c>
      <c r="Y56" s="65">
        <v>2.5</v>
      </c>
      <c r="Z56" s="65">
        <v>2.5</v>
      </c>
      <c r="AA56" s="65">
        <v>2.5</v>
      </c>
      <c r="AB56" s="65">
        <v>2.5</v>
      </c>
      <c r="AC56" s="65">
        <v>2.5</v>
      </c>
      <c r="AD56" s="65">
        <v>2.5</v>
      </c>
      <c r="AE56" s="65">
        <v>2.5</v>
      </c>
      <c r="AF56" s="65">
        <v>2.5</v>
      </c>
      <c r="AG56" s="55">
        <v>15</v>
      </c>
      <c r="AH56" s="48">
        <f t="shared" si="2"/>
        <v>3.2</v>
      </c>
      <c r="AI56" s="49">
        <f t="shared" si="3"/>
        <v>2.5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11.6</v>
      </c>
      <c r="C57" s="65">
        <v>11.6</v>
      </c>
      <c r="D57" s="65">
        <v>11.6</v>
      </c>
      <c r="E57" s="65">
        <v>14.2</v>
      </c>
      <c r="F57" s="65">
        <v>14.2</v>
      </c>
      <c r="G57" s="65">
        <v>13.7</v>
      </c>
      <c r="H57" s="65">
        <v>14</v>
      </c>
      <c r="I57" s="65">
        <v>13.1</v>
      </c>
      <c r="J57" s="65">
        <v>13.3</v>
      </c>
      <c r="K57" s="65">
        <v>13.3</v>
      </c>
      <c r="L57" s="65">
        <v>13.3</v>
      </c>
      <c r="M57" s="65">
        <v>13.3</v>
      </c>
      <c r="N57" s="65">
        <v>13.3</v>
      </c>
      <c r="O57" s="65">
        <v>13.3</v>
      </c>
      <c r="P57" s="65">
        <v>13.3</v>
      </c>
      <c r="Q57" s="65">
        <v>13.3</v>
      </c>
      <c r="R57" s="65">
        <v>13.3</v>
      </c>
      <c r="S57" s="65">
        <v>13.3</v>
      </c>
      <c r="T57" s="65">
        <v>13.3</v>
      </c>
      <c r="U57" s="65">
        <v>13.3</v>
      </c>
      <c r="V57" s="65">
        <v>13.3</v>
      </c>
      <c r="W57" s="65">
        <v>13.3</v>
      </c>
      <c r="X57" s="65">
        <v>11.8</v>
      </c>
      <c r="Y57" s="65">
        <v>11.8</v>
      </c>
      <c r="Z57" s="65">
        <v>11.8</v>
      </c>
      <c r="AA57" s="65">
        <v>11.8</v>
      </c>
      <c r="AB57" s="65">
        <v>11.8</v>
      </c>
      <c r="AC57" s="65">
        <v>11.8</v>
      </c>
      <c r="AD57" s="65">
        <v>11.8</v>
      </c>
      <c r="AE57" s="65">
        <v>11.8</v>
      </c>
      <c r="AF57" s="65">
        <v>11.8</v>
      </c>
      <c r="AG57" s="55">
        <v>14.1</v>
      </c>
      <c r="AH57" s="48">
        <f t="shared" si="2"/>
        <v>14.2</v>
      </c>
      <c r="AI57" s="49">
        <f t="shared" si="3"/>
        <v>11.6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4.9000000000000004</v>
      </c>
      <c r="C58" s="65">
        <v>4.9000000000000004</v>
      </c>
      <c r="D58" s="65">
        <v>4.9000000000000004</v>
      </c>
      <c r="E58" s="65">
        <v>4.9000000000000004</v>
      </c>
      <c r="F58" s="65">
        <v>4.9000000000000004</v>
      </c>
      <c r="G58" s="65">
        <v>4.8</v>
      </c>
      <c r="H58" s="65">
        <v>4.9000000000000004</v>
      </c>
      <c r="I58" s="65">
        <v>4.9000000000000004</v>
      </c>
      <c r="J58" s="65">
        <v>4.9000000000000004</v>
      </c>
      <c r="K58" s="65">
        <v>4.9000000000000004</v>
      </c>
      <c r="L58" s="65">
        <v>4.9000000000000004</v>
      </c>
      <c r="M58" s="65">
        <v>4.9000000000000004</v>
      </c>
      <c r="N58" s="65">
        <v>4.9000000000000004</v>
      </c>
      <c r="O58" s="65">
        <v>4.9000000000000004</v>
      </c>
      <c r="P58" s="65">
        <v>4.9000000000000004</v>
      </c>
      <c r="Q58" s="65">
        <v>4.9000000000000004</v>
      </c>
      <c r="R58" s="65">
        <v>4.9000000000000004</v>
      </c>
      <c r="S58" s="65">
        <v>4.9000000000000004</v>
      </c>
      <c r="T58" s="65">
        <v>4.9000000000000004</v>
      </c>
      <c r="U58" s="65">
        <v>4.9000000000000004</v>
      </c>
      <c r="V58" s="65">
        <v>4.9000000000000004</v>
      </c>
      <c r="W58" s="65">
        <v>4.9000000000000004</v>
      </c>
      <c r="X58" s="65">
        <v>4.9000000000000004</v>
      </c>
      <c r="Y58" s="65">
        <v>4.9000000000000004</v>
      </c>
      <c r="Z58" s="65">
        <v>4.9000000000000004</v>
      </c>
      <c r="AA58" s="65">
        <v>4.9000000000000004</v>
      </c>
      <c r="AB58" s="65">
        <v>4.9000000000000004</v>
      </c>
      <c r="AC58" s="65">
        <v>4.9000000000000004</v>
      </c>
      <c r="AD58" s="65">
        <v>4.9000000000000004</v>
      </c>
      <c r="AE58" s="65">
        <v>4.9000000000000004</v>
      </c>
      <c r="AF58" s="65">
        <v>4.9000000000000004</v>
      </c>
      <c r="AG58" s="55">
        <v>14</v>
      </c>
      <c r="AH58" s="48">
        <f t="shared" si="2"/>
        <v>4.9000000000000004</v>
      </c>
      <c r="AI58" s="49">
        <f t="shared" si="3"/>
        <v>4.8</v>
      </c>
      <c r="AK58" s="50"/>
    </row>
    <row r="59" spans="1:41" x14ac:dyDescent="0.25">
      <c r="A59" s="54" t="s">
        <v>67</v>
      </c>
      <c r="B59" s="65">
        <v>4.5</v>
      </c>
      <c r="C59" s="65">
        <v>4.5</v>
      </c>
      <c r="D59" s="65">
        <v>4.5</v>
      </c>
      <c r="E59" s="65">
        <v>4.5</v>
      </c>
      <c r="F59" s="65">
        <v>4.5</v>
      </c>
      <c r="G59" s="65">
        <v>4.5</v>
      </c>
      <c r="H59" s="65">
        <v>4.5</v>
      </c>
      <c r="I59" s="65">
        <v>4.5</v>
      </c>
      <c r="J59" s="65">
        <v>4.5</v>
      </c>
      <c r="K59" s="65">
        <v>4.5</v>
      </c>
      <c r="L59" s="65">
        <v>4.5</v>
      </c>
      <c r="M59" s="65">
        <v>4.5</v>
      </c>
      <c r="N59" s="65">
        <v>4.5</v>
      </c>
      <c r="O59" s="65">
        <v>4.5</v>
      </c>
      <c r="P59" s="65">
        <v>4.5</v>
      </c>
      <c r="Q59" s="65">
        <v>4.5</v>
      </c>
      <c r="R59" s="65">
        <v>4.5</v>
      </c>
      <c r="S59" s="65">
        <v>4.5</v>
      </c>
      <c r="T59" s="65">
        <v>4.5</v>
      </c>
      <c r="U59" s="65">
        <v>4.5</v>
      </c>
      <c r="V59" s="65">
        <v>4.5</v>
      </c>
      <c r="W59" s="65">
        <v>4.5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5">
        <v>10.050000000000001</v>
      </c>
      <c r="AH59" s="48">
        <f t="shared" si="2"/>
        <v>5.2</v>
      </c>
      <c r="AI59" s="49">
        <f t="shared" si="3"/>
        <v>4.5</v>
      </c>
      <c r="AK59" s="50"/>
    </row>
    <row r="60" spans="1:41" x14ac:dyDescent="0.25">
      <c r="A60" s="54" t="s">
        <v>68</v>
      </c>
      <c r="B60" s="65">
        <v>2</v>
      </c>
      <c r="C60" s="65">
        <v>2</v>
      </c>
      <c r="D60" s="65">
        <v>2</v>
      </c>
      <c r="E60" s="65">
        <v>2</v>
      </c>
      <c r="F60" s="65">
        <v>2</v>
      </c>
      <c r="G60" s="65">
        <v>2</v>
      </c>
      <c r="H60" s="65">
        <v>2</v>
      </c>
      <c r="I60" s="65">
        <v>2</v>
      </c>
      <c r="J60" s="65">
        <v>2</v>
      </c>
      <c r="K60" s="65">
        <v>2</v>
      </c>
      <c r="L60" s="65">
        <v>2</v>
      </c>
      <c r="M60" s="65">
        <v>2</v>
      </c>
      <c r="N60" s="65">
        <v>2</v>
      </c>
      <c r="O60" s="65">
        <v>2</v>
      </c>
      <c r="P60" s="65">
        <v>2</v>
      </c>
      <c r="Q60" s="65">
        <v>2</v>
      </c>
      <c r="R60" s="65">
        <v>2</v>
      </c>
      <c r="S60" s="65">
        <v>2</v>
      </c>
      <c r="T60" s="65">
        <v>2</v>
      </c>
      <c r="U60" s="65">
        <v>2</v>
      </c>
      <c r="V60" s="65">
        <v>2</v>
      </c>
      <c r="W60" s="65">
        <v>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5">
        <v>6.2</v>
      </c>
      <c r="AH60" s="48">
        <f t="shared" si="2"/>
        <v>3.2</v>
      </c>
      <c r="AI60" s="49">
        <f t="shared" si="3"/>
        <v>2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6">SUM(B49:B61)</f>
        <v>146.94</v>
      </c>
      <c r="C62" s="61">
        <f t="shared" si="6"/>
        <v>140.94</v>
      </c>
      <c r="D62" s="61">
        <f t="shared" si="6"/>
        <v>146.74</v>
      </c>
      <c r="E62" s="61">
        <f t="shared" si="6"/>
        <v>136.34</v>
      </c>
      <c r="F62" s="61">
        <f t="shared" si="6"/>
        <v>142.54</v>
      </c>
      <c r="G62" s="61">
        <f t="shared" si="6"/>
        <v>168.73999999999998</v>
      </c>
      <c r="H62" s="61">
        <f t="shared" si="6"/>
        <v>210.14</v>
      </c>
      <c r="I62" s="61">
        <f t="shared" si="6"/>
        <v>275.54000000000002</v>
      </c>
      <c r="J62" s="61">
        <f t="shared" si="6"/>
        <v>307.14</v>
      </c>
      <c r="K62" s="61">
        <f t="shared" si="6"/>
        <v>340.74</v>
      </c>
      <c r="L62" s="61">
        <f t="shared" si="6"/>
        <v>348.94</v>
      </c>
      <c r="M62" s="61">
        <f t="shared" si="6"/>
        <v>344.64000000000004</v>
      </c>
      <c r="N62" s="61">
        <f t="shared" si="6"/>
        <v>348.94</v>
      </c>
      <c r="O62" s="61">
        <f t="shared" si="6"/>
        <v>325.33999999999997</v>
      </c>
      <c r="P62" s="61">
        <f t="shared" si="6"/>
        <v>325.33999999999997</v>
      </c>
      <c r="Q62" s="61">
        <f t="shared" si="6"/>
        <v>354.04</v>
      </c>
      <c r="R62" s="61">
        <f t="shared" si="6"/>
        <v>318.64000000000004</v>
      </c>
      <c r="S62" s="61">
        <f t="shared" si="6"/>
        <v>300.83999999999997</v>
      </c>
      <c r="T62" s="61">
        <f t="shared" si="6"/>
        <v>300.83999999999997</v>
      </c>
      <c r="U62" s="61">
        <f t="shared" si="6"/>
        <v>294.83999999999997</v>
      </c>
      <c r="V62" s="61">
        <f t="shared" si="6"/>
        <v>318.94000000000005</v>
      </c>
      <c r="W62" s="61">
        <f t="shared" si="6"/>
        <v>318.94000000000005</v>
      </c>
      <c r="X62" s="61">
        <f t="shared" si="6"/>
        <v>400.24</v>
      </c>
      <c r="Y62" s="61">
        <f t="shared" si="6"/>
        <v>399.04</v>
      </c>
      <c r="Z62" s="61">
        <f t="shared" si="6"/>
        <v>388.24</v>
      </c>
      <c r="AA62" s="61">
        <f t="shared" si="6"/>
        <v>388.24</v>
      </c>
      <c r="AB62" s="61">
        <f t="shared" si="6"/>
        <v>351.74</v>
      </c>
      <c r="AC62" s="61">
        <f t="shared" si="6"/>
        <v>284.83999999999997</v>
      </c>
      <c r="AD62" s="61">
        <f t="shared" si="6"/>
        <v>250.23999999999998</v>
      </c>
      <c r="AE62" s="61">
        <f t="shared" si="6"/>
        <v>179.84</v>
      </c>
      <c r="AF62" s="61">
        <f t="shared" si="6"/>
        <v>172.23999999999998</v>
      </c>
      <c r="AG62" s="62">
        <f t="shared" si="6"/>
        <v>489.91</v>
      </c>
      <c r="AH62" s="48">
        <f t="shared" si="2"/>
        <v>400.24</v>
      </c>
      <c r="AI62" s="49">
        <f t="shared" si="3"/>
        <v>136.34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14</v>
      </c>
      <c r="K63" s="45">
        <v>50</v>
      </c>
      <c r="L63" s="45">
        <v>40</v>
      </c>
      <c r="M63" s="45">
        <v>40</v>
      </c>
      <c r="N63" s="45">
        <v>60</v>
      </c>
      <c r="O63" s="45">
        <v>60</v>
      </c>
      <c r="P63" s="45">
        <v>60</v>
      </c>
      <c r="Q63" s="45">
        <v>60</v>
      </c>
      <c r="R63" s="45">
        <v>60</v>
      </c>
      <c r="S63" s="45">
        <v>60</v>
      </c>
      <c r="T63" s="45">
        <v>60</v>
      </c>
      <c r="U63" s="45">
        <v>60</v>
      </c>
      <c r="V63" s="45">
        <v>60</v>
      </c>
      <c r="W63" s="45">
        <v>60</v>
      </c>
      <c r="X63" s="45">
        <v>60</v>
      </c>
      <c r="Y63" s="45">
        <v>60</v>
      </c>
      <c r="Z63" s="45">
        <v>60</v>
      </c>
      <c r="AA63" s="45">
        <v>60</v>
      </c>
      <c r="AB63" s="45">
        <v>60</v>
      </c>
      <c r="AC63" s="45">
        <v>60</v>
      </c>
      <c r="AD63" s="45">
        <v>60</v>
      </c>
      <c r="AE63" s="45">
        <v>10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45">
        <v>0</v>
      </c>
      <c r="C64" s="45">
        <v>0</v>
      </c>
      <c r="D64" s="4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4.8</v>
      </c>
      <c r="K64" s="65">
        <v>22.5</v>
      </c>
      <c r="L64" s="65">
        <v>18.7</v>
      </c>
      <c r="M64" s="65">
        <v>25</v>
      </c>
      <c r="N64" s="65">
        <v>28.7</v>
      </c>
      <c r="O64" s="65">
        <v>28.7</v>
      </c>
      <c r="P64" s="65">
        <v>19.399999999999999</v>
      </c>
      <c r="Q64" s="65">
        <v>19.399999999999999</v>
      </c>
      <c r="R64" s="45">
        <v>27.9</v>
      </c>
      <c r="S64" s="65">
        <v>27.9</v>
      </c>
      <c r="T64" s="65">
        <v>28.1</v>
      </c>
      <c r="U64" s="65">
        <v>28.1</v>
      </c>
      <c r="V64" s="65">
        <v>28.1</v>
      </c>
      <c r="W64" s="65">
        <v>28</v>
      </c>
      <c r="X64" s="65">
        <v>28</v>
      </c>
      <c r="Y64" s="65">
        <v>28</v>
      </c>
      <c r="Z64" s="65">
        <v>28.4</v>
      </c>
      <c r="AA64" s="65">
        <v>28.4</v>
      </c>
      <c r="AB64" s="65">
        <v>28.4</v>
      </c>
      <c r="AC64" s="65">
        <v>28.4</v>
      </c>
      <c r="AD64" s="65">
        <v>28.4</v>
      </c>
      <c r="AE64" s="65">
        <v>4.5999999999999996</v>
      </c>
      <c r="AF64" s="45">
        <v>0</v>
      </c>
      <c r="AG64" s="55">
        <v>32</v>
      </c>
      <c r="AH64" s="48">
        <f t="shared" si="2"/>
        <v>28.7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45">
        <v>0</v>
      </c>
      <c r="C65" s="45">
        <v>0</v>
      </c>
      <c r="D65" s="45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1.7</v>
      </c>
      <c r="K65" s="67">
        <v>8.1999999999999993</v>
      </c>
      <c r="L65" s="67">
        <v>6.8</v>
      </c>
      <c r="M65" s="67">
        <v>9.1999999999999993</v>
      </c>
      <c r="N65" s="67">
        <v>10.5</v>
      </c>
      <c r="O65" s="67">
        <v>10.5</v>
      </c>
      <c r="P65" s="67">
        <v>7.1</v>
      </c>
      <c r="Q65" s="67">
        <v>7.1</v>
      </c>
      <c r="R65" s="45">
        <v>10.199999999999999</v>
      </c>
      <c r="S65" s="67">
        <v>10.199999999999999</v>
      </c>
      <c r="T65" s="67">
        <v>10.199999999999999</v>
      </c>
      <c r="U65" s="67">
        <v>10.199999999999999</v>
      </c>
      <c r="V65" s="67">
        <v>10.199999999999999</v>
      </c>
      <c r="W65" s="67">
        <v>10.199999999999999</v>
      </c>
      <c r="X65" s="67">
        <v>10.199999999999999</v>
      </c>
      <c r="Y65" s="67">
        <v>10.199999999999999</v>
      </c>
      <c r="Z65" s="67">
        <v>10.4</v>
      </c>
      <c r="AA65" s="67">
        <v>10.4</v>
      </c>
      <c r="AB65" s="67">
        <v>10.4</v>
      </c>
      <c r="AC65" s="67">
        <v>10.4</v>
      </c>
      <c r="AD65" s="67">
        <v>10.4</v>
      </c>
      <c r="AE65" s="67">
        <v>1.7</v>
      </c>
      <c r="AF65" s="45">
        <v>0</v>
      </c>
      <c r="AG65" s="68">
        <v>14</v>
      </c>
      <c r="AH65" s="48">
        <f t="shared" si="2"/>
        <v>10.5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65.5</v>
      </c>
      <c r="M66" s="61">
        <f t="shared" ref="M66:AF66" si="7">M63+M64+M65</f>
        <v>74.2</v>
      </c>
      <c r="N66" s="61">
        <f t="shared" si="7"/>
        <v>99.2</v>
      </c>
      <c r="O66" s="61">
        <f t="shared" si="7"/>
        <v>99.2</v>
      </c>
      <c r="P66" s="61">
        <f t="shared" si="7"/>
        <v>86.5</v>
      </c>
      <c r="Q66" s="61">
        <f t="shared" si="7"/>
        <v>86.5</v>
      </c>
      <c r="R66" s="61">
        <f t="shared" si="7"/>
        <v>98.100000000000009</v>
      </c>
      <c r="S66" s="61">
        <f t="shared" si="7"/>
        <v>98.100000000000009</v>
      </c>
      <c r="T66" s="61">
        <f t="shared" si="7"/>
        <v>98.3</v>
      </c>
      <c r="U66" s="61">
        <f t="shared" si="7"/>
        <v>98.3</v>
      </c>
      <c r="V66" s="61">
        <f t="shared" si="7"/>
        <v>98.3</v>
      </c>
      <c r="W66" s="61">
        <f t="shared" si="7"/>
        <v>98.2</v>
      </c>
      <c r="X66" s="61">
        <f t="shared" si="7"/>
        <v>98.2</v>
      </c>
      <c r="Y66" s="61">
        <f t="shared" si="7"/>
        <v>98.2</v>
      </c>
      <c r="Z66" s="61">
        <f t="shared" si="7"/>
        <v>98.800000000000011</v>
      </c>
      <c r="AA66" s="61">
        <f t="shared" si="7"/>
        <v>98.800000000000011</v>
      </c>
      <c r="AB66" s="61">
        <f t="shared" si="7"/>
        <v>98.800000000000011</v>
      </c>
      <c r="AC66" s="61">
        <f t="shared" si="7"/>
        <v>98.800000000000011</v>
      </c>
      <c r="AD66" s="61">
        <f t="shared" si="7"/>
        <v>98.800000000000011</v>
      </c>
      <c r="AE66" s="61">
        <f t="shared" si="7"/>
        <v>16.3</v>
      </c>
      <c r="AF66" s="61">
        <f t="shared" si="7"/>
        <v>0</v>
      </c>
      <c r="AG66" s="62">
        <f t="shared" ref="AG66" si="8">SUM(AG63:AG65)</f>
        <v>106</v>
      </c>
      <c r="AH66" s="48">
        <f t="shared" si="2"/>
        <v>99.2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66.900000000000006</v>
      </c>
      <c r="C67" s="45">
        <v>64</v>
      </c>
      <c r="D67" s="45">
        <v>55</v>
      </c>
      <c r="E67" s="45">
        <v>68</v>
      </c>
      <c r="F67" s="45">
        <v>69</v>
      </c>
      <c r="G67" s="45">
        <v>68</v>
      </c>
      <c r="H67" s="45">
        <v>66.7</v>
      </c>
      <c r="I67" s="45">
        <v>72</v>
      </c>
      <c r="J67" s="45">
        <v>70</v>
      </c>
      <c r="K67" s="45">
        <v>51</v>
      </c>
      <c r="L67" s="45">
        <v>49</v>
      </c>
      <c r="M67" s="45">
        <v>61.3</v>
      </c>
      <c r="N67" s="45">
        <v>38.799999999999997</v>
      </c>
      <c r="O67" s="45">
        <v>38</v>
      </c>
      <c r="P67" s="45">
        <v>60.9</v>
      </c>
      <c r="Q67" s="45">
        <v>62.3</v>
      </c>
      <c r="R67" s="45">
        <v>67.400000000000006</v>
      </c>
      <c r="S67" s="45">
        <v>57.2</v>
      </c>
      <c r="T67" s="45">
        <v>63</v>
      </c>
      <c r="U67" s="45">
        <v>58.1</v>
      </c>
      <c r="V67" s="45">
        <v>67.099999999999994</v>
      </c>
      <c r="W67" s="45">
        <v>55.8</v>
      </c>
      <c r="X67" s="45">
        <v>56.8</v>
      </c>
      <c r="Y67" s="45">
        <v>58.7</v>
      </c>
      <c r="Z67" s="45">
        <v>58.6</v>
      </c>
      <c r="AA67" s="45">
        <v>59.3</v>
      </c>
      <c r="AB67" s="45">
        <v>52.8</v>
      </c>
      <c r="AC67" s="45">
        <v>57</v>
      </c>
      <c r="AD67" s="45">
        <v>52</v>
      </c>
      <c r="AE67" s="45">
        <v>65.099999999999994</v>
      </c>
      <c r="AF67" s="45">
        <v>72</v>
      </c>
      <c r="AG67" s="52"/>
      <c r="AH67" s="48">
        <f t="shared" si="2"/>
        <v>72</v>
      </c>
      <c r="AI67" s="49">
        <f t="shared" si="3"/>
        <v>38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256</v>
      </c>
      <c r="C69" s="65">
        <v>265</v>
      </c>
      <c r="D69" s="65">
        <v>248</v>
      </c>
      <c r="E69" s="65">
        <v>256</v>
      </c>
      <c r="F69" s="65">
        <v>253</v>
      </c>
      <c r="G69" s="65">
        <v>256</v>
      </c>
      <c r="H69" s="65">
        <v>254</v>
      </c>
      <c r="I69" s="65">
        <v>346</v>
      </c>
      <c r="J69" s="65">
        <v>360</v>
      </c>
      <c r="K69" s="65">
        <v>159</v>
      </c>
      <c r="L69" s="65">
        <v>145</v>
      </c>
      <c r="M69" s="65">
        <v>123</v>
      </c>
      <c r="N69" s="65">
        <v>65.099999999999994</v>
      </c>
      <c r="O69" s="65">
        <v>25.3</v>
      </c>
      <c r="P69" s="65">
        <v>137.6</v>
      </c>
      <c r="Q69" s="65">
        <v>315</v>
      </c>
      <c r="R69" s="65">
        <v>339.3</v>
      </c>
      <c r="S69" s="65">
        <v>348.7</v>
      </c>
      <c r="T69" s="65">
        <v>351.2</v>
      </c>
      <c r="U69" s="65">
        <v>225</v>
      </c>
      <c r="V69" s="65">
        <v>142.9</v>
      </c>
      <c r="W69" s="65">
        <v>164.7</v>
      </c>
      <c r="X69" s="65">
        <v>125.9</v>
      </c>
      <c r="Y69" s="65">
        <v>71</v>
      </c>
      <c r="Z69" s="65">
        <v>100.2</v>
      </c>
      <c r="AA69" s="65">
        <v>80.099999999999994</v>
      </c>
      <c r="AB69" s="65">
        <v>110</v>
      </c>
      <c r="AC69" s="65">
        <v>129</v>
      </c>
      <c r="AD69" s="65">
        <v>121</v>
      </c>
      <c r="AE69" s="65">
        <v>290</v>
      </c>
      <c r="AF69" s="65">
        <v>330</v>
      </c>
      <c r="AG69" s="75"/>
      <c r="AH69" s="48">
        <f t="shared" si="2"/>
        <v>360</v>
      </c>
      <c r="AI69" s="49">
        <f t="shared" si="3"/>
        <v>25.3</v>
      </c>
      <c r="AK69" s="50"/>
    </row>
    <row r="70" spans="1:40" x14ac:dyDescent="0.25">
      <c r="A70" s="54" t="s">
        <v>78</v>
      </c>
      <c r="B70" s="76">
        <v>6</v>
      </c>
      <c r="C70" s="76">
        <v>6</v>
      </c>
      <c r="D70" s="76">
        <v>6</v>
      </c>
      <c r="E70" s="76">
        <v>6</v>
      </c>
      <c r="F70" s="76">
        <v>6</v>
      </c>
      <c r="G70" s="76">
        <v>6</v>
      </c>
      <c r="H70" s="76">
        <v>6</v>
      </c>
      <c r="I70" s="76">
        <v>6</v>
      </c>
      <c r="J70" s="76">
        <v>6</v>
      </c>
      <c r="K70" s="76">
        <v>6</v>
      </c>
      <c r="L70" s="76">
        <v>6</v>
      </c>
      <c r="M70" s="76">
        <v>6</v>
      </c>
      <c r="N70" s="76">
        <v>6</v>
      </c>
      <c r="O70" s="76">
        <v>6</v>
      </c>
      <c r="P70" s="76">
        <v>6</v>
      </c>
      <c r="Q70" s="76">
        <v>6</v>
      </c>
      <c r="R70" s="76">
        <v>6</v>
      </c>
      <c r="S70" s="76">
        <v>6</v>
      </c>
      <c r="T70" s="76">
        <v>6</v>
      </c>
      <c r="U70" s="76">
        <v>6</v>
      </c>
      <c r="V70" s="76">
        <v>6</v>
      </c>
      <c r="W70" s="76">
        <v>6</v>
      </c>
      <c r="X70" s="76">
        <v>6</v>
      </c>
      <c r="Y70" s="76">
        <v>6</v>
      </c>
      <c r="Z70" s="76">
        <v>6</v>
      </c>
      <c r="AA70" s="76">
        <v>6</v>
      </c>
      <c r="AB70" s="76">
        <v>6</v>
      </c>
      <c r="AC70" s="76">
        <v>6</v>
      </c>
      <c r="AD70" s="76">
        <v>6</v>
      </c>
      <c r="AE70" s="76">
        <v>6</v>
      </c>
      <c r="AF70" s="76">
        <v>6</v>
      </c>
      <c r="AG70" s="75"/>
      <c r="AH70" s="48">
        <f t="shared" si="2"/>
        <v>6</v>
      </c>
      <c r="AI70" s="49">
        <f t="shared" si="3"/>
        <v>6</v>
      </c>
      <c r="AK70" s="50"/>
    </row>
    <row r="71" spans="1:40" x14ac:dyDescent="0.25">
      <c r="A71" s="54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40" x14ac:dyDescent="0.25">
      <c r="A72" s="54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0</v>
      </c>
      <c r="S72" s="77">
        <v>0</v>
      </c>
      <c r="T72" s="77">
        <v>0</v>
      </c>
      <c r="U72" s="77">
        <v>0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5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5</v>
      </c>
      <c r="C74" s="77">
        <v>5</v>
      </c>
      <c r="D74" s="77">
        <v>5</v>
      </c>
      <c r="E74" s="77">
        <v>5</v>
      </c>
      <c r="F74" s="77">
        <v>5</v>
      </c>
      <c r="G74" s="77">
        <v>5</v>
      </c>
      <c r="H74" s="77">
        <v>5</v>
      </c>
      <c r="I74" s="77">
        <v>5</v>
      </c>
      <c r="J74" s="77">
        <v>5</v>
      </c>
      <c r="K74" s="77">
        <v>5</v>
      </c>
      <c r="L74" s="77">
        <v>5</v>
      </c>
      <c r="M74" s="77">
        <v>5</v>
      </c>
      <c r="N74" s="77">
        <v>5</v>
      </c>
      <c r="O74" s="77">
        <v>5</v>
      </c>
      <c r="P74" s="77">
        <v>5</v>
      </c>
      <c r="Q74" s="77">
        <v>5</v>
      </c>
      <c r="R74" s="77">
        <v>5</v>
      </c>
      <c r="S74" s="77">
        <v>5</v>
      </c>
      <c r="T74" s="77">
        <v>5</v>
      </c>
      <c r="U74" s="77">
        <v>5</v>
      </c>
      <c r="V74" s="77">
        <v>5</v>
      </c>
      <c r="W74" s="77">
        <v>5</v>
      </c>
      <c r="X74" s="77">
        <v>5</v>
      </c>
      <c r="Y74" s="77">
        <v>5</v>
      </c>
      <c r="Z74" s="77">
        <v>5</v>
      </c>
      <c r="AA74" s="77">
        <v>5</v>
      </c>
      <c r="AB74" s="77">
        <v>5</v>
      </c>
      <c r="AC74" s="77">
        <v>5</v>
      </c>
      <c r="AD74" s="77">
        <v>5</v>
      </c>
      <c r="AE74" s="77">
        <v>5</v>
      </c>
      <c r="AF74" s="77">
        <v>5</v>
      </c>
      <c r="AG74" s="75"/>
      <c r="AH74" s="48">
        <f t="shared" si="2"/>
        <v>5</v>
      </c>
      <c r="AI74" s="49">
        <f t="shared" si="3"/>
        <v>5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9">MAX(B75:AF75)</f>
        <v>0</v>
      </c>
      <c r="AI75" s="49">
        <f t="shared" ref="AI75:AI113" si="10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9"/>
        <v>0</v>
      </c>
      <c r="AI76" s="49">
        <f t="shared" si="10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9"/>
        <v>0</v>
      </c>
      <c r="AI77" s="49">
        <f t="shared" si="10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1">SUMIF(B67:B77,"&gt;0")</f>
        <v>338.9</v>
      </c>
      <c r="C78" s="61">
        <f t="shared" si="11"/>
        <v>345</v>
      </c>
      <c r="D78" s="61">
        <f t="shared" si="11"/>
        <v>319</v>
      </c>
      <c r="E78" s="61">
        <f t="shared" si="11"/>
        <v>340</v>
      </c>
      <c r="F78" s="61">
        <f t="shared" si="11"/>
        <v>338</v>
      </c>
      <c r="G78" s="61">
        <f t="shared" si="11"/>
        <v>340</v>
      </c>
      <c r="H78" s="61">
        <f t="shared" si="11"/>
        <v>336.7</v>
      </c>
      <c r="I78" s="61">
        <f t="shared" si="11"/>
        <v>434</v>
      </c>
      <c r="J78" s="61">
        <f t="shared" si="11"/>
        <v>446</v>
      </c>
      <c r="K78" s="61">
        <f t="shared" si="11"/>
        <v>226</v>
      </c>
      <c r="L78" s="61">
        <f t="shared" si="11"/>
        <v>210</v>
      </c>
      <c r="M78" s="61">
        <f t="shared" si="11"/>
        <v>200.3</v>
      </c>
      <c r="N78" s="61">
        <f t="shared" si="11"/>
        <v>119.89999999999999</v>
      </c>
      <c r="O78" s="61">
        <f t="shared" si="11"/>
        <v>79.3</v>
      </c>
      <c r="P78" s="61">
        <f t="shared" si="11"/>
        <v>214.5</v>
      </c>
      <c r="Q78" s="61">
        <f t="shared" si="11"/>
        <v>393.3</v>
      </c>
      <c r="R78" s="61">
        <f t="shared" si="11"/>
        <v>417.70000000000005</v>
      </c>
      <c r="S78" s="61">
        <f t="shared" si="11"/>
        <v>416.9</v>
      </c>
      <c r="T78" s="61">
        <f t="shared" si="11"/>
        <v>425.2</v>
      </c>
      <c r="U78" s="61">
        <f>SUMIF(U67:U77,"&gt;0")</f>
        <v>294.10000000000002</v>
      </c>
      <c r="V78" s="61">
        <f t="shared" si="11"/>
        <v>226</v>
      </c>
      <c r="W78" s="61">
        <f t="shared" si="11"/>
        <v>236.5</v>
      </c>
      <c r="X78" s="61">
        <f t="shared" si="11"/>
        <v>198.7</v>
      </c>
      <c r="Y78" s="61">
        <f t="shared" si="11"/>
        <v>145.69999999999999</v>
      </c>
      <c r="Z78" s="61">
        <f t="shared" si="11"/>
        <v>174.8</v>
      </c>
      <c r="AA78" s="61">
        <f t="shared" si="11"/>
        <v>155.39999999999998</v>
      </c>
      <c r="AB78" s="61">
        <f t="shared" si="11"/>
        <v>178.8</v>
      </c>
      <c r="AC78" s="61">
        <f t="shared" si="11"/>
        <v>202</v>
      </c>
      <c r="AD78" s="61">
        <f t="shared" si="11"/>
        <v>189</v>
      </c>
      <c r="AE78" s="61">
        <f t="shared" si="11"/>
        <v>371.1</v>
      </c>
      <c r="AF78" s="61">
        <f t="shared" si="11"/>
        <v>418</v>
      </c>
      <c r="AG78" s="81">
        <f>SUM(AG67:AG77)</f>
        <v>0</v>
      </c>
      <c r="AH78" s="48">
        <f t="shared" si="9"/>
        <v>446</v>
      </c>
      <c r="AI78" s="49">
        <f t="shared" si="10"/>
        <v>79.3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9"/>
        <v>0</v>
      </c>
      <c r="AI79" s="49">
        <f t="shared" si="10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9"/>
        <v>0</v>
      </c>
      <c r="AI80" s="49">
        <f t="shared" si="10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9"/>
        <v>0</v>
      </c>
      <c r="AI81" s="49">
        <f t="shared" si="10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9"/>
        <v>0</v>
      </c>
      <c r="AI82" s="49">
        <f t="shared" si="10"/>
        <v>0</v>
      </c>
    </row>
    <row r="83" spans="1:37" ht="15.75" thickBot="1" x14ac:dyDescent="0.3">
      <c r="A83" s="74" t="s">
        <v>91</v>
      </c>
      <c r="B83" s="83">
        <f>B44+B48+B66+B62+B78+B82</f>
        <v>1049.7399999999998</v>
      </c>
      <c r="C83" s="83">
        <f t="shared" ref="C83:AG83" si="12">C44+C48+C66+C62+C78+C82</f>
        <v>1067.8399999999999</v>
      </c>
      <c r="D83" s="83">
        <f t="shared" si="12"/>
        <v>1027.6399999999999</v>
      </c>
      <c r="E83" s="83">
        <f t="shared" si="12"/>
        <v>1012.34</v>
      </c>
      <c r="F83" s="83">
        <f t="shared" si="12"/>
        <v>1046.54</v>
      </c>
      <c r="G83" s="83">
        <f t="shared" si="12"/>
        <v>1079.74</v>
      </c>
      <c r="H83" s="83">
        <f t="shared" si="12"/>
        <v>1131.8399999999999</v>
      </c>
      <c r="I83" s="83">
        <f t="shared" si="12"/>
        <v>1260.44</v>
      </c>
      <c r="J83" s="83">
        <f t="shared" si="12"/>
        <v>1304.3399999999999</v>
      </c>
      <c r="K83" s="83">
        <f t="shared" si="12"/>
        <v>1307.8399999999999</v>
      </c>
      <c r="L83" s="83">
        <f t="shared" si="12"/>
        <v>1345.54</v>
      </c>
      <c r="M83" s="83">
        <f t="shared" si="12"/>
        <v>1381.24</v>
      </c>
      <c r="N83" s="83">
        <f t="shared" si="12"/>
        <v>1398.44</v>
      </c>
      <c r="O83" s="83">
        <f t="shared" si="12"/>
        <v>1329.24</v>
      </c>
      <c r="P83" s="83">
        <f t="shared" si="12"/>
        <v>1353.94</v>
      </c>
      <c r="Q83" s="83">
        <f t="shared" si="12"/>
        <v>1466.54</v>
      </c>
      <c r="R83" s="83">
        <f t="shared" si="12"/>
        <v>1427.14</v>
      </c>
      <c r="S83" s="83">
        <f t="shared" si="12"/>
        <v>1388.54</v>
      </c>
      <c r="T83" s="83">
        <f t="shared" si="12"/>
        <v>1423.34</v>
      </c>
      <c r="U83" s="83">
        <f t="shared" si="12"/>
        <v>1361.3400000000001</v>
      </c>
      <c r="V83" s="83">
        <f t="shared" si="12"/>
        <v>1287.1399999999999</v>
      </c>
      <c r="W83" s="83">
        <f t="shared" si="12"/>
        <v>1315.7400000000002</v>
      </c>
      <c r="X83" s="83">
        <f t="shared" si="12"/>
        <v>1539.24</v>
      </c>
      <c r="Y83" s="83">
        <f t="shared" si="12"/>
        <v>1529.64</v>
      </c>
      <c r="Z83" s="83">
        <f t="shared" si="12"/>
        <v>1508.44</v>
      </c>
      <c r="AA83" s="83">
        <f t="shared" si="12"/>
        <v>1479.04</v>
      </c>
      <c r="AB83" s="83">
        <f t="shared" si="12"/>
        <v>1405.94</v>
      </c>
      <c r="AC83" s="83">
        <f t="shared" si="12"/>
        <v>1322.24</v>
      </c>
      <c r="AD83" s="83">
        <f t="shared" si="12"/>
        <v>1214.6400000000001</v>
      </c>
      <c r="AE83" s="83">
        <f t="shared" si="12"/>
        <v>1108.8400000000001</v>
      </c>
      <c r="AF83" s="83">
        <f t="shared" si="12"/>
        <v>1131.8400000000001</v>
      </c>
      <c r="AG83" s="62">
        <f t="shared" si="12"/>
        <v>2004.1900000000003</v>
      </c>
      <c r="AH83" s="48">
        <f>MAX(B83:AF83)</f>
        <v>1539.24</v>
      </c>
      <c r="AI83" s="49">
        <f>MIN(B83:AF83)</f>
        <v>1012.34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>
        <v>235</v>
      </c>
      <c r="L84" s="85">
        <v>260</v>
      </c>
      <c r="M84" s="85">
        <v>260</v>
      </c>
      <c r="N84" s="85">
        <v>260</v>
      </c>
      <c r="O84" s="85">
        <v>260</v>
      </c>
      <c r="P84" s="85">
        <v>200</v>
      </c>
      <c r="Q84" s="85">
        <v>20</v>
      </c>
      <c r="R84" s="85">
        <v>20</v>
      </c>
      <c r="S84" s="85">
        <v>20</v>
      </c>
      <c r="T84" s="85"/>
      <c r="U84" s="85"/>
      <c r="V84" s="85">
        <v>150</v>
      </c>
      <c r="W84" s="85">
        <v>200</v>
      </c>
      <c r="X84" s="85">
        <v>240</v>
      </c>
      <c r="Y84" s="85">
        <v>230</v>
      </c>
      <c r="Z84" s="85">
        <v>220</v>
      </c>
      <c r="AA84" s="85">
        <v>220</v>
      </c>
      <c r="AB84" s="85">
        <v>220</v>
      </c>
      <c r="AC84" s="85">
        <v>220</v>
      </c>
      <c r="AD84" s="85">
        <v>220</v>
      </c>
      <c r="AE84" s="85"/>
      <c r="AF84" s="85"/>
      <c r="AG84" s="81"/>
      <c r="AH84" s="48">
        <f t="shared" si="9"/>
        <v>260</v>
      </c>
      <c r="AI84" s="49">
        <f t="shared" si="10"/>
        <v>20</v>
      </c>
    </row>
    <row r="85" spans="1:37" ht="15.75" thickBot="1" x14ac:dyDescent="0.3">
      <c r="A85" s="74" t="s">
        <v>93</v>
      </c>
      <c r="B85" s="83">
        <f>B83+B84</f>
        <v>1049.7399999999998</v>
      </c>
      <c r="C85" s="83">
        <f t="shared" ref="C85:AF85" si="13">C83+C84</f>
        <v>1067.8399999999999</v>
      </c>
      <c r="D85" s="83">
        <f t="shared" si="13"/>
        <v>1027.6399999999999</v>
      </c>
      <c r="E85" s="83">
        <f t="shared" si="13"/>
        <v>1012.34</v>
      </c>
      <c r="F85" s="83">
        <f t="shared" si="13"/>
        <v>1046.54</v>
      </c>
      <c r="G85" s="83">
        <f t="shared" si="13"/>
        <v>1079.74</v>
      </c>
      <c r="H85" s="83">
        <f t="shared" si="13"/>
        <v>1131.8399999999999</v>
      </c>
      <c r="I85" s="83">
        <f t="shared" si="13"/>
        <v>1260.44</v>
      </c>
      <c r="J85" s="83">
        <f t="shared" si="13"/>
        <v>1304.3399999999999</v>
      </c>
      <c r="K85" s="83">
        <f t="shared" si="13"/>
        <v>1542.84</v>
      </c>
      <c r="L85" s="83">
        <f t="shared" si="13"/>
        <v>1605.54</v>
      </c>
      <c r="M85" s="83">
        <f t="shared" si="13"/>
        <v>1641.24</v>
      </c>
      <c r="N85" s="83">
        <f t="shared" si="13"/>
        <v>1658.44</v>
      </c>
      <c r="O85" s="83">
        <f t="shared" si="13"/>
        <v>1589.24</v>
      </c>
      <c r="P85" s="83">
        <f t="shared" si="13"/>
        <v>1553.94</v>
      </c>
      <c r="Q85" s="83">
        <f t="shared" si="13"/>
        <v>1486.54</v>
      </c>
      <c r="R85" s="83">
        <f t="shared" si="13"/>
        <v>1447.14</v>
      </c>
      <c r="S85" s="83">
        <f t="shared" si="13"/>
        <v>1408.54</v>
      </c>
      <c r="T85" s="83">
        <f t="shared" si="13"/>
        <v>1423.34</v>
      </c>
      <c r="U85" s="83">
        <f t="shared" si="13"/>
        <v>1361.3400000000001</v>
      </c>
      <c r="V85" s="83">
        <f t="shared" si="13"/>
        <v>1437.1399999999999</v>
      </c>
      <c r="W85" s="83">
        <f t="shared" si="13"/>
        <v>1515.7400000000002</v>
      </c>
      <c r="X85" s="83">
        <f t="shared" si="13"/>
        <v>1779.24</v>
      </c>
      <c r="Y85" s="83">
        <f t="shared" si="13"/>
        <v>1759.64</v>
      </c>
      <c r="Z85" s="83">
        <f t="shared" si="13"/>
        <v>1728.44</v>
      </c>
      <c r="AA85" s="83">
        <f t="shared" si="13"/>
        <v>1699.04</v>
      </c>
      <c r="AB85" s="83">
        <f t="shared" si="13"/>
        <v>1625.94</v>
      </c>
      <c r="AC85" s="83">
        <f t="shared" si="13"/>
        <v>1542.24</v>
      </c>
      <c r="AD85" s="83">
        <f t="shared" si="13"/>
        <v>1434.64</v>
      </c>
      <c r="AE85" s="83">
        <f t="shared" si="13"/>
        <v>1108.8400000000001</v>
      </c>
      <c r="AF85" s="83">
        <f t="shared" si="13"/>
        <v>1131.8400000000001</v>
      </c>
      <c r="AG85" s="81">
        <f>AG82+AG78+AG66+AG62+AG44+AG84</f>
        <v>1466.0900000000001</v>
      </c>
      <c r="AH85" s="48">
        <f t="shared" si="9"/>
        <v>1779.24</v>
      </c>
      <c r="AI85" s="49">
        <f t="shared" si="10"/>
        <v>1012.34</v>
      </c>
    </row>
    <row r="86" spans="1:37" ht="15.75" thickBot="1" x14ac:dyDescent="0.3">
      <c r="A86" s="74" t="s">
        <v>94</v>
      </c>
      <c r="B86" s="83">
        <f t="shared" ref="B86:AF86" si="14">B85-B93</f>
        <v>1049.7399999999998</v>
      </c>
      <c r="C86" s="83">
        <f t="shared" si="14"/>
        <v>1067.8399999999999</v>
      </c>
      <c r="D86" s="83">
        <f t="shared" si="14"/>
        <v>1027.6399999999999</v>
      </c>
      <c r="E86" s="83">
        <f t="shared" si="14"/>
        <v>1012.34</v>
      </c>
      <c r="F86" s="83">
        <f t="shared" si="14"/>
        <v>1046.54</v>
      </c>
      <c r="G86" s="83">
        <f t="shared" si="14"/>
        <v>1079.74</v>
      </c>
      <c r="H86" s="83">
        <f t="shared" si="14"/>
        <v>1131.8399999999999</v>
      </c>
      <c r="I86" s="83">
        <f t="shared" si="14"/>
        <v>1260.44</v>
      </c>
      <c r="J86" s="83">
        <f t="shared" si="14"/>
        <v>1304.3399999999999</v>
      </c>
      <c r="K86" s="83">
        <f t="shared" si="14"/>
        <v>1542.84</v>
      </c>
      <c r="L86" s="83">
        <f t="shared" si="14"/>
        <v>1605.54</v>
      </c>
      <c r="M86" s="83">
        <f t="shared" si="14"/>
        <v>1641.24</v>
      </c>
      <c r="N86" s="83">
        <f t="shared" si="14"/>
        <v>1658.44</v>
      </c>
      <c r="O86" s="83">
        <f t="shared" si="14"/>
        <v>1589.24</v>
      </c>
      <c r="P86" s="83">
        <f t="shared" si="14"/>
        <v>1553.94</v>
      </c>
      <c r="Q86" s="83">
        <f t="shared" si="14"/>
        <v>1486.54</v>
      </c>
      <c r="R86" s="83">
        <f t="shared" si="14"/>
        <v>1447.14</v>
      </c>
      <c r="S86" s="83">
        <f t="shared" si="14"/>
        <v>1408.54</v>
      </c>
      <c r="T86" s="83">
        <f t="shared" si="14"/>
        <v>1423.34</v>
      </c>
      <c r="U86" s="83">
        <f t="shared" si="14"/>
        <v>1361.3400000000001</v>
      </c>
      <c r="V86" s="83">
        <f t="shared" si="14"/>
        <v>1437.1399999999999</v>
      </c>
      <c r="W86" s="83">
        <f t="shared" si="14"/>
        <v>1515.7400000000002</v>
      </c>
      <c r="X86" s="83">
        <f t="shared" si="14"/>
        <v>1779.24</v>
      </c>
      <c r="Y86" s="83">
        <f t="shared" si="14"/>
        <v>1759.64</v>
      </c>
      <c r="Z86" s="83">
        <f t="shared" si="14"/>
        <v>1728.44</v>
      </c>
      <c r="AA86" s="83">
        <f t="shared" si="14"/>
        <v>1699.04</v>
      </c>
      <c r="AB86" s="83">
        <f t="shared" si="14"/>
        <v>1625.94</v>
      </c>
      <c r="AC86" s="83">
        <f t="shared" si="14"/>
        <v>1542.24</v>
      </c>
      <c r="AD86" s="83">
        <f t="shared" si="14"/>
        <v>1434.64</v>
      </c>
      <c r="AE86" s="83">
        <f t="shared" si="14"/>
        <v>1108.8400000000001</v>
      </c>
      <c r="AF86" s="83">
        <f t="shared" si="14"/>
        <v>1131.8400000000001</v>
      </c>
      <c r="AG86" s="81"/>
      <c r="AH86" s="48">
        <f t="shared" si="9"/>
        <v>1779.24</v>
      </c>
      <c r="AI86" s="49">
        <f t="shared" si="10"/>
        <v>1012.34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9"/>
        <v>0</v>
      </c>
      <c r="AI87" s="49">
        <f t="shared" si="10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9"/>
        <v>0</v>
      </c>
      <c r="AI88" s="49">
        <f t="shared" si="10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9"/>
        <v>0</v>
      </c>
      <c r="AI89" s="49">
        <f t="shared" si="10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9"/>
        <v>0</v>
      </c>
      <c r="AI90" s="49">
        <f t="shared" si="10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9"/>
        <v>0</v>
      </c>
      <c r="AI91" s="49">
        <f t="shared" si="10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9"/>
        <v>0</v>
      </c>
      <c r="AI92" s="49">
        <f t="shared" si="10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81"/>
      <c r="AH93" s="48">
        <f t="shared" si="9"/>
        <v>0</v>
      </c>
      <c r="AI93" s="49">
        <f t="shared" si="10"/>
        <v>0</v>
      </c>
      <c r="AK93" s="50"/>
    </row>
    <row r="94" spans="1:37" ht="15.75" thickBot="1" x14ac:dyDescent="0.3">
      <c r="A94" s="74" t="s">
        <v>99</v>
      </c>
      <c r="B94" s="61">
        <f t="shared" ref="B94:AF94" si="15">B78-B93</f>
        <v>338.9</v>
      </c>
      <c r="C94" s="61">
        <f t="shared" si="15"/>
        <v>345</v>
      </c>
      <c r="D94" s="61">
        <f t="shared" si="15"/>
        <v>319</v>
      </c>
      <c r="E94" s="61">
        <f t="shared" si="15"/>
        <v>340</v>
      </c>
      <c r="F94" s="61">
        <f t="shared" si="15"/>
        <v>338</v>
      </c>
      <c r="G94" s="61">
        <f t="shared" si="15"/>
        <v>340</v>
      </c>
      <c r="H94" s="61">
        <f t="shared" si="15"/>
        <v>336.7</v>
      </c>
      <c r="I94" s="61">
        <f t="shared" si="15"/>
        <v>434</v>
      </c>
      <c r="J94" s="61">
        <f t="shared" si="15"/>
        <v>446</v>
      </c>
      <c r="K94" s="61">
        <f t="shared" si="15"/>
        <v>226</v>
      </c>
      <c r="L94" s="61">
        <f t="shared" si="15"/>
        <v>210</v>
      </c>
      <c r="M94" s="61">
        <f t="shared" si="15"/>
        <v>200.3</v>
      </c>
      <c r="N94" s="61">
        <f t="shared" si="15"/>
        <v>119.89999999999999</v>
      </c>
      <c r="O94" s="61">
        <f t="shared" si="15"/>
        <v>79.3</v>
      </c>
      <c r="P94" s="61">
        <f t="shared" si="15"/>
        <v>214.5</v>
      </c>
      <c r="Q94" s="61">
        <f t="shared" si="15"/>
        <v>393.3</v>
      </c>
      <c r="R94" s="61">
        <f t="shared" si="15"/>
        <v>417.70000000000005</v>
      </c>
      <c r="S94" s="61">
        <f t="shared" si="15"/>
        <v>416.9</v>
      </c>
      <c r="T94" s="61">
        <f t="shared" si="15"/>
        <v>425.2</v>
      </c>
      <c r="U94" s="61">
        <f t="shared" si="15"/>
        <v>294.10000000000002</v>
      </c>
      <c r="V94" s="61">
        <f t="shared" si="15"/>
        <v>226</v>
      </c>
      <c r="W94" s="61">
        <f t="shared" si="15"/>
        <v>236.5</v>
      </c>
      <c r="X94" s="61">
        <v>151.6</v>
      </c>
      <c r="Y94" s="61">
        <f t="shared" si="15"/>
        <v>145.69999999999999</v>
      </c>
      <c r="Z94" s="61">
        <f t="shared" si="15"/>
        <v>174.8</v>
      </c>
      <c r="AA94" s="61">
        <f t="shared" si="15"/>
        <v>155.39999999999998</v>
      </c>
      <c r="AB94" s="61">
        <f t="shared" si="15"/>
        <v>178.8</v>
      </c>
      <c r="AC94" s="61">
        <f t="shared" si="15"/>
        <v>202</v>
      </c>
      <c r="AD94" s="61">
        <f t="shared" si="15"/>
        <v>189</v>
      </c>
      <c r="AE94" s="61">
        <f t="shared" si="15"/>
        <v>371.1</v>
      </c>
      <c r="AF94" s="61">
        <f t="shared" si="15"/>
        <v>418</v>
      </c>
      <c r="AG94" s="81"/>
      <c r="AH94" s="48">
        <f t="shared" si="9"/>
        <v>446</v>
      </c>
      <c r="AI94" s="49">
        <f t="shared" si="10"/>
        <v>79.3</v>
      </c>
    </row>
    <row r="95" spans="1:37" x14ac:dyDescent="0.25">
      <c r="A95" s="88" t="s">
        <v>100</v>
      </c>
      <c r="B95" s="89">
        <v>50.048999999999999</v>
      </c>
      <c r="C95" s="89">
        <v>50.018000000000001</v>
      </c>
      <c r="D95" s="89">
        <v>49.978999999999999</v>
      </c>
      <c r="E95" s="89">
        <v>50.038550000000001</v>
      </c>
      <c r="F95" s="89">
        <v>50.018000000000001</v>
      </c>
      <c r="G95" s="89">
        <v>49.988</v>
      </c>
      <c r="H95" s="89">
        <v>50.054000000000002</v>
      </c>
      <c r="I95" s="89">
        <v>50.115000000000002</v>
      </c>
      <c r="J95" s="89">
        <v>49.896999999999998</v>
      </c>
      <c r="K95" s="89">
        <v>49.7</v>
      </c>
      <c r="L95" s="89">
        <v>49.755000000000003</v>
      </c>
      <c r="M95" s="89">
        <v>49.963000000000001</v>
      </c>
      <c r="N95" s="89">
        <v>50.055</v>
      </c>
      <c r="O95" s="89">
        <v>50.04</v>
      </c>
      <c r="P95" s="89">
        <v>50.048999999999999</v>
      </c>
      <c r="Q95" s="89">
        <v>50</v>
      </c>
      <c r="R95" s="89">
        <v>50.015999999999998</v>
      </c>
      <c r="S95" s="89">
        <v>50.06</v>
      </c>
      <c r="T95" s="89">
        <v>49.975999999999999</v>
      </c>
      <c r="U95" s="89">
        <v>50.128999999999998</v>
      </c>
      <c r="V95" s="89">
        <v>49.993000000000002</v>
      </c>
      <c r="W95" s="89">
        <v>49.844000000000001</v>
      </c>
      <c r="X95" s="89">
        <v>49.960999999999999</v>
      </c>
      <c r="Y95" s="89">
        <v>49.984000000000002</v>
      </c>
      <c r="Z95" s="89">
        <v>49.99</v>
      </c>
      <c r="AA95" s="89">
        <v>49.726999999999997</v>
      </c>
      <c r="AB95" s="89">
        <v>49.930999999999997</v>
      </c>
      <c r="AC95" s="89">
        <v>49.941000000000003</v>
      </c>
      <c r="AD95" s="89">
        <v>49.966000000000001</v>
      </c>
      <c r="AE95" s="89">
        <v>50.084000000000003</v>
      </c>
      <c r="AF95" s="89">
        <v>50.046999999999997</v>
      </c>
      <c r="AG95" s="90"/>
      <c r="AH95" s="48">
        <f t="shared" si="9"/>
        <v>50.128999999999998</v>
      </c>
      <c r="AI95" s="49">
        <f t="shared" si="10"/>
        <v>49.7</v>
      </c>
    </row>
    <row r="96" spans="1:37" x14ac:dyDescent="0.25">
      <c r="A96" s="91" t="s">
        <v>101</v>
      </c>
      <c r="B96" s="65">
        <v>126</v>
      </c>
      <c r="C96" s="65">
        <v>126.5</v>
      </c>
      <c r="D96" s="65">
        <v>127.4</v>
      </c>
      <c r="E96" s="65">
        <v>128.80000000000001</v>
      </c>
      <c r="F96" s="65">
        <v>127.5</v>
      </c>
      <c r="G96" s="65">
        <v>127.5</v>
      </c>
      <c r="H96" s="65">
        <v>126.9</v>
      </c>
      <c r="I96" s="65">
        <v>125.8</v>
      </c>
      <c r="J96" s="65">
        <v>127.4</v>
      </c>
      <c r="K96" s="65">
        <v>128.5</v>
      </c>
      <c r="L96" s="65">
        <v>127.1</v>
      </c>
      <c r="M96" s="65">
        <v>127</v>
      </c>
      <c r="N96" s="65">
        <v>126.1</v>
      </c>
      <c r="O96" s="65">
        <v>128</v>
      </c>
      <c r="P96" s="65">
        <v>124.5</v>
      </c>
      <c r="Q96" s="65">
        <v>125</v>
      </c>
      <c r="R96" s="65">
        <v>125.4</v>
      </c>
      <c r="S96" s="65">
        <v>126.8</v>
      </c>
      <c r="T96" s="65">
        <v>125.4</v>
      </c>
      <c r="U96" s="65">
        <v>126.2</v>
      </c>
      <c r="V96" s="65">
        <v>129.30000000000001</v>
      </c>
      <c r="W96" s="65">
        <v>128.30000000000001</v>
      </c>
      <c r="X96" s="65">
        <v>126.5</v>
      </c>
      <c r="Y96" s="65">
        <v>126.1</v>
      </c>
      <c r="Z96" s="65">
        <v>127.7</v>
      </c>
      <c r="AA96" s="65">
        <v>127.7</v>
      </c>
      <c r="AB96" s="65">
        <v>128.80000000000001</v>
      </c>
      <c r="AC96" s="65">
        <v>129.1</v>
      </c>
      <c r="AD96" s="65">
        <v>129.6</v>
      </c>
      <c r="AE96" s="65">
        <v>130.80000000000001</v>
      </c>
      <c r="AF96" s="65">
        <v>126.5</v>
      </c>
      <c r="AG96" s="92"/>
      <c r="AH96" s="48">
        <f t="shared" si="9"/>
        <v>130.80000000000001</v>
      </c>
      <c r="AI96" s="49">
        <f t="shared" si="10"/>
        <v>124.5</v>
      </c>
    </row>
    <row r="97" spans="1:35" x14ac:dyDescent="0.25">
      <c r="A97" s="91" t="s">
        <v>102</v>
      </c>
      <c r="B97" s="65">
        <v>130.30000000000001</v>
      </c>
      <c r="C97" s="65">
        <v>131.1</v>
      </c>
      <c r="D97" s="65">
        <v>132</v>
      </c>
      <c r="E97" s="65">
        <v>133.19999999999999</v>
      </c>
      <c r="F97" s="65">
        <v>131.9</v>
      </c>
      <c r="G97" s="65">
        <v>131.69999999999999</v>
      </c>
      <c r="H97" s="65">
        <v>132.1</v>
      </c>
      <c r="I97" s="65">
        <v>129.69999999999999</v>
      </c>
      <c r="J97" s="65">
        <v>130.4</v>
      </c>
      <c r="K97" s="65">
        <v>128.5</v>
      </c>
      <c r="L97" s="65">
        <v>129.5</v>
      </c>
      <c r="M97" s="65">
        <v>129.6</v>
      </c>
      <c r="N97" s="65">
        <v>128.19999999999999</v>
      </c>
      <c r="O97" s="65">
        <v>130.19999999999999</v>
      </c>
      <c r="P97" s="65">
        <v>127.4</v>
      </c>
      <c r="Q97" s="65">
        <v>128</v>
      </c>
      <c r="R97" s="65">
        <v>128.69999999999999</v>
      </c>
      <c r="S97" s="65">
        <v>129.5</v>
      </c>
      <c r="T97" s="65">
        <v>128.6</v>
      </c>
      <c r="U97" s="65">
        <v>129.1</v>
      </c>
      <c r="V97" s="65">
        <v>130.9</v>
      </c>
      <c r="W97" s="65">
        <v>130.19999999999999</v>
      </c>
      <c r="X97" s="65">
        <v>128.1</v>
      </c>
      <c r="Y97" s="65">
        <v>127.6</v>
      </c>
      <c r="Z97" s="65">
        <v>129.1</v>
      </c>
      <c r="AA97" s="65">
        <v>129.30000000000001</v>
      </c>
      <c r="AB97" s="65">
        <v>130</v>
      </c>
      <c r="AC97" s="65">
        <v>130.19999999999999</v>
      </c>
      <c r="AD97" s="65">
        <v>130.69999999999999</v>
      </c>
      <c r="AE97" s="65">
        <v>132.6</v>
      </c>
      <c r="AF97" s="65">
        <v>130.1</v>
      </c>
      <c r="AG97" s="92"/>
      <c r="AH97" s="48">
        <f t="shared" si="9"/>
        <v>133.19999999999999</v>
      </c>
      <c r="AI97" s="49">
        <f t="shared" si="10"/>
        <v>127.4</v>
      </c>
    </row>
    <row r="98" spans="1:35" x14ac:dyDescent="0.25">
      <c r="A98" s="91" t="s">
        <v>103</v>
      </c>
      <c r="B98" s="65">
        <v>128.69999999999999</v>
      </c>
      <c r="C98" s="65">
        <v>129.4</v>
      </c>
      <c r="D98" s="65">
        <v>129.30000000000001</v>
      </c>
      <c r="E98" s="65">
        <v>131.4</v>
      </c>
      <c r="F98" s="65">
        <v>129.9</v>
      </c>
      <c r="G98" s="65">
        <v>128.5</v>
      </c>
      <c r="H98" s="65">
        <v>129</v>
      </c>
      <c r="I98" s="65">
        <v>129.1</v>
      </c>
      <c r="J98" s="65">
        <v>130.1</v>
      </c>
      <c r="K98" s="65">
        <v>131</v>
      </c>
      <c r="L98" s="65">
        <v>132.69999999999999</v>
      </c>
      <c r="M98" s="65">
        <v>133</v>
      </c>
      <c r="N98" s="65">
        <v>132.6</v>
      </c>
      <c r="O98" s="65">
        <v>133.80000000000001</v>
      </c>
      <c r="P98" s="65">
        <v>130.4</v>
      </c>
      <c r="Q98" s="65">
        <v>128.5</v>
      </c>
      <c r="R98" s="65">
        <v>127.5</v>
      </c>
      <c r="S98" s="65">
        <v>129</v>
      </c>
      <c r="T98" s="65">
        <v>127.5</v>
      </c>
      <c r="U98" s="65">
        <v>129.19999999999999</v>
      </c>
      <c r="V98" s="65">
        <v>132.4</v>
      </c>
      <c r="W98" s="65">
        <v>130.4</v>
      </c>
      <c r="X98" s="65">
        <v>129.1</v>
      </c>
      <c r="Y98" s="65">
        <v>131.19999999999999</v>
      </c>
      <c r="Z98" s="65">
        <v>133.1</v>
      </c>
      <c r="AA98" s="65">
        <v>132.1</v>
      </c>
      <c r="AB98" s="65">
        <v>133.30000000000001</v>
      </c>
      <c r="AC98" s="65">
        <v>135</v>
      </c>
      <c r="AD98" s="65">
        <v>133</v>
      </c>
      <c r="AE98" s="65">
        <v>131.4</v>
      </c>
      <c r="AF98" s="65">
        <v>128.19999999999999</v>
      </c>
      <c r="AG98" s="92"/>
      <c r="AH98" s="48">
        <f t="shared" si="9"/>
        <v>135</v>
      </c>
      <c r="AI98" s="49">
        <f t="shared" si="10"/>
        <v>127.5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9"/>
        <v>0</v>
      </c>
      <c r="AI99" s="49">
        <f t="shared" si="10"/>
        <v>0</v>
      </c>
    </row>
    <row r="100" spans="1:35" x14ac:dyDescent="0.25">
      <c r="A100" s="93" t="s">
        <v>105</v>
      </c>
      <c r="B100" s="94">
        <v>130.30000000000001</v>
      </c>
      <c r="C100" s="94">
        <v>132.4</v>
      </c>
      <c r="D100" s="94">
        <v>134.5</v>
      </c>
      <c r="E100" s="94">
        <v>134.30000000000001</v>
      </c>
      <c r="F100" s="94">
        <v>132.80000000000001</v>
      </c>
      <c r="G100" s="94">
        <v>131.30000000000001</v>
      </c>
      <c r="H100" s="94">
        <v>136</v>
      </c>
      <c r="I100" s="94">
        <v>134.5</v>
      </c>
      <c r="J100" s="94">
        <v>135.4</v>
      </c>
      <c r="K100" s="94">
        <v>135.69999999999999</v>
      </c>
      <c r="L100" s="94">
        <v>134.4</v>
      </c>
      <c r="M100" s="94">
        <v>134</v>
      </c>
      <c r="N100" s="94">
        <v>132.30000000000001</v>
      </c>
      <c r="O100" s="94">
        <v>135.80000000000001</v>
      </c>
      <c r="P100" s="94">
        <v>129.80000000000001</v>
      </c>
      <c r="Q100" s="94">
        <v>132.9</v>
      </c>
      <c r="R100" s="94">
        <v>132.80000000000001</v>
      </c>
      <c r="S100" s="94">
        <v>131.6</v>
      </c>
      <c r="T100" s="94">
        <v>133.19999999999999</v>
      </c>
      <c r="U100" s="94">
        <v>134.4</v>
      </c>
      <c r="V100" s="94">
        <v>133.80000000000001</v>
      </c>
      <c r="W100" s="94">
        <v>134.5</v>
      </c>
      <c r="X100" s="94">
        <v>131.4</v>
      </c>
      <c r="Y100" s="94">
        <v>131.69999999999999</v>
      </c>
      <c r="Z100" s="94">
        <v>133.9</v>
      </c>
      <c r="AA100" s="94">
        <v>134.80000000000001</v>
      </c>
      <c r="AB100" s="94">
        <v>133.80000000000001</v>
      </c>
      <c r="AC100" s="94">
        <v>132.69999999999999</v>
      </c>
      <c r="AD100" s="94">
        <v>133.80000000000001</v>
      </c>
      <c r="AE100" s="94">
        <v>135.5</v>
      </c>
      <c r="AF100" s="94">
        <v>130.6</v>
      </c>
      <c r="AG100" s="95"/>
      <c r="AH100" s="48">
        <f t="shared" si="9"/>
        <v>136</v>
      </c>
      <c r="AI100" s="49">
        <f t="shared" si="10"/>
        <v>129.80000000000001</v>
      </c>
    </row>
    <row r="101" spans="1:35" x14ac:dyDescent="0.25">
      <c r="A101" s="91" t="s">
        <v>106</v>
      </c>
      <c r="B101" s="65">
        <v>129.30000000000001</v>
      </c>
      <c r="C101" s="65">
        <v>131.5</v>
      </c>
      <c r="D101" s="65">
        <v>130.69999999999999</v>
      </c>
      <c r="E101" s="65">
        <v>129.5</v>
      </c>
      <c r="F101" s="65">
        <v>132.80000000000001</v>
      </c>
      <c r="G101" s="65">
        <v>131.69999999999999</v>
      </c>
      <c r="H101" s="65">
        <v>134.80000000000001</v>
      </c>
      <c r="I101" s="65">
        <v>122.5</v>
      </c>
      <c r="J101" s="65">
        <v>126.9</v>
      </c>
      <c r="K101" s="65">
        <v>127.6</v>
      </c>
      <c r="L101" s="65">
        <v>125.8</v>
      </c>
      <c r="M101" s="65">
        <v>129.6</v>
      </c>
      <c r="N101" s="65">
        <v>127</v>
      </c>
      <c r="O101" s="65">
        <v>128.9</v>
      </c>
      <c r="P101" s="65">
        <v>125.5</v>
      </c>
      <c r="Q101" s="65">
        <v>129</v>
      </c>
      <c r="R101" s="65">
        <v>126.7</v>
      </c>
      <c r="S101" s="65">
        <v>125.1</v>
      </c>
      <c r="T101" s="65">
        <v>123.9</v>
      </c>
      <c r="U101" s="65">
        <v>132.6</v>
      </c>
      <c r="V101" s="65">
        <v>132.6</v>
      </c>
      <c r="W101" s="65">
        <v>133.6</v>
      </c>
      <c r="X101" s="65">
        <v>128.5</v>
      </c>
      <c r="Y101" s="65">
        <v>129.4</v>
      </c>
      <c r="Z101" s="65">
        <v>132.4</v>
      </c>
      <c r="AA101" s="65">
        <v>133.9</v>
      </c>
      <c r="AB101" s="65">
        <v>131.69999999999999</v>
      </c>
      <c r="AC101" s="65">
        <v>130.69999999999999</v>
      </c>
      <c r="AD101" s="65">
        <v>132.6</v>
      </c>
      <c r="AE101" s="65">
        <v>131.30000000000001</v>
      </c>
      <c r="AF101" s="65">
        <v>128.30000000000001</v>
      </c>
      <c r="AG101" s="92"/>
      <c r="AH101" s="48">
        <f t="shared" si="9"/>
        <v>134.80000000000001</v>
      </c>
      <c r="AI101" s="49">
        <f t="shared" si="10"/>
        <v>122.5</v>
      </c>
    </row>
    <row r="102" spans="1:35" ht="15.75" thickBot="1" x14ac:dyDescent="0.3">
      <c r="A102" s="91" t="s">
        <v>107</v>
      </c>
      <c r="B102" s="96">
        <v>65.400000000000006</v>
      </c>
      <c r="C102" s="96">
        <v>65.7</v>
      </c>
      <c r="D102" s="96">
        <v>66.3</v>
      </c>
      <c r="E102" s="96">
        <v>66.7</v>
      </c>
      <c r="F102" s="96">
        <v>66.400000000000006</v>
      </c>
      <c r="G102" s="96">
        <v>66</v>
      </c>
      <c r="H102" s="96">
        <v>66.2</v>
      </c>
      <c r="I102" s="96">
        <v>64.900000000000006</v>
      </c>
      <c r="J102" s="96">
        <v>65.3</v>
      </c>
      <c r="K102" s="96">
        <v>65</v>
      </c>
      <c r="L102" s="96">
        <v>64.900000000000006</v>
      </c>
      <c r="M102" s="96">
        <v>64.7</v>
      </c>
      <c r="N102" s="96">
        <v>64.2</v>
      </c>
      <c r="O102" s="96">
        <v>64.900000000000006</v>
      </c>
      <c r="P102" s="96">
        <v>63.8</v>
      </c>
      <c r="Q102" s="96">
        <v>63.9</v>
      </c>
      <c r="R102" s="96">
        <v>64.2</v>
      </c>
      <c r="S102" s="96">
        <v>64.5</v>
      </c>
      <c r="T102" s="96">
        <v>64.3</v>
      </c>
      <c r="U102" s="96">
        <v>64.400000000000006</v>
      </c>
      <c r="V102" s="96">
        <v>65.2</v>
      </c>
      <c r="W102" s="96">
        <v>64.7</v>
      </c>
      <c r="X102" s="96">
        <v>63.7</v>
      </c>
      <c r="Y102" s="96">
        <v>63.6</v>
      </c>
      <c r="Z102" s="96">
        <v>64.3</v>
      </c>
      <c r="AA102" s="96">
        <v>64.5</v>
      </c>
      <c r="AB102" s="96">
        <v>64.900000000000006</v>
      </c>
      <c r="AC102" s="96">
        <v>65.099999999999994</v>
      </c>
      <c r="AD102" s="96">
        <v>65.2</v>
      </c>
      <c r="AE102" s="96">
        <v>66.599999999999994</v>
      </c>
      <c r="AF102" s="96">
        <v>65.599999999999994</v>
      </c>
      <c r="AG102" s="97"/>
      <c r="AH102" s="48">
        <f t="shared" si="9"/>
        <v>66.7</v>
      </c>
      <c r="AI102" s="49">
        <f t="shared" si="10"/>
        <v>63.6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9"/>
        <v>0</v>
      </c>
      <c r="AI103" s="49">
        <f t="shared" si="10"/>
        <v>0</v>
      </c>
    </row>
    <row r="104" spans="1:35" ht="15.75" thickBot="1" x14ac:dyDescent="0.3">
      <c r="A104" s="99" t="s">
        <v>108</v>
      </c>
      <c r="B104" s="100">
        <f t="shared" ref="B104:AF104" si="16">SUM(B16,B22,B25:B26,B52,B54:B55,B57,B59,B105:B109,B131,B137,B143,B152,B154,B166,B173,B176:B177,B184,B186,B188,B192:B194,B196:B198,B203,B209:B210,B212:B214,B222,B227)</f>
        <v>141.19999999999999</v>
      </c>
      <c r="C104" s="100">
        <f t="shared" si="16"/>
        <v>125.13999999999999</v>
      </c>
      <c r="D104" s="100">
        <f t="shared" si="16"/>
        <v>116.13999999999999</v>
      </c>
      <c r="E104" s="100">
        <f t="shared" si="16"/>
        <v>115.54</v>
      </c>
      <c r="F104" s="100">
        <f t="shared" si="16"/>
        <v>122.44</v>
      </c>
      <c r="G104" s="100">
        <f t="shared" si="16"/>
        <v>146.07000000000002</v>
      </c>
      <c r="H104" s="100">
        <f t="shared" si="16"/>
        <v>179.14</v>
      </c>
      <c r="I104" s="100">
        <f t="shared" si="16"/>
        <v>224.03999999999996</v>
      </c>
      <c r="J104" s="100">
        <f t="shared" si="16"/>
        <v>253.14000000000001</v>
      </c>
      <c r="K104" s="100">
        <f t="shared" si="16"/>
        <v>290.33999999999997</v>
      </c>
      <c r="L104" s="100">
        <f t="shared" si="16"/>
        <v>337.34</v>
      </c>
      <c r="M104" s="100">
        <f t="shared" si="16"/>
        <v>358.73999999999995</v>
      </c>
      <c r="N104" s="100">
        <f t="shared" si="16"/>
        <v>370.84</v>
      </c>
      <c r="O104" s="100">
        <f t="shared" si="16"/>
        <v>349.54</v>
      </c>
      <c r="P104" s="100">
        <v>42</v>
      </c>
      <c r="Q104" s="100">
        <f t="shared" si="16"/>
        <v>303.79999999999995</v>
      </c>
      <c r="R104" s="100">
        <f t="shared" si="16"/>
        <v>252.79999999999995</v>
      </c>
      <c r="S104" s="100">
        <f t="shared" si="16"/>
        <v>237.1</v>
      </c>
      <c r="T104" s="100">
        <f t="shared" si="16"/>
        <v>247.39999999999998</v>
      </c>
      <c r="U104" s="100">
        <f t="shared" si="16"/>
        <v>265</v>
      </c>
      <c r="V104" s="100">
        <f t="shared" si="16"/>
        <v>288.60000000000002</v>
      </c>
      <c r="W104" s="100">
        <f t="shared" si="16"/>
        <v>323.09999999999997</v>
      </c>
      <c r="X104" s="100">
        <v>390.59708333333339</v>
      </c>
      <c r="Y104" s="100">
        <f t="shared" si="16"/>
        <v>398.09999999999997</v>
      </c>
      <c r="Z104" s="100">
        <f t="shared" si="16"/>
        <v>400.7</v>
      </c>
      <c r="AA104" s="100">
        <f t="shared" si="16"/>
        <v>388.1</v>
      </c>
      <c r="AB104" s="100">
        <f t="shared" si="16"/>
        <v>407.7</v>
      </c>
      <c r="AC104" s="100">
        <f t="shared" si="16"/>
        <v>396.8</v>
      </c>
      <c r="AD104" s="100">
        <f t="shared" si="16"/>
        <v>346.3</v>
      </c>
      <c r="AE104" s="100">
        <f t="shared" si="16"/>
        <v>251.29999999999998</v>
      </c>
      <c r="AF104" s="100">
        <f t="shared" si="16"/>
        <v>181</v>
      </c>
      <c r="AG104" s="101"/>
      <c r="AH104" s="48">
        <f t="shared" si="9"/>
        <v>407.7</v>
      </c>
      <c r="AI104" s="49">
        <f t="shared" si="10"/>
        <v>42</v>
      </c>
    </row>
    <row r="105" spans="1:35" x14ac:dyDescent="0.25">
      <c r="A105" s="88" t="s">
        <v>109</v>
      </c>
      <c r="B105" s="102">
        <v>-11.2</v>
      </c>
      <c r="C105" s="102">
        <v>-10.8</v>
      </c>
      <c r="D105" s="102">
        <v>-9.4</v>
      </c>
      <c r="E105" s="102">
        <v>-8.1</v>
      </c>
      <c r="F105" s="102">
        <v>-7</v>
      </c>
      <c r="G105" s="102">
        <v>-6.3</v>
      </c>
      <c r="H105" s="102">
        <v>3</v>
      </c>
      <c r="I105" s="102">
        <v>8.6</v>
      </c>
      <c r="J105" s="102">
        <v>18.3</v>
      </c>
      <c r="K105" s="102">
        <v>25</v>
      </c>
      <c r="L105" s="102">
        <v>21.6</v>
      </c>
      <c r="M105" s="102">
        <v>21.9</v>
      </c>
      <c r="N105" s="102">
        <v>14</v>
      </c>
      <c r="O105" s="102">
        <v>10.9</v>
      </c>
      <c r="P105" s="102">
        <v>9.3000000000000007</v>
      </c>
      <c r="Q105" s="102">
        <v>11.6</v>
      </c>
      <c r="R105" s="102">
        <v>7.4</v>
      </c>
      <c r="S105" s="102">
        <v>2.4</v>
      </c>
      <c r="T105" s="102">
        <v>0</v>
      </c>
      <c r="U105" s="102">
        <v>7.8</v>
      </c>
      <c r="V105" s="102">
        <v>34.200000000000003</v>
      </c>
      <c r="W105" s="102">
        <v>33.5</v>
      </c>
      <c r="X105" s="102">
        <v>34.5</v>
      </c>
      <c r="Y105" s="102">
        <v>33.4</v>
      </c>
      <c r="Z105" s="102">
        <v>32.5</v>
      </c>
      <c r="AA105" s="102">
        <v>33.4</v>
      </c>
      <c r="AB105" s="102">
        <v>33.700000000000003</v>
      </c>
      <c r="AC105" s="102">
        <v>23.1</v>
      </c>
      <c r="AD105" s="102">
        <v>17.600000000000001</v>
      </c>
      <c r="AE105" s="102">
        <v>6</v>
      </c>
      <c r="AF105" s="102">
        <v>-2.9</v>
      </c>
      <c r="AG105" s="103">
        <v>75</v>
      </c>
      <c r="AH105" s="48">
        <f t="shared" si="9"/>
        <v>34.5</v>
      </c>
      <c r="AI105" s="49">
        <f t="shared" si="10"/>
        <v>-11.2</v>
      </c>
    </row>
    <row r="106" spans="1:35" x14ac:dyDescent="0.25">
      <c r="A106" s="91" t="s">
        <v>110</v>
      </c>
      <c r="B106" s="104">
        <v>-10.9</v>
      </c>
      <c r="C106" s="104">
        <v>-8.8000000000000007</v>
      </c>
      <c r="D106" s="104">
        <v>-7.9</v>
      </c>
      <c r="E106" s="104">
        <v>-7</v>
      </c>
      <c r="F106" s="104">
        <v>-8</v>
      </c>
      <c r="G106" s="104">
        <v>-4.8</v>
      </c>
      <c r="H106" s="104">
        <v>6.4</v>
      </c>
      <c r="I106" s="104">
        <v>13.7</v>
      </c>
      <c r="J106" s="104">
        <v>26.9</v>
      </c>
      <c r="K106" s="104">
        <v>32.6</v>
      </c>
      <c r="L106" s="104">
        <v>28.6</v>
      </c>
      <c r="M106" s="104">
        <v>30</v>
      </c>
      <c r="N106" s="104">
        <v>22.4</v>
      </c>
      <c r="O106" s="104">
        <v>18.399999999999999</v>
      </c>
      <c r="P106" s="104">
        <v>18.600000000000001</v>
      </c>
      <c r="Q106" s="104">
        <v>20.2</v>
      </c>
      <c r="R106" s="104">
        <v>16.2</v>
      </c>
      <c r="S106" s="104">
        <v>8.3000000000000007</v>
      </c>
      <c r="T106" s="104">
        <v>4.9000000000000004</v>
      </c>
      <c r="U106" s="104">
        <v>15.2</v>
      </c>
      <c r="V106" s="104">
        <v>44.6</v>
      </c>
      <c r="W106" s="104">
        <v>41.5</v>
      </c>
      <c r="X106" s="104">
        <v>40.6</v>
      </c>
      <c r="Y106" s="104">
        <v>39.1</v>
      </c>
      <c r="Z106" s="104">
        <v>37.200000000000003</v>
      </c>
      <c r="AA106" s="104">
        <v>37.799999999999997</v>
      </c>
      <c r="AB106" s="104">
        <v>40.299999999999997</v>
      </c>
      <c r="AC106" s="104">
        <v>40.299999999999997</v>
      </c>
      <c r="AD106" s="104">
        <v>19.3</v>
      </c>
      <c r="AE106" s="104">
        <v>5.5</v>
      </c>
      <c r="AF106" s="104">
        <v>0</v>
      </c>
      <c r="AG106" s="103">
        <v>240</v>
      </c>
      <c r="AH106" s="48">
        <f t="shared" si="9"/>
        <v>44.6</v>
      </c>
      <c r="AI106" s="49">
        <f t="shared" si="10"/>
        <v>-10.9</v>
      </c>
    </row>
    <row r="107" spans="1:35" x14ac:dyDescent="0.25">
      <c r="A107" s="91" t="s">
        <v>111</v>
      </c>
      <c r="B107" s="104">
        <v>-50</v>
      </c>
      <c r="C107" s="104">
        <v>-60</v>
      </c>
      <c r="D107" s="104">
        <v>-63</v>
      </c>
      <c r="E107" s="104">
        <v>-62.3</v>
      </c>
      <c r="F107" s="104">
        <v>-57</v>
      </c>
      <c r="G107" s="104">
        <v>-57</v>
      </c>
      <c r="H107" s="104">
        <v>-48.5</v>
      </c>
      <c r="I107" s="104">
        <v>-33.200000000000003</v>
      </c>
      <c r="J107" s="104">
        <v>-38</v>
      </c>
      <c r="K107" s="104">
        <v>-30</v>
      </c>
      <c r="L107" s="104">
        <v>20.5</v>
      </c>
      <c r="M107" s="104">
        <v>23</v>
      </c>
      <c r="N107" s="104">
        <v>50.6</v>
      </c>
      <c r="O107" s="104">
        <f>22.9+16.3</f>
        <v>39.200000000000003</v>
      </c>
      <c r="P107" s="104">
        <v>6.4</v>
      </c>
      <c r="Q107" s="104">
        <v>-9.1999999999999993</v>
      </c>
      <c r="R107" s="104">
        <v>-50.4</v>
      </c>
      <c r="S107" s="104">
        <v>-47</v>
      </c>
      <c r="T107" s="104">
        <v>-43.5</v>
      </c>
      <c r="U107" s="104">
        <v>-35.799999999999997</v>
      </c>
      <c r="V107" s="104">
        <v>-15</v>
      </c>
      <c r="W107" s="104">
        <v>5.3</v>
      </c>
      <c r="X107" s="104">
        <v>37</v>
      </c>
      <c r="Y107" s="104">
        <v>41</v>
      </c>
      <c r="Z107" s="104">
        <v>41.2</v>
      </c>
      <c r="AA107" s="104">
        <v>33.299999999999997</v>
      </c>
      <c r="AB107" s="104">
        <v>60</v>
      </c>
      <c r="AC107" s="104">
        <v>60</v>
      </c>
      <c r="AD107" s="104">
        <v>39</v>
      </c>
      <c r="AE107" s="104">
        <v>12</v>
      </c>
      <c r="AF107" s="104">
        <v>-34</v>
      </c>
      <c r="AG107" s="103">
        <v>240</v>
      </c>
      <c r="AH107" s="48">
        <f t="shared" si="9"/>
        <v>60</v>
      </c>
      <c r="AI107" s="49">
        <f t="shared" si="10"/>
        <v>-63</v>
      </c>
    </row>
    <row r="108" spans="1:35" x14ac:dyDescent="0.25">
      <c r="A108" s="91" t="s">
        <v>112</v>
      </c>
      <c r="B108" s="104">
        <v>-0.6</v>
      </c>
      <c r="C108" s="104">
        <v>-4.4000000000000004</v>
      </c>
      <c r="D108" s="104">
        <v>-3.6</v>
      </c>
      <c r="E108" s="104">
        <v>-3.7</v>
      </c>
      <c r="F108" s="104">
        <v>-5.4</v>
      </c>
      <c r="G108" s="104">
        <v>-2.87</v>
      </c>
      <c r="H108" s="104">
        <v>0.2</v>
      </c>
      <c r="I108" s="104">
        <v>2.5</v>
      </c>
      <c r="J108" s="104">
        <v>30.3</v>
      </c>
      <c r="K108" s="104">
        <v>41.1</v>
      </c>
      <c r="L108" s="104">
        <v>43.2</v>
      </c>
      <c r="M108" s="104">
        <v>53</v>
      </c>
      <c r="N108" s="104">
        <v>56.2</v>
      </c>
      <c r="O108" s="104">
        <v>54.8</v>
      </c>
      <c r="P108" s="104">
        <v>44.1</v>
      </c>
      <c r="Q108" s="104">
        <v>49</v>
      </c>
      <c r="R108" s="104">
        <v>48.2</v>
      </c>
      <c r="S108" s="104">
        <v>47.1</v>
      </c>
      <c r="T108" s="104">
        <v>47.3</v>
      </c>
      <c r="U108" s="104">
        <v>46.8</v>
      </c>
      <c r="V108" s="104">
        <v>50.3</v>
      </c>
      <c r="W108" s="104">
        <v>53.7</v>
      </c>
      <c r="X108" s="104">
        <v>59.3</v>
      </c>
      <c r="Y108" s="104">
        <v>58.3</v>
      </c>
      <c r="Z108" s="104">
        <v>63.1</v>
      </c>
      <c r="AA108" s="104">
        <v>61</v>
      </c>
      <c r="AB108" s="104">
        <v>58.3</v>
      </c>
      <c r="AC108" s="104">
        <v>58.3</v>
      </c>
      <c r="AD108" s="104">
        <v>52.5</v>
      </c>
      <c r="AE108" s="104">
        <v>18</v>
      </c>
      <c r="AF108" s="104">
        <v>1.5</v>
      </c>
      <c r="AG108" s="103">
        <v>60</v>
      </c>
      <c r="AH108" s="48">
        <f t="shared" si="9"/>
        <v>63.1</v>
      </c>
      <c r="AI108" s="49">
        <f t="shared" si="10"/>
        <v>-5.4</v>
      </c>
    </row>
    <row r="109" spans="1:35" x14ac:dyDescent="0.25">
      <c r="A109" s="105" t="s">
        <v>113</v>
      </c>
      <c r="B109" s="106">
        <v>90.2</v>
      </c>
      <c r="C109" s="106">
        <v>84.5</v>
      </c>
      <c r="D109" s="106">
        <v>75.599999999999994</v>
      </c>
      <c r="E109" s="106">
        <v>69.599999999999994</v>
      </c>
      <c r="F109" s="106">
        <v>74.599999999999994</v>
      </c>
      <c r="G109" s="106">
        <v>92.5</v>
      </c>
      <c r="H109" s="106">
        <v>92.8</v>
      </c>
      <c r="I109" s="106">
        <v>107</v>
      </c>
      <c r="J109" s="106">
        <v>90</v>
      </c>
      <c r="K109" s="106">
        <v>96</v>
      </c>
      <c r="L109" s="106">
        <v>98</v>
      </c>
      <c r="M109" s="106">
        <v>105.9</v>
      </c>
      <c r="N109" s="106">
        <v>94.7</v>
      </c>
      <c r="O109" s="106">
        <v>93.3</v>
      </c>
      <c r="P109" s="106">
        <v>114.9</v>
      </c>
      <c r="Q109" s="106">
        <v>102</v>
      </c>
      <c r="R109" s="106">
        <v>101</v>
      </c>
      <c r="S109" s="106">
        <v>95.9</v>
      </c>
      <c r="T109" s="106">
        <v>108.3</v>
      </c>
      <c r="U109" s="106">
        <v>106.6</v>
      </c>
      <c r="V109" s="106">
        <v>53.1</v>
      </c>
      <c r="W109" s="106">
        <v>67.7</v>
      </c>
      <c r="X109" s="106">
        <v>100.9</v>
      </c>
      <c r="Y109" s="106">
        <v>105.7</v>
      </c>
      <c r="Z109" s="106">
        <v>104</v>
      </c>
      <c r="AA109" s="106">
        <v>99.9</v>
      </c>
      <c r="AB109" s="106">
        <v>92.7</v>
      </c>
      <c r="AC109" s="106">
        <v>92.7</v>
      </c>
      <c r="AD109" s="106">
        <v>95.2</v>
      </c>
      <c r="AE109" s="106">
        <v>86.6</v>
      </c>
      <c r="AF109" s="106">
        <v>93.2</v>
      </c>
      <c r="AG109" s="107">
        <v>120</v>
      </c>
      <c r="AH109" s="48">
        <f t="shared" si="9"/>
        <v>114.9</v>
      </c>
      <c r="AI109" s="49">
        <f t="shared" si="10"/>
        <v>53.1</v>
      </c>
    </row>
    <row r="110" spans="1:35" x14ac:dyDescent="0.25">
      <c r="A110" s="105" t="s">
        <v>115</v>
      </c>
      <c r="B110" s="106">
        <v>90.9</v>
      </c>
      <c r="C110" s="106">
        <v>90.4</v>
      </c>
      <c r="D110" s="106">
        <v>85</v>
      </c>
      <c r="E110" s="106">
        <v>83.2</v>
      </c>
      <c r="F110" s="106">
        <v>80.3</v>
      </c>
      <c r="G110" s="106">
        <v>96.3</v>
      </c>
      <c r="H110" s="106">
        <v>95.4</v>
      </c>
      <c r="I110" s="106">
        <v>109</v>
      </c>
      <c r="J110" s="106">
        <v>92</v>
      </c>
      <c r="K110" s="106">
        <v>75</v>
      </c>
      <c r="L110" s="106">
        <v>97.8</v>
      </c>
      <c r="M110" s="106">
        <v>84.9</v>
      </c>
      <c r="N110" s="106">
        <v>94</v>
      </c>
      <c r="O110" s="106">
        <v>86.8</v>
      </c>
      <c r="P110" s="106">
        <v>93</v>
      </c>
      <c r="Q110" s="106">
        <v>98.3</v>
      </c>
      <c r="R110" s="106">
        <v>97.9</v>
      </c>
      <c r="S110" s="106">
        <v>88.6</v>
      </c>
      <c r="T110" s="106">
        <v>99.1</v>
      </c>
      <c r="U110" s="106">
        <v>87.8</v>
      </c>
      <c r="V110" s="106">
        <v>69.3</v>
      </c>
      <c r="W110" s="106">
        <v>78.8</v>
      </c>
      <c r="X110" s="106">
        <v>96.7</v>
      </c>
      <c r="Y110" s="106">
        <v>102</v>
      </c>
      <c r="Z110" s="106">
        <v>99</v>
      </c>
      <c r="AA110" s="106">
        <v>91.2</v>
      </c>
      <c r="AB110" s="106">
        <v>78</v>
      </c>
      <c r="AC110" s="106">
        <v>78</v>
      </c>
      <c r="AD110" s="106">
        <v>65.7</v>
      </c>
      <c r="AE110" s="106">
        <v>71</v>
      </c>
      <c r="AF110" s="106">
        <v>97</v>
      </c>
      <c r="AG110" s="107"/>
      <c r="AH110" s="48">
        <f t="shared" si="9"/>
        <v>109</v>
      </c>
      <c r="AI110" s="49">
        <f t="shared" si="10"/>
        <v>65.7</v>
      </c>
    </row>
    <row r="111" spans="1:35" x14ac:dyDescent="0.25">
      <c r="A111" s="105" t="s">
        <v>116</v>
      </c>
      <c r="B111" s="106">
        <v>56.2</v>
      </c>
      <c r="C111" s="106">
        <v>52.8</v>
      </c>
      <c r="D111" s="106">
        <v>54.6</v>
      </c>
      <c r="E111" s="106">
        <v>48.2</v>
      </c>
      <c r="F111" s="106">
        <v>57.3</v>
      </c>
      <c r="G111" s="106">
        <v>58.5</v>
      </c>
      <c r="H111" s="106">
        <v>50.4</v>
      </c>
      <c r="I111" s="106">
        <v>63.5</v>
      </c>
      <c r="J111" s="106">
        <v>36</v>
      </c>
      <c r="K111" s="106">
        <v>24</v>
      </c>
      <c r="L111" s="106">
        <v>27.4</v>
      </c>
      <c r="M111" s="106">
        <v>22.9</v>
      </c>
      <c r="N111" s="106">
        <v>31.1</v>
      </c>
      <c r="O111" s="106">
        <v>31.6</v>
      </c>
      <c r="P111" s="106">
        <v>37.5</v>
      </c>
      <c r="Q111" s="106">
        <v>43.4</v>
      </c>
      <c r="R111" s="106">
        <v>44.5</v>
      </c>
      <c r="S111" s="106">
        <v>51.9</v>
      </c>
      <c r="T111" s="106">
        <v>57.1</v>
      </c>
      <c r="U111" s="106">
        <v>47.3</v>
      </c>
      <c r="V111" s="106">
        <v>21.1</v>
      </c>
      <c r="W111" s="106">
        <v>21.4</v>
      </c>
      <c r="X111" s="106">
        <v>24</v>
      </c>
      <c r="Y111" s="106">
        <v>26.6</v>
      </c>
      <c r="Z111" s="106">
        <v>25</v>
      </c>
      <c r="AA111" s="106">
        <v>21.9</v>
      </c>
      <c r="AB111" s="106">
        <v>21.3</v>
      </c>
      <c r="AC111" s="106">
        <v>21.3</v>
      </c>
      <c r="AD111" s="106">
        <v>32.4</v>
      </c>
      <c r="AE111" s="106">
        <v>35</v>
      </c>
      <c r="AF111" s="106">
        <v>45.1</v>
      </c>
      <c r="AG111" s="108"/>
      <c r="AH111" s="48">
        <f t="shared" si="9"/>
        <v>63.5</v>
      </c>
      <c r="AI111" s="49">
        <f t="shared" si="10"/>
        <v>21.1</v>
      </c>
    </row>
    <row r="112" spans="1:35" x14ac:dyDescent="0.25">
      <c r="A112" s="109" t="s">
        <v>117</v>
      </c>
      <c r="B112" s="94">
        <v>33.299999999999997</v>
      </c>
      <c r="C112" s="94">
        <v>36.299999999999997</v>
      </c>
      <c r="D112" s="94">
        <v>36.299999999999997</v>
      </c>
      <c r="E112" s="94">
        <v>39.9</v>
      </c>
      <c r="F112" s="94">
        <v>42</v>
      </c>
      <c r="G112" s="94">
        <v>39.200000000000003</v>
      </c>
      <c r="H112" s="94">
        <v>30</v>
      </c>
      <c r="I112" s="94">
        <v>11.8</v>
      </c>
      <c r="J112" s="94">
        <v>2.5</v>
      </c>
      <c r="K112" s="94">
        <v>-18.7</v>
      </c>
      <c r="L112" s="94">
        <v>-27.1</v>
      </c>
      <c r="M112" s="94">
        <v>-32.9</v>
      </c>
      <c r="N112" s="94">
        <v>22.2</v>
      </c>
      <c r="O112" s="94">
        <v>-3.9</v>
      </c>
      <c r="P112" s="94">
        <v>2.6</v>
      </c>
      <c r="Q112" s="94">
        <v>16.3</v>
      </c>
      <c r="R112" s="94">
        <v>22.2</v>
      </c>
      <c r="S112" s="94">
        <v>19.399999999999999</v>
      </c>
      <c r="T112" s="94">
        <v>13.4</v>
      </c>
      <c r="U112" s="94">
        <v>9.6</v>
      </c>
      <c r="V112" s="94">
        <v>14.7</v>
      </c>
      <c r="W112" s="94">
        <v>26.2</v>
      </c>
      <c r="X112" s="94">
        <v>-41.3</v>
      </c>
      <c r="Y112" s="94">
        <v>-42.2</v>
      </c>
      <c r="Z112" s="94">
        <v>-32.799999999999997</v>
      </c>
      <c r="AA112" s="94">
        <v>-23.1</v>
      </c>
      <c r="AB112" s="94">
        <v>-15</v>
      </c>
      <c r="AC112" s="94">
        <v>-15</v>
      </c>
      <c r="AD112" s="94">
        <v>3.8</v>
      </c>
      <c r="AE112" s="94">
        <v>24</v>
      </c>
      <c r="AF112" s="94">
        <v>30</v>
      </c>
      <c r="AG112" s="108"/>
      <c r="AH112" s="48">
        <f t="shared" si="9"/>
        <v>42</v>
      </c>
      <c r="AI112" s="49">
        <f t="shared" si="10"/>
        <v>-42.2</v>
      </c>
    </row>
    <row r="113" spans="1:37" ht="15.75" thickBot="1" x14ac:dyDescent="0.3">
      <c r="A113" s="109" t="s">
        <v>118</v>
      </c>
      <c r="B113" s="94">
        <v>20</v>
      </c>
      <c r="C113" s="94">
        <v>23.4</v>
      </c>
      <c r="D113" s="94">
        <v>25.3</v>
      </c>
      <c r="E113" s="94">
        <v>31.1</v>
      </c>
      <c r="F113" s="94">
        <v>19.100000000000001</v>
      </c>
      <c r="G113" s="94">
        <v>21.2</v>
      </c>
      <c r="H113" s="94">
        <v>17</v>
      </c>
      <c r="I113" s="94">
        <v>15.6</v>
      </c>
      <c r="J113" s="94">
        <v>26.8</v>
      </c>
      <c r="K113" s="94">
        <v>10.8</v>
      </c>
      <c r="L113" s="94">
        <v>33.74</v>
      </c>
      <c r="M113" s="94">
        <v>-25.3</v>
      </c>
      <c r="N113" s="94">
        <v>-17.7</v>
      </c>
      <c r="O113" s="94">
        <v>-13.2</v>
      </c>
      <c r="P113" s="94">
        <v>0</v>
      </c>
      <c r="Q113" s="94">
        <v>23.8</v>
      </c>
      <c r="R113" s="94">
        <v>21.5</v>
      </c>
      <c r="S113" s="94">
        <v>14.6</v>
      </c>
      <c r="T113" s="94">
        <v>9.6</v>
      </c>
      <c r="U113" s="94">
        <v>10.8</v>
      </c>
      <c r="V113" s="94">
        <v>0</v>
      </c>
      <c r="W113" s="94">
        <v>-10.9</v>
      </c>
      <c r="X113" s="94">
        <v>-35</v>
      </c>
      <c r="Y113" s="94">
        <v>-39.200000000000003</v>
      </c>
      <c r="Z113" s="94">
        <v>-34.700000000000003</v>
      </c>
      <c r="AA113" s="94">
        <v>-29.3</v>
      </c>
      <c r="AB113" s="94">
        <v>-20</v>
      </c>
      <c r="AC113" s="94">
        <v>-20</v>
      </c>
      <c r="AD113" s="94">
        <v>-13.7</v>
      </c>
      <c r="AE113" s="94">
        <v>-21</v>
      </c>
      <c r="AF113" s="94">
        <v>6.3</v>
      </c>
      <c r="AG113" s="108"/>
      <c r="AH113" s="48">
        <f t="shared" si="9"/>
        <v>33.74</v>
      </c>
      <c r="AI113" s="49">
        <f t="shared" si="10"/>
        <v>-39.200000000000003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17">SUM(B115:B219)</f>
        <v>0</v>
      </c>
      <c r="C220" s="125">
        <f t="shared" si="17"/>
        <v>0</v>
      </c>
      <c r="D220" s="125">
        <f t="shared" si="17"/>
        <v>0</v>
      </c>
      <c r="E220" s="125">
        <f t="shared" si="17"/>
        <v>0</v>
      </c>
      <c r="F220" s="125">
        <f t="shared" si="17"/>
        <v>0</v>
      </c>
      <c r="G220" s="125">
        <f t="shared" si="17"/>
        <v>0</v>
      </c>
      <c r="H220" s="125">
        <f t="shared" si="17"/>
        <v>0</v>
      </c>
      <c r="I220" s="125">
        <f t="shared" si="17"/>
        <v>0</v>
      </c>
      <c r="J220" s="125">
        <f t="shared" si="17"/>
        <v>0</v>
      </c>
      <c r="K220" s="125">
        <f t="shared" si="17"/>
        <v>0</v>
      </c>
      <c r="L220" s="125">
        <f t="shared" si="17"/>
        <v>0</v>
      </c>
      <c r="M220" s="125">
        <f t="shared" si="17"/>
        <v>0</v>
      </c>
      <c r="N220" s="125">
        <f t="shared" si="17"/>
        <v>0</v>
      </c>
      <c r="O220" s="125">
        <f t="shared" si="17"/>
        <v>0</v>
      </c>
      <c r="P220" s="125">
        <f t="shared" si="17"/>
        <v>0</v>
      </c>
      <c r="Q220" s="125">
        <f t="shared" si="17"/>
        <v>0</v>
      </c>
      <c r="R220" s="125">
        <f t="shared" si="17"/>
        <v>0</v>
      </c>
      <c r="S220" s="125">
        <f t="shared" si="17"/>
        <v>0</v>
      </c>
      <c r="T220" s="125">
        <f t="shared" si="17"/>
        <v>0</v>
      </c>
      <c r="U220" s="125">
        <f t="shared" si="17"/>
        <v>0</v>
      </c>
      <c r="V220" s="125">
        <f t="shared" si="17"/>
        <v>0</v>
      </c>
      <c r="W220" s="125">
        <f t="shared" si="17"/>
        <v>0</v>
      </c>
      <c r="X220" s="125">
        <f t="shared" si="17"/>
        <v>0</v>
      </c>
      <c r="Y220" s="125">
        <f t="shared" si="17"/>
        <v>0</v>
      </c>
      <c r="Z220" s="125">
        <f t="shared" si="17"/>
        <v>0</v>
      </c>
      <c r="AA220" s="125">
        <f t="shared" si="17"/>
        <v>0</v>
      </c>
      <c r="AB220" s="125">
        <f t="shared" si="17"/>
        <v>0</v>
      </c>
      <c r="AC220" s="125">
        <f t="shared" si="17"/>
        <v>0</v>
      </c>
      <c r="AD220" s="125">
        <f t="shared" si="17"/>
        <v>0</v>
      </c>
      <c r="AE220" s="125">
        <f t="shared" si="17"/>
        <v>0</v>
      </c>
      <c r="AF220" s="126">
        <f t="shared" si="17"/>
        <v>0</v>
      </c>
      <c r="AG220" s="127">
        <f t="shared" si="17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18">AF222</f>
        <v>0</v>
      </c>
      <c r="C222" s="129">
        <v>0.3</v>
      </c>
      <c r="D222" s="129">
        <f t="shared" ref="D222:P227" si="19">C222</f>
        <v>0.3</v>
      </c>
      <c r="E222" s="129">
        <f t="shared" si="19"/>
        <v>0.3</v>
      </c>
      <c r="F222" s="129">
        <f t="shared" si="19"/>
        <v>0.3</v>
      </c>
      <c r="G222" s="129">
        <f t="shared" si="19"/>
        <v>0.3</v>
      </c>
      <c r="H222" s="129">
        <f t="shared" si="19"/>
        <v>0.3</v>
      </c>
      <c r="I222" s="129">
        <f t="shared" si="19"/>
        <v>0.3</v>
      </c>
      <c r="J222" s="129">
        <f t="shared" si="19"/>
        <v>0.3</v>
      </c>
      <c r="K222" s="129">
        <f t="shared" si="19"/>
        <v>0.3</v>
      </c>
      <c r="L222" s="129">
        <f t="shared" si="19"/>
        <v>0.3</v>
      </c>
      <c r="M222" s="129">
        <f t="shared" si="19"/>
        <v>0.3</v>
      </c>
      <c r="N222" s="129">
        <f t="shared" si="19"/>
        <v>0.3</v>
      </c>
      <c r="O222" s="129">
        <f t="shared" si="19"/>
        <v>0.3</v>
      </c>
      <c r="P222" s="129">
        <f t="shared" si="19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18"/>
        <v>0</v>
      </c>
      <c r="C223" s="117">
        <v>0.4</v>
      </c>
      <c r="D223" s="117">
        <f t="shared" si="19"/>
        <v>0.4</v>
      </c>
      <c r="E223" s="117">
        <f t="shared" si="19"/>
        <v>0.4</v>
      </c>
      <c r="F223" s="117">
        <f t="shared" si="19"/>
        <v>0.4</v>
      </c>
      <c r="G223" s="117">
        <f t="shared" si="19"/>
        <v>0.4</v>
      </c>
      <c r="H223" s="117">
        <f t="shared" si="19"/>
        <v>0.4</v>
      </c>
      <c r="I223" s="117">
        <f t="shared" si="19"/>
        <v>0.4</v>
      </c>
      <c r="J223" s="117">
        <f t="shared" si="19"/>
        <v>0.4</v>
      </c>
      <c r="K223" s="117">
        <f t="shared" si="19"/>
        <v>0.4</v>
      </c>
      <c r="L223" s="117">
        <f t="shared" si="19"/>
        <v>0.4</v>
      </c>
      <c r="M223" s="117">
        <f t="shared" si="19"/>
        <v>0.4</v>
      </c>
      <c r="N223" s="117">
        <f t="shared" si="19"/>
        <v>0.4</v>
      </c>
      <c r="O223" s="117">
        <f t="shared" si="19"/>
        <v>0.4</v>
      </c>
      <c r="P223" s="117">
        <f t="shared" si="19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18"/>
        <v>0</v>
      </c>
      <c r="C224" s="117">
        <v>1.5</v>
      </c>
      <c r="D224" s="117">
        <f t="shared" si="19"/>
        <v>1.5</v>
      </c>
      <c r="E224" s="117">
        <f t="shared" si="19"/>
        <v>1.5</v>
      </c>
      <c r="F224" s="117">
        <f t="shared" si="19"/>
        <v>1.5</v>
      </c>
      <c r="G224" s="117">
        <f t="shared" si="19"/>
        <v>1.5</v>
      </c>
      <c r="H224" s="117">
        <f t="shared" si="19"/>
        <v>1.5</v>
      </c>
      <c r="I224" s="100">
        <f t="shared" ref="I224" ca="1" si="20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19"/>
        <v>1.5</v>
      </c>
      <c r="K224" s="117">
        <f t="shared" ca="1" si="19"/>
        <v>1.5</v>
      </c>
      <c r="L224" s="117">
        <f t="shared" ca="1" si="19"/>
        <v>1.5</v>
      </c>
      <c r="M224" s="117">
        <f t="shared" ca="1" si="19"/>
        <v>1.5</v>
      </c>
      <c r="N224" s="117">
        <f t="shared" ca="1" si="19"/>
        <v>1.5</v>
      </c>
      <c r="O224" s="117">
        <f t="shared" ca="1" si="19"/>
        <v>1.5</v>
      </c>
      <c r="P224" s="117">
        <f t="shared" ca="1" si="19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18"/>
        <v>0</v>
      </c>
      <c r="C225" s="117">
        <v>0.3</v>
      </c>
      <c r="D225" s="117">
        <f t="shared" si="19"/>
        <v>0.3</v>
      </c>
      <c r="E225" s="117">
        <f t="shared" si="19"/>
        <v>0.3</v>
      </c>
      <c r="F225" s="117">
        <f t="shared" si="19"/>
        <v>0.3</v>
      </c>
      <c r="G225" s="117">
        <f t="shared" si="19"/>
        <v>0.3</v>
      </c>
      <c r="H225" s="117">
        <f t="shared" si="19"/>
        <v>0.3</v>
      </c>
      <c r="I225" s="117">
        <f t="shared" si="19"/>
        <v>0.3</v>
      </c>
      <c r="J225" s="117">
        <f t="shared" si="19"/>
        <v>0.3</v>
      </c>
      <c r="K225" s="117">
        <f t="shared" si="19"/>
        <v>0.3</v>
      </c>
      <c r="L225" s="117">
        <f t="shared" si="19"/>
        <v>0.3</v>
      </c>
      <c r="M225" s="117">
        <f t="shared" si="19"/>
        <v>0.3</v>
      </c>
      <c r="N225" s="117">
        <f t="shared" si="19"/>
        <v>0.3</v>
      </c>
      <c r="O225" s="117">
        <f t="shared" si="19"/>
        <v>0.3</v>
      </c>
      <c r="P225" s="117">
        <f t="shared" si="19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18"/>
        <v>0</v>
      </c>
      <c r="C226" s="117">
        <v>0.4</v>
      </c>
      <c r="D226" s="117">
        <f t="shared" si="19"/>
        <v>0.4</v>
      </c>
      <c r="E226" s="117">
        <f t="shared" si="19"/>
        <v>0.4</v>
      </c>
      <c r="F226" s="117">
        <f t="shared" si="19"/>
        <v>0.4</v>
      </c>
      <c r="G226" s="117">
        <f t="shared" si="19"/>
        <v>0.4</v>
      </c>
      <c r="H226" s="117">
        <f t="shared" si="19"/>
        <v>0.4</v>
      </c>
      <c r="I226" s="117">
        <f t="shared" si="19"/>
        <v>0.4</v>
      </c>
      <c r="J226" s="117">
        <f t="shared" si="19"/>
        <v>0.4</v>
      </c>
      <c r="K226" s="117">
        <f t="shared" si="19"/>
        <v>0.4</v>
      </c>
      <c r="L226" s="117">
        <f t="shared" si="19"/>
        <v>0.4</v>
      </c>
      <c r="M226" s="117">
        <f t="shared" si="19"/>
        <v>0.4</v>
      </c>
      <c r="N226" s="117">
        <f t="shared" si="19"/>
        <v>0.4</v>
      </c>
      <c r="O226" s="117">
        <f t="shared" si="19"/>
        <v>0.4</v>
      </c>
      <c r="P226" s="117">
        <f t="shared" si="19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18"/>
        <v>0</v>
      </c>
      <c r="C227" s="121">
        <v>0.64</v>
      </c>
      <c r="D227" s="121">
        <f t="shared" si="19"/>
        <v>0.64</v>
      </c>
      <c r="E227" s="121">
        <f t="shared" si="19"/>
        <v>0.64</v>
      </c>
      <c r="F227" s="121">
        <f t="shared" si="19"/>
        <v>0.64</v>
      </c>
      <c r="G227" s="121">
        <f t="shared" si="19"/>
        <v>0.64</v>
      </c>
      <c r="H227" s="121">
        <f t="shared" si="19"/>
        <v>0.64</v>
      </c>
      <c r="I227" s="121">
        <f t="shared" si="19"/>
        <v>0.64</v>
      </c>
      <c r="J227" s="121">
        <f t="shared" si="19"/>
        <v>0.64</v>
      </c>
      <c r="K227" s="121">
        <f t="shared" si="19"/>
        <v>0.64</v>
      </c>
      <c r="L227" s="121">
        <f t="shared" si="19"/>
        <v>0.64</v>
      </c>
      <c r="M227" s="121">
        <f t="shared" si="19"/>
        <v>0.64</v>
      </c>
      <c r="N227" s="121">
        <f t="shared" si="19"/>
        <v>0.64</v>
      </c>
      <c r="O227" s="121">
        <f t="shared" si="19"/>
        <v>0.64</v>
      </c>
      <c r="P227" s="121">
        <f t="shared" si="19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1">SUM(B222:B227)</f>
        <v>0</v>
      </c>
      <c r="C228" s="125">
        <f t="shared" si="21"/>
        <v>3.54</v>
      </c>
      <c r="D228" s="125">
        <f t="shared" si="21"/>
        <v>3.54</v>
      </c>
      <c r="E228" s="125">
        <f t="shared" si="21"/>
        <v>3.54</v>
      </c>
      <c r="F228" s="125">
        <f t="shared" si="21"/>
        <v>3.54</v>
      </c>
      <c r="G228" s="125">
        <f t="shared" si="21"/>
        <v>3.54</v>
      </c>
      <c r="H228" s="125">
        <f t="shared" si="21"/>
        <v>3.54</v>
      </c>
      <c r="I228" s="125">
        <f t="shared" ca="1" si="21"/>
        <v>3.54</v>
      </c>
      <c r="J228" s="125">
        <f t="shared" ca="1" si="21"/>
        <v>3.54</v>
      </c>
      <c r="K228" s="125">
        <f t="shared" ca="1" si="21"/>
        <v>3.54</v>
      </c>
      <c r="L228" s="125">
        <f t="shared" ca="1" si="21"/>
        <v>3.54</v>
      </c>
      <c r="M228" s="125">
        <f t="shared" ca="1" si="21"/>
        <v>3.54</v>
      </c>
      <c r="N228" s="125">
        <f t="shared" ca="1" si="21"/>
        <v>3.54</v>
      </c>
      <c r="O228" s="125">
        <f t="shared" ca="1" si="21"/>
        <v>3.54</v>
      </c>
      <c r="P228" s="125">
        <f t="shared" ca="1" si="21"/>
        <v>3.54</v>
      </c>
      <c r="Q228" s="125">
        <f t="shared" si="21"/>
        <v>0</v>
      </c>
      <c r="R228" s="125">
        <f t="shared" si="21"/>
        <v>0</v>
      </c>
      <c r="S228" s="125">
        <f t="shared" si="21"/>
        <v>0</v>
      </c>
      <c r="T228" s="125">
        <f t="shared" si="21"/>
        <v>0</v>
      </c>
      <c r="U228" s="125">
        <f t="shared" si="21"/>
        <v>0</v>
      </c>
      <c r="V228" s="125">
        <f t="shared" si="21"/>
        <v>0</v>
      </c>
      <c r="W228" s="125">
        <f t="shared" si="21"/>
        <v>0</v>
      </c>
      <c r="X228" s="125">
        <f t="shared" si="21"/>
        <v>0</v>
      </c>
      <c r="Y228" s="125">
        <f t="shared" si="21"/>
        <v>0</v>
      </c>
      <c r="Z228" s="125">
        <f t="shared" si="21"/>
        <v>0</v>
      </c>
      <c r="AA228" s="125">
        <f t="shared" si="21"/>
        <v>0</v>
      </c>
      <c r="AB228" s="125">
        <f t="shared" si="21"/>
        <v>0</v>
      </c>
      <c r="AC228" s="125">
        <f t="shared" si="21"/>
        <v>0</v>
      </c>
      <c r="AD228" s="125">
        <f t="shared" si="21"/>
        <v>0</v>
      </c>
      <c r="AE228" s="125">
        <f t="shared" si="21"/>
        <v>0</v>
      </c>
      <c r="AF228" s="125">
        <f t="shared" si="21"/>
        <v>0</v>
      </c>
      <c r="AG228" s="134">
        <f t="shared" si="21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1658.44</v>
      </c>
      <c r="C237" s="150">
        <f>INDEX(G9:N9,1,MATCH(MAX(G85:N85),G85:N85,0))</f>
        <v>0.375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27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2079/09/27)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2079/09/27)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2">B85</f>
        <v>1049.7399999999998</v>
      </c>
      <c r="U242" s="159">
        <f t="shared" si="22"/>
        <v>1067.8399999999999</v>
      </c>
      <c r="V242" s="159">
        <f t="shared" si="22"/>
        <v>1027.6399999999999</v>
      </c>
      <c r="W242" s="159">
        <f t="shared" si="22"/>
        <v>1012.34</v>
      </c>
      <c r="X242" s="159">
        <f t="shared" si="22"/>
        <v>1046.54</v>
      </c>
      <c r="Y242" s="159">
        <f t="shared" si="22"/>
        <v>1079.74</v>
      </c>
      <c r="Z242" s="159">
        <f t="shared" si="22"/>
        <v>1131.8399999999999</v>
      </c>
      <c r="AA242" s="159">
        <f t="shared" si="22"/>
        <v>1260.44</v>
      </c>
      <c r="AB242" s="159">
        <f t="shared" si="22"/>
        <v>1304.3399999999999</v>
      </c>
      <c r="AC242" s="159">
        <f t="shared" si="22"/>
        <v>1542.84</v>
      </c>
      <c r="AD242" s="159">
        <f t="shared" si="22"/>
        <v>1605.54</v>
      </c>
      <c r="AE242" s="159">
        <f t="shared" si="22"/>
        <v>1641.24</v>
      </c>
      <c r="AF242" s="159">
        <f t="shared" si="22"/>
        <v>1658.44</v>
      </c>
      <c r="AG242" s="159">
        <f t="shared" si="22"/>
        <v>1589.24</v>
      </c>
      <c r="AH242" s="159">
        <f t="shared" si="22"/>
        <v>1553.94</v>
      </c>
      <c r="AI242" s="159">
        <f t="shared" si="22"/>
        <v>1486.54</v>
      </c>
      <c r="AJ242" s="159">
        <f t="shared" si="22"/>
        <v>1447.14</v>
      </c>
      <c r="AK242" s="159">
        <f t="shared" si="22"/>
        <v>1408.54</v>
      </c>
      <c r="AL242" s="159">
        <f t="shared" si="22"/>
        <v>1423.34</v>
      </c>
      <c r="AM242" s="159">
        <f t="shared" si="22"/>
        <v>1361.3400000000001</v>
      </c>
      <c r="AN242" s="159">
        <f t="shared" si="22"/>
        <v>1437.1399999999999</v>
      </c>
      <c r="AO242" s="159">
        <f t="shared" si="22"/>
        <v>1515.7400000000002</v>
      </c>
      <c r="AP242" s="159">
        <f t="shared" si="22"/>
        <v>1779.24</v>
      </c>
      <c r="AQ242" s="159">
        <f t="shared" si="22"/>
        <v>1759.64</v>
      </c>
      <c r="AR242" s="159">
        <f t="shared" si="22"/>
        <v>1728.44</v>
      </c>
      <c r="AS242" s="159">
        <f t="shared" si="22"/>
        <v>1699.04</v>
      </c>
      <c r="AT242" s="159">
        <f t="shared" si="22"/>
        <v>1625.94</v>
      </c>
      <c r="AU242" s="159">
        <f t="shared" si="22"/>
        <v>1542.24</v>
      </c>
      <c r="AV242" s="159">
        <f t="shared" si="22"/>
        <v>1434.64</v>
      </c>
      <c r="AW242" s="159">
        <f t="shared" si="22"/>
        <v>1108.8400000000001</v>
      </c>
      <c r="AX242" s="159">
        <f t="shared" si="22"/>
        <v>1131.8400000000001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3">C227</f>
        <v>0.64</v>
      </c>
      <c r="C263" s="162">
        <f t="shared" si="23"/>
        <v>0.64</v>
      </c>
      <c r="D263" s="162">
        <f t="shared" si="23"/>
        <v>0.64</v>
      </c>
      <c r="E263" s="162">
        <f t="shared" si="23"/>
        <v>0.64</v>
      </c>
      <c r="F263" s="162">
        <f t="shared" si="23"/>
        <v>0.64</v>
      </c>
      <c r="G263" s="162">
        <f t="shared" si="23"/>
        <v>0.64</v>
      </c>
      <c r="H263" s="162">
        <f t="shared" si="23"/>
        <v>0.64</v>
      </c>
      <c r="I263" s="162">
        <f t="shared" si="23"/>
        <v>0.64</v>
      </c>
      <c r="J263" s="162">
        <f t="shared" si="23"/>
        <v>0.64</v>
      </c>
      <c r="K263" s="162">
        <f t="shared" si="23"/>
        <v>0.64</v>
      </c>
      <c r="L263" s="162">
        <f t="shared" si="23"/>
        <v>0.64</v>
      </c>
      <c r="M263" s="162">
        <f t="shared" si="23"/>
        <v>0.64</v>
      </c>
      <c r="N263" s="162">
        <f t="shared" si="23"/>
        <v>0.64</v>
      </c>
      <c r="O263" s="162">
        <f t="shared" si="23"/>
        <v>0.64</v>
      </c>
      <c r="P263" s="162">
        <f t="shared" si="23"/>
        <v>0</v>
      </c>
      <c r="Q263" s="162">
        <f t="shared" si="23"/>
        <v>0</v>
      </c>
      <c r="R263" s="162">
        <f t="shared" si="23"/>
        <v>0</v>
      </c>
      <c r="S263" s="162">
        <f t="shared" si="23"/>
        <v>0</v>
      </c>
      <c r="T263" s="162">
        <f t="shared" si="23"/>
        <v>0</v>
      </c>
      <c r="U263" s="162">
        <f t="shared" si="23"/>
        <v>0</v>
      </c>
      <c r="V263" s="162">
        <f t="shared" si="23"/>
        <v>0</v>
      </c>
      <c r="W263" s="162">
        <f t="shared" si="23"/>
        <v>0</v>
      </c>
      <c r="X263" s="162">
        <f t="shared" si="23"/>
        <v>0</v>
      </c>
      <c r="Y263" s="162">
        <f t="shared" si="23"/>
        <v>0</v>
      </c>
      <c r="Z263" s="162">
        <f t="shared" si="23"/>
        <v>0</v>
      </c>
      <c r="AA263" s="162">
        <f t="shared" si="23"/>
        <v>0</v>
      </c>
      <c r="AB263" s="162">
        <f t="shared" si="23"/>
        <v>0</v>
      </c>
      <c r="AC263" s="162">
        <f t="shared" si="23"/>
        <v>0</v>
      </c>
      <c r="AD263" s="162">
        <f t="shared" si="23"/>
        <v>0</v>
      </c>
      <c r="AE263" s="162">
        <f t="shared" si="23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4">IF(B231&lt;100,"",B231-520)</f>
        <v/>
      </c>
      <c r="C264" s="163" t="str">
        <f t="shared" si="24"/>
        <v/>
      </c>
      <c r="D264" s="163" t="str">
        <f t="shared" si="24"/>
        <v/>
      </c>
      <c r="E264" s="163" t="str">
        <f t="shared" si="24"/>
        <v/>
      </c>
      <c r="F264" s="163" t="str">
        <f t="shared" si="24"/>
        <v/>
      </c>
      <c r="G264" s="163" t="str">
        <f t="shared" si="24"/>
        <v/>
      </c>
      <c r="H264" s="163" t="str">
        <f t="shared" si="24"/>
        <v/>
      </c>
      <c r="I264" s="163" t="str">
        <f t="shared" si="24"/>
        <v/>
      </c>
      <c r="J264" s="163" t="str">
        <f t="shared" si="24"/>
        <v/>
      </c>
      <c r="K264" s="163" t="str">
        <f t="shared" si="24"/>
        <v/>
      </c>
      <c r="L264" s="163" t="str">
        <f t="shared" si="24"/>
        <v/>
      </c>
      <c r="M264" s="163" t="str">
        <f t="shared" si="24"/>
        <v/>
      </c>
      <c r="N264" s="163" t="str">
        <f t="shared" si="24"/>
        <v/>
      </c>
      <c r="O264" s="163" t="str">
        <f t="shared" si="24"/>
        <v/>
      </c>
      <c r="P264" s="163" t="str">
        <f t="shared" si="24"/>
        <v/>
      </c>
      <c r="Q264" s="163" t="str">
        <f t="shared" si="24"/>
        <v/>
      </c>
      <c r="R264" s="163" t="str">
        <f t="shared" si="24"/>
        <v/>
      </c>
      <c r="S264" s="163" t="str">
        <f t="shared" si="24"/>
        <v/>
      </c>
      <c r="T264" s="163" t="str">
        <f t="shared" si="24"/>
        <v/>
      </c>
      <c r="U264" s="163" t="str">
        <f t="shared" si="24"/>
        <v/>
      </c>
      <c r="V264" s="163" t="str">
        <f t="shared" si="24"/>
        <v/>
      </c>
      <c r="W264" s="163" t="str">
        <f t="shared" si="24"/>
        <v/>
      </c>
      <c r="X264" s="163" t="str">
        <f t="shared" si="24"/>
        <v/>
      </c>
      <c r="Y264" s="163" t="str">
        <f t="shared" si="24"/>
        <v/>
      </c>
      <c r="Z264" s="163" t="str">
        <f t="shared" si="24"/>
        <v/>
      </c>
      <c r="AA264" s="163" t="str">
        <f t="shared" si="24"/>
        <v/>
      </c>
      <c r="AB264" s="163" t="str">
        <f t="shared" si="24"/>
        <v/>
      </c>
      <c r="AC264" s="163" t="str">
        <f t="shared" si="24"/>
        <v/>
      </c>
      <c r="AD264" s="163" t="str">
        <f t="shared" si="24"/>
        <v/>
      </c>
      <c r="AE264" s="163" t="str">
        <f t="shared" si="24"/>
        <v/>
      </c>
      <c r="AF264" s="163" t="str">
        <f t="shared" si="24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5">IF(B232&lt;100,"",B232-620)</f>
        <v/>
      </c>
      <c r="C265" s="163" t="str">
        <f t="shared" si="25"/>
        <v/>
      </c>
      <c r="D265" s="163" t="str">
        <f t="shared" si="25"/>
        <v/>
      </c>
      <c r="E265" s="163" t="str">
        <f t="shared" si="25"/>
        <v/>
      </c>
      <c r="F265" s="163" t="str">
        <f t="shared" si="25"/>
        <v/>
      </c>
      <c r="G265" s="163" t="str">
        <f t="shared" si="25"/>
        <v/>
      </c>
      <c r="H265" s="163" t="str">
        <f t="shared" si="25"/>
        <v/>
      </c>
      <c r="I265" s="163" t="str">
        <f t="shared" si="25"/>
        <v/>
      </c>
      <c r="J265" s="163" t="str">
        <f t="shared" si="25"/>
        <v/>
      </c>
      <c r="K265" s="163" t="str">
        <f t="shared" si="25"/>
        <v/>
      </c>
      <c r="L265" s="163" t="str">
        <f t="shared" si="25"/>
        <v/>
      </c>
      <c r="M265" s="163" t="str">
        <f t="shared" si="25"/>
        <v/>
      </c>
      <c r="N265" s="163" t="str">
        <f t="shared" si="25"/>
        <v/>
      </c>
      <c r="O265" s="163" t="str">
        <f t="shared" si="25"/>
        <v/>
      </c>
      <c r="P265" s="163" t="str">
        <f t="shared" si="25"/>
        <v/>
      </c>
      <c r="Q265" s="163" t="str">
        <f t="shared" si="25"/>
        <v/>
      </c>
      <c r="R265" s="163" t="str">
        <f t="shared" si="25"/>
        <v/>
      </c>
      <c r="S265" s="163" t="str">
        <f t="shared" si="25"/>
        <v/>
      </c>
      <c r="T265" s="163" t="str">
        <f t="shared" si="25"/>
        <v/>
      </c>
      <c r="U265" s="163" t="str">
        <f t="shared" si="25"/>
        <v/>
      </c>
      <c r="V265" s="163" t="str">
        <f t="shared" si="25"/>
        <v/>
      </c>
      <c r="W265" s="163" t="str">
        <f t="shared" si="25"/>
        <v/>
      </c>
      <c r="X265" s="163" t="str">
        <f t="shared" si="25"/>
        <v/>
      </c>
      <c r="Y265" s="163" t="str">
        <f t="shared" si="25"/>
        <v/>
      </c>
      <c r="Z265" s="163" t="str">
        <f t="shared" si="25"/>
        <v/>
      </c>
      <c r="AA265" s="163" t="str">
        <f t="shared" si="25"/>
        <v/>
      </c>
      <c r="AB265" s="163" t="str">
        <f t="shared" si="25"/>
        <v/>
      </c>
      <c r="AC265" s="163" t="str">
        <f t="shared" si="25"/>
        <v/>
      </c>
      <c r="AD265" s="163" t="str">
        <f t="shared" si="25"/>
        <v/>
      </c>
      <c r="AE265" s="163" t="str">
        <f t="shared" si="25"/>
        <v/>
      </c>
      <c r="AF265" s="163" t="str">
        <f t="shared" si="25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26">IF(B233&lt;100,"",B233-330)</f>
        <v/>
      </c>
      <c r="C266" s="163" t="str">
        <f t="shared" si="26"/>
        <v/>
      </c>
      <c r="D266" s="163" t="str">
        <f t="shared" si="26"/>
        <v/>
      </c>
      <c r="E266" s="163" t="str">
        <f t="shared" si="26"/>
        <v/>
      </c>
      <c r="F266" s="163" t="str">
        <f t="shared" si="26"/>
        <v/>
      </c>
      <c r="G266" s="163" t="str">
        <f t="shared" si="26"/>
        <v/>
      </c>
      <c r="H266" s="163" t="str">
        <f t="shared" si="26"/>
        <v/>
      </c>
      <c r="I266" s="163" t="str">
        <f t="shared" si="26"/>
        <v/>
      </c>
      <c r="J266" s="163" t="str">
        <f t="shared" si="26"/>
        <v/>
      </c>
      <c r="K266" s="163" t="str">
        <f t="shared" si="26"/>
        <v/>
      </c>
      <c r="L266" s="163" t="str">
        <f t="shared" si="26"/>
        <v/>
      </c>
      <c r="M266" s="163" t="str">
        <f t="shared" si="26"/>
        <v/>
      </c>
      <c r="N266" s="163" t="str">
        <f t="shared" si="26"/>
        <v/>
      </c>
      <c r="O266" s="163" t="str">
        <f t="shared" si="26"/>
        <v/>
      </c>
      <c r="P266" s="163" t="str">
        <f t="shared" si="26"/>
        <v/>
      </c>
      <c r="Q266" s="163" t="str">
        <f t="shared" si="26"/>
        <v/>
      </c>
      <c r="R266" s="163" t="str">
        <f t="shared" si="26"/>
        <v/>
      </c>
      <c r="S266" s="163" t="str">
        <f t="shared" si="26"/>
        <v/>
      </c>
      <c r="T266" s="163" t="str">
        <f t="shared" si="26"/>
        <v/>
      </c>
      <c r="U266" s="163" t="str">
        <f t="shared" si="26"/>
        <v/>
      </c>
      <c r="V266" s="163" t="str">
        <f t="shared" si="26"/>
        <v/>
      </c>
      <c r="W266" s="163" t="str">
        <f t="shared" si="26"/>
        <v/>
      </c>
      <c r="X266" s="163" t="str">
        <f t="shared" si="26"/>
        <v/>
      </c>
      <c r="Y266" s="163" t="str">
        <f t="shared" si="26"/>
        <v/>
      </c>
      <c r="Z266" s="163" t="str">
        <f t="shared" si="26"/>
        <v/>
      </c>
      <c r="AA266" s="163" t="str">
        <f t="shared" si="26"/>
        <v/>
      </c>
      <c r="AB266" s="163" t="str">
        <f t="shared" si="26"/>
        <v/>
      </c>
      <c r="AC266" s="163" t="str">
        <f t="shared" si="26"/>
        <v/>
      </c>
      <c r="AD266" s="163" t="str">
        <f t="shared" si="26"/>
        <v/>
      </c>
      <c r="AE266" s="163" t="str">
        <f t="shared" si="26"/>
        <v/>
      </c>
      <c r="AF266" s="163" t="str">
        <f t="shared" si="26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27">IF(B234&lt;100,"",B234-1500)</f>
        <v/>
      </c>
      <c r="C267" s="163" t="str">
        <f t="shared" si="27"/>
        <v/>
      </c>
      <c r="D267" s="163" t="str">
        <f t="shared" si="27"/>
        <v/>
      </c>
      <c r="E267" s="163" t="str">
        <f t="shared" si="27"/>
        <v/>
      </c>
      <c r="F267" s="163" t="str">
        <f t="shared" si="27"/>
        <v/>
      </c>
      <c r="G267" s="163" t="str">
        <f t="shared" si="27"/>
        <v/>
      </c>
      <c r="H267" s="163" t="str">
        <f t="shared" si="27"/>
        <v/>
      </c>
      <c r="I267" s="163" t="str">
        <f t="shared" si="27"/>
        <v/>
      </c>
      <c r="J267" s="163" t="str">
        <f t="shared" si="27"/>
        <v/>
      </c>
      <c r="K267" s="163" t="str">
        <f t="shared" si="27"/>
        <v/>
      </c>
      <c r="L267" s="163" t="str">
        <f t="shared" si="27"/>
        <v/>
      </c>
      <c r="M267" s="163" t="str">
        <f t="shared" si="27"/>
        <v/>
      </c>
      <c r="N267" s="163" t="str">
        <f t="shared" si="27"/>
        <v/>
      </c>
      <c r="O267" s="163" t="str">
        <f t="shared" si="27"/>
        <v/>
      </c>
      <c r="P267" s="163" t="str">
        <f t="shared" si="27"/>
        <v/>
      </c>
      <c r="Q267" s="163" t="str">
        <f t="shared" si="27"/>
        <v/>
      </c>
      <c r="R267" s="163" t="str">
        <f t="shared" si="27"/>
        <v/>
      </c>
      <c r="S267" s="163" t="str">
        <f t="shared" si="27"/>
        <v/>
      </c>
      <c r="T267" s="163" t="str">
        <f t="shared" si="27"/>
        <v/>
      </c>
      <c r="U267" s="163" t="str">
        <f t="shared" si="27"/>
        <v/>
      </c>
      <c r="V267" s="163" t="str">
        <f t="shared" si="27"/>
        <v/>
      </c>
      <c r="W267" s="163" t="str">
        <f t="shared" si="27"/>
        <v/>
      </c>
      <c r="X267" s="163" t="str">
        <f t="shared" si="27"/>
        <v/>
      </c>
      <c r="Y267" s="163" t="str">
        <f t="shared" si="27"/>
        <v/>
      </c>
      <c r="Z267" s="163" t="str">
        <f t="shared" si="27"/>
        <v/>
      </c>
      <c r="AA267" s="163" t="str">
        <f t="shared" si="27"/>
        <v/>
      </c>
      <c r="AB267" s="163" t="str">
        <f t="shared" si="27"/>
        <v/>
      </c>
      <c r="AC267" s="163" t="str">
        <f t="shared" si="27"/>
        <v/>
      </c>
      <c r="AD267" s="163" t="str">
        <f t="shared" si="27"/>
        <v/>
      </c>
      <c r="AE267" s="163" t="str">
        <f t="shared" si="27"/>
        <v/>
      </c>
      <c r="AF267" s="163" t="str">
        <f t="shared" si="27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">
    <cfRule type="expression" dxfId="3727" priority="234">
      <formula>B$9&gt;=20/24</formula>
    </cfRule>
    <cfRule type="expression" dxfId="3726" priority="235">
      <formula>AND(B$9&gt;=14/24,B$9&lt;20/24)</formula>
    </cfRule>
    <cfRule type="expression" dxfId="3725" priority="236">
      <formula>AND(B$9&gt;=8/24,B$9&lt;14/24)</formula>
    </cfRule>
    <cfRule type="expression" dxfId="3724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">
    <cfRule type="expression" dxfId="3723" priority="232">
      <formula>AG61&gt;$AG61</formula>
    </cfRule>
  </conditionalFormatting>
  <conditionalFormatting sqref="A95:A105 A55:A82 A91:A93 A198:A228 A42:A53 A114:A185 A38:A39 A87:A89 A84:A85 A107:A109 A35:A36 A17:A18 A11:A15 A20:A33">
    <cfRule type="expression" dxfId="3722" priority="231">
      <formula>$AH11=0</formula>
    </cfRule>
  </conditionalFormatting>
  <conditionalFormatting sqref="A110">
    <cfRule type="expression" dxfId="3721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3720" priority="228">
      <formula>$AH41=0</formula>
    </cfRule>
  </conditionalFormatting>
  <conditionalFormatting sqref="A94">
    <cfRule type="expression" dxfId="3719" priority="227">
      <formula>$AH94=0</formula>
    </cfRule>
  </conditionalFormatting>
  <conditionalFormatting sqref="A16">
    <cfRule type="expression" dxfId="3718" priority="226">
      <formula>$AH16=0</formula>
    </cfRule>
  </conditionalFormatting>
  <conditionalFormatting sqref="A192:A197">
    <cfRule type="expression" dxfId="3717" priority="225">
      <formula>$AH192=0</formula>
    </cfRule>
  </conditionalFormatting>
  <conditionalFormatting sqref="A186:A191">
    <cfRule type="expression" dxfId="3716" priority="224">
      <formula>$AH186=0</formula>
    </cfRule>
  </conditionalFormatting>
  <conditionalFormatting sqref="A54">
    <cfRule type="expression" dxfId="3715" priority="223">
      <formula>$AH54=0</formula>
    </cfRule>
  </conditionalFormatting>
  <conditionalFormatting sqref="A90">
    <cfRule type="expression" dxfId="3714" priority="222">
      <formula>$AH90=0</formula>
    </cfRule>
  </conditionalFormatting>
  <conditionalFormatting sqref="E95:X95 AD95:AF95">
    <cfRule type="expression" dxfId="3713" priority="218">
      <formula>E$9&gt;=20/24</formula>
    </cfRule>
    <cfRule type="expression" dxfId="3712" priority="219">
      <formula>AND(E$9&gt;=14/24,E$9&lt;20/24)</formula>
    </cfRule>
    <cfRule type="expression" dxfId="3711" priority="220">
      <formula>AND(E$9&gt;=8/24,E$9&lt;14/24)</formula>
    </cfRule>
    <cfRule type="expression" dxfId="3710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709" priority="240">
      <formula>C$9&gt;=20/24</formula>
    </cfRule>
    <cfRule type="expression" dxfId="3708" priority="241">
      <formula>AND(C$9&gt;=14/24,C$9&lt;20/24)</formula>
    </cfRule>
    <cfRule type="expression" dxfId="3707" priority="242">
      <formula>AND(C$9&gt;=8/24,C$9&lt;14/24)</formula>
    </cfRule>
    <cfRule type="expression" dxfId="3706" priority="243">
      <formula>C$9&lt;8/24</formula>
    </cfRule>
  </conditionalFormatting>
  <conditionalFormatting sqref="A229">
    <cfRule type="expression" dxfId="3705" priority="244">
      <formula>$AH229=0</formula>
    </cfRule>
  </conditionalFormatting>
  <conditionalFormatting sqref="AG241">
    <cfRule type="expression" dxfId="3704" priority="245">
      <formula>B$9&gt;=20/24</formula>
    </cfRule>
    <cfRule type="expression" dxfId="3703" priority="246">
      <formula>AND(B$9&gt;=14/24,B$9&lt;20/24)</formula>
    </cfRule>
    <cfRule type="expression" dxfId="3702" priority="247">
      <formula>AND(B$9&gt;=8/24,B$9&lt;14/24)</formula>
    </cfRule>
    <cfRule type="expression" dxfId="3701" priority="248">
      <formula>B$9&lt;8/24</formula>
    </cfRule>
  </conditionalFormatting>
  <conditionalFormatting sqref="S8">
    <cfRule type="expression" dxfId="3700" priority="213">
      <formula>U$9&gt;=20/24</formula>
    </cfRule>
    <cfRule type="expression" dxfId="3699" priority="214">
      <formula>AND(U$9&gt;=14/24,U$9&lt;20/24)</formula>
    </cfRule>
    <cfRule type="expression" dxfId="3698" priority="215">
      <formula>AND(U$9&gt;=8/24,U$9&lt;14/24)</formula>
    </cfRule>
    <cfRule type="expression" dxfId="3697" priority="216">
      <formula>U$9&lt;8/24</formula>
    </cfRule>
  </conditionalFormatting>
  <conditionalFormatting sqref="AB8">
    <cfRule type="expression" dxfId="3696" priority="209">
      <formula>AD$9&gt;=20/24</formula>
    </cfRule>
    <cfRule type="expression" dxfId="3695" priority="210">
      <formula>AND(AD$9&gt;=14/24,AD$9&lt;20/24)</formula>
    </cfRule>
    <cfRule type="expression" dxfId="3694" priority="211">
      <formula>AND(AD$9&gt;=8/24,AD$9&lt;14/24)</formula>
    </cfRule>
    <cfRule type="expression" dxfId="3693" priority="212">
      <formula>AD$9&lt;8/24</formula>
    </cfRule>
  </conditionalFormatting>
  <conditionalFormatting sqref="AH241:AX241">
    <cfRule type="expression" dxfId="3692" priority="249">
      <formula>AG$9&gt;=20/24</formula>
    </cfRule>
    <cfRule type="expression" dxfId="3691" priority="250">
      <formula>AND(AG$9&gt;=14/24,AG$9&lt;20/24)</formula>
    </cfRule>
    <cfRule type="expression" dxfId="3690" priority="251">
      <formula>AND(AG$9&gt;=8/24,AG$9&lt;14/24)</formula>
    </cfRule>
    <cfRule type="expression" dxfId="3689" priority="252">
      <formula>AG$9&lt;8/24</formula>
    </cfRule>
  </conditionalFormatting>
  <conditionalFormatting sqref="T241">
    <cfRule type="expression" dxfId="3688" priority="253">
      <formula>AX$9&gt;=20/24</formula>
    </cfRule>
    <cfRule type="expression" dxfId="3687" priority="254">
      <formula>AND(AX$9&gt;=14/24,AX$9&lt;20/24)</formula>
    </cfRule>
    <cfRule type="expression" dxfId="3686" priority="255">
      <formula>AND(AX$9&gt;=8/24,AX$9&lt;14/24)</formula>
    </cfRule>
    <cfRule type="expression" dxfId="3685" priority="256">
      <formula>AX$9&lt;8/24</formula>
    </cfRule>
  </conditionalFormatting>
  <conditionalFormatting sqref="A111:A112">
    <cfRule type="expression" dxfId="3684" priority="208">
      <formula>$AH111=0</formula>
    </cfRule>
  </conditionalFormatting>
  <conditionalFormatting sqref="M50:Q54 X52:AA53 AB50:AF53 E67:AF67">
    <cfRule type="expression" dxfId="3683" priority="204">
      <formula>E$9&gt;=20/24</formula>
    </cfRule>
    <cfRule type="expression" dxfId="3682" priority="205">
      <formula>AND(E$9&gt;=14/24,E$9&lt;20/24)</formula>
    </cfRule>
    <cfRule type="expression" dxfId="3681" priority="206">
      <formula>AND(E$9&gt;=8/24,E$9&lt;14/24)</formula>
    </cfRule>
    <cfRule type="expression" dxfId="3680" priority="207">
      <formula>E$9&lt;8/24</formula>
    </cfRule>
  </conditionalFormatting>
  <conditionalFormatting sqref="M49:Q49 AB49:AF49">
    <cfRule type="expression" dxfId="3679" priority="200">
      <formula>M$9&gt;=20/24</formula>
    </cfRule>
    <cfRule type="expression" dxfId="3678" priority="201">
      <formula>AND(M$9&gt;=14/24,M$9&lt;20/24)</formula>
    </cfRule>
    <cfRule type="expression" dxfId="3677" priority="202">
      <formula>AND(M$9&gt;=8/24,M$9&lt;14/24)</formula>
    </cfRule>
    <cfRule type="expression" dxfId="3676" priority="203">
      <formula>M$9&lt;8/24</formula>
    </cfRule>
  </conditionalFormatting>
  <conditionalFormatting sqref="M49:Q54 X52:AA53 AB49:AF53">
    <cfRule type="expression" dxfId="3675" priority="199">
      <formula>M49&gt;$AG49</formula>
    </cfRule>
  </conditionalFormatting>
  <conditionalFormatting sqref="D82:AF82 M96:X102 X43:AF43 X92:AF92 AD96:AF102 Z63:AF65 E68:AF69">
    <cfRule type="expression" dxfId="3674" priority="195">
      <formula>D$9&gt;=20/24</formula>
    </cfRule>
    <cfRule type="expression" dxfId="3673" priority="196">
      <formula>AND(D$9&gt;=14/24,D$9&lt;20/24)</formula>
    </cfRule>
    <cfRule type="expression" dxfId="3672" priority="197">
      <formula>AND(D$9&gt;=8/24,D$9&lt;14/24)</formula>
    </cfRule>
    <cfRule type="expression" dxfId="3671" priority="198">
      <formula>D$9&lt;8/24</formula>
    </cfRule>
  </conditionalFormatting>
  <conditionalFormatting sqref="X43:AF43 Z63:AF65">
    <cfRule type="expression" dxfId="3670" priority="194">
      <formula>X43&gt;$AG43</formula>
    </cfRule>
  </conditionalFormatting>
  <conditionalFormatting sqref="R49:W54 X49:AA51">
    <cfRule type="expression" dxfId="3669" priority="190">
      <formula>R$9&gt;=20/24</formula>
    </cfRule>
    <cfRule type="expression" dxfId="3668" priority="191">
      <formula>AND(R$9&gt;=14/24,R$9&lt;20/24)</formula>
    </cfRule>
    <cfRule type="expression" dxfId="3667" priority="192">
      <formula>AND(R$9&gt;=8/24,R$9&lt;14/24)</formula>
    </cfRule>
    <cfRule type="expression" dxfId="3666" priority="193">
      <formula>R$9&lt;8/24</formula>
    </cfRule>
  </conditionalFormatting>
  <conditionalFormatting sqref="R49:W54 X49:AA51">
    <cfRule type="expression" dxfId="3665" priority="189">
      <formula>R49&gt;$AG49</formula>
    </cfRule>
  </conditionalFormatting>
  <conditionalFormatting sqref="C93:AF93 C84:AF84">
    <cfRule type="expression" dxfId="3664" priority="185">
      <formula>C$9&gt;=20/24</formula>
    </cfRule>
    <cfRule type="expression" dxfId="3663" priority="186">
      <formula>AND(C$9&gt;=14/24,C$9&lt;20/24)</formula>
    </cfRule>
    <cfRule type="expression" dxfId="3662" priority="187">
      <formula>AND(C$9&gt;=8/24,C$9&lt;14/24)</formula>
    </cfRule>
    <cfRule type="expression" dxfId="3661" priority="188">
      <formula>C$9&lt;8/24</formula>
    </cfRule>
  </conditionalFormatting>
  <conditionalFormatting sqref="T43:W43">
    <cfRule type="expression" dxfId="3660" priority="181">
      <formula>T$9&gt;=20/24</formula>
    </cfRule>
    <cfRule type="expression" dxfId="3659" priority="182">
      <formula>AND(T$9&gt;=14/24,T$9&lt;20/24)</formula>
    </cfRule>
    <cfRule type="expression" dxfId="3658" priority="183">
      <formula>AND(T$9&gt;=8/24,T$9&lt;14/24)</formula>
    </cfRule>
    <cfRule type="expression" dxfId="3657" priority="184">
      <formula>T$9&lt;8/24</formula>
    </cfRule>
  </conditionalFormatting>
  <conditionalFormatting sqref="T43:W43">
    <cfRule type="expression" dxfId="3656" priority="180">
      <formula>T43&gt;$AG43</formula>
    </cfRule>
  </conditionalFormatting>
  <conditionalFormatting sqref="E50:L51">
    <cfRule type="expression" dxfId="3655" priority="176">
      <formula>E$9&gt;=20/24</formula>
    </cfRule>
    <cfRule type="expression" dxfId="3654" priority="177">
      <formula>AND(E$9&gt;=14/24,E$9&lt;20/24)</formula>
    </cfRule>
    <cfRule type="expression" dxfId="3653" priority="178">
      <formula>AND(E$9&gt;=8/24,E$9&lt;14/24)</formula>
    </cfRule>
    <cfRule type="expression" dxfId="3652" priority="179">
      <formula>E$9&lt;8/24</formula>
    </cfRule>
  </conditionalFormatting>
  <conditionalFormatting sqref="E49:L49">
    <cfRule type="expression" dxfId="3651" priority="172">
      <formula>E$9&gt;=20/24</formula>
    </cfRule>
    <cfRule type="expression" dxfId="3650" priority="173">
      <formula>AND(E$9&gt;=14/24,E$9&lt;20/24)</formula>
    </cfRule>
    <cfRule type="expression" dxfId="3649" priority="174">
      <formula>AND(E$9&gt;=8/24,E$9&lt;14/24)</formula>
    </cfRule>
    <cfRule type="expression" dxfId="3648" priority="175">
      <formula>E$9&lt;8/24</formula>
    </cfRule>
  </conditionalFormatting>
  <conditionalFormatting sqref="E49:L51">
    <cfRule type="expression" dxfId="3647" priority="171">
      <formula>E49&gt;$AG49</formula>
    </cfRule>
  </conditionalFormatting>
  <conditionalFormatting sqref="AG66 AG83 E96:L102 R63:Y65">
    <cfRule type="expression" dxfId="3646" priority="167">
      <formula>E$9&gt;=20/24</formula>
    </cfRule>
    <cfRule type="expression" dxfId="3645" priority="168">
      <formula>AND(E$9&gt;=14/24,E$9&lt;20/24)</formula>
    </cfRule>
    <cfRule type="expression" dxfId="3644" priority="169">
      <formula>AND(E$9&gt;=8/24,E$9&lt;14/24)</formula>
    </cfRule>
    <cfRule type="expression" dxfId="3643" priority="170">
      <formula>E$9&lt;8/24</formula>
    </cfRule>
  </conditionalFormatting>
  <conditionalFormatting sqref="AG44 AG62 AG66 R63:Y65">
    <cfRule type="expression" dxfId="3642" priority="166">
      <formula>R44&gt;$AG44</formula>
    </cfRule>
  </conditionalFormatting>
  <conditionalFormatting sqref="X54:AF54">
    <cfRule type="expression" dxfId="3641" priority="162">
      <formula>X$9&gt;=20/24</formula>
    </cfRule>
    <cfRule type="expression" dxfId="3640" priority="163">
      <formula>AND(X$9&gt;=14/24,X$9&lt;20/24)</formula>
    </cfRule>
    <cfRule type="expression" dxfId="3639" priority="164">
      <formula>AND(X$9&gt;=8/24,X$9&lt;14/24)</formula>
    </cfRule>
    <cfRule type="expression" dxfId="3638" priority="165">
      <formula>X$9&lt;8/24</formula>
    </cfRule>
  </conditionalFormatting>
  <conditionalFormatting sqref="X54:AF54">
    <cfRule type="expression" dxfId="3637" priority="161">
      <formula>X54&gt;$AG54</formula>
    </cfRule>
  </conditionalFormatting>
  <conditionalFormatting sqref="A40">
    <cfRule type="expression" dxfId="3636" priority="160">
      <formula>$AH40=0</formula>
    </cfRule>
  </conditionalFormatting>
  <conditionalFormatting sqref="X87:AF91">
    <cfRule type="expression" dxfId="3635" priority="156">
      <formula>X$9&gt;=20/24</formula>
    </cfRule>
    <cfRule type="expression" dxfId="3634" priority="157">
      <formula>AND(X$9&gt;=14/24,X$9&lt;20/24)</formula>
    </cfRule>
    <cfRule type="expression" dxfId="3633" priority="158">
      <formula>AND(X$9&gt;=8/24,X$9&lt;14/24)</formula>
    </cfRule>
    <cfRule type="expression" dxfId="3632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3631" priority="152">
      <formula>E$9&gt;=20/24</formula>
    </cfRule>
    <cfRule type="expression" dxfId="3630" priority="153">
      <formula>AND(E$9&gt;=14/24,E$9&lt;20/24)</formula>
    </cfRule>
    <cfRule type="expression" dxfId="3629" priority="154">
      <formula>AND(E$9&gt;=8/24,E$9&lt;14/24)</formula>
    </cfRule>
    <cfRule type="expression" dxfId="3628" priority="155">
      <formula>E$9&lt;8/24</formula>
    </cfRule>
  </conditionalFormatting>
  <conditionalFormatting sqref="E45:AF47">
    <cfRule type="expression" dxfId="3627" priority="151">
      <formula>E45&gt;$AG45</formula>
    </cfRule>
  </conditionalFormatting>
  <conditionalFormatting sqref="AG48">
    <cfRule type="expression" dxfId="3626" priority="147">
      <formula>AG$9&gt;=20/24</formula>
    </cfRule>
    <cfRule type="expression" dxfId="3625" priority="148">
      <formula>AND(AG$9&gt;=14/24,AG$9&lt;20/24)</formula>
    </cfRule>
    <cfRule type="expression" dxfId="3624" priority="149">
      <formula>AND(AG$9&gt;=8/24,AG$9&lt;14/24)</formula>
    </cfRule>
    <cfRule type="expression" dxfId="3623" priority="150">
      <formula>AG$9&lt;8/24</formula>
    </cfRule>
  </conditionalFormatting>
  <conditionalFormatting sqref="AG48">
    <cfRule type="expression" dxfId="3622" priority="146">
      <formula>AG48&gt;$AG48</formula>
    </cfRule>
  </conditionalFormatting>
  <conditionalFormatting sqref="C103:AF103">
    <cfRule type="expression" dxfId="3621" priority="142">
      <formula>C$9&gt;=20/24</formula>
    </cfRule>
    <cfRule type="expression" dxfId="3620" priority="143">
      <formula>AND(C$9&gt;=14/24,C$9&lt;20/24)</formula>
    </cfRule>
    <cfRule type="expression" dxfId="3619" priority="144">
      <formula>AND(C$9&gt;=8/24,C$9&lt;14/24)</formula>
    </cfRule>
    <cfRule type="expression" dxfId="3618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617" priority="140">
      <formula>$AH37=0</formula>
    </cfRule>
  </conditionalFormatting>
  <conditionalFormatting sqref="A86">
    <cfRule type="expression" dxfId="3616" priority="138">
      <formula>$AH86=0</formula>
    </cfRule>
  </conditionalFormatting>
  <conditionalFormatting sqref="A83">
    <cfRule type="expression" dxfId="3615" priority="139">
      <formula>$AH83=0</formula>
    </cfRule>
  </conditionalFormatting>
  <conditionalFormatting sqref="A113">
    <cfRule type="expression" dxfId="3614" priority="129">
      <formula>$AH113=0</formula>
    </cfRule>
  </conditionalFormatting>
  <conditionalFormatting sqref="D106:AF106">
    <cfRule type="expression" dxfId="3613" priority="125">
      <formula>D$9&gt;=20/24</formula>
    </cfRule>
    <cfRule type="expression" dxfId="3612" priority="126">
      <formula>AND(D$9&gt;=14/24,D$9&lt;20/24)</formula>
    </cfRule>
    <cfRule type="expression" dxfId="3611" priority="127">
      <formula>AND(D$9&gt;=8/24,D$9&lt;14/24)</formula>
    </cfRule>
    <cfRule type="expression" dxfId="3610" priority="128">
      <formula>D$9&lt;8/24</formula>
    </cfRule>
  </conditionalFormatting>
  <conditionalFormatting sqref="A106">
    <cfRule type="expression" dxfId="3609" priority="124">
      <formula>$AH106=0</formula>
    </cfRule>
  </conditionalFormatting>
  <conditionalFormatting sqref="A19">
    <cfRule type="expression" dxfId="3608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607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3606" priority="116">
      <formula>Y$9&gt;=20/24</formula>
    </cfRule>
    <cfRule type="expression" dxfId="3605" priority="117">
      <formula>AND(Y$9&gt;=14/24,Y$9&lt;20/24)</formula>
    </cfRule>
    <cfRule type="expression" dxfId="3604" priority="118">
      <formula>AND(Y$9&gt;=8/24,Y$9&lt;14/24)</formula>
    </cfRule>
    <cfRule type="expression" dxfId="3603" priority="119">
      <formula>Y$9&lt;8/24</formula>
    </cfRule>
  </conditionalFormatting>
  <conditionalFormatting sqref="Y96:AC102">
    <cfRule type="expression" dxfId="3602" priority="112">
      <formula>Y$9&gt;=20/24</formula>
    </cfRule>
    <cfRule type="expression" dxfId="3601" priority="113">
      <formula>AND(Y$9&gt;=14/24,Y$9&lt;20/24)</formula>
    </cfRule>
    <cfRule type="expression" dxfId="3600" priority="114">
      <formula>AND(Y$9&gt;=8/24,Y$9&lt;14/24)</formula>
    </cfRule>
    <cfRule type="expression" dxfId="3599" priority="115">
      <formula>Y$9&lt;8/24</formula>
    </cfRule>
  </conditionalFormatting>
  <conditionalFormatting sqref="B105:C105 B107:C112 B15:AF40">
    <cfRule type="expression" dxfId="3598" priority="108">
      <formula>B$9&gt;=20/24</formula>
    </cfRule>
    <cfRule type="expression" dxfId="3597" priority="109">
      <formula>AND(B$9&gt;=14/24,B$9&lt;20/24)</formula>
    </cfRule>
    <cfRule type="expression" dxfId="3596" priority="110">
      <formula>AND(B$9&gt;=8/24,B$9&lt;14/24)</formula>
    </cfRule>
    <cfRule type="expression" dxfId="3595" priority="111">
      <formula>B$9&lt;8/24</formula>
    </cfRule>
  </conditionalFormatting>
  <conditionalFormatting sqref="B43:S43">
    <cfRule type="expression" dxfId="3594" priority="104">
      <formula>B$9&gt;=20/24</formula>
    </cfRule>
    <cfRule type="expression" dxfId="3593" priority="105">
      <formula>AND(B$9&gt;=14/24,B$9&lt;20/24)</formula>
    </cfRule>
    <cfRule type="expression" dxfId="3592" priority="106">
      <formula>AND(B$9&gt;=8/24,B$9&lt;14/24)</formula>
    </cfRule>
    <cfRule type="expression" dxfId="3591" priority="107">
      <formula>B$9&lt;8/24</formula>
    </cfRule>
  </conditionalFormatting>
  <conditionalFormatting sqref="B43:S43 B15:AF40">
    <cfRule type="expression" dxfId="3590" priority="103">
      <formula>B15&gt;$AG15</formula>
    </cfRule>
  </conditionalFormatting>
  <conditionalFormatting sqref="B95:D95">
    <cfRule type="expression" dxfId="3589" priority="99">
      <formula>B$9&gt;=20/24</formula>
    </cfRule>
    <cfRule type="expression" dxfId="3588" priority="100">
      <formula>AND(B$9&gt;=14/24,B$9&lt;20/24)</formula>
    </cfRule>
    <cfRule type="expression" dxfId="3587" priority="101">
      <formula>AND(B$9&gt;=8/24,B$9&lt;14/24)</formula>
    </cfRule>
    <cfRule type="expression" dxfId="3586" priority="102">
      <formula>B$9&lt;8/24</formula>
    </cfRule>
  </conditionalFormatting>
  <conditionalFormatting sqref="B50:D51 B67:D67">
    <cfRule type="expression" dxfId="3585" priority="95">
      <formula>B$9&gt;=20/24</formula>
    </cfRule>
    <cfRule type="expression" dxfId="3584" priority="96">
      <formula>AND(B$9&gt;=14/24,B$9&lt;20/24)</formula>
    </cfRule>
    <cfRule type="expression" dxfId="3583" priority="97">
      <formula>AND(B$9&gt;=8/24,B$9&lt;14/24)</formula>
    </cfRule>
    <cfRule type="expression" dxfId="3582" priority="98">
      <formula>B$9&lt;8/24</formula>
    </cfRule>
  </conditionalFormatting>
  <conditionalFormatting sqref="B49:D49">
    <cfRule type="expression" dxfId="3581" priority="91">
      <formula>B$9&gt;=20/24</formula>
    </cfRule>
    <cfRule type="expression" dxfId="3580" priority="92">
      <formula>AND(B$9&gt;=14/24,B$9&lt;20/24)</formula>
    </cfRule>
    <cfRule type="expression" dxfId="3579" priority="93">
      <formula>AND(B$9&gt;=8/24,B$9&lt;14/24)</formula>
    </cfRule>
    <cfRule type="expression" dxfId="3578" priority="94">
      <formula>B$9&lt;8/24</formula>
    </cfRule>
  </conditionalFormatting>
  <conditionalFormatting sqref="B49:D51">
    <cfRule type="expression" dxfId="3577" priority="90">
      <formula>B49&gt;$AG49</formula>
    </cfRule>
  </conditionalFormatting>
  <conditionalFormatting sqref="B82:C82 B92:W92 B79:AF81 B68:D72 B96:D102 B63:Q65 E70:AF72">
    <cfRule type="expression" dxfId="3576" priority="86">
      <formula>B$9&gt;=20/24</formula>
    </cfRule>
    <cfRule type="expression" dxfId="3575" priority="87">
      <formula>AND(B$9&gt;=14/24,B$9&lt;20/24)</formula>
    </cfRule>
    <cfRule type="expression" dxfId="3574" priority="88">
      <formula>AND(B$9&gt;=8/24,B$9&lt;14/24)</formula>
    </cfRule>
    <cfRule type="expression" dxfId="3573" priority="89">
      <formula>B$9&lt;8/24</formula>
    </cfRule>
  </conditionalFormatting>
  <conditionalFormatting sqref="B52:L53 B63:Q65">
    <cfRule type="expression" dxfId="3572" priority="85">
      <formula>B52&gt;$AG52</formula>
    </cfRule>
  </conditionalFormatting>
  <conditionalFormatting sqref="B54:L54">
    <cfRule type="expression" dxfId="3571" priority="81">
      <formula>B$9&gt;=20/24</formula>
    </cfRule>
    <cfRule type="expression" dxfId="3570" priority="82">
      <formula>AND(B$9&gt;=14/24,B$9&lt;20/24)</formula>
    </cfRule>
    <cfRule type="expression" dxfId="3569" priority="83">
      <formula>AND(B$9&gt;=8/24,B$9&lt;14/24)</formula>
    </cfRule>
    <cfRule type="expression" dxfId="3568" priority="84">
      <formula>B$9&lt;8/24</formula>
    </cfRule>
  </conditionalFormatting>
  <conditionalFormatting sqref="B54:L54">
    <cfRule type="expression" dxfId="3567" priority="80">
      <formula>B54&gt;$AG54</formula>
    </cfRule>
  </conditionalFormatting>
  <conditionalFormatting sqref="B84 B93">
    <cfRule type="expression" dxfId="3566" priority="76">
      <formula>B$9&gt;=20/24</formula>
    </cfRule>
    <cfRule type="expression" dxfId="3565" priority="77">
      <formula>AND(B$9&gt;=14/24,B$9&lt;20/24)</formula>
    </cfRule>
    <cfRule type="expression" dxfId="3564" priority="78">
      <formula>AND(B$9&gt;=8/24,B$9&lt;14/24)</formula>
    </cfRule>
    <cfRule type="expression" dxfId="3563" priority="79">
      <formula>B$9&lt;8/24</formula>
    </cfRule>
  </conditionalFormatting>
  <conditionalFormatting sqref="B42:AF42">
    <cfRule type="expression" dxfId="3562" priority="72">
      <formula>B$9&gt;=20/24</formula>
    </cfRule>
    <cfRule type="expression" dxfId="3561" priority="73">
      <formula>AND(B$9&gt;=14/24,B$9&lt;20/24)</formula>
    </cfRule>
    <cfRule type="expression" dxfId="3560" priority="74">
      <formula>AND(B$9&gt;=8/24,B$9&lt;14/24)</formula>
    </cfRule>
    <cfRule type="expression" dxfId="3559" priority="75">
      <formula>B$9&lt;8/24</formula>
    </cfRule>
  </conditionalFormatting>
  <conditionalFormatting sqref="B42:AF42">
    <cfRule type="expression" dxfId="3558" priority="71">
      <formula>B42&gt;$AG42</formula>
    </cfRule>
  </conditionalFormatting>
  <conditionalFormatting sqref="B94:AF94 B66:AF66 B83:AF83 B85:AF85">
    <cfRule type="expression" dxfId="3557" priority="67">
      <formula>B$9&gt;=20/24</formula>
    </cfRule>
    <cfRule type="expression" dxfId="3556" priority="68">
      <formula>AND(B$9&gt;=14/24,B$9&lt;20/24)</formula>
    </cfRule>
    <cfRule type="expression" dxfId="3555" priority="69">
      <formula>AND(B$9&gt;=8/24,B$9&lt;14/24)</formula>
    </cfRule>
    <cfRule type="expression" dxfId="3554" priority="70">
      <formula>B$9&lt;8/24</formula>
    </cfRule>
  </conditionalFormatting>
  <conditionalFormatting sqref="B66:AF66 B61:AF62 B44:AF44">
    <cfRule type="expression" dxfId="3553" priority="66">
      <formula>B44&gt;$AG44</formula>
    </cfRule>
  </conditionalFormatting>
  <conditionalFormatting sqref="B78:AF78">
    <cfRule type="expression" dxfId="3552" priority="62">
      <formula>B$9&gt;=20/24</formula>
    </cfRule>
    <cfRule type="expression" dxfId="3551" priority="63">
      <formula>AND(B$9&gt;=14/24,B$9&lt;20/24)</formula>
    </cfRule>
    <cfRule type="expression" dxfId="3550" priority="64">
      <formula>AND(B$9&gt;=8/24,B$9&lt;14/24)</formula>
    </cfRule>
    <cfRule type="expression" dxfId="3549" priority="65">
      <formula>B$9&lt;8/24</formula>
    </cfRule>
  </conditionalFormatting>
  <conditionalFormatting sqref="B87:W91">
    <cfRule type="expression" dxfId="3548" priority="58">
      <formula>B$9&gt;=20/24</formula>
    </cfRule>
    <cfRule type="expression" dxfId="3547" priority="59">
      <formula>AND(B$9&gt;=14/24,B$9&lt;20/24)</formula>
    </cfRule>
    <cfRule type="expression" dxfId="3546" priority="60">
      <formula>AND(B$9&gt;=8/24,B$9&lt;14/24)</formula>
    </cfRule>
    <cfRule type="expression" dxfId="3545" priority="61">
      <formula>B$9&lt;8/24</formula>
    </cfRule>
  </conditionalFormatting>
  <conditionalFormatting sqref="B45:D47">
    <cfRule type="expression" dxfId="3544" priority="54">
      <formula>B$9&gt;=20/24</formula>
    </cfRule>
    <cfRule type="expression" dxfId="3543" priority="55">
      <formula>AND(B$9&gt;=14/24,B$9&lt;20/24)</formula>
    </cfRule>
    <cfRule type="expression" dxfId="3542" priority="56">
      <formula>AND(B$9&gt;=8/24,B$9&lt;14/24)</formula>
    </cfRule>
    <cfRule type="expression" dxfId="3541" priority="57">
      <formula>B$9&lt;8/24</formula>
    </cfRule>
  </conditionalFormatting>
  <conditionalFormatting sqref="B45:D47">
    <cfRule type="expression" dxfId="3540" priority="53">
      <formula>B45&gt;$AG45</formula>
    </cfRule>
  </conditionalFormatting>
  <conditionalFormatting sqref="B48:AF48">
    <cfRule type="expression" dxfId="3539" priority="49">
      <formula>B$9&gt;=20/24</formula>
    </cfRule>
    <cfRule type="expression" dxfId="3538" priority="50">
      <formula>AND(B$9&gt;=14/24,B$9&lt;20/24)</formula>
    </cfRule>
    <cfRule type="expression" dxfId="3537" priority="51">
      <formula>AND(B$9&gt;=8/24,B$9&lt;14/24)</formula>
    </cfRule>
    <cfRule type="expression" dxfId="3536" priority="52">
      <formula>B$9&lt;8/24</formula>
    </cfRule>
  </conditionalFormatting>
  <conditionalFormatting sqref="B48:AF48">
    <cfRule type="expression" dxfId="3535" priority="48">
      <formula>B48&gt;$AG48</formula>
    </cfRule>
  </conditionalFormatting>
  <conditionalFormatting sqref="B103">
    <cfRule type="expression" dxfId="3534" priority="44">
      <formula>B$9&gt;=20/24</formula>
    </cfRule>
    <cfRule type="expression" dxfId="3533" priority="45">
      <formula>AND(B$9&gt;=14/24,B$9&lt;20/24)</formula>
    </cfRule>
    <cfRule type="expression" dxfId="3532" priority="46">
      <formula>AND(B$9&gt;=8/24,B$9&lt;14/24)</formula>
    </cfRule>
    <cfRule type="expression" dxfId="3531" priority="47">
      <formula>B$9&lt;8/24</formula>
    </cfRule>
  </conditionalFormatting>
  <conditionalFormatting sqref="B106:C106">
    <cfRule type="expression" dxfId="3530" priority="32">
      <formula>B$9&gt;=20/24</formula>
    </cfRule>
    <cfRule type="expression" dxfId="3529" priority="33">
      <formula>AND(B$9&gt;=14/24,B$9&lt;20/24)</formula>
    </cfRule>
    <cfRule type="expression" dxfId="3528" priority="34">
      <formula>AND(B$9&gt;=8/24,B$9&lt;14/24)</formula>
    </cfRule>
    <cfRule type="expression" dxfId="3527" priority="35">
      <formula>B$9&lt;8/24</formula>
    </cfRule>
  </conditionalFormatting>
  <conditionalFormatting sqref="B55:AF60">
    <cfRule type="expression" dxfId="3526" priority="28">
      <formula>B$9&gt;=20/24</formula>
    </cfRule>
    <cfRule type="expression" dxfId="3525" priority="29">
      <formula>AND(B$9&gt;=14/24,B$9&lt;20/24)</formula>
    </cfRule>
    <cfRule type="expression" dxfId="3524" priority="30">
      <formula>AND(B$9&gt;=8/24,B$9&lt;14/24)</formula>
    </cfRule>
    <cfRule type="expression" dxfId="3523" priority="31">
      <formula>B$9&lt;8/24</formula>
    </cfRule>
  </conditionalFormatting>
  <conditionalFormatting sqref="B55:AF60">
    <cfRule type="expression" dxfId="3522" priority="27">
      <formula>B55&gt;$AG55</formula>
    </cfRule>
  </conditionalFormatting>
  <conditionalFormatting sqref="B12:AF14 B41:AF41">
    <cfRule type="expression" dxfId="3521" priority="26">
      <formula>B12&gt;$AG12</formula>
    </cfRule>
  </conditionalFormatting>
  <conditionalFormatting sqref="B11:AF11">
    <cfRule type="expression" dxfId="3520" priority="22">
      <formula>B$9&gt;=20/24</formula>
    </cfRule>
    <cfRule type="expression" dxfId="3519" priority="23">
      <formula>AND(B$9&gt;=14/24,B$9&lt;20/24)</formula>
    </cfRule>
    <cfRule type="expression" dxfId="3518" priority="24">
      <formula>AND(B$9&gt;=8/24,B$9&lt;14/24)</formula>
    </cfRule>
    <cfRule type="expression" dxfId="3517" priority="25">
      <formula>B$9&lt;8/24</formula>
    </cfRule>
  </conditionalFormatting>
  <conditionalFormatting sqref="B11:AF11">
    <cfRule type="expression" dxfId="3516" priority="21">
      <formula>B11&gt;$AG11</formula>
    </cfRule>
  </conditionalFormatting>
  <conditionalFormatting sqref="B12:AF14">
    <cfRule type="expression" dxfId="3515" priority="17">
      <formula>B$9&gt;=20/24</formula>
    </cfRule>
    <cfRule type="expression" dxfId="3514" priority="18">
      <formula>AND(B$9&gt;=14/24,B$9&lt;20/24)</formula>
    </cfRule>
    <cfRule type="expression" dxfId="3513" priority="19">
      <formula>AND(B$9&gt;=8/24,B$9&lt;14/24)</formula>
    </cfRule>
    <cfRule type="expression" dxfId="3512" priority="20">
      <formula>B$9&lt;8/24</formula>
    </cfRule>
  </conditionalFormatting>
  <conditionalFormatting sqref="B41:AF41">
    <cfRule type="expression" dxfId="3511" priority="13">
      <formula>B$9&gt;=20/24</formula>
    </cfRule>
    <cfRule type="expression" dxfId="3510" priority="14">
      <formula>AND(B$9&gt;=14/24,B$9&lt;20/24)</formula>
    </cfRule>
    <cfRule type="expression" dxfId="3509" priority="15">
      <formula>AND(B$9&gt;=8/24,B$9&lt;14/24)</formula>
    </cfRule>
    <cfRule type="expression" dxfId="3508" priority="16">
      <formula>B$9&lt;8/24</formula>
    </cfRule>
  </conditionalFormatting>
  <conditionalFormatting sqref="B73:AF77">
    <cfRule type="expression" dxfId="3507" priority="9">
      <formula>B$9&gt;=20/24</formula>
    </cfRule>
    <cfRule type="expression" dxfId="3506" priority="10">
      <formula>AND(B$9&gt;=14/24,B$9&lt;20/24)</formula>
    </cfRule>
    <cfRule type="expression" dxfId="3505" priority="11">
      <formula>AND(B$9&gt;=8/24,B$9&lt;14/24)</formula>
    </cfRule>
    <cfRule type="expression" dxfId="3504" priority="12">
      <formula>B$9&lt;8/24</formula>
    </cfRule>
  </conditionalFormatting>
  <conditionalFormatting sqref="AL74:AN74 AL80:AN80 AN75:AN76">
    <cfRule type="expression" dxfId="3503" priority="5">
      <formula>AL$9&gt;=20/24</formula>
    </cfRule>
    <cfRule type="expression" dxfId="3502" priority="6">
      <formula>AND(AL$9&gt;=14/24,AL$9&lt;20/24)</formula>
    </cfRule>
    <cfRule type="expression" dxfId="3501" priority="7">
      <formula>AND(AL$9&gt;=8/24,AL$9&lt;14/24)</formula>
    </cfRule>
    <cfRule type="expression" dxfId="3500" priority="8">
      <formula>AL$9&lt;8/24</formula>
    </cfRule>
  </conditionalFormatting>
  <conditionalFormatting sqref="AN77:AN78">
    <cfRule type="expression" dxfId="3499" priority="1">
      <formula>AN$9&gt;=20/24</formula>
    </cfRule>
    <cfRule type="expression" dxfId="3498" priority="2">
      <formula>AND(AN$9&gt;=14/24,AN$9&lt;20/24)</formula>
    </cfRule>
    <cfRule type="expression" dxfId="3497" priority="3">
      <formula>AND(AN$9&gt;=8/24,AN$9&lt;14/24)</formula>
    </cfRule>
    <cfRule type="expression" dxfId="3496" priority="4">
      <formula>AN$9&lt;8/24</formula>
    </cfRule>
  </conditionalFormatting>
  <conditionalFormatting sqref="AL75:AM79">
    <cfRule type="expression" dxfId="3495" priority="258">
      <formula>AJ$9&gt;=20/24</formula>
    </cfRule>
    <cfRule type="expression" dxfId="3494" priority="259">
      <formula>AND(AJ$9&gt;=14/24,AJ$9&lt;20/24)</formula>
    </cfRule>
    <cfRule type="expression" dxfId="3493" priority="260">
      <formula>AND(AJ$9&gt;=8/24,AJ$9&lt;14/24)</formula>
    </cfRule>
    <cfRule type="expression" dxfId="3492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ED5FC8F7-DC75-4DC3-9FEA-7AEE0E891D7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2E96FD77-BC22-40EA-B85F-78A108CB8F0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EA2A79BD-E372-4081-A8DC-E1F94211B7B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7AFFA4BE-C31A-4401-80A8-6C247A7D823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8137C41B-ABE9-47A0-8DB9-C4AD14235DC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6E07658E-247F-4AAE-8A27-B80A82AF1D8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347C936C-D2D0-4DEE-AB2F-C6C3374BABD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C7BC0598-ED57-4975-B05E-5D6301B94B5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5927ABAC-BD5F-416D-9AB6-91EB4A5581A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4E94121F-A218-46FB-9C47-EB5714EFBE2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A66F799A-4A25-4D9A-8B49-4D0096D01CA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C4B2A501-9D5D-4B91-A152-E459EAE3E76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CAAB9D30-3947-4585-B2DE-1EB9DDA843F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FA9DF5AA-16C7-421F-A246-C63447C752E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4275728A-F2FD-4626-8D28-5A6C0E87B06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A8ED2F63-5C5E-431B-8519-408EC1DB61B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J274"/>
  <sheetViews>
    <sheetView zoomScale="90" zoomScaleNormal="90" workbookViewId="0">
      <pane ySplit="10" topLeftCell="A55" activePane="bottomLeft" state="frozen"/>
      <selection pane="bottomLeft" activeCell="H63" sqref="H6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2" width="6" style="1" bestFit="1" customWidth="1"/>
    <col min="13" max="13" width="6.28515625" style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2079/09/28</v>
      </c>
      <c r="C4" s="197"/>
      <c r="D4" s="197"/>
      <c r="E4" s="198" t="str">
        <f ca="1">"2079/"&amp;"09/"&amp;INT(MID(CELL("filename",G6),FIND("]",CELL("filename",G6))+1,200))</f>
        <v>2079/09/28</v>
      </c>
      <c r="F4" s="198"/>
      <c r="G4" s="198"/>
      <c r="H4" s="198" t="str">
        <f ca="1">TEXT(E4,"dddd")</f>
        <v>Thursday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392</v>
      </c>
      <c r="C5" s="30">
        <f t="shared" si="0"/>
        <v>387</v>
      </c>
      <c r="D5" s="30">
        <f t="shared" si="0"/>
        <v>404.7</v>
      </c>
      <c r="E5" s="30">
        <f t="shared" si="0"/>
        <v>423.5</v>
      </c>
      <c r="F5" s="30">
        <f t="shared" si="0"/>
        <v>408</v>
      </c>
      <c r="G5" s="30">
        <f t="shared" si="0"/>
        <v>409.4</v>
      </c>
      <c r="H5" s="30">
        <f t="shared" si="0"/>
        <v>428.8</v>
      </c>
      <c r="I5" s="30">
        <f t="shared" si="0"/>
        <v>418</v>
      </c>
      <c r="J5" s="30">
        <f t="shared" si="0"/>
        <v>388.5</v>
      </c>
      <c r="K5" s="30">
        <f t="shared" si="0"/>
        <v>283</v>
      </c>
      <c r="L5" s="30">
        <f t="shared" si="0"/>
        <v>243</v>
      </c>
      <c r="M5" s="30">
        <f t="shared" si="0"/>
        <v>159</v>
      </c>
      <c r="N5" s="30">
        <f t="shared" si="0"/>
        <v>135.4</v>
      </c>
      <c r="O5" s="30">
        <f t="shared" si="0"/>
        <v>318.39999999999998</v>
      </c>
      <c r="P5" s="30">
        <f t="shared" si="0"/>
        <v>375.6</v>
      </c>
      <c r="Q5" s="30">
        <f t="shared" si="0"/>
        <v>406.5</v>
      </c>
      <c r="R5" s="30">
        <f t="shared" si="0"/>
        <v>410.2</v>
      </c>
      <c r="S5" s="30">
        <f t="shared" si="0"/>
        <v>430.7</v>
      </c>
      <c r="T5" s="30">
        <f t="shared" si="0"/>
        <v>394</v>
      </c>
      <c r="U5" s="30">
        <f t="shared" si="0"/>
        <v>336</v>
      </c>
      <c r="V5" s="30">
        <f t="shared" si="0"/>
        <v>210.1</v>
      </c>
      <c r="W5" s="30">
        <f t="shared" si="0"/>
        <v>151.6</v>
      </c>
      <c r="X5" s="30">
        <f t="shared" si="0"/>
        <v>213.6</v>
      </c>
      <c r="Y5" s="30">
        <f t="shared" si="0"/>
        <v>214</v>
      </c>
      <c r="Z5" s="30">
        <f t="shared" si="0"/>
        <v>209.3</v>
      </c>
      <c r="AA5" s="30">
        <f t="shared" si="0"/>
        <v>218.4</v>
      </c>
      <c r="AB5" s="30">
        <f t="shared" si="0"/>
        <v>263.5</v>
      </c>
      <c r="AC5" s="30">
        <f t="shared" si="0"/>
        <v>255</v>
      </c>
      <c r="AD5" s="30">
        <f t="shared" si="0"/>
        <v>403.5</v>
      </c>
      <c r="AE5" s="30">
        <f t="shared" si="0"/>
        <v>485.79999999999995</v>
      </c>
      <c r="AF5" s="30">
        <f>B78</f>
        <v>386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1692MW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Load=1065</v>
      </c>
      <c r="B7" s="35">
        <f t="shared" ref="B7:AF7" si="1">B85</f>
        <v>1095.54</v>
      </c>
      <c r="C7" s="35">
        <f t="shared" si="1"/>
        <v>1075.94</v>
      </c>
      <c r="D7" s="35">
        <f t="shared" si="1"/>
        <v>1073.1399999999999</v>
      </c>
      <c r="E7" s="35">
        <f t="shared" si="1"/>
        <v>1065.28</v>
      </c>
      <c r="F7" s="35">
        <f t="shared" si="1"/>
        <v>1069.08</v>
      </c>
      <c r="G7" s="35">
        <f t="shared" si="1"/>
        <v>1093.98</v>
      </c>
      <c r="H7" s="35">
        <f t="shared" si="1"/>
        <v>1110.7800000000002</v>
      </c>
      <c r="I7" s="35">
        <f t="shared" si="1"/>
        <v>1165.3800000000001</v>
      </c>
      <c r="J7" s="35">
        <f t="shared" si="1"/>
        <v>1239.58</v>
      </c>
      <c r="K7" s="35">
        <f t="shared" si="1"/>
        <v>1388.78</v>
      </c>
      <c r="L7" s="35">
        <f t="shared" si="1"/>
        <v>1621.68</v>
      </c>
      <c r="M7" s="35">
        <f t="shared" si="1"/>
        <v>1692.2800000000002</v>
      </c>
      <c r="N7" s="35">
        <f>N85</f>
        <v>1623.2800000000002</v>
      </c>
      <c r="O7" s="35">
        <f t="shared" si="1"/>
        <v>1575.2800000000002</v>
      </c>
      <c r="P7" s="35">
        <f t="shared" si="1"/>
        <v>1388.2800000000002</v>
      </c>
      <c r="Q7" s="35">
        <f t="shared" si="1"/>
        <v>1426.7800000000002</v>
      </c>
      <c r="R7" s="35">
        <f t="shared" si="1"/>
        <v>1400.58</v>
      </c>
      <c r="S7" s="35">
        <f t="shared" si="1"/>
        <v>1410.84</v>
      </c>
      <c r="T7" s="35">
        <f t="shared" si="1"/>
        <v>1474.1389999999999</v>
      </c>
      <c r="U7" s="35">
        <f t="shared" si="1"/>
        <v>1341.3389999999999</v>
      </c>
      <c r="V7" s="35">
        <f t="shared" si="1"/>
        <v>1414.24</v>
      </c>
      <c r="W7" s="35">
        <f t="shared" si="1"/>
        <v>1573.7399999999998</v>
      </c>
      <c r="X7" s="35">
        <f t="shared" si="1"/>
        <v>1704.6399999999999</v>
      </c>
      <c r="Y7" s="35">
        <f t="shared" si="1"/>
        <v>1805.24</v>
      </c>
      <c r="Z7" s="35">
        <f t="shared" si="1"/>
        <v>1755.64</v>
      </c>
      <c r="AA7" s="35">
        <f t="shared" si="1"/>
        <v>1720.52</v>
      </c>
      <c r="AB7" s="35">
        <f t="shared" si="1"/>
        <v>1623.8400000000001</v>
      </c>
      <c r="AC7" s="35">
        <f t="shared" si="1"/>
        <v>1608.64</v>
      </c>
      <c r="AD7" s="35">
        <f t="shared" si="1"/>
        <v>1530.3400000000001</v>
      </c>
      <c r="AE7" s="35">
        <f t="shared" si="1"/>
        <v>1147.6399999999999</v>
      </c>
      <c r="AF7" s="35">
        <f t="shared" si="1"/>
        <v>1167.04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20</v>
      </c>
      <c r="C11" s="45">
        <v>20</v>
      </c>
      <c r="D11" s="45">
        <v>20</v>
      </c>
      <c r="E11" s="45">
        <v>21.3</v>
      </c>
      <c r="F11" s="45">
        <v>21.3</v>
      </c>
      <c r="G11" s="45">
        <v>21.3</v>
      </c>
      <c r="H11" s="45">
        <v>21.3</v>
      </c>
      <c r="I11" s="45">
        <v>21.3</v>
      </c>
      <c r="J11" s="45">
        <v>21.3</v>
      </c>
      <c r="K11" s="45">
        <v>21.3</v>
      </c>
      <c r="L11" s="45">
        <v>21.3</v>
      </c>
      <c r="M11" s="45">
        <v>21.3</v>
      </c>
      <c r="N11" s="45">
        <v>21.3</v>
      </c>
      <c r="O11" s="45">
        <v>21.3</v>
      </c>
      <c r="P11" s="45">
        <v>21.3</v>
      </c>
      <c r="Q11" s="45">
        <v>21.3</v>
      </c>
      <c r="R11" s="45">
        <v>21.3</v>
      </c>
      <c r="S11" s="45">
        <v>21.3</v>
      </c>
      <c r="T11" s="45">
        <v>20</v>
      </c>
      <c r="U11" s="45">
        <v>20</v>
      </c>
      <c r="V11" s="45">
        <v>20</v>
      </c>
      <c r="W11" s="45">
        <v>22.3</v>
      </c>
      <c r="X11" s="45">
        <v>22.3</v>
      </c>
      <c r="Y11" s="45">
        <v>22.3</v>
      </c>
      <c r="Z11" s="45">
        <v>22.3</v>
      </c>
      <c r="AA11" s="45">
        <v>22.3</v>
      </c>
      <c r="AB11" s="45">
        <v>22.3</v>
      </c>
      <c r="AC11" s="45">
        <v>22.3</v>
      </c>
      <c r="AD11" s="45">
        <v>22.3</v>
      </c>
      <c r="AE11" s="45">
        <v>22.3</v>
      </c>
      <c r="AF11" s="45">
        <v>22.3</v>
      </c>
      <c r="AG11" s="47">
        <v>52.4</v>
      </c>
      <c r="AH11" s="48">
        <f t="shared" ref="AH11:AH74" si="2">MAX(B11:AF11)</f>
        <v>22.3</v>
      </c>
      <c r="AI11" s="49">
        <f t="shared" ref="AI11:AI74" si="3">MIN(B11:AF11)</f>
        <v>20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39.6</v>
      </c>
      <c r="C12" s="45">
        <v>39.6</v>
      </c>
      <c r="D12" s="45">
        <v>39.6</v>
      </c>
      <c r="E12" s="45">
        <v>38.5</v>
      </c>
      <c r="F12" s="45">
        <v>38.5</v>
      </c>
      <c r="G12" s="45">
        <v>38.5</v>
      </c>
      <c r="H12" s="45">
        <v>38.5</v>
      </c>
      <c r="I12" s="45">
        <v>38.5</v>
      </c>
      <c r="J12" s="45">
        <v>38.5</v>
      </c>
      <c r="K12" s="45">
        <v>38.5</v>
      </c>
      <c r="L12" s="45">
        <v>38.5</v>
      </c>
      <c r="M12" s="45">
        <v>38.5</v>
      </c>
      <c r="N12" s="45">
        <v>38.5</v>
      </c>
      <c r="O12" s="45">
        <v>38.5</v>
      </c>
      <c r="P12" s="45">
        <v>38.5</v>
      </c>
      <c r="Q12" s="45">
        <v>38.5</v>
      </c>
      <c r="R12" s="45">
        <v>38.5</v>
      </c>
      <c r="S12" s="45">
        <v>38.5</v>
      </c>
      <c r="T12" s="45">
        <v>38.999000000000002</v>
      </c>
      <c r="U12" s="45">
        <v>38.999000000000002</v>
      </c>
      <c r="V12" s="45">
        <v>39.200000000000003</v>
      </c>
      <c r="W12" s="45">
        <v>39.799999999999997</v>
      </c>
      <c r="X12" s="45">
        <v>39.799999999999997</v>
      </c>
      <c r="Y12" s="45">
        <v>39.799999999999997</v>
      </c>
      <c r="Z12" s="45">
        <v>39.799999999999997</v>
      </c>
      <c r="AA12" s="45">
        <v>39.799999999999997</v>
      </c>
      <c r="AB12" s="45">
        <v>39.799999999999997</v>
      </c>
      <c r="AC12" s="45">
        <v>39.799999999999997</v>
      </c>
      <c r="AD12" s="45">
        <v>39.799999999999997</v>
      </c>
      <c r="AE12" s="45">
        <v>39.799999999999997</v>
      </c>
      <c r="AF12" s="45">
        <v>39.799999999999997</v>
      </c>
      <c r="AG12" s="51">
        <v>50</v>
      </c>
      <c r="AH12" s="48">
        <f t="shared" si="2"/>
        <v>39.799999999999997</v>
      </c>
      <c r="AI12" s="49">
        <f t="shared" si="3"/>
        <v>38.5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20.6</v>
      </c>
      <c r="C13" s="45">
        <v>20.6</v>
      </c>
      <c r="D13" s="45">
        <v>20.6</v>
      </c>
      <c r="E13" s="45">
        <v>21.74</v>
      </c>
      <c r="F13" s="45">
        <v>21.74</v>
      </c>
      <c r="G13" s="45">
        <v>21.74</v>
      </c>
      <c r="H13" s="45">
        <v>21.74</v>
      </c>
      <c r="I13" s="45">
        <v>21.74</v>
      </c>
      <c r="J13" s="45">
        <v>21.74</v>
      </c>
      <c r="K13" s="45">
        <v>21.74</v>
      </c>
      <c r="L13" s="45">
        <v>21.74</v>
      </c>
      <c r="M13" s="45">
        <v>21.74</v>
      </c>
      <c r="N13" s="45">
        <v>21.74</v>
      </c>
      <c r="O13" s="45">
        <v>21.74</v>
      </c>
      <c r="P13" s="45">
        <v>21.74</v>
      </c>
      <c r="Q13" s="45">
        <v>21.74</v>
      </c>
      <c r="R13" s="45">
        <v>21.74</v>
      </c>
      <c r="S13" s="45">
        <v>21.74</v>
      </c>
      <c r="T13" s="45">
        <v>20.3</v>
      </c>
      <c r="U13" s="45">
        <v>20.3</v>
      </c>
      <c r="V13" s="45">
        <v>21.2</v>
      </c>
      <c r="W13" s="45">
        <v>20.2</v>
      </c>
      <c r="X13" s="45">
        <v>20.2</v>
      </c>
      <c r="Y13" s="45">
        <v>20.2</v>
      </c>
      <c r="Z13" s="45">
        <v>20.2</v>
      </c>
      <c r="AA13" s="45">
        <v>20.2</v>
      </c>
      <c r="AB13" s="45">
        <v>20.2</v>
      </c>
      <c r="AC13" s="45">
        <v>20.2</v>
      </c>
      <c r="AD13" s="45">
        <v>20.2</v>
      </c>
      <c r="AE13" s="45">
        <v>20.2</v>
      </c>
      <c r="AF13" s="45">
        <v>20.2</v>
      </c>
      <c r="AG13" s="51">
        <v>45</v>
      </c>
      <c r="AH13" s="48">
        <f t="shared" si="2"/>
        <v>21.74</v>
      </c>
      <c r="AI13" s="49">
        <f t="shared" si="3"/>
        <v>20.2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10.5</v>
      </c>
      <c r="C14" s="45">
        <v>10.5</v>
      </c>
      <c r="D14" s="45">
        <v>10.5</v>
      </c>
      <c r="E14" s="45">
        <v>11</v>
      </c>
      <c r="F14" s="45">
        <v>11</v>
      </c>
      <c r="G14" s="45">
        <v>11</v>
      </c>
      <c r="H14" s="45">
        <v>11</v>
      </c>
      <c r="I14" s="45">
        <v>11</v>
      </c>
      <c r="J14" s="45">
        <v>11</v>
      </c>
      <c r="K14" s="45">
        <v>11</v>
      </c>
      <c r="L14" s="45">
        <v>11</v>
      </c>
      <c r="M14" s="45">
        <v>11</v>
      </c>
      <c r="N14" s="45">
        <v>11</v>
      </c>
      <c r="O14" s="45">
        <v>11</v>
      </c>
      <c r="P14" s="45">
        <v>11</v>
      </c>
      <c r="Q14" s="45">
        <v>11</v>
      </c>
      <c r="R14" s="45">
        <v>11</v>
      </c>
      <c r="S14" s="45">
        <v>11</v>
      </c>
      <c r="T14" s="45">
        <v>11</v>
      </c>
      <c r="U14" s="45">
        <v>11</v>
      </c>
      <c r="V14" s="45">
        <v>11</v>
      </c>
      <c r="W14" s="45">
        <v>11</v>
      </c>
      <c r="X14" s="45">
        <v>11</v>
      </c>
      <c r="Y14" s="45">
        <v>11</v>
      </c>
      <c r="Z14" s="45">
        <v>11</v>
      </c>
      <c r="AA14" s="45">
        <v>11</v>
      </c>
      <c r="AB14" s="45">
        <v>11</v>
      </c>
      <c r="AC14" s="45">
        <v>11</v>
      </c>
      <c r="AD14" s="45">
        <v>11</v>
      </c>
      <c r="AE14" s="45">
        <v>11</v>
      </c>
      <c r="AF14" s="45">
        <v>11</v>
      </c>
      <c r="AG14" s="51">
        <v>42</v>
      </c>
      <c r="AH14" s="48">
        <f t="shared" si="2"/>
        <v>11</v>
      </c>
      <c r="AI14" s="49">
        <f t="shared" si="3"/>
        <v>10.5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</v>
      </c>
      <c r="C15" s="45">
        <v>17</v>
      </c>
      <c r="D15" s="45">
        <v>17</v>
      </c>
      <c r="E15" s="45">
        <v>17</v>
      </c>
      <c r="F15" s="45">
        <v>17</v>
      </c>
      <c r="G15" s="45">
        <v>17</v>
      </c>
      <c r="H15" s="45">
        <v>17</v>
      </c>
      <c r="I15" s="45">
        <v>17</v>
      </c>
      <c r="J15" s="45">
        <v>17</v>
      </c>
      <c r="K15" s="45">
        <v>17</v>
      </c>
      <c r="L15" s="45">
        <v>17</v>
      </c>
      <c r="M15" s="45">
        <v>17</v>
      </c>
      <c r="N15" s="45">
        <v>17</v>
      </c>
      <c r="O15" s="45">
        <v>17</v>
      </c>
      <c r="P15" s="45">
        <v>17</v>
      </c>
      <c r="Q15" s="45">
        <v>17</v>
      </c>
      <c r="R15" s="45">
        <v>17</v>
      </c>
      <c r="S15" s="45">
        <v>17</v>
      </c>
      <c r="T15" s="45">
        <v>17</v>
      </c>
      <c r="U15" s="45">
        <v>17</v>
      </c>
      <c r="V15" s="45">
        <v>17</v>
      </c>
      <c r="W15" s="45">
        <v>17</v>
      </c>
      <c r="X15" s="45">
        <v>17</v>
      </c>
      <c r="Y15" s="45">
        <v>17</v>
      </c>
      <c r="Z15" s="45">
        <v>17</v>
      </c>
      <c r="AA15" s="45">
        <v>17</v>
      </c>
      <c r="AB15" s="45">
        <v>17</v>
      </c>
      <c r="AC15" s="45">
        <v>17</v>
      </c>
      <c r="AD15" s="45">
        <v>17</v>
      </c>
      <c r="AE15" s="45">
        <v>17</v>
      </c>
      <c r="AF15" s="45">
        <v>17</v>
      </c>
      <c r="AG15" s="51">
        <v>36</v>
      </c>
      <c r="AH15" s="48">
        <f t="shared" si="2"/>
        <v>17</v>
      </c>
      <c r="AI15" s="49">
        <f t="shared" si="3"/>
        <v>17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9.9</v>
      </c>
      <c r="C16" s="45">
        <v>9.9</v>
      </c>
      <c r="D16" s="45">
        <v>9.9</v>
      </c>
      <c r="E16" s="45">
        <v>9.6999999999999993</v>
      </c>
      <c r="F16" s="45">
        <v>9.6999999999999993</v>
      </c>
      <c r="G16" s="45">
        <v>9.6999999999999993</v>
      </c>
      <c r="H16" s="45">
        <v>9.6999999999999993</v>
      </c>
      <c r="I16" s="45">
        <v>9.6999999999999993</v>
      </c>
      <c r="J16" s="45">
        <v>9.6999999999999993</v>
      </c>
      <c r="K16" s="45">
        <v>9.6999999999999993</v>
      </c>
      <c r="L16" s="45">
        <v>9.6999999999999993</v>
      </c>
      <c r="M16" s="45">
        <v>9.6999999999999993</v>
      </c>
      <c r="N16" s="45">
        <v>9.6999999999999993</v>
      </c>
      <c r="O16" s="45">
        <v>9.6999999999999993</v>
      </c>
      <c r="P16" s="45">
        <v>9.6999999999999993</v>
      </c>
      <c r="Q16" s="45">
        <v>9.6999999999999993</v>
      </c>
      <c r="R16" s="45">
        <v>9.6999999999999993</v>
      </c>
      <c r="S16" s="45">
        <v>9.6999999999999993</v>
      </c>
      <c r="T16" s="45">
        <v>9.6999999999999993</v>
      </c>
      <c r="U16" s="45">
        <v>9.6999999999999993</v>
      </c>
      <c r="V16" s="45">
        <v>9.6999999999999993</v>
      </c>
      <c r="W16" s="45">
        <v>10.199999999999999</v>
      </c>
      <c r="X16" s="45">
        <v>10.199999999999999</v>
      </c>
      <c r="Y16" s="45">
        <v>10.199999999999999</v>
      </c>
      <c r="Z16" s="45">
        <v>10.199999999999999</v>
      </c>
      <c r="AA16" s="45">
        <v>10.199999999999999</v>
      </c>
      <c r="AB16" s="45">
        <v>10.199999999999999</v>
      </c>
      <c r="AC16" s="45">
        <v>10.199999999999999</v>
      </c>
      <c r="AD16" s="45">
        <v>10.199999999999999</v>
      </c>
      <c r="AE16" s="45">
        <v>10.199999999999999</v>
      </c>
      <c r="AF16" s="45">
        <v>10.199999999999999</v>
      </c>
      <c r="AG16" s="52">
        <v>30</v>
      </c>
      <c r="AH16" s="48">
        <f t="shared" si="2"/>
        <v>10.199999999999999</v>
      </c>
      <c r="AI16" s="49">
        <f t="shared" si="3"/>
        <v>9.6999999999999993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9.3000000000000007</v>
      </c>
      <c r="C17" s="45">
        <v>9.3000000000000007</v>
      </c>
      <c r="D17" s="45">
        <v>9.3000000000000007</v>
      </c>
      <c r="E17" s="45">
        <v>9.6</v>
      </c>
      <c r="F17" s="45">
        <v>9.6</v>
      </c>
      <c r="G17" s="45">
        <v>9.6</v>
      </c>
      <c r="H17" s="45">
        <v>9.6</v>
      </c>
      <c r="I17" s="45">
        <v>9.6</v>
      </c>
      <c r="J17" s="45">
        <v>9.6</v>
      </c>
      <c r="K17" s="45">
        <v>9.6</v>
      </c>
      <c r="L17" s="45">
        <v>9.6</v>
      </c>
      <c r="M17" s="45">
        <v>9.6</v>
      </c>
      <c r="N17" s="45">
        <v>9.6</v>
      </c>
      <c r="O17" s="45">
        <v>9.6</v>
      </c>
      <c r="P17" s="45">
        <v>9.6</v>
      </c>
      <c r="Q17" s="45">
        <v>9.6</v>
      </c>
      <c r="R17" s="45">
        <v>9.6</v>
      </c>
      <c r="S17" s="45">
        <v>9.6</v>
      </c>
      <c r="T17" s="45">
        <v>9.6</v>
      </c>
      <c r="U17" s="45">
        <v>9.6</v>
      </c>
      <c r="V17" s="45">
        <v>9.6</v>
      </c>
      <c r="W17" s="45">
        <v>8.9</v>
      </c>
      <c r="X17" s="45">
        <v>8.9</v>
      </c>
      <c r="Y17" s="45">
        <v>8.9</v>
      </c>
      <c r="Z17" s="45">
        <v>8.9</v>
      </c>
      <c r="AA17" s="45">
        <v>8.9</v>
      </c>
      <c r="AB17" s="45">
        <v>8.9</v>
      </c>
      <c r="AC17" s="45">
        <v>8.9</v>
      </c>
      <c r="AD17" s="45">
        <v>8.9</v>
      </c>
      <c r="AE17" s="45">
        <v>8.9</v>
      </c>
      <c r="AF17" s="45">
        <v>8.9</v>
      </c>
      <c r="AG17" s="51">
        <v>24.2</v>
      </c>
      <c r="AH17" s="48">
        <f t="shared" si="2"/>
        <v>9.6</v>
      </c>
      <c r="AI17" s="49">
        <f t="shared" si="3"/>
        <v>8.9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51">
        <v>25</v>
      </c>
      <c r="AH20" s="48">
        <f t="shared" si="2"/>
        <v>10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9.4</v>
      </c>
      <c r="C24" s="45">
        <v>9.4</v>
      </c>
      <c r="D24" s="45">
        <v>9.4</v>
      </c>
      <c r="E24" s="45">
        <v>9.4</v>
      </c>
      <c r="F24" s="45">
        <v>9.4</v>
      </c>
      <c r="G24" s="45">
        <v>9.4</v>
      </c>
      <c r="H24" s="45">
        <v>9.4</v>
      </c>
      <c r="I24" s="45">
        <v>9.4</v>
      </c>
      <c r="J24" s="45">
        <v>9.4</v>
      </c>
      <c r="K24" s="45">
        <v>9.4</v>
      </c>
      <c r="L24" s="45">
        <v>9.4</v>
      </c>
      <c r="M24" s="45">
        <v>9.4</v>
      </c>
      <c r="N24" s="45">
        <v>9.4</v>
      </c>
      <c r="O24" s="45">
        <v>9.4</v>
      </c>
      <c r="P24" s="45">
        <v>9.4</v>
      </c>
      <c r="Q24" s="45">
        <v>9.4</v>
      </c>
      <c r="R24" s="45">
        <v>9.4</v>
      </c>
      <c r="S24" s="45">
        <v>9.4</v>
      </c>
      <c r="T24" s="45">
        <v>9.4</v>
      </c>
      <c r="U24" s="45">
        <v>9.4</v>
      </c>
      <c r="V24" s="45">
        <v>9.4</v>
      </c>
      <c r="W24" s="45">
        <v>9.4</v>
      </c>
      <c r="X24" s="45">
        <v>9.4</v>
      </c>
      <c r="Y24" s="45">
        <v>9.4</v>
      </c>
      <c r="Z24" s="45">
        <v>9.4</v>
      </c>
      <c r="AA24" s="45">
        <v>9.4</v>
      </c>
      <c r="AB24" s="45">
        <v>9.4</v>
      </c>
      <c r="AC24" s="45">
        <v>9.4</v>
      </c>
      <c r="AD24" s="45">
        <v>9.4</v>
      </c>
      <c r="AE24" s="45">
        <v>9.4</v>
      </c>
      <c r="AF24" s="45">
        <v>9.4</v>
      </c>
      <c r="AG24" s="51">
        <v>23.5</v>
      </c>
      <c r="AH24" s="48">
        <f t="shared" si="2"/>
        <v>9.4</v>
      </c>
      <c r="AI24" s="49">
        <f t="shared" si="3"/>
        <v>9.4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9.4</v>
      </c>
      <c r="C28" s="45">
        <v>9.4</v>
      </c>
      <c r="D28" s="45">
        <v>9.4</v>
      </c>
      <c r="E28" s="45">
        <v>9.4</v>
      </c>
      <c r="F28" s="45">
        <v>9.4</v>
      </c>
      <c r="G28" s="45">
        <v>9.4</v>
      </c>
      <c r="H28" s="45">
        <v>9.4</v>
      </c>
      <c r="I28" s="45">
        <v>9.4</v>
      </c>
      <c r="J28" s="45">
        <v>9.4</v>
      </c>
      <c r="K28" s="45">
        <v>9.4</v>
      </c>
      <c r="L28" s="45">
        <v>9.4</v>
      </c>
      <c r="M28" s="45">
        <v>9.4</v>
      </c>
      <c r="N28" s="45">
        <v>9.4</v>
      </c>
      <c r="O28" s="45">
        <v>9.4</v>
      </c>
      <c r="P28" s="45">
        <v>9.4</v>
      </c>
      <c r="Q28" s="45">
        <v>9.4</v>
      </c>
      <c r="R28" s="45">
        <v>9.4</v>
      </c>
      <c r="S28" s="45">
        <v>9.4</v>
      </c>
      <c r="T28" s="45">
        <v>9.4</v>
      </c>
      <c r="U28" s="45">
        <v>9.4</v>
      </c>
      <c r="V28" s="45">
        <v>9.4</v>
      </c>
      <c r="W28" s="45">
        <v>9.4</v>
      </c>
      <c r="X28" s="45">
        <v>9.4</v>
      </c>
      <c r="Y28" s="45">
        <v>9.4</v>
      </c>
      <c r="Z28" s="45">
        <v>9.4</v>
      </c>
      <c r="AA28" s="45">
        <v>9.4</v>
      </c>
      <c r="AB28" s="45">
        <v>9.4</v>
      </c>
      <c r="AC28" s="45">
        <v>9.4</v>
      </c>
      <c r="AD28" s="45">
        <v>9.4</v>
      </c>
      <c r="AE28" s="45">
        <v>9.4</v>
      </c>
      <c r="AF28" s="45">
        <v>9.4</v>
      </c>
      <c r="AG28" s="51">
        <v>22</v>
      </c>
      <c r="AH28" s="48">
        <f t="shared" si="2"/>
        <v>9.4</v>
      </c>
      <c r="AI28" s="49">
        <f t="shared" si="3"/>
        <v>9.4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>
        <v>1.2</v>
      </c>
      <c r="S32" s="45">
        <v>1.2</v>
      </c>
      <c r="T32" s="45">
        <v>1.2</v>
      </c>
      <c r="U32" s="45">
        <v>1.2</v>
      </c>
      <c r="V32" s="45">
        <v>1.2</v>
      </c>
      <c r="W32" s="45">
        <v>1.2</v>
      </c>
      <c r="X32" s="45">
        <v>1.2</v>
      </c>
      <c r="Y32" s="45">
        <v>1.2</v>
      </c>
      <c r="Z32" s="45">
        <v>1.2</v>
      </c>
      <c r="AA32" s="45">
        <v>1.2</v>
      </c>
      <c r="AB32" s="45">
        <v>1.2</v>
      </c>
      <c r="AC32" s="45">
        <v>1.2</v>
      </c>
      <c r="AD32" s="45">
        <v>1.2</v>
      </c>
      <c r="AE32" s="45">
        <v>1.2</v>
      </c>
      <c r="AF32" s="45">
        <v>1.2</v>
      </c>
      <c r="AG32" s="51">
        <v>13.6</v>
      </c>
      <c r="AH32" s="48">
        <f t="shared" si="2"/>
        <v>1.2</v>
      </c>
      <c r="AI32" s="49">
        <f t="shared" si="3"/>
        <v>1.2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150</v>
      </c>
      <c r="C42" s="57">
        <v>150</v>
      </c>
      <c r="D42" s="57">
        <v>150</v>
      </c>
      <c r="E42" s="57">
        <v>150</v>
      </c>
      <c r="F42" s="57">
        <v>150</v>
      </c>
      <c r="G42" s="57">
        <v>150</v>
      </c>
      <c r="H42" s="57">
        <v>150</v>
      </c>
      <c r="I42" s="57">
        <v>150</v>
      </c>
      <c r="J42" s="57">
        <v>150</v>
      </c>
      <c r="K42" s="57">
        <v>150</v>
      </c>
      <c r="L42" s="57">
        <v>150</v>
      </c>
      <c r="M42" s="57">
        <v>150</v>
      </c>
      <c r="N42" s="57">
        <v>150</v>
      </c>
      <c r="O42" s="57">
        <v>150</v>
      </c>
      <c r="P42" s="57">
        <v>150</v>
      </c>
      <c r="Q42" s="57">
        <v>150</v>
      </c>
      <c r="R42" s="57">
        <v>150</v>
      </c>
      <c r="S42" s="57">
        <v>150</v>
      </c>
      <c r="T42" s="57">
        <v>150</v>
      </c>
      <c r="U42" s="57">
        <v>150</v>
      </c>
      <c r="V42" s="57">
        <v>150</v>
      </c>
      <c r="W42" s="57">
        <v>150</v>
      </c>
      <c r="X42" s="57">
        <v>150</v>
      </c>
      <c r="Y42" s="57">
        <v>150</v>
      </c>
      <c r="Z42" s="57">
        <v>150</v>
      </c>
      <c r="AA42" s="57">
        <v>150</v>
      </c>
      <c r="AB42" s="57">
        <v>150</v>
      </c>
      <c r="AC42" s="57">
        <v>150</v>
      </c>
      <c r="AD42" s="57">
        <v>150</v>
      </c>
      <c r="AE42" s="57">
        <v>150</v>
      </c>
      <c r="AF42" s="57">
        <v>150</v>
      </c>
      <c r="AG42" s="55">
        <v>85</v>
      </c>
      <c r="AH42" s="48">
        <f t="shared" si="2"/>
        <v>150</v>
      </c>
      <c r="AI42" s="49">
        <f t="shared" si="3"/>
        <v>150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467.5</v>
      </c>
      <c r="C44" s="61">
        <f t="shared" si="4"/>
        <v>467.5</v>
      </c>
      <c r="D44" s="61">
        <f t="shared" si="4"/>
        <v>467.5</v>
      </c>
      <c r="E44" s="61">
        <f t="shared" si="4"/>
        <v>469.44</v>
      </c>
      <c r="F44" s="61">
        <f t="shared" si="4"/>
        <v>469.44</v>
      </c>
      <c r="G44" s="61">
        <f t="shared" si="4"/>
        <v>469.44</v>
      </c>
      <c r="H44" s="61">
        <f t="shared" si="4"/>
        <v>469.44</v>
      </c>
      <c r="I44" s="61">
        <f t="shared" si="4"/>
        <v>469.44</v>
      </c>
      <c r="J44" s="61">
        <f t="shared" si="4"/>
        <v>469.44</v>
      </c>
      <c r="K44" s="61">
        <f t="shared" si="4"/>
        <v>469.44</v>
      </c>
      <c r="L44" s="61">
        <f t="shared" si="4"/>
        <v>469.44</v>
      </c>
      <c r="M44" s="61">
        <f t="shared" si="4"/>
        <v>469.44</v>
      </c>
      <c r="N44" s="61">
        <f t="shared" si="4"/>
        <v>469.44</v>
      </c>
      <c r="O44" s="61">
        <f t="shared" si="4"/>
        <v>469.44</v>
      </c>
      <c r="P44" s="61">
        <f t="shared" si="4"/>
        <v>469.44</v>
      </c>
      <c r="Q44" s="61">
        <f t="shared" si="4"/>
        <v>469.44</v>
      </c>
      <c r="R44" s="61">
        <f t="shared" si="4"/>
        <v>469.44</v>
      </c>
      <c r="S44" s="61">
        <f t="shared" si="4"/>
        <v>469.44</v>
      </c>
      <c r="T44" s="61">
        <f t="shared" si="4"/>
        <v>467.19899999999996</v>
      </c>
      <c r="U44" s="61">
        <f t="shared" ref="U44" si="5">SUM(U11:U42)</f>
        <v>467.19899999999996</v>
      </c>
      <c r="V44" s="61">
        <f t="shared" si="4"/>
        <v>468.29999999999995</v>
      </c>
      <c r="W44" s="61">
        <f t="shared" si="4"/>
        <v>470</v>
      </c>
      <c r="X44" s="61">
        <v>554.29999999999995</v>
      </c>
      <c r="Y44" s="61">
        <f t="shared" si="4"/>
        <v>470</v>
      </c>
      <c r="Z44" s="61">
        <f t="shared" si="4"/>
        <v>470</v>
      </c>
      <c r="AA44" s="61">
        <f t="shared" si="4"/>
        <v>470</v>
      </c>
      <c r="AB44" s="61">
        <f t="shared" si="4"/>
        <v>470</v>
      </c>
      <c r="AC44" s="61">
        <f t="shared" si="4"/>
        <v>470</v>
      </c>
      <c r="AD44" s="61">
        <f t="shared" si="4"/>
        <v>470</v>
      </c>
      <c r="AE44" s="61">
        <f t="shared" si="4"/>
        <v>470</v>
      </c>
      <c r="AF44" s="61">
        <f t="shared" si="4"/>
        <v>470</v>
      </c>
      <c r="AG44" s="62">
        <f t="shared" si="4"/>
        <v>814.78000000000009</v>
      </c>
      <c r="AH44" s="48">
        <f t="shared" si="2"/>
        <v>554.29999999999995</v>
      </c>
      <c r="AI44" s="49">
        <f t="shared" si="3"/>
        <v>467.19899999999996</v>
      </c>
      <c r="AK44" s="50"/>
    </row>
    <row r="45" spans="1:88" x14ac:dyDescent="0.25">
      <c r="A45" s="63" t="s">
        <v>53</v>
      </c>
      <c r="B45" s="45">
        <v>30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35</v>
      </c>
      <c r="K45" s="45">
        <v>76</v>
      </c>
      <c r="L45" s="45">
        <v>125</v>
      </c>
      <c r="M45" s="164">
        <v>205</v>
      </c>
      <c r="N45" s="164">
        <v>230</v>
      </c>
      <c r="O45" s="164">
        <v>250</v>
      </c>
      <c r="P45" s="45">
        <v>160</v>
      </c>
      <c r="Q45" s="45">
        <v>120</v>
      </c>
      <c r="R45" s="45">
        <v>70</v>
      </c>
      <c r="S45" s="45">
        <v>76</v>
      </c>
      <c r="T45" s="45">
        <v>15</v>
      </c>
      <c r="U45" s="45">
        <v>0</v>
      </c>
      <c r="V45" s="45">
        <v>76</v>
      </c>
      <c r="W45" s="45">
        <v>150</v>
      </c>
      <c r="X45" s="45">
        <v>260</v>
      </c>
      <c r="Y45" s="45">
        <v>310</v>
      </c>
      <c r="Z45" s="45">
        <v>260</v>
      </c>
      <c r="AA45" s="45">
        <v>250</v>
      </c>
      <c r="AB45" s="45">
        <v>160</v>
      </c>
      <c r="AC45" s="45">
        <v>140</v>
      </c>
      <c r="AD45" s="45">
        <v>100</v>
      </c>
      <c r="AE45" s="45">
        <v>0</v>
      </c>
      <c r="AF45" s="45">
        <v>0</v>
      </c>
      <c r="AG45" s="52">
        <v>456</v>
      </c>
      <c r="AH45" s="48">
        <f t="shared" si="2"/>
        <v>310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41</v>
      </c>
      <c r="AK46" s="50"/>
    </row>
    <row r="47" spans="1:88" ht="15.75" thickBot="1" x14ac:dyDescent="0.3">
      <c r="A47" s="66" t="s">
        <v>55</v>
      </c>
      <c r="B47" s="67">
        <v>12</v>
      </c>
      <c r="C47" s="67">
        <v>12</v>
      </c>
      <c r="D47" s="67">
        <v>12</v>
      </c>
      <c r="E47" s="67">
        <v>12</v>
      </c>
      <c r="F47" s="67">
        <v>12</v>
      </c>
      <c r="G47" s="67">
        <v>12</v>
      </c>
      <c r="H47" s="67">
        <v>12</v>
      </c>
      <c r="I47" s="67">
        <v>12</v>
      </c>
      <c r="J47" s="67">
        <v>12.2</v>
      </c>
      <c r="K47" s="67">
        <v>12</v>
      </c>
      <c r="L47" s="67">
        <v>12</v>
      </c>
      <c r="M47" s="67">
        <v>12</v>
      </c>
      <c r="N47" s="67">
        <v>12</v>
      </c>
      <c r="O47" s="67">
        <v>12</v>
      </c>
      <c r="P47" s="67">
        <v>12</v>
      </c>
      <c r="Q47" s="67">
        <v>12</v>
      </c>
      <c r="R47" s="67">
        <v>12</v>
      </c>
      <c r="S47" s="67">
        <v>12.1</v>
      </c>
      <c r="T47" s="67">
        <v>12.1</v>
      </c>
      <c r="U47" s="67">
        <v>13.6</v>
      </c>
      <c r="V47" s="67">
        <v>13.6</v>
      </c>
      <c r="W47" s="67">
        <v>13.6</v>
      </c>
      <c r="X47" s="67">
        <v>13.6</v>
      </c>
      <c r="Y47" s="67">
        <v>18.100000000000001</v>
      </c>
      <c r="Z47" s="67">
        <v>18.100000000000001</v>
      </c>
      <c r="AA47" s="67">
        <v>18.100000000000001</v>
      </c>
      <c r="AB47" s="67">
        <v>12.5</v>
      </c>
      <c r="AC47" s="67">
        <v>12.2</v>
      </c>
      <c r="AD47" s="67">
        <v>12.1</v>
      </c>
      <c r="AE47" s="67">
        <v>12.1</v>
      </c>
      <c r="AF47" s="67">
        <v>12.1</v>
      </c>
      <c r="AG47" s="68">
        <v>22.1</v>
      </c>
      <c r="AH47" s="48">
        <f t="shared" si="2"/>
        <v>18.100000000000001</v>
      </c>
      <c r="AI47" s="49">
        <f t="shared" si="3"/>
        <v>12</v>
      </c>
      <c r="AK47" s="50"/>
    </row>
    <row r="48" spans="1:88" ht="15.75" thickBot="1" x14ac:dyDescent="0.3">
      <c r="A48" s="69" t="s">
        <v>56</v>
      </c>
      <c r="B48" s="61">
        <f t="shared" ref="B48:AG48" si="6">SUM(B45:B47)</f>
        <v>83</v>
      </c>
      <c r="C48" s="61">
        <f t="shared" si="6"/>
        <v>53</v>
      </c>
      <c r="D48" s="61">
        <f t="shared" si="6"/>
        <v>53</v>
      </c>
      <c r="E48" s="61">
        <f t="shared" si="6"/>
        <v>53</v>
      </c>
      <c r="F48" s="61">
        <f t="shared" si="6"/>
        <v>53</v>
      </c>
      <c r="G48" s="61">
        <f t="shared" si="6"/>
        <v>53</v>
      </c>
      <c r="H48" s="61">
        <f t="shared" si="6"/>
        <v>53</v>
      </c>
      <c r="I48" s="61">
        <f t="shared" si="6"/>
        <v>53</v>
      </c>
      <c r="J48" s="61">
        <f t="shared" si="6"/>
        <v>88.2</v>
      </c>
      <c r="K48" s="61">
        <f t="shared" si="6"/>
        <v>129</v>
      </c>
      <c r="L48" s="61">
        <f t="shared" si="6"/>
        <v>178</v>
      </c>
      <c r="M48" s="61">
        <f t="shared" si="6"/>
        <v>258</v>
      </c>
      <c r="N48" s="61">
        <f t="shared" si="6"/>
        <v>283</v>
      </c>
      <c r="O48" s="61">
        <f t="shared" si="6"/>
        <v>303</v>
      </c>
      <c r="P48" s="61">
        <f t="shared" si="6"/>
        <v>213</v>
      </c>
      <c r="Q48" s="61">
        <f t="shared" si="6"/>
        <v>173</v>
      </c>
      <c r="R48" s="61">
        <f t="shared" si="6"/>
        <v>123</v>
      </c>
      <c r="S48" s="61">
        <f t="shared" si="6"/>
        <v>129.1</v>
      </c>
      <c r="T48" s="61">
        <f t="shared" si="6"/>
        <v>68.099999999999994</v>
      </c>
      <c r="U48" s="61">
        <f t="shared" si="6"/>
        <v>54.6</v>
      </c>
      <c r="V48" s="61">
        <f t="shared" si="6"/>
        <v>130.6</v>
      </c>
      <c r="W48" s="61">
        <f t="shared" si="6"/>
        <v>204.6</v>
      </c>
      <c r="X48" s="61">
        <v>515.70000000000005</v>
      </c>
      <c r="Y48" s="61">
        <f t="shared" si="6"/>
        <v>369.1</v>
      </c>
      <c r="Z48" s="61">
        <f t="shared" si="6"/>
        <v>319.10000000000002</v>
      </c>
      <c r="AA48" s="61">
        <f t="shared" si="6"/>
        <v>309.10000000000002</v>
      </c>
      <c r="AB48" s="61">
        <f t="shared" si="6"/>
        <v>213.5</v>
      </c>
      <c r="AC48" s="61">
        <f t="shared" si="6"/>
        <v>193.2</v>
      </c>
      <c r="AD48" s="61">
        <f t="shared" si="6"/>
        <v>153.1</v>
      </c>
      <c r="AE48" s="61">
        <f t="shared" si="6"/>
        <v>53.1</v>
      </c>
      <c r="AF48" s="61">
        <f t="shared" si="6"/>
        <v>53.1</v>
      </c>
      <c r="AG48" s="62">
        <f t="shared" si="6"/>
        <v>538.1</v>
      </c>
      <c r="AH48" s="48">
        <f t="shared" si="2"/>
        <v>515.70000000000005</v>
      </c>
      <c r="AI48" s="49">
        <f t="shared" si="3"/>
        <v>53</v>
      </c>
      <c r="AK48" s="50"/>
    </row>
    <row r="49" spans="1:41" x14ac:dyDescent="0.25">
      <c r="A49" s="44" t="s">
        <v>57</v>
      </c>
      <c r="B49" s="45">
        <v>25</v>
      </c>
      <c r="C49" s="45">
        <v>25</v>
      </c>
      <c r="D49" s="45">
        <v>25</v>
      </c>
      <c r="E49" s="45">
        <v>0</v>
      </c>
      <c r="F49" s="45">
        <v>0</v>
      </c>
      <c r="G49" s="45">
        <v>0</v>
      </c>
      <c r="H49" s="45">
        <v>22.7</v>
      </c>
      <c r="I49" s="45">
        <v>41</v>
      </c>
      <c r="J49" s="45">
        <v>61.2</v>
      </c>
      <c r="K49" s="45">
        <v>77</v>
      </c>
      <c r="L49" s="45">
        <v>90</v>
      </c>
      <c r="M49" s="45">
        <v>97</v>
      </c>
      <c r="N49" s="45">
        <v>97</v>
      </c>
      <c r="O49" s="45">
        <v>82.5</v>
      </c>
      <c r="P49" s="45">
        <v>86.3</v>
      </c>
      <c r="Q49" s="45">
        <v>97.6</v>
      </c>
      <c r="R49" s="45">
        <v>97.7</v>
      </c>
      <c r="S49" s="45">
        <v>97.16</v>
      </c>
      <c r="T49" s="45">
        <v>91.6</v>
      </c>
      <c r="U49" s="45">
        <v>61.1</v>
      </c>
      <c r="V49" s="45">
        <v>61</v>
      </c>
      <c r="W49" s="45">
        <v>118</v>
      </c>
      <c r="X49" s="45">
        <v>141.30000000000001</v>
      </c>
      <c r="Y49" s="45">
        <v>141.30000000000001</v>
      </c>
      <c r="Z49" s="45">
        <v>141.30000000000001</v>
      </c>
      <c r="AA49" s="45">
        <v>139.78</v>
      </c>
      <c r="AB49" s="45">
        <v>139.4</v>
      </c>
      <c r="AC49" s="45">
        <v>139.4</v>
      </c>
      <c r="AD49" s="45">
        <v>139.4</v>
      </c>
      <c r="AE49" s="45">
        <v>26.4</v>
      </c>
      <c r="AF49" s="45">
        <v>0</v>
      </c>
      <c r="AG49" s="52">
        <v>144</v>
      </c>
      <c r="AH49" s="48">
        <f t="shared" si="2"/>
        <v>141.30000000000001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33.6</v>
      </c>
      <c r="H50" s="65">
        <v>25</v>
      </c>
      <c r="I50" s="65">
        <v>35.9</v>
      </c>
      <c r="J50" s="65">
        <v>44.3</v>
      </c>
      <c r="K50" s="65">
        <v>47.7</v>
      </c>
      <c r="L50" s="65">
        <v>66.5</v>
      </c>
      <c r="M50" s="65">
        <v>69</v>
      </c>
      <c r="N50" s="65">
        <v>69</v>
      </c>
      <c r="O50" s="65">
        <v>69.2</v>
      </c>
      <c r="P50" s="65">
        <v>60.6</v>
      </c>
      <c r="Q50" s="65">
        <v>69</v>
      </c>
      <c r="R50" s="65">
        <v>68.7</v>
      </c>
      <c r="S50" s="45">
        <v>61</v>
      </c>
      <c r="T50" s="45">
        <v>38</v>
      </c>
      <c r="U50" s="45">
        <v>0</v>
      </c>
      <c r="V50" s="45">
        <v>0</v>
      </c>
      <c r="W50" s="45">
        <v>45</v>
      </c>
      <c r="X50" s="45">
        <v>50</v>
      </c>
      <c r="Y50" s="45">
        <v>69</v>
      </c>
      <c r="Z50" s="45">
        <v>69</v>
      </c>
      <c r="AA50" s="45">
        <v>65.8</v>
      </c>
      <c r="AB50" s="45">
        <v>68.400000000000006</v>
      </c>
      <c r="AC50" s="45">
        <v>68.400000000000006</v>
      </c>
      <c r="AD50" s="45">
        <v>68.400000000000006</v>
      </c>
      <c r="AE50" s="65">
        <v>24.5</v>
      </c>
      <c r="AF50" s="65">
        <v>0</v>
      </c>
      <c r="AG50" s="55">
        <v>70</v>
      </c>
      <c r="AH50" s="48">
        <f t="shared" si="2"/>
        <v>69.2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31.6</v>
      </c>
      <c r="C51" s="65">
        <v>33.200000000000003</v>
      </c>
      <c r="D51" s="65">
        <v>35.700000000000003</v>
      </c>
      <c r="E51" s="65">
        <v>36</v>
      </c>
      <c r="F51" s="65">
        <v>21</v>
      </c>
      <c r="G51" s="65">
        <v>20.3</v>
      </c>
      <c r="H51" s="65">
        <v>21.6</v>
      </c>
      <c r="I51" s="65">
        <v>20.8</v>
      </c>
      <c r="J51" s="65">
        <v>30.5</v>
      </c>
      <c r="K51" s="65">
        <v>45</v>
      </c>
      <c r="L51" s="65">
        <v>45.5</v>
      </c>
      <c r="M51" s="65">
        <v>68.099999999999994</v>
      </c>
      <c r="N51" s="65">
        <v>68.099999999999994</v>
      </c>
      <c r="O51" s="65">
        <v>64.900000000000006</v>
      </c>
      <c r="P51" s="65">
        <v>53.2</v>
      </c>
      <c r="Q51" s="65">
        <v>45</v>
      </c>
      <c r="R51" s="65">
        <v>33.200000000000003</v>
      </c>
      <c r="S51" s="45">
        <v>35.200000000000003</v>
      </c>
      <c r="T51" s="45">
        <v>21.8</v>
      </c>
      <c r="U51" s="45">
        <v>0</v>
      </c>
      <c r="V51" s="45">
        <v>0</v>
      </c>
      <c r="W51" s="45">
        <v>51.2</v>
      </c>
      <c r="X51" s="45">
        <v>68.5</v>
      </c>
      <c r="Y51" s="45">
        <v>68.5</v>
      </c>
      <c r="Z51" s="45">
        <v>68.5</v>
      </c>
      <c r="AA51" s="45">
        <v>67.599999999999994</v>
      </c>
      <c r="AB51" s="45">
        <v>66.400000000000006</v>
      </c>
      <c r="AC51" s="45">
        <v>66.400000000000006</v>
      </c>
      <c r="AD51" s="45">
        <v>66.400000000000006</v>
      </c>
      <c r="AE51" s="65">
        <v>67.599999999999994</v>
      </c>
      <c r="AF51" s="65">
        <v>55.6</v>
      </c>
      <c r="AG51" s="55">
        <v>69</v>
      </c>
      <c r="AH51" s="48">
        <f t="shared" si="2"/>
        <v>68.5</v>
      </c>
      <c r="AI51" s="49">
        <f t="shared" si="3"/>
        <v>0</v>
      </c>
      <c r="AK51" s="50"/>
    </row>
    <row r="52" spans="1:41" x14ac:dyDescent="0.25">
      <c r="A52" s="54" t="s">
        <v>60</v>
      </c>
      <c r="B52" s="57">
        <v>54.2</v>
      </c>
      <c r="C52" s="57">
        <v>57</v>
      </c>
      <c r="D52" s="57">
        <v>56.7</v>
      </c>
      <c r="E52" s="57">
        <v>53.9</v>
      </c>
      <c r="F52" s="57">
        <v>53.9</v>
      </c>
      <c r="G52" s="57">
        <v>51.4</v>
      </c>
      <c r="H52" s="57">
        <v>51.4</v>
      </c>
      <c r="I52" s="57">
        <v>53.2</v>
      </c>
      <c r="J52" s="57">
        <v>53.9</v>
      </c>
      <c r="K52" s="57">
        <v>53.9</v>
      </c>
      <c r="L52" s="57">
        <v>52</v>
      </c>
      <c r="M52" s="65">
        <v>52.4</v>
      </c>
      <c r="N52" s="65">
        <v>52.4</v>
      </c>
      <c r="O52" s="65">
        <v>54.9</v>
      </c>
      <c r="P52" s="65">
        <v>54.9</v>
      </c>
      <c r="Q52" s="65">
        <v>54.9</v>
      </c>
      <c r="R52" s="65">
        <v>54.9</v>
      </c>
      <c r="S52" s="45">
        <v>50.6</v>
      </c>
      <c r="T52" s="45">
        <v>54.4</v>
      </c>
      <c r="U52" s="45">
        <v>54.2</v>
      </c>
      <c r="V52" s="45">
        <v>51.1</v>
      </c>
      <c r="W52" s="65">
        <v>52.4</v>
      </c>
      <c r="X52" s="65">
        <v>52.6</v>
      </c>
      <c r="Y52" s="65">
        <v>52.6</v>
      </c>
      <c r="Z52" s="65">
        <v>52.6</v>
      </c>
      <c r="AA52" s="65">
        <v>53.2</v>
      </c>
      <c r="AB52" s="65">
        <v>53.2</v>
      </c>
      <c r="AC52" s="65">
        <v>53.2</v>
      </c>
      <c r="AD52" s="65">
        <v>53.2</v>
      </c>
      <c r="AE52" s="65">
        <v>55.4</v>
      </c>
      <c r="AF52" s="65">
        <v>55.4</v>
      </c>
      <c r="AG52" s="55">
        <v>60</v>
      </c>
      <c r="AH52" s="48">
        <f t="shared" si="2"/>
        <v>57</v>
      </c>
      <c r="AI52" s="49">
        <f t="shared" si="3"/>
        <v>50.6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10</v>
      </c>
      <c r="H53" s="57">
        <v>10</v>
      </c>
      <c r="I53" s="57">
        <v>15</v>
      </c>
      <c r="J53" s="57">
        <v>25.8</v>
      </c>
      <c r="K53" s="57">
        <v>30</v>
      </c>
      <c r="L53" s="57">
        <v>30</v>
      </c>
      <c r="M53" s="65">
        <v>28.6</v>
      </c>
      <c r="N53" s="65">
        <v>28.6</v>
      </c>
      <c r="O53" s="65">
        <v>0</v>
      </c>
      <c r="P53" s="65">
        <v>0</v>
      </c>
      <c r="Q53" s="65">
        <v>0</v>
      </c>
      <c r="R53" s="65">
        <v>0</v>
      </c>
      <c r="S53" s="45">
        <v>0</v>
      </c>
      <c r="T53" s="45">
        <v>0</v>
      </c>
      <c r="U53" s="45">
        <v>0</v>
      </c>
      <c r="V53" s="45">
        <v>0</v>
      </c>
      <c r="W53" s="65">
        <v>25</v>
      </c>
      <c r="X53" s="65">
        <v>25.4</v>
      </c>
      <c r="Y53" s="65">
        <v>25.4</v>
      </c>
      <c r="Z53" s="65">
        <v>25.4</v>
      </c>
      <c r="AA53" s="65">
        <v>10</v>
      </c>
      <c r="AB53" s="65">
        <v>8.9</v>
      </c>
      <c r="AC53" s="65">
        <v>8.9</v>
      </c>
      <c r="AD53" s="65">
        <v>8.9</v>
      </c>
      <c r="AE53" s="65">
        <v>0</v>
      </c>
      <c r="AF53" s="65">
        <v>0</v>
      </c>
      <c r="AG53" s="55">
        <v>30</v>
      </c>
      <c r="AH53" s="48">
        <f t="shared" si="2"/>
        <v>30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10.199999999999999</v>
      </c>
      <c r="T54" s="45">
        <v>5</v>
      </c>
      <c r="U54" s="45">
        <v>5</v>
      </c>
      <c r="V54" s="45">
        <v>0</v>
      </c>
      <c r="W54" s="4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10.199999999999999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17.100000000000001</v>
      </c>
      <c r="S55" s="45">
        <v>17</v>
      </c>
      <c r="T55" s="45">
        <v>16</v>
      </c>
      <c r="U55" s="45">
        <v>16</v>
      </c>
      <c r="V55" s="45">
        <v>16</v>
      </c>
      <c r="W55" s="65">
        <v>16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5">
        <v>24</v>
      </c>
      <c r="AH55" s="48">
        <f t="shared" si="2"/>
        <v>17.100000000000001</v>
      </c>
      <c r="AI55" s="49">
        <f t="shared" si="3"/>
        <v>16</v>
      </c>
      <c r="AK55" s="50"/>
    </row>
    <row r="56" spans="1:41" x14ac:dyDescent="0.25">
      <c r="A56" s="54" t="s">
        <v>64</v>
      </c>
      <c r="B56" s="65">
        <v>2.5</v>
      </c>
      <c r="C56" s="65">
        <v>2.5</v>
      </c>
      <c r="D56" s="65">
        <v>2.5</v>
      </c>
      <c r="E56" s="65">
        <v>2.5</v>
      </c>
      <c r="F56" s="65">
        <v>2.5</v>
      </c>
      <c r="G56" s="65">
        <v>2.5</v>
      </c>
      <c r="H56" s="65">
        <v>2.5</v>
      </c>
      <c r="I56" s="65">
        <v>2.5</v>
      </c>
      <c r="J56" s="65">
        <v>2.5</v>
      </c>
      <c r="K56" s="65">
        <v>2.5</v>
      </c>
      <c r="L56" s="65">
        <v>2.5</v>
      </c>
      <c r="M56" s="65">
        <v>2.5</v>
      </c>
      <c r="N56" s="65">
        <v>2.5</v>
      </c>
      <c r="O56" s="65">
        <v>2.5</v>
      </c>
      <c r="P56" s="65">
        <v>2.5</v>
      </c>
      <c r="Q56" s="65">
        <v>2.5</v>
      </c>
      <c r="R56" s="65">
        <v>2.5</v>
      </c>
      <c r="S56" s="45">
        <v>2.5</v>
      </c>
      <c r="T56" s="45">
        <v>2.5</v>
      </c>
      <c r="U56" s="45">
        <v>2.5</v>
      </c>
      <c r="V56" s="4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5">
        <v>15</v>
      </c>
      <c r="AH56" s="48">
        <f t="shared" si="2"/>
        <v>3.2</v>
      </c>
      <c r="AI56" s="49">
        <f t="shared" si="3"/>
        <v>2.5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11.8</v>
      </c>
      <c r="C57" s="65">
        <v>11.8</v>
      </c>
      <c r="D57" s="65">
        <v>11.8</v>
      </c>
      <c r="E57" s="65">
        <v>11.8</v>
      </c>
      <c r="F57" s="65">
        <v>11.8</v>
      </c>
      <c r="G57" s="65">
        <v>11.8</v>
      </c>
      <c r="H57" s="65">
        <v>11.8</v>
      </c>
      <c r="I57" s="65">
        <v>11.8</v>
      </c>
      <c r="J57" s="65">
        <v>11.8</v>
      </c>
      <c r="K57" s="65">
        <v>11.8</v>
      </c>
      <c r="L57" s="65">
        <v>11.8</v>
      </c>
      <c r="M57" s="65">
        <v>11.8</v>
      </c>
      <c r="N57" s="65">
        <v>11.8</v>
      </c>
      <c r="O57" s="65">
        <v>11.8</v>
      </c>
      <c r="P57" s="65">
        <v>11.8</v>
      </c>
      <c r="Q57" s="65">
        <v>11.8</v>
      </c>
      <c r="R57" s="65">
        <v>11.8</v>
      </c>
      <c r="S57" s="65">
        <v>13.1</v>
      </c>
      <c r="T57" s="65">
        <v>13.1</v>
      </c>
      <c r="U57" s="65">
        <v>13.1</v>
      </c>
      <c r="V57" s="65">
        <v>13</v>
      </c>
      <c r="W57" s="65">
        <v>12.8</v>
      </c>
      <c r="X57" s="65">
        <v>12.6</v>
      </c>
      <c r="Y57" s="65">
        <v>12.6</v>
      </c>
      <c r="Z57" s="65">
        <v>12.6</v>
      </c>
      <c r="AA57" s="65">
        <v>12.6</v>
      </c>
      <c r="AB57" s="65">
        <v>12.6</v>
      </c>
      <c r="AC57" s="65">
        <v>12.6</v>
      </c>
      <c r="AD57" s="65">
        <v>12.6</v>
      </c>
      <c r="AE57" s="65">
        <v>12.6</v>
      </c>
      <c r="AF57" s="65">
        <v>12.6</v>
      </c>
      <c r="AG57" s="55">
        <v>14.1</v>
      </c>
      <c r="AH57" s="48">
        <f t="shared" si="2"/>
        <v>13.1</v>
      </c>
      <c r="AI57" s="49">
        <f t="shared" si="3"/>
        <v>11.8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4.9000000000000004</v>
      </c>
      <c r="C58" s="65">
        <v>4.9000000000000004</v>
      </c>
      <c r="D58" s="65">
        <v>4.9000000000000004</v>
      </c>
      <c r="E58" s="65">
        <v>4.9000000000000004</v>
      </c>
      <c r="F58" s="65">
        <v>4.9000000000000004</v>
      </c>
      <c r="G58" s="65">
        <v>4.9000000000000004</v>
      </c>
      <c r="H58" s="65">
        <v>4.9000000000000004</v>
      </c>
      <c r="I58" s="65">
        <v>4.9000000000000004</v>
      </c>
      <c r="J58" s="65">
        <v>4.9000000000000004</v>
      </c>
      <c r="K58" s="65">
        <v>4.9000000000000004</v>
      </c>
      <c r="L58" s="65">
        <v>4.9000000000000004</v>
      </c>
      <c r="M58" s="65">
        <v>4.9000000000000004</v>
      </c>
      <c r="N58" s="65">
        <v>4.9000000000000004</v>
      </c>
      <c r="O58" s="65">
        <v>4.9000000000000004</v>
      </c>
      <c r="P58" s="65">
        <v>4.9000000000000004</v>
      </c>
      <c r="Q58" s="65">
        <v>4.9000000000000004</v>
      </c>
      <c r="R58" s="65">
        <v>4.9000000000000004</v>
      </c>
      <c r="S58" s="65">
        <v>4.9000000000000004</v>
      </c>
      <c r="T58" s="65">
        <v>4.9000000000000004</v>
      </c>
      <c r="U58" s="65">
        <v>4.9000000000000004</v>
      </c>
      <c r="V58" s="65">
        <v>4.9000000000000004</v>
      </c>
      <c r="W58" s="65">
        <v>4.9000000000000004</v>
      </c>
      <c r="X58" s="65">
        <v>4.8</v>
      </c>
      <c r="Y58" s="65">
        <v>4.8</v>
      </c>
      <c r="Z58" s="65">
        <v>4.8</v>
      </c>
      <c r="AA58" s="65">
        <v>4.8</v>
      </c>
      <c r="AB58" s="65">
        <v>4.8</v>
      </c>
      <c r="AC58" s="65">
        <v>4.8</v>
      </c>
      <c r="AD58" s="65">
        <v>4.8</v>
      </c>
      <c r="AE58" s="65">
        <v>4.8</v>
      </c>
      <c r="AF58" s="65">
        <v>4.8</v>
      </c>
      <c r="AG58" s="55">
        <v>14</v>
      </c>
      <c r="AH58" s="48">
        <f t="shared" si="2"/>
        <v>4.9000000000000004</v>
      </c>
      <c r="AI58" s="49">
        <f t="shared" si="3"/>
        <v>4.8</v>
      </c>
      <c r="AK58" s="50"/>
    </row>
    <row r="59" spans="1:41" x14ac:dyDescent="0.25">
      <c r="A59" s="54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4.5999999999999996</v>
      </c>
      <c r="Y59" s="65">
        <v>4.5999999999999996</v>
      </c>
      <c r="Z59" s="65">
        <v>4.5999999999999996</v>
      </c>
      <c r="AA59" s="65">
        <v>4.5999999999999996</v>
      </c>
      <c r="AB59" s="65">
        <v>4.5999999999999996</v>
      </c>
      <c r="AC59" s="65">
        <v>4.5999999999999996</v>
      </c>
      <c r="AD59" s="65">
        <v>4.5999999999999996</v>
      </c>
      <c r="AE59" s="65">
        <v>4.5999999999999996</v>
      </c>
      <c r="AF59" s="65">
        <v>4.5999999999999996</v>
      </c>
      <c r="AG59" s="55">
        <v>10.050000000000001</v>
      </c>
      <c r="AH59" s="48">
        <f t="shared" si="2"/>
        <v>5.2</v>
      </c>
      <c r="AI59" s="49">
        <f t="shared" si="3"/>
        <v>4.5999999999999996</v>
      </c>
      <c r="AK59" s="50"/>
    </row>
    <row r="60" spans="1:41" x14ac:dyDescent="0.25">
      <c r="A60" s="54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2.4</v>
      </c>
      <c r="Y60" s="65">
        <v>2.4</v>
      </c>
      <c r="Z60" s="65">
        <v>2.4</v>
      </c>
      <c r="AA60" s="65">
        <v>2.4</v>
      </c>
      <c r="AB60" s="65">
        <v>2.4</v>
      </c>
      <c r="AC60" s="65">
        <v>2.4</v>
      </c>
      <c r="AD60" s="65">
        <v>2.4</v>
      </c>
      <c r="AE60" s="65">
        <v>2.4</v>
      </c>
      <c r="AF60" s="65">
        <v>2.4</v>
      </c>
      <c r="AG60" s="55">
        <v>6.2</v>
      </c>
      <c r="AH60" s="48">
        <f t="shared" si="2"/>
        <v>3.2</v>
      </c>
      <c r="AI60" s="49">
        <f t="shared" si="3"/>
        <v>2.4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</v>
      </c>
      <c r="AK61" s="50"/>
    </row>
    <row r="62" spans="1:41" ht="15.75" thickBot="1" x14ac:dyDescent="0.3">
      <c r="A62" s="74" t="s">
        <v>70</v>
      </c>
      <c r="B62" s="61">
        <f t="shared" ref="B62:AG62" si="7">SUM(B49:B61)</f>
        <v>159.04</v>
      </c>
      <c r="C62" s="61">
        <f t="shared" si="7"/>
        <v>163.44</v>
      </c>
      <c r="D62" s="61">
        <f t="shared" si="7"/>
        <v>165.64</v>
      </c>
      <c r="E62" s="61">
        <f t="shared" si="7"/>
        <v>138.13999999999999</v>
      </c>
      <c r="F62" s="61">
        <f t="shared" si="7"/>
        <v>123.14000000000001</v>
      </c>
      <c r="G62" s="61">
        <f t="shared" si="7"/>
        <v>163.54</v>
      </c>
      <c r="H62" s="61">
        <f t="shared" si="7"/>
        <v>178.94</v>
      </c>
      <c r="I62" s="61">
        <f t="shared" si="7"/>
        <v>214.14</v>
      </c>
      <c r="J62" s="61">
        <f t="shared" si="7"/>
        <v>263.94000000000005</v>
      </c>
      <c r="K62" s="61">
        <f t="shared" si="7"/>
        <v>301.83999999999997</v>
      </c>
      <c r="L62" s="61">
        <f t="shared" si="7"/>
        <v>332.24</v>
      </c>
      <c r="M62" s="61">
        <f t="shared" si="7"/>
        <v>363.34000000000003</v>
      </c>
      <c r="N62" s="61">
        <f t="shared" si="7"/>
        <v>363.34000000000003</v>
      </c>
      <c r="O62" s="61">
        <f t="shared" si="7"/>
        <v>319.74</v>
      </c>
      <c r="P62" s="61">
        <f t="shared" si="7"/>
        <v>303.24</v>
      </c>
      <c r="Q62" s="61">
        <f t="shared" si="7"/>
        <v>314.74</v>
      </c>
      <c r="R62" s="61">
        <f t="shared" si="7"/>
        <v>302.74</v>
      </c>
      <c r="S62" s="61">
        <f t="shared" si="7"/>
        <v>303.59999999999997</v>
      </c>
      <c r="T62" s="61">
        <f t="shared" si="7"/>
        <v>259.24</v>
      </c>
      <c r="U62" s="61">
        <f t="shared" si="7"/>
        <v>168.73999999999998</v>
      </c>
      <c r="V62" s="61">
        <f t="shared" si="7"/>
        <v>161.13999999999996</v>
      </c>
      <c r="W62" s="61">
        <f t="shared" si="7"/>
        <v>340.43999999999994</v>
      </c>
      <c r="X62" s="61">
        <v>388.24000000000007</v>
      </c>
      <c r="Y62" s="61">
        <f t="shared" si="7"/>
        <v>403.94000000000005</v>
      </c>
      <c r="Z62" s="61">
        <f t="shared" si="7"/>
        <v>403.94000000000005</v>
      </c>
      <c r="AA62" s="61">
        <f t="shared" si="7"/>
        <v>383.52</v>
      </c>
      <c r="AB62" s="61">
        <f t="shared" si="7"/>
        <v>383.44000000000005</v>
      </c>
      <c r="AC62" s="61">
        <f t="shared" si="7"/>
        <v>383.44000000000005</v>
      </c>
      <c r="AD62" s="61">
        <f t="shared" si="7"/>
        <v>383.44000000000005</v>
      </c>
      <c r="AE62" s="61">
        <f t="shared" si="7"/>
        <v>221.04</v>
      </c>
      <c r="AF62" s="61">
        <f t="shared" si="7"/>
        <v>158.13999999999999</v>
      </c>
      <c r="AG62" s="62">
        <f t="shared" si="7"/>
        <v>489.91</v>
      </c>
      <c r="AH62" s="48">
        <f t="shared" si="2"/>
        <v>403.94000000000005</v>
      </c>
      <c r="AI62" s="49">
        <f t="shared" si="3"/>
        <v>123.14000000000001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50</v>
      </c>
      <c r="I63" s="45">
        <v>50</v>
      </c>
      <c r="J63" s="45">
        <v>55</v>
      </c>
      <c r="K63" s="45">
        <v>60</v>
      </c>
      <c r="L63" s="45">
        <v>60</v>
      </c>
      <c r="M63" s="45">
        <v>60</v>
      </c>
      <c r="N63" s="45">
        <v>50</v>
      </c>
      <c r="O63" s="45">
        <v>50</v>
      </c>
      <c r="P63" s="45">
        <v>50</v>
      </c>
      <c r="Q63" s="45">
        <v>60</v>
      </c>
      <c r="R63" s="45">
        <v>60</v>
      </c>
      <c r="S63" s="45">
        <v>60</v>
      </c>
      <c r="T63" s="45">
        <v>60</v>
      </c>
      <c r="U63" s="45">
        <v>35</v>
      </c>
      <c r="V63" s="45">
        <v>60</v>
      </c>
      <c r="W63" s="45">
        <v>60</v>
      </c>
      <c r="X63" s="45">
        <v>60</v>
      </c>
      <c r="Y63" s="45">
        <v>60</v>
      </c>
      <c r="Z63" s="45">
        <v>60</v>
      </c>
      <c r="AA63" s="45">
        <v>60</v>
      </c>
      <c r="AB63" s="45">
        <v>60</v>
      </c>
      <c r="AC63" s="45">
        <v>60</v>
      </c>
      <c r="AD63" s="45">
        <v>50</v>
      </c>
      <c r="AE63" s="45">
        <v>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15.2</v>
      </c>
      <c r="I64" s="65">
        <v>21</v>
      </c>
      <c r="J64" s="65">
        <v>27</v>
      </c>
      <c r="K64" s="65">
        <v>29</v>
      </c>
      <c r="L64" s="65">
        <v>29</v>
      </c>
      <c r="M64" s="65">
        <v>28.2</v>
      </c>
      <c r="N64" s="65">
        <v>28.2</v>
      </c>
      <c r="O64" s="65">
        <v>27.6</v>
      </c>
      <c r="P64" s="65">
        <v>25</v>
      </c>
      <c r="Q64" s="45">
        <v>25</v>
      </c>
      <c r="R64" s="45">
        <v>28.5</v>
      </c>
      <c r="S64" s="65">
        <v>28.1</v>
      </c>
      <c r="T64" s="65">
        <v>28.5</v>
      </c>
      <c r="U64" s="65">
        <v>16</v>
      </c>
      <c r="V64" s="65">
        <v>28</v>
      </c>
      <c r="W64" s="65">
        <v>28.2</v>
      </c>
      <c r="X64" s="65">
        <v>28.2</v>
      </c>
      <c r="Y64" s="65">
        <v>28.2</v>
      </c>
      <c r="Z64" s="65">
        <v>28.2</v>
      </c>
      <c r="AA64" s="65">
        <v>28.2</v>
      </c>
      <c r="AB64" s="65">
        <v>28.2</v>
      </c>
      <c r="AC64" s="65">
        <v>28.2</v>
      </c>
      <c r="AD64" s="65">
        <v>21.1</v>
      </c>
      <c r="AE64" s="65">
        <v>0</v>
      </c>
      <c r="AF64" s="45">
        <v>0</v>
      </c>
      <c r="AG64" s="55">
        <v>32</v>
      </c>
      <c r="AH64" s="48">
        <f t="shared" si="2"/>
        <v>29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5.6</v>
      </c>
      <c r="I65" s="67">
        <v>8</v>
      </c>
      <c r="J65" s="67">
        <v>10</v>
      </c>
      <c r="K65" s="67">
        <v>10</v>
      </c>
      <c r="L65" s="67">
        <v>10</v>
      </c>
      <c r="M65" s="67">
        <v>10.3</v>
      </c>
      <c r="N65" s="67">
        <v>10.3</v>
      </c>
      <c r="O65" s="67">
        <v>10.1</v>
      </c>
      <c r="P65" s="67">
        <v>9.1999999999999993</v>
      </c>
      <c r="Q65" s="45">
        <v>9</v>
      </c>
      <c r="R65" s="45">
        <v>10.4</v>
      </c>
      <c r="S65" s="67">
        <v>10.4</v>
      </c>
      <c r="T65" s="67">
        <v>10.4</v>
      </c>
      <c r="U65" s="67">
        <v>5.8</v>
      </c>
      <c r="V65" s="67">
        <v>10.199999999999999</v>
      </c>
      <c r="W65" s="67">
        <v>10.4</v>
      </c>
      <c r="X65" s="67">
        <v>10.4</v>
      </c>
      <c r="Y65" s="67">
        <v>10.4</v>
      </c>
      <c r="Z65" s="67">
        <v>10.4</v>
      </c>
      <c r="AA65" s="67">
        <v>10.4</v>
      </c>
      <c r="AB65" s="67">
        <v>10.3</v>
      </c>
      <c r="AC65" s="67">
        <v>10.3</v>
      </c>
      <c r="AD65" s="67">
        <v>7.7</v>
      </c>
      <c r="AE65" s="67">
        <v>0</v>
      </c>
      <c r="AF65" s="45">
        <v>0</v>
      </c>
      <c r="AG65" s="68">
        <v>14</v>
      </c>
      <c r="AH65" s="48">
        <f t="shared" si="2"/>
        <v>10.4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99</v>
      </c>
      <c r="M66" s="61">
        <f t="shared" ref="M66:AE66" si="8">M63+M64+M65</f>
        <v>98.5</v>
      </c>
      <c r="N66" s="61">
        <f t="shared" si="8"/>
        <v>88.5</v>
      </c>
      <c r="O66" s="61">
        <f t="shared" si="8"/>
        <v>87.699999999999989</v>
      </c>
      <c r="P66" s="61">
        <f t="shared" si="8"/>
        <v>84.2</v>
      </c>
      <c r="Q66" s="61">
        <f t="shared" si="8"/>
        <v>94</v>
      </c>
      <c r="R66" s="61">
        <f t="shared" si="8"/>
        <v>98.9</v>
      </c>
      <c r="S66" s="61">
        <f t="shared" si="8"/>
        <v>98.5</v>
      </c>
      <c r="T66" s="61">
        <f t="shared" si="8"/>
        <v>98.9</v>
      </c>
      <c r="U66" s="61">
        <f t="shared" si="8"/>
        <v>56.8</v>
      </c>
      <c r="V66" s="61">
        <f t="shared" si="8"/>
        <v>98.2</v>
      </c>
      <c r="W66" s="61">
        <f t="shared" si="8"/>
        <v>98.600000000000009</v>
      </c>
      <c r="X66" s="61">
        <f t="shared" ref="X66" si="9">X63+X64+X65</f>
        <v>98.600000000000009</v>
      </c>
      <c r="Y66" s="61">
        <f t="shared" si="8"/>
        <v>98.600000000000009</v>
      </c>
      <c r="Z66" s="61">
        <f t="shared" si="8"/>
        <v>98.600000000000009</v>
      </c>
      <c r="AA66" s="61">
        <f t="shared" si="8"/>
        <v>98.600000000000009</v>
      </c>
      <c r="AB66" s="61">
        <f t="shared" si="8"/>
        <v>98.5</v>
      </c>
      <c r="AC66" s="61">
        <f t="shared" si="8"/>
        <v>98.5</v>
      </c>
      <c r="AD66" s="61">
        <f t="shared" si="8"/>
        <v>78.8</v>
      </c>
      <c r="AE66" s="61">
        <f t="shared" si="8"/>
        <v>0</v>
      </c>
      <c r="AF66" s="61">
        <v>0</v>
      </c>
      <c r="AG66" s="62">
        <f t="shared" ref="AG66" si="10">SUM(AG63:AG65)</f>
        <v>106</v>
      </c>
      <c r="AH66" s="48">
        <f t="shared" si="2"/>
        <v>99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72</v>
      </c>
      <c r="C67" s="45">
        <v>69</v>
      </c>
      <c r="D67" s="45">
        <v>69</v>
      </c>
      <c r="E67" s="45">
        <v>71</v>
      </c>
      <c r="F67" s="45">
        <v>69</v>
      </c>
      <c r="G67" s="45">
        <v>68</v>
      </c>
      <c r="H67" s="45">
        <v>74</v>
      </c>
      <c r="I67" s="45">
        <v>73.8</v>
      </c>
      <c r="J67" s="45">
        <v>64</v>
      </c>
      <c r="K67" s="45">
        <v>70.5</v>
      </c>
      <c r="L67" s="45">
        <v>60</v>
      </c>
      <c r="M67" s="45">
        <v>50</v>
      </c>
      <c r="N67" s="45">
        <v>50</v>
      </c>
      <c r="O67" s="45">
        <v>50.5</v>
      </c>
      <c r="P67" s="45">
        <v>66.400000000000006</v>
      </c>
      <c r="Q67" s="45">
        <v>67.599999999999994</v>
      </c>
      <c r="R67" s="45">
        <v>66.5</v>
      </c>
      <c r="S67" s="45">
        <v>66.2</v>
      </c>
      <c r="T67" s="45">
        <v>70.7</v>
      </c>
      <c r="U67" s="45">
        <v>67</v>
      </c>
      <c r="V67" s="45">
        <v>70</v>
      </c>
      <c r="W67" s="45">
        <v>52.1</v>
      </c>
      <c r="X67" s="45">
        <v>62.1</v>
      </c>
      <c r="Y67" s="45">
        <v>72.599999999999994</v>
      </c>
      <c r="Z67" s="45">
        <v>72.2</v>
      </c>
      <c r="AA67" s="45">
        <v>66.2</v>
      </c>
      <c r="AB67" s="45">
        <v>60</v>
      </c>
      <c r="AC67" s="45">
        <v>58</v>
      </c>
      <c r="AD67" s="45">
        <v>57.5</v>
      </c>
      <c r="AE67" s="45">
        <v>59.8</v>
      </c>
      <c r="AF67" s="45">
        <v>67.2</v>
      </c>
      <c r="AG67" s="52"/>
      <c r="AH67" s="48">
        <f t="shared" si="2"/>
        <v>74</v>
      </c>
      <c r="AI67" s="49">
        <f t="shared" si="3"/>
        <v>50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298</v>
      </c>
      <c r="C69" s="65">
        <v>307</v>
      </c>
      <c r="D69" s="65">
        <v>302</v>
      </c>
      <c r="E69" s="65">
        <v>317.7</v>
      </c>
      <c r="F69" s="65">
        <v>338.5</v>
      </c>
      <c r="G69" s="65">
        <v>324</v>
      </c>
      <c r="H69" s="65">
        <v>319.39999999999998</v>
      </c>
      <c r="I69" s="65">
        <v>337</v>
      </c>
      <c r="J69" s="65">
        <v>335</v>
      </c>
      <c r="K69" s="65">
        <v>299</v>
      </c>
      <c r="L69" s="65">
        <v>204</v>
      </c>
      <c r="M69" s="65">
        <v>174</v>
      </c>
      <c r="N69" s="65">
        <v>90</v>
      </c>
      <c r="O69" s="65">
        <v>65.900000000000006</v>
      </c>
      <c r="P69" s="65">
        <v>233</v>
      </c>
      <c r="Q69" s="65">
        <v>289</v>
      </c>
      <c r="R69" s="65">
        <v>321</v>
      </c>
      <c r="S69" s="65">
        <v>325</v>
      </c>
      <c r="T69" s="65">
        <v>341</v>
      </c>
      <c r="U69" s="65">
        <v>308</v>
      </c>
      <c r="V69" s="65">
        <v>247</v>
      </c>
      <c r="W69" s="65">
        <v>139</v>
      </c>
      <c r="X69" s="65">
        <v>137.80000000000001</v>
      </c>
      <c r="Y69" s="65">
        <v>125</v>
      </c>
      <c r="Z69" s="65">
        <v>125.8</v>
      </c>
      <c r="AA69" s="65">
        <v>127.1</v>
      </c>
      <c r="AB69" s="65">
        <v>142.4</v>
      </c>
      <c r="AC69" s="65">
        <v>176.5</v>
      </c>
      <c r="AD69" s="65">
        <v>163.5</v>
      </c>
      <c r="AE69" s="65">
        <v>309.7</v>
      </c>
      <c r="AF69" s="65">
        <v>316.2</v>
      </c>
      <c r="AG69" s="75"/>
      <c r="AH69" s="48">
        <f t="shared" si="2"/>
        <v>341</v>
      </c>
      <c r="AI69" s="49">
        <f t="shared" si="3"/>
        <v>65.900000000000006</v>
      </c>
      <c r="AK69" s="50"/>
    </row>
    <row r="70" spans="1:40" x14ac:dyDescent="0.25">
      <c r="A70" s="54" t="s">
        <v>78</v>
      </c>
      <c r="B70" s="76">
        <v>6</v>
      </c>
      <c r="C70" s="76">
        <v>6</v>
      </c>
      <c r="D70" s="76">
        <v>6</v>
      </c>
      <c r="E70" s="76">
        <v>6</v>
      </c>
      <c r="F70" s="76">
        <v>6</v>
      </c>
      <c r="G70" s="76">
        <v>6</v>
      </c>
      <c r="H70" s="76">
        <v>6</v>
      </c>
      <c r="I70" s="76">
        <v>8</v>
      </c>
      <c r="J70" s="76">
        <v>9</v>
      </c>
      <c r="K70" s="76">
        <v>9</v>
      </c>
      <c r="L70" s="76">
        <v>9</v>
      </c>
      <c r="M70" s="76">
        <v>9</v>
      </c>
      <c r="N70" s="76">
        <v>9</v>
      </c>
      <c r="O70" s="76">
        <v>9</v>
      </c>
      <c r="P70" s="76">
        <v>9</v>
      </c>
      <c r="Q70" s="76">
        <v>9</v>
      </c>
      <c r="R70" s="76">
        <v>9</v>
      </c>
      <c r="S70" s="76">
        <v>9</v>
      </c>
      <c r="T70" s="76">
        <v>9</v>
      </c>
      <c r="U70" s="76">
        <v>9</v>
      </c>
      <c r="V70" s="76">
        <v>9</v>
      </c>
      <c r="W70" s="76">
        <v>9</v>
      </c>
      <c r="X70" s="65">
        <v>6</v>
      </c>
      <c r="Y70" s="65">
        <v>6</v>
      </c>
      <c r="Z70" s="65">
        <v>6</v>
      </c>
      <c r="AA70" s="65">
        <v>6</v>
      </c>
      <c r="AB70" s="65">
        <v>6</v>
      </c>
      <c r="AC70" s="65">
        <v>6</v>
      </c>
      <c r="AD70" s="65">
        <v>6</v>
      </c>
      <c r="AE70" s="65">
        <v>6</v>
      </c>
      <c r="AF70" s="65">
        <v>67.400000000000006</v>
      </c>
      <c r="AG70" s="75"/>
      <c r="AH70" s="48">
        <f t="shared" si="2"/>
        <v>67.400000000000006</v>
      </c>
      <c r="AI70" s="49">
        <f t="shared" si="3"/>
        <v>6</v>
      </c>
      <c r="AK70" s="50"/>
    </row>
    <row r="71" spans="1:40" x14ac:dyDescent="0.25">
      <c r="A71" s="54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13</v>
      </c>
      <c r="AD71" s="45">
        <v>18</v>
      </c>
      <c r="AE71" s="45">
        <v>18</v>
      </c>
      <c r="AF71" s="45">
        <v>25</v>
      </c>
      <c r="AG71" s="75"/>
      <c r="AH71" s="48">
        <f t="shared" si="2"/>
        <v>25</v>
      </c>
      <c r="AI71" s="49">
        <f t="shared" si="3"/>
        <v>0</v>
      </c>
      <c r="AK71" s="50"/>
    </row>
    <row r="72" spans="1:40" x14ac:dyDescent="0.25">
      <c r="A72" s="54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5</v>
      </c>
      <c r="AI72" s="49">
        <f t="shared" si="3"/>
        <v>5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5</v>
      </c>
      <c r="C74" s="77">
        <v>5</v>
      </c>
      <c r="D74" s="77">
        <v>5</v>
      </c>
      <c r="E74" s="77">
        <v>5</v>
      </c>
      <c r="F74" s="77">
        <v>5</v>
      </c>
      <c r="G74" s="77">
        <v>5</v>
      </c>
      <c r="H74" s="77">
        <v>5</v>
      </c>
      <c r="I74" s="77">
        <v>5</v>
      </c>
      <c r="J74" s="77">
        <v>5</v>
      </c>
      <c r="K74" s="77">
        <v>5</v>
      </c>
      <c r="L74" s="77">
        <v>5</v>
      </c>
      <c r="M74" s="77">
        <v>5</v>
      </c>
      <c r="N74" s="77">
        <v>5</v>
      </c>
      <c r="O74" s="77">
        <v>5</v>
      </c>
      <c r="P74" s="77">
        <v>5</v>
      </c>
      <c r="Q74" s="77">
        <v>5</v>
      </c>
      <c r="R74" s="77">
        <v>5</v>
      </c>
      <c r="S74" s="77">
        <v>5</v>
      </c>
      <c r="T74" s="77">
        <v>5</v>
      </c>
      <c r="U74" s="77">
        <v>5</v>
      </c>
      <c r="V74" s="77">
        <v>5</v>
      </c>
      <c r="W74" s="77">
        <v>5</v>
      </c>
      <c r="X74" s="77">
        <v>5</v>
      </c>
      <c r="Y74" s="77">
        <v>5</v>
      </c>
      <c r="Z74" s="77">
        <v>5</v>
      </c>
      <c r="AA74" s="77">
        <v>5</v>
      </c>
      <c r="AB74" s="77">
        <v>5</v>
      </c>
      <c r="AC74" s="77">
        <v>5</v>
      </c>
      <c r="AD74" s="77">
        <v>5</v>
      </c>
      <c r="AE74" s="77">
        <v>5</v>
      </c>
      <c r="AF74" s="77">
        <v>5</v>
      </c>
      <c r="AG74" s="75"/>
      <c r="AH74" s="48">
        <f t="shared" si="2"/>
        <v>5</v>
      </c>
      <c r="AI74" s="49">
        <f t="shared" si="3"/>
        <v>5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11">MAX(B75:AF75)</f>
        <v>0</v>
      </c>
      <c r="AI75" s="49">
        <f t="shared" ref="AI75:AI113" si="12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11"/>
        <v>0</v>
      </c>
      <c r="AI76" s="49">
        <f t="shared" si="12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11"/>
        <v>0</v>
      </c>
      <c r="AI77" s="49">
        <f t="shared" si="12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3">SUMIF(B67:B77,"&gt;0")</f>
        <v>386</v>
      </c>
      <c r="C78" s="61">
        <f t="shared" si="13"/>
        <v>392</v>
      </c>
      <c r="D78" s="61">
        <f t="shared" si="13"/>
        <v>387</v>
      </c>
      <c r="E78" s="61">
        <f t="shared" si="13"/>
        <v>404.7</v>
      </c>
      <c r="F78" s="61">
        <f t="shared" si="13"/>
        <v>423.5</v>
      </c>
      <c r="G78" s="61">
        <f t="shared" si="13"/>
        <v>408</v>
      </c>
      <c r="H78" s="61">
        <f t="shared" si="13"/>
        <v>409.4</v>
      </c>
      <c r="I78" s="61">
        <f t="shared" si="13"/>
        <v>428.8</v>
      </c>
      <c r="J78" s="61">
        <f t="shared" si="13"/>
        <v>418</v>
      </c>
      <c r="K78" s="61">
        <f t="shared" si="13"/>
        <v>388.5</v>
      </c>
      <c r="L78" s="61">
        <f t="shared" si="13"/>
        <v>283</v>
      </c>
      <c r="M78" s="61">
        <f t="shared" si="13"/>
        <v>243</v>
      </c>
      <c r="N78" s="61">
        <f t="shared" si="13"/>
        <v>159</v>
      </c>
      <c r="O78" s="61">
        <f t="shared" si="13"/>
        <v>135.4</v>
      </c>
      <c r="P78" s="61">
        <f t="shared" si="13"/>
        <v>318.39999999999998</v>
      </c>
      <c r="Q78" s="61">
        <f t="shared" si="13"/>
        <v>375.6</v>
      </c>
      <c r="R78" s="61">
        <f t="shared" si="13"/>
        <v>406.5</v>
      </c>
      <c r="S78" s="61">
        <f t="shared" si="13"/>
        <v>410.2</v>
      </c>
      <c r="T78" s="61">
        <f t="shared" si="13"/>
        <v>430.7</v>
      </c>
      <c r="U78" s="61">
        <f t="shared" si="13"/>
        <v>394</v>
      </c>
      <c r="V78" s="61">
        <f t="shared" si="13"/>
        <v>336</v>
      </c>
      <c r="W78" s="61">
        <f t="shared" si="13"/>
        <v>210.1</v>
      </c>
      <c r="X78" s="61">
        <v>151.6</v>
      </c>
      <c r="Y78" s="61">
        <f t="shared" si="13"/>
        <v>213.6</v>
      </c>
      <c r="Z78" s="61">
        <f t="shared" si="13"/>
        <v>214</v>
      </c>
      <c r="AA78" s="61">
        <f t="shared" si="13"/>
        <v>209.3</v>
      </c>
      <c r="AB78" s="61">
        <f t="shared" si="13"/>
        <v>218.4</v>
      </c>
      <c r="AC78" s="61">
        <f t="shared" si="13"/>
        <v>263.5</v>
      </c>
      <c r="AD78" s="61">
        <f t="shared" si="13"/>
        <v>255</v>
      </c>
      <c r="AE78" s="61">
        <f t="shared" si="13"/>
        <v>403.5</v>
      </c>
      <c r="AF78" s="61">
        <f t="shared" si="13"/>
        <v>485.79999999999995</v>
      </c>
      <c r="AG78" s="81">
        <f>SUM(AG67:AG77)</f>
        <v>0</v>
      </c>
      <c r="AH78" s="48">
        <f t="shared" si="11"/>
        <v>485.79999999999995</v>
      </c>
      <c r="AI78" s="49">
        <f t="shared" si="12"/>
        <v>135.4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11"/>
        <v>0</v>
      </c>
      <c r="AI79" s="49">
        <f t="shared" si="12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11"/>
        <v>0</v>
      </c>
      <c r="AI80" s="49">
        <f t="shared" si="12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1"/>
        <v>0</v>
      </c>
      <c r="AI81" s="49">
        <f t="shared" si="12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11"/>
        <v>0</v>
      </c>
      <c r="AI82" s="49">
        <f t="shared" si="12"/>
        <v>0</v>
      </c>
    </row>
    <row r="83" spans="1:37" ht="15.75" thickBot="1" x14ac:dyDescent="0.3">
      <c r="A83" s="74" t="s">
        <v>91</v>
      </c>
      <c r="B83" s="83">
        <f>B44+B48+B66+B62+B78+B82</f>
        <v>1095.54</v>
      </c>
      <c r="C83" s="83">
        <f t="shared" ref="C83:AG83" si="14">C44+C48+C66+C62+C78+C82</f>
        <v>1075.94</v>
      </c>
      <c r="D83" s="83">
        <f t="shared" si="14"/>
        <v>1073.1399999999999</v>
      </c>
      <c r="E83" s="83">
        <f t="shared" si="14"/>
        <v>1065.28</v>
      </c>
      <c r="F83" s="83">
        <f t="shared" si="14"/>
        <v>1069.08</v>
      </c>
      <c r="G83" s="83">
        <f t="shared" si="14"/>
        <v>1093.98</v>
      </c>
      <c r="H83" s="83">
        <f t="shared" si="14"/>
        <v>1110.7800000000002</v>
      </c>
      <c r="I83" s="83">
        <f t="shared" si="14"/>
        <v>1165.3800000000001</v>
      </c>
      <c r="J83" s="83">
        <f t="shared" si="14"/>
        <v>1239.58</v>
      </c>
      <c r="K83" s="83">
        <f t="shared" si="14"/>
        <v>1288.78</v>
      </c>
      <c r="L83" s="83">
        <f t="shared" si="14"/>
        <v>1361.68</v>
      </c>
      <c r="M83" s="83">
        <f t="shared" si="14"/>
        <v>1432.2800000000002</v>
      </c>
      <c r="N83" s="83">
        <f t="shared" si="14"/>
        <v>1363.2800000000002</v>
      </c>
      <c r="O83" s="83">
        <f t="shared" si="14"/>
        <v>1315.2800000000002</v>
      </c>
      <c r="P83" s="83">
        <f t="shared" si="14"/>
        <v>1388.2800000000002</v>
      </c>
      <c r="Q83" s="83">
        <f t="shared" si="14"/>
        <v>1426.7800000000002</v>
      </c>
      <c r="R83" s="83">
        <f t="shared" si="14"/>
        <v>1400.58</v>
      </c>
      <c r="S83" s="83">
        <f t="shared" si="14"/>
        <v>1410.84</v>
      </c>
      <c r="T83" s="83">
        <f t="shared" si="14"/>
        <v>1324.1389999999999</v>
      </c>
      <c r="U83" s="83">
        <f t="shared" si="14"/>
        <v>1141.3389999999999</v>
      </c>
      <c r="V83" s="83">
        <f t="shared" si="14"/>
        <v>1194.24</v>
      </c>
      <c r="W83" s="83">
        <f t="shared" si="14"/>
        <v>1323.7399999999998</v>
      </c>
      <c r="X83" s="83">
        <v>1704.6399999999999</v>
      </c>
      <c r="Y83" s="83">
        <f t="shared" si="14"/>
        <v>1555.24</v>
      </c>
      <c r="Z83" s="83">
        <f t="shared" si="14"/>
        <v>1505.64</v>
      </c>
      <c r="AA83" s="83">
        <f t="shared" si="14"/>
        <v>1470.52</v>
      </c>
      <c r="AB83" s="83">
        <f t="shared" si="14"/>
        <v>1383.8400000000001</v>
      </c>
      <c r="AC83" s="83">
        <f t="shared" si="14"/>
        <v>1408.64</v>
      </c>
      <c r="AD83" s="83">
        <f t="shared" si="14"/>
        <v>1340.3400000000001</v>
      </c>
      <c r="AE83" s="83">
        <f t="shared" si="14"/>
        <v>1147.6399999999999</v>
      </c>
      <c r="AF83" s="83">
        <f t="shared" si="14"/>
        <v>1167.04</v>
      </c>
      <c r="AG83" s="62">
        <f t="shared" si="14"/>
        <v>2004.1900000000003</v>
      </c>
      <c r="AH83" s="48">
        <f>MAX(B83:AF83)</f>
        <v>1704.6399999999999</v>
      </c>
      <c r="AI83" s="49">
        <f>MIN(B83:AF83)</f>
        <v>1065.28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>
        <v>100</v>
      </c>
      <c r="L84" s="85">
        <v>260</v>
      </c>
      <c r="M84" s="85">
        <v>260</v>
      </c>
      <c r="N84" s="85">
        <v>260</v>
      </c>
      <c r="O84" s="85">
        <v>260</v>
      </c>
      <c r="P84" s="85"/>
      <c r="Q84" s="85"/>
      <c r="R84" s="85"/>
      <c r="S84" s="85"/>
      <c r="T84" s="85">
        <v>150</v>
      </c>
      <c r="U84" s="85">
        <v>200</v>
      </c>
      <c r="V84" s="85">
        <v>220</v>
      </c>
      <c r="W84" s="85">
        <v>250</v>
      </c>
      <c r="X84" s="85">
        <v>250</v>
      </c>
      <c r="Y84" s="85">
        <v>250</v>
      </c>
      <c r="Z84" s="85">
        <v>250</v>
      </c>
      <c r="AA84" s="85">
        <v>250</v>
      </c>
      <c r="AB84" s="85">
        <v>240</v>
      </c>
      <c r="AC84" s="85">
        <v>200</v>
      </c>
      <c r="AD84" s="85">
        <v>190</v>
      </c>
      <c r="AE84" s="85"/>
      <c r="AF84" s="85"/>
      <c r="AG84" s="81"/>
      <c r="AH84" s="48">
        <f t="shared" si="11"/>
        <v>260</v>
      </c>
      <c r="AI84" s="49">
        <f t="shared" si="12"/>
        <v>100</v>
      </c>
    </row>
    <row r="85" spans="1:37" ht="15.75" thickBot="1" x14ac:dyDescent="0.3">
      <c r="A85" s="74" t="s">
        <v>93</v>
      </c>
      <c r="B85" s="83">
        <f>B83+B84</f>
        <v>1095.54</v>
      </c>
      <c r="C85" s="83">
        <f t="shared" ref="C85:AF85" si="15">C83+C84</f>
        <v>1075.94</v>
      </c>
      <c r="D85" s="83">
        <f t="shared" si="15"/>
        <v>1073.1399999999999</v>
      </c>
      <c r="E85" s="83">
        <f t="shared" si="15"/>
        <v>1065.28</v>
      </c>
      <c r="F85" s="83">
        <f t="shared" si="15"/>
        <v>1069.08</v>
      </c>
      <c r="G85" s="83">
        <f t="shared" si="15"/>
        <v>1093.98</v>
      </c>
      <c r="H85" s="83">
        <f t="shared" si="15"/>
        <v>1110.7800000000002</v>
      </c>
      <c r="I85" s="83">
        <f t="shared" si="15"/>
        <v>1165.3800000000001</v>
      </c>
      <c r="J85" s="83">
        <f t="shared" si="15"/>
        <v>1239.58</v>
      </c>
      <c r="K85" s="83">
        <f t="shared" si="15"/>
        <v>1388.78</v>
      </c>
      <c r="L85" s="83">
        <f t="shared" si="15"/>
        <v>1621.68</v>
      </c>
      <c r="M85" s="83">
        <f t="shared" si="15"/>
        <v>1692.2800000000002</v>
      </c>
      <c r="N85" s="83">
        <f t="shared" si="15"/>
        <v>1623.2800000000002</v>
      </c>
      <c r="O85" s="83">
        <f t="shared" si="15"/>
        <v>1575.2800000000002</v>
      </c>
      <c r="P85" s="83">
        <f t="shared" si="15"/>
        <v>1388.2800000000002</v>
      </c>
      <c r="Q85" s="83">
        <f t="shared" si="15"/>
        <v>1426.7800000000002</v>
      </c>
      <c r="R85" s="83">
        <f t="shared" si="15"/>
        <v>1400.58</v>
      </c>
      <c r="S85" s="83">
        <f t="shared" si="15"/>
        <v>1410.84</v>
      </c>
      <c r="T85" s="83">
        <f t="shared" si="15"/>
        <v>1474.1389999999999</v>
      </c>
      <c r="U85" s="83">
        <f t="shared" si="15"/>
        <v>1341.3389999999999</v>
      </c>
      <c r="V85" s="83">
        <f t="shared" si="15"/>
        <v>1414.24</v>
      </c>
      <c r="W85" s="83">
        <f t="shared" si="15"/>
        <v>1573.7399999999998</v>
      </c>
      <c r="X85" s="83">
        <v>1704.6399999999999</v>
      </c>
      <c r="Y85" s="83">
        <f t="shared" si="15"/>
        <v>1805.24</v>
      </c>
      <c r="Z85" s="83">
        <f t="shared" si="15"/>
        <v>1755.64</v>
      </c>
      <c r="AA85" s="83">
        <f t="shared" si="15"/>
        <v>1720.52</v>
      </c>
      <c r="AB85" s="83">
        <f t="shared" si="15"/>
        <v>1623.8400000000001</v>
      </c>
      <c r="AC85" s="83">
        <f t="shared" si="15"/>
        <v>1608.64</v>
      </c>
      <c r="AD85" s="83">
        <f t="shared" si="15"/>
        <v>1530.3400000000001</v>
      </c>
      <c r="AE85" s="83">
        <f t="shared" si="15"/>
        <v>1147.6399999999999</v>
      </c>
      <c r="AF85" s="83">
        <f t="shared" si="15"/>
        <v>1167.04</v>
      </c>
      <c r="AG85" s="81">
        <f>AG82+AG78+AG66+AG62+AG44+AG84</f>
        <v>1466.0900000000001</v>
      </c>
      <c r="AH85" s="48">
        <f t="shared" si="11"/>
        <v>1805.24</v>
      </c>
      <c r="AI85" s="49">
        <f t="shared" si="12"/>
        <v>1065.28</v>
      </c>
    </row>
    <row r="86" spans="1:37" ht="15.75" thickBot="1" x14ac:dyDescent="0.3">
      <c r="A86" s="74" t="s">
        <v>94</v>
      </c>
      <c r="B86" s="83">
        <f t="shared" ref="B86:AF86" si="16">B85-B93</f>
        <v>1095.54</v>
      </c>
      <c r="C86" s="83">
        <f t="shared" si="16"/>
        <v>1075.94</v>
      </c>
      <c r="D86" s="83">
        <f t="shared" si="16"/>
        <v>1073.1399999999999</v>
      </c>
      <c r="E86" s="83">
        <f t="shared" si="16"/>
        <v>1065.28</v>
      </c>
      <c r="F86" s="83">
        <f t="shared" si="16"/>
        <v>1069.08</v>
      </c>
      <c r="G86" s="83">
        <f t="shared" si="16"/>
        <v>1093.98</v>
      </c>
      <c r="H86" s="83">
        <f t="shared" si="16"/>
        <v>1110.7800000000002</v>
      </c>
      <c r="I86" s="83">
        <f t="shared" si="16"/>
        <v>1165.3800000000001</v>
      </c>
      <c r="J86" s="83">
        <f t="shared" si="16"/>
        <v>1239.58</v>
      </c>
      <c r="K86" s="83">
        <f t="shared" si="16"/>
        <v>1388.78</v>
      </c>
      <c r="L86" s="83">
        <f t="shared" si="16"/>
        <v>1621.68</v>
      </c>
      <c r="M86" s="83">
        <f t="shared" si="16"/>
        <v>1692.2800000000002</v>
      </c>
      <c r="N86" s="83">
        <f t="shared" si="16"/>
        <v>1623.2800000000002</v>
      </c>
      <c r="O86" s="83">
        <f t="shared" si="16"/>
        <v>1575.2800000000002</v>
      </c>
      <c r="P86" s="83">
        <f t="shared" si="16"/>
        <v>1388.2800000000002</v>
      </c>
      <c r="Q86" s="83">
        <f t="shared" si="16"/>
        <v>1426.7800000000002</v>
      </c>
      <c r="R86" s="83">
        <f t="shared" si="16"/>
        <v>1400.58</v>
      </c>
      <c r="S86" s="83">
        <f t="shared" si="16"/>
        <v>1410.84</v>
      </c>
      <c r="T86" s="83">
        <f t="shared" si="16"/>
        <v>1474.1389999999999</v>
      </c>
      <c r="U86" s="83">
        <f t="shared" si="16"/>
        <v>1341.3389999999999</v>
      </c>
      <c r="V86" s="83">
        <f t="shared" si="16"/>
        <v>1414.24</v>
      </c>
      <c r="W86" s="83">
        <f t="shared" si="16"/>
        <v>1573.7399999999998</v>
      </c>
      <c r="X86" s="83">
        <v>1704.6399999999999</v>
      </c>
      <c r="Y86" s="83">
        <f t="shared" si="16"/>
        <v>1755.24</v>
      </c>
      <c r="Z86" s="83">
        <f t="shared" si="16"/>
        <v>1755.64</v>
      </c>
      <c r="AA86" s="83">
        <f t="shared" si="16"/>
        <v>1720.52</v>
      </c>
      <c r="AB86" s="83">
        <f t="shared" si="16"/>
        <v>1623.8400000000001</v>
      </c>
      <c r="AC86" s="83">
        <f t="shared" si="16"/>
        <v>1608.64</v>
      </c>
      <c r="AD86" s="83">
        <f t="shared" si="16"/>
        <v>1530.3400000000001</v>
      </c>
      <c r="AE86" s="83">
        <f t="shared" si="16"/>
        <v>1147.6399999999999</v>
      </c>
      <c r="AF86" s="83">
        <f t="shared" si="16"/>
        <v>1167.04</v>
      </c>
      <c r="AG86" s="81"/>
      <c r="AH86" s="48">
        <f t="shared" si="11"/>
        <v>1755.64</v>
      </c>
      <c r="AI86" s="49">
        <f t="shared" si="12"/>
        <v>1065.28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11"/>
        <v>0</v>
      </c>
      <c r="AI87" s="49">
        <f t="shared" si="12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11"/>
        <v>0</v>
      </c>
      <c r="AI88" s="49">
        <f t="shared" si="12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11"/>
        <v>0</v>
      </c>
      <c r="AI89" s="49">
        <f t="shared" si="12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11"/>
        <v>0</v>
      </c>
      <c r="AI90" s="49">
        <f t="shared" si="12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11"/>
        <v>0</v>
      </c>
      <c r="AI91" s="49">
        <f t="shared" si="12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11"/>
        <v>0</v>
      </c>
      <c r="AI92" s="49">
        <f t="shared" si="12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>
        <v>50</v>
      </c>
      <c r="Z93" s="61"/>
      <c r="AA93" s="61"/>
      <c r="AB93" s="61"/>
      <c r="AC93" s="61"/>
      <c r="AD93" s="61"/>
      <c r="AE93" s="61"/>
      <c r="AF93" s="61"/>
      <c r="AG93" s="81"/>
      <c r="AH93" s="48">
        <f t="shared" si="11"/>
        <v>50</v>
      </c>
      <c r="AI93" s="49">
        <f t="shared" si="12"/>
        <v>0</v>
      </c>
      <c r="AK93" s="50"/>
    </row>
    <row r="94" spans="1:37" ht="15.75" thickBot="1" x14ac:dyDescent="0.3">
      <c r="A94" s="74" t="s">
        <v>99</v>
      </c>
      <c r="B94" s="61">
        <f t="shared" ref="B94:AF94" si="17">B78-B93</f>
        <v>386</v>
      </c>
      <c r="C94" s="61">
        <f t="shared" si="17"/>
        <v>392</v>
      </c>
      <c r="D94" s="61">
        <f t="shared" si="17"/>
        <v>387</v>
      </c>
      <c r="E94" s="61">
        <f t="shared" si="17"/>
        <v>404.7</v>
      </c>
      <c r="F94" s="61">
        <f t="shared" si="17"/>
        <v>423.5</v>
      </c>
      <c r="G94" s="61">
        <f t="shared" si="17"/>
        <v>408</v>
      </c>
      <c r="H94" s="61">
        <f t="shared" si="17"/>
        <v>409.4</v>
      </c>
      <c r="I94" s="61">
        <f t="shared" si="17"/>
        <v>428.8</v>
      </c>
      <c r="J94" s="61">
        <f t="shared" si="17"/>
        <v>418</v>
      </c>
      <c r="K94" s="61">
        <f t="shared" si="17"/>
        <v>388.5</v>
      </c>
      <c r="L94" s="61">
        <f t="shared" si="17"/>
        <v>283</v>
      </c>
      <c r="M94" s="61">
        <f t="shared" si="17"/>
        <v>243</v>
      </c>
      <c r="N94" s="61">
        <f t="shared" si="17"/>
        <v>159</v>
      </c>
      <c r="O94" s="61">
        <f t="shared" si="17"/>
        <v>135.4</v>
      </c>
      <c r="P94" s="61">
        <f t="shared" si="17"/>
        <v>318.39999999999998</v>
      </c>
      <c r="Q94" s="61">
        <f t="shared" si="17"/>
        <v>375.6</v>
      </c>
      <c r="R94" s="61">
        <f t="shared" si="17"/>
        <v>406.5</v>
      </c>
      <c r="S94" s="61">
        <f t="shared" si="17"/>
        <v>410.2</v>
      </c>
      <c r="T94" s="61">
        <f t="shared" si="17"/>
        <v>430.7</v>
      </c>
      <c r="U94" s="61">
        <f t="shared" si="17"/>
        <v>394</v>
      </c>
      <c r="V94" s="61">
        <f t="shared" si="17"/>
        <v>336</v>
      </c>
      <c r="W94" s="61">
        <f t="shared" si="17"/>
        <v>210.1</v>
      </c>
      <c r="X94" s="61">
        <v>151.6</v>
      </c>
      <c r="Y94" s="61">
        <f t="shared" si="17"/>
        <v>163.6</v>
      </c>
      <c r="Z94" s="61">
        <f t="shared" si="17"/>
        <v>214</v>
      </c>
      <c r="AA94" s="61">
        <f t="shared" si="17"/>
        <v>209.3</v>
      </c>
      <c r="AB94" s="61">
        <f t="shared" si="17"/>
        <v>218.4</v>
      </c>
      <c r="AC94" s="61">
        <f t="shared" si="17"/>
        <v>263.5</v>
      </c>
      <c r="AD94" s="61">
        <f t="shared" si="17"/>
        <v>255</v>
      </c>
      <c r="AE94" s="61">
        <f t="shared" si="17"/>
        <v>403.5</v>
      </c>
      <c r="AF94" s="61">
        <f t="shared" si="17"/>
        <v>485.79999999999995</v>
      </c>
      <c r="AG94" s="81"/>
      <c r="AH94" s="48">
        <f t="shared" si="11"/>
        <v>485.79999999999995</v>
      </c>
      <c r="AI94" s="49">
        <f t="shared" si="12"/>
        <v>135.4</v>
      </c>
    </row>
    <row r="95" spans="1:37" x14ac:dyDescent="0.25">
      <c r="A95" s="88" t="s">
        <v>100</v>
      </c>
      <c r="B95" s="89">
        <v>49.993000000000002</v>
      </c>
      <c r="C95" s="89">
        <v>49.899000000000001</v>
      </c>
      <c r="D95" s="89">
        <v>50.067999999999998</v>
      </c>
      <c r="E95" s="89">
        <v>50.045999999999999</v>
      </c>
      <c r="F95" s="89">
        <v>50.033000000000001</v>
      </c>
      <c r="G95" s="89">
        <v>50.075000000000003</v>
      </c>
      <c r="H95" s="89">
        <v>50.084000000000003</v>
      </c>
      <c r="I95" s="89">
        <v>49.878</v>
      </c>
      <c r="J95" s="89">
        <v>50.042999999999999</v>
      </c>
      <c r="K95" s="89">
        <v>49.868000000000002</v>
      </c>
      <c r="L95" s="89">
        <v>49.835000000000001</v>
      </c>
      <c r="M95" s="89">
        <v>49.835000000000001</v>
      </c>
      <c r="N95" s="89">
        <v>49.835000000000001</v>
      </c>
      <c r="O95" s="89">
        <v>50.061</v>
      </c>
      <c r="P95" s="89">
        <v>50.02</v>
      </c>
      <c r="Q95" s="89">
        <v>50.009</v>
      </c>
      <c r="R95" s="89">
        <v>50.116</v>
      </c>
      <c r="S95" s="89">
        <v>50.122999999999998</v>
      </c>
      <c r="T95" s="89">
        <v>49.970999999999997</v>
      </c>
      <c r="U95" s="89">
        <v>50.073</v>
      </c>
      <c r="V95" s="89">
        <v>50.037999999999997</v>
      </c>
      <c r="W95" s="89">
        <v>50.05</v>
      </c>
      <c r="X95" s="89">
        <v>49.972999999999999</v>
      </c>
      <c r="Y95" s="89">
        <v>49.963000000000001</v>
      </c>
      <c r="Z95" s="89">
        <v>50.005000000000003</v>
      </c>
      <c r="AA95" s="89">
        <v>50.091000000000001</v>
      </c>
      <c r="AB95" s="89">
        <v>50.029000000000003</v>
      </c>
      <c r="AC95" s="89">
        <v>50.082000000000001</v>
      </c>
      <c r="AD95" s="89">
        <v>49.908999999999999</v>
      </c>
      <c r="AE95" s="89">
        <v>50.173000000000002</v>
      </c>
      <c r="AF95" s="89">
        <v>49.956000000000003</v>
      </c>
      <c r="AG95" s="90"/>
      <c r="AH95" s="48">
        <f t="shared" si="11"/>
        <v>50.173000000000002</v>
      </c>
      <c r="AI95" s="49">
        <f t="shared" si="12"/>
        <v>49.835000000000001</v>
      </c>
    </row>
    <row r="96" spans="1:37" x14ac:dyDescent="0.25">
      <c r="A96" s="91" t="s">
        <v>101</v>
      </c>
      <c r="B96" s="65">
        <v>126.4</v>
      </c>
      <c r="C96" s="65">
        <v>127</v>
      </c>
      <c r="D96" s="65">
        <v>126.3</v>
      </c>
      <c r="E96" s="65">
        <v>127.7</v>
      </c>
      <c r="F96" s="65">
        <v>127.7</v>
      </c>
      <c r="G96" s="65">
        <v>129</v>
      </c>
      <c r="H96" s="65">
        <v>130</v>
      </c>
      <c r="I96" s="65">
        <v>129</v>
      </c>
      <c r="J96" s="65">
        <v>127</v>
      </c>
      <c r="K96" s="65">
        <v>127</v>
      </c>
      <c r="L96" s="65">
        <v>128</v>
      </c>
      <c r="M96" s="65">
        <v>127</v>
      </c>
      <c r="N96" s="65">
        <v>127</v>
      </c>
      <c r="O96" s="65">
        <v>128.9</v>
      </c>
      <c r="P96" s="65">
        <v>125</v>
      </c>
      <c r="Q96" s="65">
        <v>124.8</v>
      </c>
      <c r="R96" s="65">
        <v>125.3</v>
      </c>
      <c r="S96" s="65">
        <v>127</v>
      </c>
      <c r="T96" s="65">
        <v>127.8</v>
      </c>
      <c r="U96" s="65">
        <v>127.7</v>
      </c>
      <c r="V96" s="65">
        <v>127.3</v>
      </c>
      <c r="W96" s="65">
        <v>128.1</v>
      </c>
      <c r="X96" s="65">
        <v>126.5</v>
      </c>
      <c r="Y96" s="65">
        <v>126.2</v>
      </c>
      <c r="Z96" s="65">
        <v>128.5</v>
      </c>
      <c r="AA96" s="65">
        <v>128.4</v>
      </c>
      <c r="AB96" s="65">
        <v>129.69999999999999</v>
      </c>
      <c r="AC96" s="65">
        <v>129.80000000000001</v>
      </c>
      <c r="AD96" s="65">
        <v>129.80000000000001</v>
      </c>
      <c r="AE96" s="65">
        <v>127.5</v>
      </c>
      <c r="AF96" s="65">
        <v>126.6</v>
      </c>
      <c r="AG96" s="92"/>
      <c r="AH96" s="48">
        <f t="shared" si="11"/>
        <v>130</v>
      </c>
      <c r="AI96" s="49">
        <f t="shared" si="12"/>
        <v>124.8</v>
      </c>
    </row>
    <row r="97" spans="1:35" x14ac:dyDescent="0.25">
      <c r="A97" s="91" t="s">
        <v>102</v>
      </c>
      <c r="B97" s="65">
        <v>130.80000000000001</v>
      </c>
      <c r="C97" s="65">
        <v>131.19999999999999</v>
      </c>
      <c r="D97" s="65">
        <v>131</v>
      </c>
      <c r="E97" s="65">
        <v>132</v>
      </c>
      <c r="F97" s="65">
        <v>132</v>
      </c>
      <c r="G97" s="65">
        <v>132.9</v>
      </c>
      <c r="H97" s="65">
        <v>133</v>
      </c>
      <c r="I97" s="65">
        <v>132</v>
      </c>
      <c r="J97" s="65">
        <v>130.6</v>
      </c>
      <c r="K97" s="65">
        <v>129.5</v>
      </c>
      <c r="L97" s="65">
        <v>129</v>
      </c>
      <c r="M97" s="65">
        <v>128.5</v>
      </c>
      <c r="N97" s="65">
        <v>128.5</v>
      </c>
      <c r="O97" s="65">
        <v>130.30000000000001</v>
      </c>
      <c r="P97" s="65">
        <v>128.6</v>
      </c>
      <c r="Q97" s="65">
        <v>128.30000000000001</v>
      </c>
      <c r="R97" s="65">
        <v>128.80000000000001</v>
      </c>
      <c r="S97" s="65">
        <v>129.5</v>
      </c>
      <c r="T97" s="65">
        <v>129.80000000000001</v>
      </c>
      <c r="U97" s="65">
        <v>129.80000000000001</v>
      </c>
      <c r="V97" s="65">
        <v>130</v>
      </c>
      <c r="W97" s="65">
        <v>129.9</v>
      </c>
      <c r="X97" s="65">
        <v>128.30000000000001</v>
      </c>
      <c r="Y97" s="65">
        <v>127.8</v>
      </c>
      <c r="Z97" s="65">
        <v>129.69999999999999</v>
      </c>
      <c r="AA97" s="65">
        <v>129.9</v>
      </c>
      <c r="AB97" s="65">
        <v>130.69999999999999</v>
      </c>
      <c r="AC97" s="65">
        <v>131.1</v>
      </c>
      <c r="AD97" s="65">
        <v>131.1</v>
      </c>
      <c r="AE97" s="65">
        <v>130.5</v>
      </c>
      <c r="AF97" s="65">
        <v>130.80000000000001</v>
      </c>
      <c r="AG97" s="92"/>
      <c r="AH97" s="48">
        <f t="shared" si="11"/>
        <v>133</v>
      </c>
      <c r="AI97" s="49">
        <f t="shared" si="12"/>
        <v>127.8</v>
      </c>
    </row>
    <row r="98" spans="1:35" x14ac:dyDescent="0.25">
      <c r="A98" s="91" t="s">
        <v>103</v>
      </c>
      <c r="B98" s="65">
        <v>130.4</v>
      </c>
      <c r="C98" s="65">
        <v>129.19999999999999</v>
      </c>
      <c r="D98" s="65">
        <v>130.1</v>
      </c>
      <c r="E98" s="65">
        <v>129.80000000000001</v>
      </c>
      <c r="F98" s="65">
        <v>129.80000000000001</v>
      </c>
      <c r="G98" s="65">
        <v>130</v>
      </c>
      <c r="H98" s="65">
        <v>129.6</v>
      </c>
      <c r="I98" s="65">
        <v>128.69999999999999</v>
      </c>
      <c r="J98" s="65">
        <v>130</v>
      </c>
      <c r="K98" s="65">
        <v>130</v>
      </c>
      <c r="L98" s="65">
        <v>131.69999999999999</v>
      </c>
      <c r="M98" s="65">
        <v>131.19999999999999</v>
      </c>
      <c r="N98" s="65">
        <v>131.19999999999999</v>
      </c>
      <c r="O98" s="65">
        <v>133</v>
      </c>
      <c r="P98" s="65">
        <v>126.3</v>
      </c>
      <c r="Q98" s="65">
        <v>129.9</v>
      </c>
      <c r="R98" s="65">
        <v>130.9</v>
      </c>
      <c r="S98" s="65">
        <v>127.1</v>
      </c>
      <c r="T98" s="65">
        <v>132.30000000000001</v>
      </c>
      <c r="U98" s="65">
        <v>132.80000000000001</v>
      </c>
      <c r="V98" s="65">
        <v>131.4</v>
      </c>
      <c r="W98" s="65">
        <v>130.5</v>
      </c>
      <c r="X98" s="65">
        <v>128.5</v>
      </c>
      <c r="Y98" s="65">
        <v>128.5</v>
      </c>
      <c r="Z98" s="65">
        <v>133.19999999999999</v>
      </c>
      <c r="AA98" s="65">
        <v>133.6</v>
      </c>
      <c r="AB98" s="65">
        <v>133.30000000000001</v>
      </c>
      <c r="AC98" s="65">
        <v>131.19999999999999</v>
      </c>
      <c r="AD98" s="65">
        <v>131.19999999999999</v>
      </c>
      <c r="AE98" s="65">
        <v>127.8</v>
      </c>
      <c r="AF98" s="65">
        <v>128.5</v>
      </c>
      <c r="AG98" s="92"/>
      <c r="AH98" s="48">
        <f t="shared" si="11"/>
        <v>133.6</v>
      </c>
      <c r="AI98" s="49">
        <f t="shared" si="12"/>
        <v>126.3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1"/>
        <v>0</v>
      </c>
      <c r="AI99" s="49">
        <f t="shared" si="12"/>
        <v>0</v>
      </c>
    </row>
    <row r="100" spans="1:35" x14ac:dyDescent="0.25">
      <c r="A100" s="93" t="s">
        <v>105</v>
      </c>
      <c r="B100" s="94">
        <v>130.9</v>
      </c>
      <c r="C100" s="94">
        <v>130.6</v>
      </c>
      <c r="D100" s="94">
        <v>129.6</v>
      </c>
      <c r="E100" s="94">
        <v>131.69999999999999</v>
      </c>
      <c r="F100" s="94">
        <v>131.69999999999999</v>
      </c>
      <c r="G100" s="94">
        <v>133.80000000000001</v>
      </c>
      <c r="H100" s="94">
        <v>133</v>
      </c>
      <c r="I100" s="94">
        <v>132.80000000000001</v>
      </c>
      <c r="J100" s="94">
        <v>132.9</v>
      </c>
      <c r="K100" s="94">
        <v>131.69999999999999</v>
      </c>
      <c r="L100" s="94">
        <v>132.5</v>
      </c>
      <c r="M100" s="94">
        <v>133.69999999999999</v>
      </c>
      <c r="N100" s="94">
        <v>133.69999999999999</v>
      </c>
      <c r="O100" s="94">
        <v>134.5</v>
      </c>
      <c r="P100" s="94">
        <v>131.9</v>
      </c>
      <c r="Q100" s="94">
        <v>132.6</v>
      </c>
      <c r="R100" s="94">
        <v>132.6</v>
      </c>
      <c r="S100" s="94">
        <v>133.1</v>
      </c>
      <c r="T100" s="94">
        <v>133.5</v>
      </c>
      <c r="U100" s="94">
        <v>136.5</v>
      </c>
      <c r="V100" s="94">
        <v>132.6</v>
      </c>
      <c r="W100" s="94">
        <v>134.69999999999999</v>
      </c>
      <c r="X100" s="94">
        <v>132.4</v>
      </c>
      <c r="Y100" s="94">
        <v>131.5</v>
      </c>
      <c r="Z100" s="94">
        <v>135.69999999999999</v>
      </c>
      <c r="AA100" s="94">
        <v>135.5</v>
      </c>
      <c r="AB100" s="94">
        <v>135.9</v>
      </c>
      <c r="AC100" s="94">
        <v>136.30000000000001</v>
      </c>
      <c r="AD100" s="94">
        <v>136.30000000000001</v>
      </c>
      <c r="AE100" s="94">
        <v>131.6</v>
      </c>
      <c r="AF100" s="94">
        <v>131.5</v>
      </c>
      <c r="AG100" s="95"/>
      <c r="AH100" s="48">
        <f t="shared" si="11"/>
        <v>136.5</v>
      </c>
      <c r="AI100" s="49">
        <f t="shared" si="12"/>
        <v>129.6</v>
      </c>
    </row>
    <row r="101" spans="1:35" x14ac:dyDescent="0.25">
      <c r="A101" s="91" t="s">
        <v>106</v>
      </c>
      <c r="B101" s="65">
        <v>126.2</v>
      </c>
      <c r="C101" s="65">
        <v>131.80000000000001</v>
      </c>
      <c r="D101" s="65">
        <v>125.1</v>
      </c>
      <c r="E101" s="65">
        <v>132</v>
      </c>
      <c r="F101" s="65">
        <v>132</v>
      </c>
      <c r="G101" s="65">
        <v>129.6</v>
      </c>
      <c r="H101" s="65">
        <v>130</v>
      </c>
      <c r="I101" s="65">
        <v>129.9</v>
      </c>
      <c r="J101" s="65">
        <v>126</v>
      </c>
      <c r="K101" s="65">
        <v>131.9</v>
      </c>
      <c r="L101" s="65">
        <v>130.5</v>
      </c>
      <c r="M101" s="65">
        <v>132.69999999999999</v>
      </c>
      <c r="N101" s="65">
        <v>132.69999999999999</v>
      </c>
      <c r="O101" s="65">
        <v>129.4</v>
      </c>
      <c r="P101" s="65">
        <v>127.7</v>
      </c>
      <c r="Q101" s="65">
        <v>129.6</v>
      </c>
      <c r="R101" s="65">
        <v>129.30000000000001</v>
      </c>
      <c r="S101" s="65">
        <v>130.80000000000001</v>
      </c>
      <c r="T101" s="65">
        <v>127.8</v>
      </c>
      <c r="U101" s="65">
        <v>135.19999999999999</v>
      </c>
      <c r="V101" s="65">
        <v>135.4</v>
      </c>
      <c r="W101" s="65">
        <v>128.6</v>
      </c>
      <c r="X101" s="65">
        <v>128.69999999999999</v>
      </c>
      <c r="Y101" s="65">
        <v>132.6</v>
      </c>
      <c r="Z101" s="65">
        <v>133.30000000000001</v>
      </c>
      <c r="AA101" s="65">
        <v>137</v>
      </c>
      <c r="AB101" s="65">
        <v>131.30000000000001</v>
      </c>
      <c r="AC101" s="65">
        <v>132.80000000000001</v>
      </c>
      <c r="AD101" s="65">
        <v>132.80000000000001</v>
      </c>
      <c r="AE101" s="65">
        <v>131.69999999999999</v>
      </c>
      <c r="AF101" s="65">
        <v>131.4</v>
      </c>
      <c r="AG101" s="92"/>
      <c r="AH101" s="48">
        <f t="shared" si="11"/>
        <v>137</v>
      </c>
      <c r="AI101" s="49">
        <f t="shared" si="12"/>
        <v>125.1</v>
      </c>
    </row>
    <row r="102" spans="1:35" ht="15.75" thickBot="1" x14ac:dyDescent="0.3">
      <c r="A102" s="91" t="s">
        <v>107</v>
      </c>
      <c r="B102" s="96">
        <v>65.900000000000006</v>
      </c>
      <c r="C102" s="96">
        <v>66.2</v>
      </c>
      <c r="D102" s="96">
        <v>66.099999999999994</v>
      </c>
      <c r="E102" s="96">
        <v>66.900000000000006</v>
      </c>
      <c r="F102" s="96">
        <v>66.900000000000006</v>
      </c>
      <c r="G102" s="96">
        <v>67</v>
      </c>
      <c r="H102" s="96">
        <v>67</v>
      </c>
      <c r="I102" s="96">
        <v>66.5</v>
      </c>
      <c r="J102" s="96">
        <v>65.7</v>
      </c>
      <c r="K102" s="96">
        <v>65</v>
      </c>
      <c r="L102" s="96">
        <v>64.599999999999994</v>
      </c>
      <c r="M102" s="96">
        <v>64.400000000000006</v>
      </c>
      <c r="N102" s="96">
        <v>64.400000000000006</v>
      </c>
      <c r="O102" s="96">
        <v>65.2</v>
      </c>
      <c r="P102" s="96">
        <v>63.9</v>
      </c>
      <c r="Q102" s="96">
        <v>64.3</v>
      </c>
      <c r="R102" s="96">
        <v>64.5</v>
      </c>
      <c r="S102" s="96">
        <v>64.900000000000006</v>
      </c>
      <c r="T102" s="96">
        <v>65</v>
      </c>
      <c r="U102" s="96">
        <v>65.099999999999994</v>
      </c>
      <c r="V102" s="96">
        <v>65.099999999999994</v>
      </c>
      <c r="W102" s="96">
        <v>65.099999999999994</v>
      </c>
      <c r="X102" s="96">
        <v>64.3</v>
      </c>
      <c r="Y102" s="96">
        <v>64.099999999999994</v>
      </c>
      <c r="Z102" s="96">
        <v>64.3</v>
      </c>
      <c r="AA102" s="96">
        <v>65.2</v>
      </c>
      <c r="AB102" s="96">
        <v>65.599999999999994</v>
      </c>
      <c r="AC102" s="96">
        <v>65.7</v>
      </c>
      <c r="AD102" s="96">
        <v>65.7</v>
      </c>
      <c r="AE102" s="96">
        <v>65.5</v>
      </c>
      <c r="AF102" s="96">
        <v>66</v>
      </c>
      <c r="AG102" s="97"/>
      <c r="AH102" s="48">
        <f t="shared" si="11"/>
        <v>67</v>
      </c>
      <c r="AI102" s="49">
        <f t="shared" si="12"/>
        <v>63.9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1"/>
        <v>0</v>
      </c>
      <c r="AI103" s="49">
        <f t="shared" si="12"/>
        <v>0</v>
      </c>
    </row>
    <row r="104" spans="1:35" ht="15.75" thickBot="1" x14ac:dyDescent="0.3">
      <c r="A104" s="99" t="s">
        <v>108</v>
      </c>
      <c r="B104" s="100">
        <f t="shared" ref="B104:O104" si="18">SUM(B16,B22,B25:B26,B52,B54:B55,B57,B59,B105:B109,B131,B137,B143,B152,B154,B166,B173,B176:B177,B184,B186,B188,B192:B194,B196:B198,B203,B209:B210,B212:B214,B222,B227)</f>
        <v>147</v>
      </c>
      <c r="C104" s="100">
        <f t="shared" si="18"/>
        <v>128.63999999999999</v>
      </c>
      <c r="D104" s="100">
        <f t="shared" si="18"/>
        <v>122.53999999999999</v>
      </c>
      <c r="E104" s="100">
        <f t="shared" si="18"/>
        <v>117.13999999999999</v>
      </c>
      <c r="F104" s="100">
        <f t="shared" si="18"/>
        <v>122.03999999999999</v>
      </c>
      <c r="G104" s="100">
        <f t="shared" si="18"/>
        <v>133.44</v>
      </c>
      <c r="H104" s="100">
        <f t="shared" si="18"/>
        <v>151.44</v>
      </c>
      <c r="I104" s="100">
        <f t="shared" si="18"/>
        <v>180.94</v>
      </c>
      <c r="J104" s="100">
        <f t="shared" si="18"/>
        <v>209.14</v>
      </c>
      <c r="K104" s="100">
        <f t="shared" si="18"/>
        <v>244.53999999999996</v>
      </c>
      <c r="L104" s="100">
        <f t="shared" si="18"/>
        <v>367.53999999999996</v>
      </c>
      <c r="M104" s="100">
        <f t="shared" si="18"/>
        <v>405.23999999999995</v>
      </c>
      <c r="N104" s="100">
        <f t="shared" si="18"/>
        <v>405.23999999999995</v>
      </c>
      <c r="O104" s="100">
        <f t="shared" si="18"/>
        <v>360.84</v>
      </c>
      <c r="P104" s="100">
        <v>42</v>
      </c>
      <c r="Q104" s="100">
        <f t="shared" ref="Q104:W104" si="19">SUM(Q16,Q22,Q25:Q26,Q52,Q54:Q55,Q57,Q59,Q105:Q109,Q131,Q137,Q143,Q152,Q154,Q166,Q173,Q176:Q177,Q184,Q186,Q188,Q192:Q194,Q196:Q198,Q203,Q209:Q210,Q212:Q214,Q222,Q227)</f>
        <v>300.3</v>
      </c>
      <c r="R104" s="100">
        <f t="shared" si="19"/>
        <v>303.7</v>
      </c>
      <c r="S104" s="100">
        <f t="shared" si="19"/>
        <v>247.9</v>
      </c>
      <c r="T104" s="100">
        <f t="shared" si="19"/>
        <v>249.09999999999997</v>
      </c>
      <c r="U104" s="100">
        <f t="shared" si="19"/>
        <v>286</v>
      </c>
      <c r="V104" s="100">
        <f t="shared" si="19"/>
        <v>311.60000000000002</v>
      </c>
      <c r="W104" s="100">
        <f t="shared" si="19"/>
        <v>338.1</v>
      </c>
      <c r="X104" s="100">
        <v>390.59708333333339</v>
      </c>
      <c r="Y104" s="100">
        <f t="shared" ref="Y104:AF104" si="20">SUM(Y16,Y22,Y25:Y26,Y52,Y54:Y55,Y57,Y59,Y105:Y109,Y131,Y137,Y143,Y152,Y154,Y166,Y173,Y176:Y177,Y184,Y186,Y188,Y192:Y194,Y196:Y198,Y203,Y209:Y210,Y212:Y214,Y222,Y227)</f>
        <v>395.7</v>
      </c>
      <c r="Z104" s="100">
        <f t="shared" si="20"/>
        <v>394.40000000000003</v>
      </c>
      <c r="AA104" s="100">
        <f t="shared" si="20"/>
        <v>383.79999999999995</v>
      </c>
      <c r="AB104" s="100">
        <f t="shared" si="20"/>
        <v>369.19999999999993</v>
      </c>
      <c r="AC104" s="100">
        <f t="shared" si="20"/>
        <v>340.4</v>
      </c>
      <c r="AD104" s="100">
        <f t="shared" si="20"/>
        <v>340.4</v>
      </c>
      <c r="AE104" s="100">
        <f t="shared" si="20"/>
        <v>215.7</v>
      </c>
      <c r="AF104" s="100">
        <f t="shared" si="20"/>
        <v>180.79999999999998</v>
      </c>
      <c r="AG104" s="101"/>
      <c r="AH104" s="48">
        <f t="shared" si="11"/>
        <v>405.23999999999995</v>
      </c>
      <c r="AI104" s="49">
        <f t="shared" si="12"/>
        <v>42</v>
      </c>
    </row>
    <row r="105" spans="1:35" x14ac:dyDescent="0.25">
      <c r="A105" s="88" t="s">
        <v>109</v>
      </c>
      <c r="B105" s="102">
        <v>-8.6</v>
      </c>
      <c r="C105" s="102">
        <v>-8.1</v>
      </c>
      <c r="D105" s="102">
        <v>-9.8000000000000007</v>
      </c>
      <c r="E105" s="102">
        <v>-10.199999999999999</v>
      </c>
      <c r="F105" s="102">
        <v>-17.3</v>
      </c>
      <c r="G105" s="102">
        <v>-11.9</v>
      </c>
      <c r="H105" s="102">
        <v>-12.2</v>
      </c>
      <c r="I105" s="102">
        <v>-10.4</v>
      </c>
      <c r="J105" s="102">
        <v>-5.3</v>
      </c>
      <c r="K105" s="102">
        <v>5.2</v>
      </c>
      <c r="L105" s="102">
        <v>17.2</v>
      </c>
      <c r="M105" s="102">
        <v>21.6</v>
      </c>
      <c r="N105" s="102">
        <v>21.6</v>
      </c>
      <c r="O105" s="102">
        <v>21.6</v>
      </c>
      <c r="P105" s="102">
        <v>14.1</v>
      </c>
      <c r="Q105" s="102">
        <v>15.3</v>
      </c>
      <c r="R105" s="102">
        <v>13.3</v>
      </c>
      <c r="S105" s="102">
        <v>2.2000000000000002</v>
      </c>
      <c r="T105" s="102">
        <v>2.6</v>
      </c>
      <c r="U105" s="102">
        <v>1.6</v>
      </c>
      <c r="V105" s="102">
        <v>0</v>
      </c>
      <c r="W105" s="102">
        <v>35</v>
      </c>
      <c r="X105" s="102">
        <v>38.5</v>
      </c>
      <c r="Y105" s="102">
        <v>36.5</v>
      </c>
      <c r="Z105" s="102">
        <v>41.8</v>
      </c>
      <c r="AA105" s="102">
        <v>37</v>
      </c>
      <c r="AB105" s="102">
        <v>34.4</v>
      </c>
      <c r="AC105" s="102">
        <v>27</v>
      </c>
      <c r="AD105" s="102">
        <v>27</v>
      </c>
      <c r="AE105" s="102">
        <v>15.2</v>
      </c>
      <c r="AF105" s="102">
        <v>5.0999999999999996</v>
      </c>
      <c r="AG105" s="103">
        <v>75</v>
      </c>
      <c r="AH105" s="48">
        <f t="shared" si="11"/>
        <v>41.8</v>
      </c>
      <c r="AI105" s="49">
        <f t="shared" si="12"/>
        <v>-17.3</v>
      </c>
    </row>
    <row r="106" spans="1:35" x14ac:dyDescent="0.25">
      <c r="A106" s="91" t="s">
        <v>110</v>
      </c>
      <c r="B106" s="104">
        <v>-6.4</v>
      </c>
      <c r="C106" s="104">
        <v>-5.2</v>
      </c>
      <c r="D106" s="104">
        <v>-7</v>
      </c>
      <c r="E106" s="104">
        <v>-8</v>
      </c>
      <c r="F106" s="104">
        <v>-16.7</v>
      </c>
      <c r="G106" s="104">
        <v>-6.1</v>
      </c>
      <c r="H106" s="104">
        <v>-11.5</v>
      </c>
      <c r="I106" s="104">
        <v>-7</v>
      </c>
      <c r="J106" s="104">
        <v>-2</v>
      </c>
      <c r="K106" s="104">
        <v>10.4</v>
      </c>
      <c r="L106" s="104">
        <v>25.7</v>
      </c>
      <c r="M106" s="104">
        <v>27.7</v>
      </c>
      <c r="N106" s="104">
        <v>27.7</v>
      </c>
      <c r="O106" s="104">
        <v>31.2</v>
      </c>
      <c r="P106" s="104">
        <v>21.5</v>
      </c>
      <c r="Q106" s="104">
        <v>22.6</v>
      </c>
      <c r="R106" s="104">
        <v>22</v>
      </c>
      <c r="S106" s="104">
        <v>3.8</v>
      </c>
      <c r="T106" s="104">
        <v>3.4</v>
      </c>
      <c r="U106" s="104">
        <v>3.5</v>
      </c>
      <c r="V106" s="104">
        <v>-5.2</v>
      </c>
      <c r="W106" s="104">
        <v>42.6</v>
      </c>
      <c r="X106" s="104">
        <v>47.47</v>
      </c>
      <c r="Y106" s="104">
        <v>44.8</v>
      </c>
      <c r="Z106" s="104">
        <v>53.3</v>
      </c>
      <c r="AA106" s="104">
        <v>46.3</v>
      </c>
      <c r="AB106" s="104">
        <v>42.2</v>
      </c>
      <c r="AC106" s="104">
        <v>31.7</v>
      </c>
      <c r="AD106" s="104">
        <v>31.7</v>
      </c>
      <c r="AE106" s="104">
        <v>20</v>
      </c>
      <c r="AF106" s="104">
        <v>5.5</v>
      </c>
      <c r="AG106" s="103">
        <v>240</v>
      </c>
      <c r="AH106" s="48">
        <f t="shared" si="11"/>
        <v>53.3</v>
      </c>
      <c r="AI106" s="49">
        <f t="shared" si="12"/>
        <v>-16.7</v>
      </c>
    </row>
    <row r="107" spans="1:35" x14ac:dyDescent="0.25">
      <c r="A107" s="91" t="s">
        <v>111</v>
      </c>
      <c r="B107" s="104">
        <v>-48</v>
      </c>
      <c r="C107" s="104">
        <v>-57</v>
      </c>
      <c r="D107" s="104">
        <v>-60</v>
      </c>
      <c r="E107" s="104">
        <v>-59</v>
      </c>
      <c r="F107" s="104">
        <v>-53.9</v>
      </c>
      <c r="G107" s="104">
        <v>-64</v>
      </c>
      <c r="H107" s="104">
        <v>-54</v>
      </c>
      <c r="I107" s="104">
        <v>-50.4</v>
      </c>
      <c r="J107" s="104">
        <v>-45</v>
      </c>
      <c r="K107" s="104">
        <v>-38</v>
      </c>
      <c r="L107" s="104">
        <v>69</v>
      </c>
      <c r="M107" s="104">
        <f>39+33</f>
        <v>72</v>
      </c>
      <c r="N107" s="104">
        <f>39+33</f>
        <v>72</v>
      </c>
      <c r="O107" s="104">
        <v>33</v>
      </c>
      <c r="P107" s="104">
        <v>13.5</v>
      </c>
      <c r="Q107" s="104">
        <v>-10</v>
      </c>
      <c r="R107" s="104">
        <v>-1.4</v>
      </c>
      <c r="S107" s="104">
        <v>-31</v>
      </c>
      <c r="T107" s="104">
        <v>-31</v>
      </c>
      <c r="U107" s="104">
        <v>6</v>
      </c>
      <c r="V107" s="104">
        <v>52.4</v>
      </c>
      <c r="W107" s="104">
        <v>6</v>
      </c>
      <c r="X107" s="104">
        <v>17</v>
      </c>
      <c r="Y107" s="104">
        <v>27</v>
      </c>
      <c r="Z107" s="104">
        <v>13</v>
      </c>
      <c r="AA107" s="104">
        <v>18</v>
      </c>
      <c r="AB107" s="104">
        <v>14</v>
      </c>
      <c r="AC107" s="104">
        <v>17</v>
      </c>
      <c r="AD107" s="104">
        <v>17</v>
      </c>
      <c r="AE107" s="104">
        <v>-25</v>
      </c>
      <c r="AF107" s="104">
        <v>-36</v>
      </c>
      <c r="AG107" s="103">
        <v>240</v>
      </c>
      <c r="AH107" s="48">
        <f t="shared" si="11"/>
        <v>72</v>
      </c>
      <c r="AI107" s="49">
        <f t="shared" si="12"/>
        <v>-64</v>
      </c>
    </row>
    <row r="108" spans="1:35" x14ac:dyDescent="0.25">
      <c r="A108" s="91" t="s">
        <v>112</v>
      </c>
      <c r="B108" s="104">
        <v>-1.6</v>
      </c>
      <c r="C108" s="104">
        <v>-6</v>
      </c>
      <c r="D108" s="104">
        <v>-7.3</v>
      </c>
      <c r="E108" s="104">
        <v>-6.9</v>
      </c>
      <c r="F108" s="104">
        <v>-6.6</v>
      </c>
      <c r="G108" s="104">
        <v>16.5</v>
      </c>
      <c r="H108" s="104">
        <v>29</v>
      </c>
      <c r="I108" s="104">
        <v>36.4</v>
      </c>
      <c r="J108" s="104">
        <v>41.5</v>
      </c>
      <c r="K108" s="104">
        <v>43.5</v>
      </c>
      <c r="L108" s="104">
        <v>55.4</v>
      </c>
      <c r="M108" s="104">
        <f>39+33.7</f>
        <v>72.7</v>
      </c>
      <c r="N108" s="104">
        <f>39+33.7</f>
        <v>72.7</v>
      </c>
      <c r="O108" s="104">
        <v>54.5</v>
      </c>
      <c r="P108" s="104">
        <v>50.1</v>
      </c>
      <c r="Q108" s="104">
        <v>43.2</v>
      </c>
      <c r="R108" s="104">
        <v>42.1</v>
      </c>
      <c r="S108" s="104">
        <v>44.1</v>
      </c>
      <c r="T108" s="104">
        <v>44.7</v>
      </c>
      <c r="U108" s="104">
        <v>50.2</v>
      </c>
      <c r="V108" s="104">
        <v>52.2</v>
      </c>
      <c r="W108" s="104">
        <v>56.6</v>
      </c>
      <c r="X108" s="104">
        <v>58</v>
      </c>
      <c r="Y108" s="104">
        <v>59.4</v>
      </c>
      <c r="Z108" s="104">
        <v>60.3</v>
      </c>
      <c r="AA108" s="104">
        <v>59.4</v>
      </c>
      <c r="AB108" s="104">
        <v>63.4</v>
      </c>
      <c r="AC108" s="104">
        <v>61.8</v>
      </c>
      <c r="AD108" s="104">
        <v>61.8</v>
      </c>
      <c r="AE108" s="104">
        <v>4</v>
      </c>
      <c r="AF108" s="104">
        <v>-1.8</v>
      </c>
      <c r="AG108" s="103">
        <v>60</v>
      </c>
      <c r="AH108" s="48">
        <f t="shared" si="11"/>
        <v>72.7</v>
      </c>
      <c r="AI108" s="49">
        <f t="shared" si="12"/>
        <v>-7.3</v>
      </c>
    </row>
    <row r="109" spans="1:35" x14ac:dyDescent="0.25">
      <c r="A109" s="105" t="s">
        <v>113</v>
      </c>
      <c r="B109" s="106">
        <v>88.4</v>
      </c>
      <c r="C109" s="106">
        <v>78</v>
      </c>
      <c r="D109" s="106">
        <v>80</v>
      </c>
      <c r="E109" s="106">
        <v>77.599999999999994</v>
      </c>
      <c r="F109" s="106">
        <v>92.9</v>
      </c>
      <c r="G109" s="106">
        <v>77.8</v>
      </c>
      <c r="H109" s="106">
        <v>79</v>
      </c>
      <c r="I109" s="106">
        <v>89.4</v>
      </c>
      <c r="J109" s="106">
        <v>96.3</v>
      </c>
      <c r="K109" s="106">
        <v>99.8</v>
      </c>
      <c r="L109" s="106">
        <v>78.5</v>
      </c>
      <c r="M109" s="106">
        <v>89.1</v>
      </c>
      <c r="N109" s="106">
        <v>89.1</v>
      </c>
      <c r="O109" s="106">
        <v>95.9</v>
      </c>
      <c r="P109" s="106">
        <v>99</v>
      </c>
      <c r="Q109" s="106">
        <v>105.5</v>
      </c>
      <c r="R109" s="106">
        <v>104</v>
      </c>
      <c r="S109" s="106">
        <v>98</v>
      </c>
      <c r="T109" s="106">
        <v>101</v>
      </c>
      <c r="U109" s="106">
        <v>96.5</v>
      </c>
      <c r="V109" s="106">
        <v>92.2</v>
      </c>
      <c r="W109" s="106">
        <v>76.3</v>
      </c>
      <c r="X109" s="106">
        <v>98.5</v>
      </c>
      <c r="Y109" s="106">
        <v>107</v>
      </c>
      <c r="Z109" s="106">
        <v>105</v>
      </c>
      <c r="AA109" s="106">
        <v>101.5</v>
      </c>
      <c r="AB109" s="106">
        <v>93.6</v>
      </c>
      <c r="AC109" s="106">
        <v>81.3</v>
      </c>
      <c r="AD109" s="106">
        <v>81.3</v>
      </c>
      <c r="AE109" s="106">
        <v>77.7</v>
      </c>
      <c r="AF109" s="106">
        <v>84.2</v>
      </c>
      <c r="AG109" s="107">
        <v>120</v>
      </c>
      <c r="AH109" s="48">
        <f t="shared" si="11"/>
        <v>107</v>
      </c>
      <c r="AI109" s="49">
        <f t="shared" si="12"/>
        <v>76.3</v>
      </c>
    </row>
    <row r="110" spans="1:35" x14ac:dyDescent="0.25">
      <c r="A110" s="105" t="s">
        <v>115</v>
      </c>
      <c r="B110" s="106">
        <v>97</v>
      </c>
      <c r="C110" s="106">
        <v>90.1</v>
      </c>
      <c r="D110" s="106">
        <v>91.3</v>
      </c>
      <c r="E110" s="106">
        <v>88.9</v>
      </c>
      <c r="F110" s="106">
        <v>105.7</v>
      </c>
      <c r="G110" s="106">
        <v>88.4</v>
      </c>
      <c r="H110" s="106">
        <v>82.3</v>
      </c>
      <c r="I110" s="106">
        <v>90.3</v>
      </c>
      <c r="J110" s="106">
        <v>89.41</v>
      </c>
      <c r="K110" s="106">
        <v>88.4</v>
      </c>
      <c r="L110" s="106">
        <v>94.4</v>
      </c>
      <c r="M110" s="106">
        <v>103</v>
      </c>
      <c r="N110" s="106">
        <v>103</v>
      </c>
      <c r="O110" s="106">
        <v>69.2</v>
      </c>
      <c r="P110" s="106">
        <v>100</v>
      </c>
      <c r="Q110" s="106">
        <v>97.5</v>
      </c>
      <c r="R110" s="106">
        <v>98.6</v>
      </c>
      <c r="S110" s="106">
        <v>78</v>
      </c>
      <c r="T110" s="106">
        <v>90</v>
      </c>
      <c r="U110" s="106">
        <v>82.3</v>
      </c>
      <c r="V110" s="106">
        <v>72.8</v>
      </c>
      <c r="W110" s="106">
        <v>75.599999999999994</v>
      </c>
      <c r="X110" s="106">
        <v>88.3</v>
      </c>
      <c r="Y110" s="106">
        <v>100</v>
      </c>
      <c r="Z110" s="106">
        <v>75.900000000000006</v>
      </c>
      <c r="AA110" s="106">
        <v>83</v>
      </c>
      <c r="AB110" s="106">
        <v>67.599999999999994</v>
      </c>
      <c r="AC110" s="106">
        <v>68.8</v>
      </c>
      <c r="AD110" s="106">
        <v>68.8</v>
      </c>
      <c r="AE110" s="106">
        <v>73.900000000000006</v>
      </c>
      <c r="AF110" s="106">
        <v>86.4</v>
      </c>
      <c r="AG110" s="107"/>
      <c r="AH110" s="48">
        <f t="shared" si="11"/>
        <v>105.7</v>
      </c>
      <c r="AI110" s="49">
        <f t="shared" si="12"/>
        <v>67.599999999999994</v>
      </c>
    </row>
    <row r="111" spans="1:35" x14ac:dyDescent="0.25">
      <c r="A111" s="105" t="s">
        <v>116</v>
      </c>
      <c r="B111" s="106">
        <v>49</v>
      </c>
      <c r="C111" s="106">
        <v>48.1</v>
      </c>
      <c r="D111" s="106">
        <v>50</v>
      </c>
      <c r="E111" s="106">
        <v>48.2</v>
      </c>
      <c r="F111" s="106">
        <v>54</v>
      </c>
      <c r="G111" s="106">
        <v>53.9</v>
      </c>
      <c r="H111" s="106">
        <v>52.7</v>
      </c>
      <c r="I111" s="106">
        <v>52.3</v>
      </c>
      <c r="J111" s="106">
        <v>46.5</v>
      </c>
      <c r="K111" s="106">
        <v>42.6</v>
      </c>
      <c r="L111" s="106">
        <v>33</v>
      </c>
      <c r="M111" s="106">
        <v>38.700000000000003</v>
      </c>
      <c r="N111" s="106">
        <v>38.700000000000003</v>
      </c>
      <c r="O111" s="106">
        <v>43.3</v>
      </c>
      <c r="P111" s="106">
        <v>51.2</v>
      </c>
      <c r="Q111" s="106">
        <v>44.5</v>
      </c>
      <c r="R111" s="106">
        <v>46.2</v>
      </c>
      <c r="S111" s="106">
        <v>48.8</v>
      </c>
      <c r="T111" s="106">
        <v>45.5</v>
      </c>
      <c r="U111" s="106">
        <v>25.8</v>
      </c>
      <c r="V111" s="106">
        <v>23.3</v>
      </c>
      <c r="W111" s="106">
        <v>14.6</v>
      </c>
      <c r="X111" s="106">
        <v>16</v>
      </c>
      <c r="Y111" s="106">
        <v>23.2</v>
      </c>
      <c r="Z111" s="106">
        <v>19.3</v>
      </c>
      <c r="AA111" s="106">
        <v>26.9</v>
      </c>
      <c r="AB111" s="106">
        <v>22.7</v>
      </c>
      <c r="AC111" s="106">
        <v>30</v>
      </c>
      <c r="AD111" s="106">
        <v>30</v>
      </c>
      <c r="AE111" s="106">
        <v>39</v>
      </c>
      <c r="AF111" s="106">
        <v>37.6</v>
      </c>
      <c r="AG111" s="108"/>
      <c r="AH111" s="48">
        <f t="shared" si="11"/>
        <v>54</v>
      </c>
      <c r="AI111" s="49">
        <f t="shared" si="12"/>
        <v>14.6</v>
      </c>
    </row>
    <row r="112" spans="1:35" x14ac:dyDescent="0.25">
      <c r="A112" s="109" t="s">
        <v>117</v>
      </c>
      <c r="B112" s="94">
        <v>34</v>
      </c>
      <c r="C112" s="94">
        <v>36</v>
      </c>
      <c r="D112" s="94">
        <v>37</v>
      </c>
      <c r="E112" s="94">
        <v>37.200000000000003</v>
      </c>
      <c r="F112" s="94">
        <v>35.5</v>
      </c>
      <c r="G112" s="94">
        <v>32.6</v>
      </c>
      <c r="H112" s="94">
        <v>26.6</v>
      </c>
      <c r="I112" s="94">
        <v>15.8</v>
      </c>
      <c r="J112" s="94">
        <v>1.8</v>
      </c>
      <c r="K112" s="94">
        <v>-10</v>
      </c>
      <c r="L112" s="94">
        <v>-21.7</v>
      </c>
      <c r="M112" s="94">
        <v>26.4</v>
      </c>
      <c r="N112" s="94">
        <v>26.4</v>
      </c>
      <c r="O112" s="94">
        <v>-8.3000000000000007</v>
      </c>
      <c r="P112" s="94">
        <v>9.3000000000000007</v>
      </c>
      <c r="Q112" s="94">
        <v>24</v>
      </c>
      <c r="R112" s="94">
        <v>24.6</v>
      </c>
      <c r="S112" s="94">
        <v>11.8</v>
      </c>
      <c r="T112" s="94">
        <v>13.9</v>
      </c>
      <c r="U112" s="94">
        <v>-2.4</v>
      </c>
      <c r="V112" s="94">
        <v>-14.8</v>
      </c>
      <c r="W112" s="94">
        <v>-44.3</v>
      </c>
      <c r="X112" s="94">
        <v>82.5</v>
      </c>
      <c r="Y112" s="94">
        <v>81.599999999999994</v>
      </c>
      <c r="Z112" s="94">
        <v>-29.3</v>
      </c>
      <c r="AA112" s="94">
        <v>-16.600000000000001</v>
      </c>
      <c r="AB112" s="94">
        <v>-9.5</v>
      </c>
      <c r="AC112" s="94">
        <v>-2</v>
      </c>
      <c r="AD112" s="94">
        <v>-2</v>
      </c>
      <c r="AE112" s="94">
        <v>29.1</v>
      </c>
      <c r="AF112" s="94">
        <v>26.2</v>
      </c>
      <c r="AG112" s="108"/>
      <c r="AH112" s="48">
        <f t="shared" si="11"/>
        <v>82.5</v>
      </c>
      <c r="AI112" s="49">
        <f t="shared" si="12"/>
        <v>-44.3</v>
      </c>
    </row>
    <row r="113" spans="1:37" ht="15.75" thickBot="1" x14ac:dyDescent="0.3">
      <c r="A113" s="109" t="s">
        <v>118</v>
      </c>
      <c r="B113" s="94">
        <v>17.399999999999999</v>
      </c>
      <c r="C113" s="94">
        <v>23</v>
      </c>
      <c r="D113" s="94">
        <v>24.3</v>
      </c>
      <c r="E113" s="94">
        <v>24.8</v>
      </c>
      <c r="F113" s="94">
        <v>14.8</v>
      </c>
      <c r="G113" s="94">
        <v>31.9</v>
      </c>
      <c r="H113" s="94">
        <v>23.3</v>
      </c>
      <c r="I113" s="94">
        <v>22.2</v>
      </c>
      <c r="J113" s="94">
        <v>18</v>
      </c>
      <c r="K113" s="94">
        <v>6.6</v>
      </c>
      <c r="L113" s="94">
        <v>-29.2</v>
      </c>
      <c r="M113" s="94">
        <v>35.799999999999997</v>
      </c>
      <c r="N113" s="94">
        <v>35.799999999999997</v>
      </c>
      <c r="O113" s="94">
        <v>-11.3</v>
      </c>
      <c r="P113" s="94">
        <v>1.2</v>
      </c>
      <c r="Q113" s="94">
        <v>24.3</v>
      </c>
      <c r="R113" s="94">
        <v>23.1</v>
      </c>
      <c r="S113" s="94">
        <v>-1.1000000000000001</v>
      </c>
      <c r="T113" s="94">
        <v>-2.9</v>
      </c>
      <c r="U113" s="94">
        <v>16.2</v>
      </c>
      <c r="V113" s="94">
        <v>-6</v>
      </c>
      <c r="W113" s="94">
        <v>-6.1</v>
      </c>
      <c r="X113" s="94"/>
      <c r="Y113" s="94"/>
      <c r="Z113" s="94">
        <v>-10.9</v>
      </c>
      <c r="AA113" s="94">
        <v>-16.2</v>
      </c>
      <c r="AB113" s="94">
        <v>-12.9</v>
      </c>
      <c r="AC113" s="94">
        <v>-17.100000000000001</v>
      </c>
      <c r="AD113" s="94">
        <v>-17.100000000000001</v>
      </c>
      <c r="AE113" s="94">
        <v>7.2</v>
      </c>
      <c r="AF113" s="94">
        <v>16.100000000000001</v>
      </c>
      <c r="AG113" s="108"/>
      <c r="AH113" s="48">
        <f t="shared" si="11"/>
        <v>35.799999999999997</v>
      </c>
      <c r="AI113" s="49">
        <f t="shared" si="12"/>
        <v>-29.2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21">SUM(B115:B219)</f>
        <v>0</v>
      </c>
      <c r="C220" s="125">
        <f t="shared" si="21"/>
        <v>0</v>
      </c>
      <c r="D220" s="125">
        <f t="shared" si="21"/>
        <v>0</v>
      </c>
      <c r="E220" s="125">
        <f t="shared" si="21"/>
        <v>0</v>
      </c>
      <c r="F220" s="125">
        <f t="shared" si="21"/>
        <v>0</v>
      </c>
      <c r="G220" s="125">
        <f t="shared" si="21"/>
        <v>0</v>
      </c>
      <c r="H220" s="125">
        <f t="shared" si="21"/>
        <v>0</v>
      </c>
      <c r="I220" s="125">
        <f t="shared" si="21"/>
        <v>0</v>
      </c>
      <c r="J220" s="125">
        <f t="shared" si="21"/>
        <v>0</v>
      </c>
      <c r="K220" s="125">
        <f t="shared" si="21"/>
        <v>0</v>
      </c>
      <c r="L220" s="125">
        <f t="shared" si="21"/>
        <v>0</v>
      </c>
      <c r="M220" s="125">
        <f t="shared" si="21"/>
        <v>0</v>
      </c>
      <c r="N220" s="125">
        <f t="shared" si="21"/>
        <v>0</v>
      </c>
      <c r="O220" s="125">
        <f t="shared" si="21"/>
        <v>0</v>
      </c>
      <c r="P220" s="125">
        <f t="shared" si="21"/>
        <v>0</v>
      </c>
      <c r="Q220" s="125">
        <f t="shared" si="21"/>
        <v>0</v>
      </c>
      <c r="R220" s="125">
        <f t="shared" si="21"/>
        <v>0</v>
      </c>
      <c r="S220" s="125">
        <f t="shared" si="21"/>
        <v>0</v>
      </c>
      <c r="T220" s="125">
        <f t="shared" si="21"/>
        <v>0</v>
      </c>
      <c r="U220" s="125">
        <f t="shared" si="21"/>
        <v>0</v>
      </c>
      <c r="V220" s="125">
        <f t="shared" si="21"/>
        <v>0</v>
      </c>
      <c r="W220" s="125">
        <f t="shared" si="21"/>
        <v>0</v>
      </c>
      <c r="X220" s="125">
        <f t="shared" si="21"/>
        <v>0</v>
      </c>
      <c r="Y220" s="125">
        <f t="shared" si="21"/>
        <v>0</v>
      </c>
      <c r="Z220" s="125">
        <f t="shared" si="21"/>
        <v>0</v>
      </c>
      <c r="AA220" s="125">
        <f t="shared" si="21"/>
        <v>0</v>
      </c>
      <c r="AB220" s="125">
        <f t="shared" si="21"/>
        <v>0</v>
      </c>
      <c r="AC220" s="125">
        <f t="shared" si="21"/>
        <v>0</v>
      </c>
      <c r="AD220" s="125">
        <f t="shared" si="21"/>
        <v>0</v>
      </c>
      <c r="AE220" s="125">
        <f t="shared" si="21"/>
        <v>0</v>
      </c>
      <c r="AF220" s="126">
        <f t="shared" si="21"/>
        <v>0</v>
      </c>
      <c r="AG220" s="127">
        <f t="shared" si="21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22">AF222</f>
        <v>0</v>
      </c>
      <c r="C222" s="129">
        <v>0.3</v>
      </c>
      <c r="D222" s="129">
        <f t="shared" ref="D222:P227" si="23">C222</f>
        <v>0.3</v>
      </c>
      <c r="E222" s="129">
        <f t="shared" si="23"/>
        <v>0.3</v>
      </c>
      <c r="F222" s="129">
        <f t="shared" si="23"/>
        <v>0.3</v>
      </c>
      <c r="G222" s="129">
        <f t="shared" si="23"/>
        <v>0.3</v>
      </c>
      <c r="H222" s="129">
        <f t="shared" si="23"/>
        <v>0.3</v>
      </c>
      <c r="I222" s="129">
        <f t="shared" si="23"/>
        <v>0.3</v>
      </c>
      <c r="J222" s="129">
        <f t="shared" si="23"/>
        <v>0.3</v>
      </c>
      <c r="K222" s="129">
        <f t="shared" si="23"/>
        <v>0.3</v>
      </c>
      <c r="L222" s="129">
        <f t="shared" si="23"/>
        <v>0.3</v>
      </c>
      <c r="M222" s="129">
        <f t="shared" si="23"/>
        <v>0.3</v>
      </c>
      <c r="N222" s="129">
        <f t="shared" si="23"/>
        <v>0.3</v>
      </c>
      <c r="O222" s="129">
        <f t="shared" si="23"/>
        <v>0.3</v>
      </c>
      <c r="P222" s="129">
        <f t="shared" si="23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22"/>
        <v>0</v>
      </c>
      <c r="C223" s="117">
        <v>0.4</v>
      </c>
      <c r="D223" s="117">
        <f t="shared" si="23"/>
        <v>0.4</v>
      </c>
      <c r="E223" s="117">
        <f t="shared" si="23"/>
        <v>0.4</v>
      </c>
      <c r="F223" s="117">
        <f t="shared" si="23"/>
        <v>0.4</v>
      </c>
      <c r="G223" s="117">
        <f t="shared" si="23"/>
        <v>0.4</v>
      </c>
      <c r="H223" s="117">
        <f t="shared" si="23"/>
        <v>0.4</v>
      </c>
      <c r="I223" s="117">
        <f t="shared" si="23"/>
        <v>0.4</v>
      </c>
      <c r="J223" s="117">
        <f t="shared" si="23"/>
        <v>0.4</v>
      </c>
      <c r="K223" s="117">
        <f t="shared" si="23"/>
        <v>0.4</v>
      </c>
      <c r="L223" s="117">
        <f t="shared" si="23"/>
        <v>0.4</v>
      </c>
      <c r="M223" s="117">
        <f t="shared" si="23"/>
        <v>0.4</v>
      </c>
      <c r="N223" s="117">
        <f t="shared" si="23"/>
        <v>0.4</v>
      </c>
      <c r="O223" s="117">
        <f t="shared" si="23"/>
        <v>0.4</v>
      </c>
      <c r="P223" s="117">
        <f t="shared" si="23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22"/>
        <v>0</v>
      </c>
      <c r="C224" s="117">
        <v>1.5</v>
      </c>
      <c r="D224" s="117">
        <f t="shared" si="23"/>
        <v>1.5</v>
      </c>
      <c r="E224" s="117">
        <f t="shared" si="23"/>
        <v>1.5</v>
      </c>
      <c r="F224" s="117">
        <f t="shared" si="23"/>
        <v>1.5</v>
      </c>
      <c r="G224" s="117">
        <f t="shared" si="23"/>
        <v>1.5</v>
      </c>
      <c r="H224" s="117">
        <f t="shared" si="23"/>
        <v>1.5</v>
      </c>
      <c r="I224" s="100">
        <f t="shared" ref="I224" ca="1" si="24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23"/>
        <v>1.5</v>
      </c>
      <c r="K224" s="117">
        <f t="shared" ca="1" si="23"/>
        <v>1.5</v>
      </c>
      <c r="L224" s="117">
        <f t="shared" ca="1" si="23"/>
        <v>1.5</v>
      </c>
      <c r="M224" s="117">
        <f t="shared" ca="1" si="23"/>
        <v>1.5</v>
      </c>
      <c r="N224" s="117">
        <f t="shared" ca="1" si="23"/>
        <v>1.5</v>
      </c>
      <c r="O224" s="117">
        <f t="shared" ca="1" si="23"/>
        <v>1.5</v>
      </c>
      <c r="P224" s="117">
        <f t="shared" ca="1" si="23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22"/>
        <v>0</v>
      </c>
      <c r="C225" s="117">
        <v>0.3</v>
      </c>
      <c r="D225" s="117">
        <f t="shared" si="23"/>
        <v>0.3</v>
      </c>
      <c r="E225" s="117">
        <f t="shared" si="23"/>
        <v>0.3</v>
      </c>
      <c r="F225" s="117">
        <f t="shared" si="23"/>
        <v>0.3</v>
      </c>
      <c r="G225" s="117">
        <f t="shared" si="23"/>
        <v>0.3</v>
      </c>
      <c r="H225" s="117">
        <f t="shared" si="23"/>
        <v>0.3</v>
      </c>
      <c r="I225" s="117">
        <f t="shared" si="23"/>
        <v>0.3</v>
      </c>
      <c r="J225" s="117">
        <f t="shared" si="23"/>
        <v>0.3</v>
      </c>
      <c r="K225" s="117">
        <f t="shared" si="23"/>
        <v>0.3</v>
      </c>
      <c r="L225" s="117">
        <f t="shared" si="23"/>
        <v>0.3</v>
      </c>
      <c r="M225" s="117">
        <f t="shared" si="23"/>
        <v>0.3</v>
      </c>
      <c r="N225" s="117">
        <f t="shared" si="23"/>
        <v>0.3</v>
      </c>
      <c r="O225" s="117">
        <f t="shared" si="23"/>
        <v>0.3</v>
      </c>
      <c r="P225" s="117">
        <f t="shared" si="23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22"/>
        <v>0</v>
      </c>
      <c r="C226" s="117">
        <v>0.4</v>
      </c>
      <c r="D226" s="117">
        <f t="shared" si="23"/>
        <v>0.4</v>
      </c>
      <c r="E226" s="117">
        <f t="shared" si="23"/>
        <v>0.4</v>
      </c>
      <c r="F226" s="117">
        <f t="shared" si="23"/>
        <v>0.4</v>
      </c>
      <c r="G226" s="117">
        <f t="shared" si="23"/>
        <v>0.4</v>
      </c>
      <c r="H226" s="117">
        <f t="shared" si="23"/>
        <v>0.4</v>
      </c>
      <c r="I226" s="117">
        <f t="shared" si="23"/>
        <v>0.4</v>
      </c>
      <c r="J226" s="117">
        <f t="shared" si="23"/>
        <v>0.4</v>
      </c>
      <c r="K226" s="117">
        <f t="shared" si="23"/>
        <v>0.4</v>
      </c>
      <c r="L226" s="117">
        <f t="shared" si="23"/>
        <v>0.4</v>
      </c>
      <c r="M226" s="117">
        <f t="shared" si="23"/>
        <v>0.4</v>
      </c>
      <c r="N226" s="117">
        <f t="shared" si="23"/>
        <v>0.4</v>
      </c>
      <c r="O226" s="117">
        <f t="shared" si="23"/>
        <v>0.4</v>
      </c>
      <c r="P226" s="117">
        <f t="shared" si="23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22"/>
        <v>0</v>
      </c>
      <c r="C227" s="121">
        <v>0.64</v>
      </c>
      <c r="D227" s="121">
        <f t="shared" si="23"/>
        <v>0.64</v>
      </c>
      <c r="E227" s="121">
        <f t="shared" si="23"/>
        <v>0.64</v>
      </c>
      <c r="F227" s="121">
        <f t="shared" si="23"/>
        <v>0.64</v>
      </c>
      <c r="G227" s="121">
        <f t="shared" si="23"/>
        <v>0.64</v>
      </c>
      <c r="H227" s="121">
        <f t="shared" si="23"/>
        <v>0.64</v>
      </c>
      <c r="I227" s="121">
        <f t="shared" si="23"/>
        <v>0.64</v>
      </c>
      <c r="J227" s="121">
        <f t="shared" si="23"/>
        <v>0.64</v>
      </c>
      <c r="K227" s="121">
        <f t="shared" si="23"/>
        <v>0.64</v>
      </c>
      <c r="L227" s="121">
        <f t="shared" si="23"/>
        <v>0.64</v>
      </c>
      <c r="M227" s="121">
        <f t="shared" si="23"/>
        <v>0.64</v>
      </c>
      <c r="N227" s="121">
        <f t="shared" si="23"/>
        <v>0.64</v>
      </c>
      <c r="O227" s="121">
        <f t="shared" si="23"/>
        <v>0.64</v>
      </c>
      <c r="P227" s="121">
        <f t="shared" si="23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5">SUM(B222:B227)</f>
        <v>0</v>
      </c>
      <c r="C228" s="125">
        <f t="shared" si="25"/>
        <v>3.54</v>
      </c>
      <c r="D228" s="125">
        <f t="shared" si="25"/>
        <v>3.54</v>
      </c>
      <c r="E228" s="125">
        <f t="shared" si="25"/>
        <v>3.54</v>
      </c>
      <c r="F228" s="125">
        <f t="shared" si="25"/>
        <v>3.54</v>
      </c>
      <c r="G228" s="125">
        <f t="shared" si="25"/>
        <v>3.54</v>
      </c>
      <c r="H228" s="125">
        <f t="shared" si="25"/>
        <v>3.54</v>
      </c>
      <c r="I228" s="125">
        <f t="shared" ca="1" si="25"/>
        <v>3.54</v>
      </c>
      <c r="J228" s="125">
        <f t="shared" ca="1" si="25"/>
        <v>3.54</v>
      </c>
      <c r="K228" s="125">
        <f t="shared" ca="1" si="25"/>
        <v>3.54</v>
      </c>
      <c r="L228" s="125">
        <f t="shared" ca="1" si="25"/>
        <v>3.54</v>
      </c>
      <c r="M228" s="125">
        <f t="shared" ca="1" si="25"/>
        <v>3.54</v>
      </c>
      <c r="N228" s="125">
        <f t="shared" ca="1" si="25"/>
        <v>3.54</v>
      </c>
      <c r="O228" s="125">
        <f t="shared" ca="1" si="25"/>
        <v>3.54</v>
      </c>
      <c r="P228" s="125">
        <f t="shared" ca="1" si="25"/>
        <v>3.54</v>
      </c>
      <c r="Q228" s="125">
        <f t="shared" si="25"/>
        <v>0</v>
      </c>
      <c r="R228" s="125">
        <f t="shared" si="25"/>
        <v>0</v>
      </c>
      <c r="S228" s="125">
        <f t="shared" si="25"/>
        <v>0</v>
      </c>
      <c r="T228" s="125">
        <f t="shared" si="25"/>
        <v>0</v>
      </c>
      <c r="U228" s="125">
        <f t="shared" si="25"/>
        <v>0</v>
      </c>
      <c r="V228" s="125">
        <f t="shared" si="25"/>
        <v>0</v>
      </c>
      <c r="W228" s="125">
        <f t="shared" si="25"/>
        <v>0</v>
      </c>
      <c r="X228" s="125">
        <f t="shared" si="25"/>
        <v>0</v>
      </c>
      <c r="Y228" s="125">
        <f t="shared" si="25"/>
        <v>0</v>
      </c>
      <c r="Z228" s="125">
        <f t="shared" si="25"/>
        <v>0</v>
      </c>
      <c r="AA228" s="125">
        <f t="shared" si="25"/>
        <v>0</v>
      </c>
      <c r="AB228" s="125">
        <f t="shared" si="25"/>
        <v>0</v>
      </c>
      <c r="AC228" s="125">
        <f t="shared" si="25"/>
        <v>0</v>
      </c>
      <c r="AD228" s="125">
        <f t="shared" si="25"/>
        <v>0</v>
      </c>
      <c r="AE228" s="125">
        <f t="shared" si="25"/>
        <v>0</v>
      </c>
      <c r="AF228" s="125">
        <f t="shared" si="25"/>
        <v>0</v>
      </c>
      <c r="AG228" s="134">
        <f t="shared" si="25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1692.2800000000002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28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2079/09/28)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2079/09/28)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6">B85</f>
        <v>1095.54</v>
      </c>
      <c r="U242" s="159">
        <f t="shared" si="26"/>
        <v>1075.94</v>
      </c>
      <c r="V242" s="159">
        <f t="shared" si="26"/>
        <v>1073.1399999999999</v>
      </c>
      <c r="W242" s="159">
        <f t="shared" si="26"/>
        <v>1065.28</v>
      </c>
      <c r="X242" s="159">
        <f t="shared" si="26"/>
        <v>1069.08</v>
      </c>
      <c r="Y242" s="159">
        <f t="shared" si="26"/>
        <v>1093.98</v>
      </c>
      <c r="Z242" s="159">
        <f t="shared" si="26"/>
        <v>1110.7800000000002</v>
      </c>
      <c r="AA242" s="159">
        <f t="shared" si="26"/>
        <v>1165.3800000000001</v>
      </c>
      <c r="AB242" s="159">
        <f t="shared" si="26"/>
        <v>1239.58</v>
      </c>
      <c r="AC242" s="159">
        <f t="shared" si="26"/>
        <v>1388.78</v>
      </c>
      <c r="AD242" s="159">
        <f t="shared" si="26"/>
        <v>1621.68</v>
      </c>
      <c r="AE242" s="159">
        <f t="shared" si="26"/>
        <v>1692.2800000000002</v>
      </c>
      <c r="AF242" s="159">
        <f t="shared" si="26"/>
        <v>1623.2800000000002</v>
      </c>
      <c r="AG242" s="159">
        <f t="shared" si="26"/>
        <v>1575.2800000000002</v>
      </c>
      <c r="AH242" s="159">
        <f t="shared" si="26"/>
        <v>1388.2800000000002</v>
      </c>
      <c r="AI242" s="159">
        <f t="shared" si="26"/>
        <v>1426.7800000000002</v>
      </c>
      <c r="AJ242" s="159">
        <f t="shared" si="26"/>
        <v>1400.58</v>
      </c>
      <c r="AK242" s="159">
        <f t="shared" si="26"/>
        <v>1410.84</v>
      </c>
      <c r="AL242" s="159">
        <f t="shared" si="26"/>
        <v>1474.1389999999999</v>
      </c>
      <c r="AM242" s="159">
        <f t="shared" si="26"/>
        <v>1341.3389999999999</v>
      </c>
      <c r="AN242" s="159">
        <f t="shared" si="26"/>
        <v>1414.24</v>
      </c>
      <c r="AO242" s="159">
        <f t="shared" si="26"/>
        <v>1573.7399999999998</v>
      </c>
      <c r="AP242" s="159">
        <f t="shared" si="26"/>
        <v>1704.6399999999999</v>
      </c>
      <c r="AQ242" s="159">
        <f t="shared" si="26"/>
        <v>1805.24</v>
      </c>
      <c r="AR242" s="159">
        <f t="shared" si="26"/>
        <v>1755.64</v>
      </c>
      <c r="AS242" s="159">
        <f t="shared" si="26"/>
        <v>1720.52</v>
      </c>
      <c r="AT242" s="159">
        <f t="shared" si="26"/>
        <v>1623.8400000000001</v>
      </c>
      <c r="AU242" s="159">
        <f t="shared" si="26"/>
        <v>1608.64</v>
      </c>
      <c r="AV242" s="159">
        <f t="shared" si="26"/>
        <v>1530.3400000000001</v>
      </c>
      <c r="AW242" s="159">
        <f t="shared" si="26"/>
        <v>1147.6399999999999</v>
      </c>
      <c r="AX242" s="159">
        <f t="shared" si="26"/>
        <v>1167.04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7">C227</f>
        <v>0.64</v>
      </c>
      <c r="C263" s="162">
        <f t="shared" si="27"/>
        <v>0.64</v>
      </c>
      <c r="D263" s="162">
        <f t="shared" si="27"/>
        <v>0.64</v>
      </c>
      <c r="E263" s="162">
        <f t="shared" si="27"/>
        <v>0.64</v>
      </c>
      <c r="F263" s="162">
        <f t="shared" si="27"/>
        <v>0.64</v>
      </c>
      <c r="G263" s="162">
        <f t="shared" si="27"/>
        <v>0.64</v>
      </c>
      <c r="H263" s="162">
        <f t="shared" si="27"/>
        <v>0.64</v>
      </c>
      <c r="I263" s="162">
        <f t="shared" si="27"/>
        <v>0.64</v>
      </c>
      <c r="J263" s="162">
        <f t="shared" si="27"/>
        <v>0.64</v>
      </c>
      <c r="K263" s="162">
        <f t="shared" si="27"/>
        <v>0.64</v>
      </c>
      <c r="L263" s="162">
        <f t="shared" si="27"/>
        <v>0.64</v>
      </c>
      <c r="M263" s="162">
        <f t="shared" si="27"/>
        <v>0.64</v>
      </c>
      <c r="N263" s="162">
        <f t="shared" si="27"/>
        <v>0.64</v>
      </c>
      <c r="O263" s="162">
        <f t="shared" si="27"/>
        <v>0.64</v>
      </c>
      <c r="P263" s="162">
        <f t="shared" si="27"/>
        <v>0</v>
      </c>
      <c r="Q263" s="162">
        <f t="shared" si="27"/>
        <v>0</v>
      </c>
      <c r="R263" s="162">
        <f t="shared" si="27"/>
        <v>0</v>
      </c>
      <c r="S263" s="162">
        <f t="shared" si="27"/>
        <v>0</v>
      </c>
      <c r="T263" s="162">
        <f t="shared" si="27"/>
        <v>0</v>
      </c>
      <c r="U263" s="162">
        <f t="shared" si="27"/>
        <v>0</v>
      </c>
      <c r="V263" s="162">
        <f t="shared" si="27"/>
        <v>0</v>
      </c>
      <c r="W263" s="162">
        <f t="shared" si="27"/>
        <v>0</v>
      </c>
      <c r="X263" s="162">
        <f t="shared" si="27"/>
        <v>0</v>
      </c>
      <c r="Y263" s="162">
        <f t="shared" si="27"/>
        <v>0</v>
      </c>
      <c r="Z263" s="162">
        <f t="shared" si="27"/>
        <v>0</v>
      </c>
      <c r="AA263" s="162">
        <f t="shared" si="27"/>
        <v>0</v>
      </c>
      <c r="AB263" s="162">
        <f t="shared" si="27"/>
        <v>0</v>
      </c>
      <c r="AC263" s="162">
        <f t="shared" si="27"/>
        <v>0</v>
      </c>
      <c r="AD263" s="162">
        <f t="shared" si="27"/>
        <v>0</v>
      </c>
      <c r="AE263" s="162">
        <f t="shared" si="27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8">IF(B231&lt;100,"",B231-520)</f>
        <v/>
      </c>
      <c r="C264" s="163" t="str">
        <f t="shared" si="28"/>
        <v/>
      </c>
      <c r="D264" s="163" t="str">
        <f t="shared" si="28"/>
        <v/>
      </c>
      <c r="E264" s="163" t="str">
        <f t="shared" si="28"/>
        <v/>
      </c>
      <c r="F264" s="163" t="str">
        <f t="shared" si="28"/>
        <v/>
      </c>
      <c r="G264" s="163" t="str">
        <f t="shared" si="28"/>
        <v/>
      </c>
      <c r="H264" s="163" t="str">
        <f t="shared" si="28"/>
        <v/>
      </c>
      <c r="I264" s="163" t="str">
        <f t="shared" si="28"/>
        <v/>
      </c>
      <c r="J264" s="163" t="str">
        <f t="shared" si="28"/>
        <v/>
      </c>
      <c r="K264" s="163" t="str">
        <f t="shared" si="28"/>
        <v/>
      </c>
      <c r="L264" s="163" t="str">
        <f t="shared" si="28"/>
        <v/>
      </c>
      <c r="M264" s="163" t="str">
        <f t="shared" si="28"/>
        <v/>
      </c>
      <c r="N264" s="163" t="str">
        <f t="shared" si="28"/>
        <v/>
      </c>
      <c r="O264" s="163" t="str">
        <f t="shared" si="28"/>
        <v/>
      </c>
      <c r="P264" s="163" t="str">
        <f t="shared" si="28"/>
        <v/>
      </c>
      <c r="Q264" s="163" t="str">
        <f t="shared" si="28"/>
        <v/>
      </c>
      <c r="R264" s="163" t="str">
        <f t="shared" si="28"/>
        <v/>
      </c>
      <c r="S264" s="163" t="str">
        <f t="shared" si="28"/>
        <v/>
      </c>
      <c r="T264" s="163" t="str">
        <f t="shared" si="28"/>
        <v/>
      </c>
      <c r="U264" s="163" t="str">
        <f t="shared" si="28"/>
        <v/>
      </c>
      <c r="V264" s="163" t="str">
        <f t="shared" si="28"/>
        <v/>
      </c>
      <c r="W264" s="163" t="str">
        <f t="shared" si="28"/>
        <v/>
      </c>
      <c r="X264" s="163" t="str">
        <f t="shared" si="28"/>
        <v/>
      </c>
      <c r="Y264" s="163" t="str">
        <f t="shared" si="28"/>
        <v/>
      </c>
      <c r="Z264" s="163" t="str">
        <f t="shared" si="28"/>
        <v/>
      </c>
      <c r="AA264" s="163" t="str">
        <f t="shared" si="28"/>
        <v/>
      </c>
      <c r="AB264" s="163" t="str">
        <f t="shared" si="28"/>
        <v/>
      </c>
      <c r="AC264" s="163" t="str">
        <f t="shared" si="28"/>
        <v/>
      </c>
      <c r="AD264" s="163" t="str">
        <f t="shared" si="28"/>
        <v/>
      </c>
      <c r="AE264" s="163" t="str">
        <f t="shared" si="28"/>
        <v/>
      </c>
      <c r="AF264" s="163" t="str">
        <f t="shared" si="28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9">IF(B232&lt;100,"",B232-620)</f>
        <v/>
      </c>
      <c r="C265" s="163" t="str">
        <f t="shared" si="29"/>
        <v/>
      </c>
      <c r="D265" s="163" t="str">
        <f t="shared" si="29"/>
        <v/>
      </c>
      <c r="E265" s="163" t="str">
        <f t="shared" si="29"/>
        <v/>
      </c>
      <c r="F265" s="163" t="str">
        <f t="shared" si="29"/>
        <v/>
      </c>
      <c r="G265" s="163" t="str">
        <f t="shared" si="29"/>
        <v/>
      </c>
      <c r="H265" s="163" t="str">
        <f t="shared" si="29"/>
        <v/>
      </c>
      <c r="I265" s="163" t="str">
        <f t="shared" si="29"/>
        <v/>
      </c>
      <c r="J265" s="163" t="str">
        <f t="shared" si="29"/>
        <v/>
      </c>
      <c r="K265" s="163" t="str">
        <f t="shared" si="29"/>
        <v/>
      </c>
      <c r="L265" s="163" t="str">
        <f t="shared" si="29"/>
        <v/>
      </c>
      <c r="M265" s="163" t="str">
        <f t="shared" si="29"/>
        <v/>
      </c>
      <c r="N265" s="163" t="str">
        <f t="shared" si="29"/>
        <v/>
      </c>
      <c r="O265" s="163" t="str">
        <f t="shared" si="29"/>
        <v/>
      </c>
      <c r="P265" s="163" t="str">
        <f t="shared" si="29"/>
        <v/>
      </c>
      <c r="Q265" s="163" t="str">
        <f t="shared" si="29"/>
        <v/>
      </c>
      <c r="R265" s="163" t="str">
        <f t="shared" si="29"/>
        <v/>
      </c>
      <c r="S265" s="163" t="str">
        <f t="shared" si="29"/>
        <v/>
      </c>
      <c r="T265" s="163" t="str">
        <f t="shared" si="29"/>
        <v/>
      </c>
      <c r="U265" s="163" t="str">
        <f t="shared" si="29"/>
        <v/>
      </c>
      <c r="V265" s="163" t="str">
        <f t="shared" si="29"/>
        <v/>
      </c>
      <c r="W265" s="163" t="str">
        <f t="shared" si="29"/>
        <v/>
      </c>
      <c r="X265" s="163" t="str">
        <f t="shared" si="29"/>
        <v/>
      </c>
      <c r="Y265" s="163" t="str">
        <f t="shared" si="29"/>
        <v/>
      </c>
      <c r="Z265" s="163" t="str">
        <f t="shared" si="29"/>
        <v/>
      </c>
      <c r="AA265" s="163" t="str">
        <f t="shared" si="29"/>
        <v/>
      </c>
      <c r="AB265" s="163" t="str">
        <f t="shared" si="29"/>
        <v/>
      </c>
      <c r="AC265" s="163" t="str">
        <f t="shared" si="29"/>
        <v/>
      </c>
      <c r="AD265" s="163" t="str">
        <f t="shared" si="29"/>
        <v/>
      </c>
      <c r="AE265" s="163" t="str">
        <f t="shared" si="29"/>
        <v/>
      </c>
      <c r="AF265" s="163" t="str">
        <f t="shared" si="29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0">IF(B233&lt;100,"",B233-330)</f>
        <v/>
      </c>
      <c r="C266" s="163" t="str">
        <f t="shared" si="30"/>
        <v/>
      </c>
      <c r="D266" s="163" t="str">
        <f t="shared" si="30"/>
        <v/>
      </c>
      <c r="E266" s="163" t="str">
        <f t="shared" si="30"/>
        <v/>
      </c>
      <c r="F266" s="163" t="str">
        <f t="shared" si="30"/>
        <v/>
      </c>
      <c r="G266" s="163" t="str">
        <f t="shared" si="30"/>
        <v/>
      </c>
      <c r="H266" s="163" t="str">
        <f t="shared" si="30"/>
        <v/>
      </c>
      <c r="I266" s="163" t="str">
        <f t="shared" si="30"/>
        <v/>
      </c>
      <c r="J266" s="163" t="str">
        <f t="shared" si="30"/>
        <v/>
      </c>
      <c r="K266" s="163" t="str">
        <f t="shared" si="30"/>
        <v/>
      </c>
      <c r="L266" s="163" t="str">
        <f t="shared" si="30"/>
        <v/>
      </c>
      <c r="M266" s="163" t="str">
        <f t="shared" si="30"/>
        <v/>
      </c>
      <c r="N266" s="163" t="str">
        <f t="shared" si="30"/>
        <v/>
      </c>
      <c r="O266" s="163" t="str">
        <f t="shared" si="30"/>
        <v/>
      </c>
      <c r="P266" s="163" t="str">
        <f t="shared" si="30"/>
        <v/>
      </c>
      <c r="Q266" s="163" t="str">
        <f t="shared" si="30"/>
        <v/>
      </c>
      <c r="R266" s="163" t="str">
        <f t="shared" si="30"/>
        <v/>
      </c>
      <c r="S266" s="163" t="str">
        <f t="shared" si="30"/>
        <v/>
      </c>
      <c r="T266" s="163" t="str">
        <f t="shared" si="30"/>
        <v/>
      </c>
      <c r="U266" s="163" t="str">
        <f t="shared" si="30"/>
        <v/>
      </c>
      <c r="V266" s="163" t="str">
        <f t="shared" si="30"/>
        <v/>
      </c>
      <c r="W266" s="163" t="str">
        <f t="shared" si="30"/>
        <v/>
      </c>
      <c r="X266" s="163" t="str">
        <f t="shared" si="30"/>
        <v/>
      </c>
      <c r="Y266" s="163" t="str">
        <f t="shared" si="30"/>
        <v/>
      </c>
      <c r="Z266" s="163" t="str">
        <f t="shared" si="30"/>
        <v/>
      </c>
      <c r="AA266" s="163" t="str">
        <f t="shared" si="30"/>
        <v/>
      </c>
      <c r="AB266" s="163" t="str">
        <f t="shared" si="30"/>
        <v/>
      </c>
      <c r="AC266" s="163" t="str">
        <f t="shared" si="30"/>
        <v/>
      </c>
      <c r="AD266" s="163" t="str">
        <f t="shared" si="30"/>
        <v/>
      </c>
      <c r="AE266" s="163" t="str">
        <f t="shared" si="30"/>
        <v/>
      </c>
      <c r="AF266" s="163" t="str">
        <f t="shared" si="30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1">IF(B234&lt;100,"",B234-1500)</f>
        <v/>
      </c>
      <c r="C267" s="163" t="str">
        <f t="shared" si="31"/>
        <v/>
      </c>
      <c r="D267" s="163" t="str">
        <f t="shared" si="31"/>
        <v/>
      </c>
      <c r="E267" s="163" t="str">
        <f t="shared" si="31"/>
        <v/>
      </c>
      <c r="F267" s="163" t="str">
        <f t="shared" si="31"/>
        <v/>
      </c>
      <c r="G267" s="163" t="str">
        <f t="shared" si="31"/>
        <v/>
      </c>
      <c r="H267" s="163" t="str">
        <f t="shared" si="31"/>
        <v/>
      </c>
      <c r="I267" s="163" t="str">
        <f t="shared" si="31"/>
        <v/>
      </c>
      <c r="J267" s="163" t="str">
        <f t="shared" si="31"/>
        <v/>
      </c>
      <c r="K267" s="163" t="str">
        <f t="shared" si="31"/>
        <v/>
      </c>
      <c r="L267" s="163" t="str">
        <f t="shared" si="31"/>
        <v/>
      </c>
      <c r="M267" s="163" t="str">
        <f t="shared" si="31"/>
        <v/>
      </c>
      <c r="N267" s="163" t="str">
        <f t="shared" si="31"/>
        <v/>
      </c>
      <c r="O267" s="163" t="str">
        <f t="shared" si="31"/>
        <v/>
      </c>
      <c r="P267" s="163" t="str">
        <f t="shared" si="31"/>
        <v/>
      </c>
      <c r="Q267" s="163" t="str">
        <f t="shared" si="31"/>
        <v/>
      </c>
      <c r="R267" s="163" t="str">
        <f t="shared" si="31"/>
        <v/>
      </c>
      <c r="S267" s="163" t="str">
        <f t="shared" si="31"/>
        <v/>
      </c>
      <c r="T267" s="163" t="str">
        <f t="shared" si="31"/>
        <v/>
      </c>
      <c r="U267" s="163" t="str">
        <f t="shared" si="31"/>
        <v/>
      </c>
      <c r="V267" s="163" t="str">
        <f t="shared" si="31"/>
        <v/>
      </c>
      <c r="W267" s="163" t="str">
        <f t="shared" si="31"/>
        <v/>
      </c>
      <c r="X267" s="163" t="str">
        <f t="shared" si="31"/>
        <v/>
      </c>
      <c r="Y267" s="163" t="str">
        <f t="shared" si="31"/>
        <v/>
      </c>
      <c r="Z267" s="163" t="str">
        <f t="shared" si="31"/>
        <v/>
      </c>
      <c r="AA267" s="163" t="str">
        <f t="shared" si="31"/>
        <v/>
      </c>
      <c r="AB267" s="163" t="str">
        <f t="shared" si="31"/>
        <v/>
      </c>
      <c r="AC267" s="163" t="str">
        <f t="shared" si="31"/>
        <v/>
      </c>
      <c r="AD267" s="163" t="str">
        <f t="shared" si="31"/>
        <v/>
      </c>
      <c r="AE267" s="163" t="str">
        <f t="shared" si="31"/>
        <v/>
      </c>
      <c r="AF267" s="163" t="str">
        <f t="shared" si="31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26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9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X11:AF41">
    <cfRule type="expression" dxfId="3475" priority="255">
      <formula>B$9&gt;=20/24</formula>
    </cfRule>
    <cfRule type="expression" dxfId="3474" priority="256">
      <formula>AND(B$9&gt;=14/24,B$9&lt;20/24)</formula>
    </cfRule>
    <cfRule type="expression" dxfId="3473" priority="257">
      <formula>AND(B$9&gt;=8/24,B$9&lt;14/24)</formula>
    </cfRule>
    <cfRule type="expression" dxfId="3472" priority="258">
      <formula>B$9&lt;8/24</formula>
    </cfRule>
  </conditionalFormatting>
  <conditionalFormatting sqref="AL4:AL6">
    <cfRule type="iconSet" priority="254">
      <iconSet iconSet="3TrafficLights2" reverse="1">
        <cfvo type="percent" val="0"/>
        <cfvo type="num" val="1"/>
        <cfvo type="num" val="1"/>
      </iconSet>
    </cfRule>
  </conditionalFormatting>
  <conditionalFormatting sqref="AG61 X11:AF41">
    <cfRule type="expression" dxfId="3471" priority="253">
      <formula>X11&gt;$AG11</formula>
    </cfRule>
  </conditionalFormatting>
  <conditionalFormatting sqref="A95:A105 A55:A82 A91:A93 A198:A228 A42:A53 A114:A185 A38:A39 A87:A89 A84:A85 A107:A109 A35:A36 A17:A18 A11:A15 A20:A33">
    <cfRule type="expression" dxfId="3470" priority="252">
      <formula>$AH11=0</formula>
    </cfRule>
  </conditionalFormatting>
  <conditionalFormatting sqref="A110">
    <cfRule type="expression" dxfId="3469" priority="251">
      <formula>$AH110=0</formula>
    </cfRule>
  </conditionalFormatting>
  <conditionalFormatting sqref="AL39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3468" priority="249">
      <formula>$AH41=0</formula>
    </cfRule>
  </conditionalFormatting>
  <conditionalFormatting sqref="A94">
    <cfRule type="expression" dxfId="3467" priority="248">
      <formula>$AH94=0</formula>
    </cfRule>
  </conditionalFormatting>
  <conditionalFormatting sqref="A16">
    <cfRule type="expression" dxfId="3466" priority="247">
      <formula>$AH16=0</formula>
    </cfRule>
  </conditionalFormatting>
  <conditionalFormatting sqref="A192:A197">
    <cfRule type="expression" dxfId="3465" priority="246">
      <formula>$AH192=0</formula>
    </cfRule>
  </conditionalFormatting>
  <conditionalFormatting sqref="A186:A191">
    <cfRule type="expression" dxfId="3464" priority="245">
      <formula>$AH186=0</formula>
    </cfRule>
  </conditionalFormatting>
  <conditionalFormatting sqref="A54">
    <cfRule type="expression" dxfId="3463" priority="244">
      <formula>$AH54=0</formula>
    </cfRule>
  </conditionalFormatting>
  <conditionalFormatting sqref="A90">
    <cfRule type="expression" dxfId="3462" priority="243">
      <formula>$AH90=0</formula>
    </cfRule>
  </conditionalFormatting>
  <conditionalFormatting sqref="AD95:AF95 E95:X95">
    <cfRule type="expression" dxfId="3461" priority="239">
      <formula>E$9&gt;=20/24</formula>
    </cfRule>
    <cfRule type="expression" dxfId="3460" priority="240">
      <formula>AND(E$9&gt;=14/24,E$9&lt;20/24)</formula>
    </cfRule>
    <cfRule type="expression" dxfId="3459" priority="241">
      <formula>AND(E$9&gt;=8/24,E$9&lt;14/24)</formula>
    </cfRule>
    <cfRule type="expression" dxfId="3458" priority="242">
      <formula>E$9&lt;8/24</formula>
    </cfRule>
  </conditionalFormatting>
  <conditionalFormatting sqref="AL40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457" priority="261">
      <formula>C$9&gt;=20/24</formula>
    </cfRule>
    <cfRule type="expression" dxfId="3456" priority="262">
      <formula>AND(C$9&gt;=14/24,C$9&lt;20/24)</formula>
    </cfRule>
    <cfRule type="expression" dxfId="3455" priority="263">
      <formula>AND(C$9&gt;=8/24,C$9&lt;14/24)</formula>
    </cfRule>
    <cfRule type="expression" dxfId="3454" priority="264">
      <formula>C$9&lt;8/24</formula>
    </cfRule>
  </conditionalFormatting>
  <conditionalFormatting sqref="A229">
    <cfRule type="expression" dxfId="3453" priority="265">
      <formula>$AH229=0</formula>
    </cfRule>
  </conditionalFormatting>
  <conditionalFormatting sqref="AG241">
    <cfRule type="expression" dxfId="3452" priority="266">
      <formula>B$9&gt;=20/24</formula>
    </cfRule>
    <cfRule type="expression" dxfId="3451" priority="267">
      <formula>AND(B$9&gt;=14/24,B$9&lt;20/24)</formula>
    </cfRule>
    <cfRule type="expression" dxfId="3450" priority="268">
      <formula>AND(B$9&gt;=8/24,B$9&lt;14/24)</formula>
    </cfRule>
    <cfRule type="expression" dxfId="3449" priority="269">
      <formula>B$9&lt;8/24</formula>
    </cfRule>
  </conditionalFormatting>
  <conditionalFormatting sqref="S8">
    <cfRule type="expression" dxfId="3448" priority="234">
      <formula>U$9&gt;=20/24</formula>
    </cfRule>
    <cfRule type="expression" dxfId="3447" priority="235">
      <formula>AND(U$9&gt;=14/24,U$9&lt;20/24)</formula>
    </cfRule>
    <cfRule type="expression" dxfId="3446" priority="236">
      <formula>AND(U$9&gt;=8/24,U$9&lt;14/24)</formula>
    </cfRule>
    <cfRule type="expression" dxfId="3445" priority="237">
      <formula>U$9&lt;8/24</formula>
    </cfRule>
  </conditionalFormatting>
  <conditionalFormatting sqref="AB8">
    <cfRule type="expression" dxfId="3444" priority="230">
      <formula>AD$9&gt;=20/24</formula>
    </cfRule>
    <cfRule type="expression" dxfId="3443" priority="231">
      <formula>AND(AD$9&gt;=14/24,AD$9&lt;20/24)</formula>
    </cfRule>
    <cfRule type="expression" dxfId="3442" priority="232">
      <formula>AND(AD$9&gt;=8/24,AD$9&lt;14/24)</formula>
    </cfRule>
    <cfRule type="expression" dxfId="3441" priority="233">
      <formula>AD$9&lt;8/24</formula>
    </cfRule>
  </conditionalFormatting>
  <conditionalFormatting sqref="AH241:AX241">
    <cfRule type="expression" dxfId="3440" priority="270">
      <formula>AG$9&gt;=20/24</formula>
    </cfRule>
    <cfRule type="expression" dxfId="3439" priority="271">
      <formula>AND(AG$9&gt;=14/24,AG$9&lt;20/24)</formula>
    </cfRule>
    <cfRule type="expression" dxfId="3438" priority="272">
      <formula>AND(AG$9&gt;=8/24,AG$9&lt;14/24)</formula>
    </cfRule>
    <cfRule type="expression" dxfId="3437" priority="273">
      <formula>AG$9&lt;8/24</formula>
    </cfRule>
  </conditionalFormatting>
  <conditionalFormatting sqref="T241">
    <cfRule type="expression" dxfId="3436" priority="274">
      <formula>AX$9&gt;=20/24</formula>
    </cfRule>
    <cfRule type="expression" dxfId="3435" priority="275">
      <formula>AND(AX$9&gt;=14/24,AX$9&lt;20/24)</formula>
    </cfRule>
    <cfRule type="expression" dxfId="3434" priority="276">
      <formula>AND(AX$9&gt;=8/24,AX$9&lt;14/24)</formula>
    </cfRule>
    <cfRule type="expression" dxfId="3433" priority="277">
      <formula>AX$9&lt;8/24</formula>
    </cfRule>
  </conditionalFormatting>
  <conditionalFormatting sqref="A111:A112">
    <cfRule type="expression" dxfId="3432" priority="229">
      <formula>$AH111=0</formula>
    </cfRule>
  </conditionalFormatting>
  <conditionalFormatting sqref="E67:AF67 AE50:AF51 W52:AF53">
    <cfRule type="expression" dxfId="3431" priority="225">
      <formula>E$9&gt;=20/24</formula>
    </cfRule>
    <cfRule type="expression" dxfId="3430" priority="226">
      <formula>AND(E$9&gt;=14/24,E$9&lt;20/24)</formula>
    </cfRule>
    <cfRule type="expression" dxfId="3429" priority="227">
      <formula>AND(E$9&gt;=8/24,E$9&lt;14/24)</formula>
    </cfRule>
    <cfRule type="expression" dxfId="3428" priority="228">
      <formula>E$9&lt;8/24</formula>
    </cfRule>
  </conditionalFormatting>
  <conditionalFormatting sqref="AE49:AF49">
    <cfRule type="expression" dxfId="3427" priority="221">
      <formula>AE$9&gt;=20/24</formula>
    </cfRule>
    <cfRule type="expression" dxfId="3426" priority="222">
      <formula>AND(AE$9&gt;=14/24,AE$9&lt;20/24)</formula>
    </cfRule>
    <cfRule type="expression" dxfId="3425" priority="223">
      <formula>AND(AE$9&gt;=8/24,AE$9&lt;14/24)</formula>
    </cfRule>
    <cfRule type="expression" dxfId="3424" priority="224">
      <formula>AE$9&lt;8/24</formula>
    </cfRule>
  </conditionalFormatting>
  <conditionalFormatting sqref="AE49:AF51 W52:AF53">
    <cfRule type="expression" dxfId="3423" priority="220">
      <formula>W49&gt;$AG49</formula>
    </cfRule>
  </conditionalFormatting>
  <conditionalFormatting sqref="D82:AF82 R96:X102 AB63:AF65 X92:AF92 AE96:AF102 X43:AF43 E68:AF69 X70:AF70">
    <cfRule type="expression" dxfId="3422" priority="216">
      <formula>D$9&gt;=20/24</formula>
    </cfRule>
    <cfRule type="expression" dxfId="3421" priority="217">
      <formula>AND(D$9&gt;=14/24,D$9&lt;20/24)</formula>
    </cfRule>
    <cfRule type="expression" dxfId="3420" priority="218">
      <formula>AND(D$9&gt;=8/24,D$9&lt;14/24)</formula>
    </cfRule>
    <cfRule type="expression" dxfId="3419" priority="219">
      <formula>D$9&lt;8/24</formula>
    </cfRule>
  </conditionalFormatting>
  <conditionalFormatting sqref="AB63:AF65 X43:AF43">
    <cfRule type="expression" dxfId="3418" priority="215">
      <formula>X43&gt;$AG43</formula>
    </cfRule>
  </conditionalFormatting>
  <conditionalFormatting sqref="S52:V56 S49:AD51">
    <cfRule type="expression" dxfId="3417" priority="211">
      <formula>S$9&gt;=20/24</formula>
    </cfRule>
    <cfRule type="expression" dxfId="3416" priority="212">
      <formula>AND(S$9&gt;=14/24,S$9&lt;20/24)</formula>
    </cfRule>
    <cfRule type="expression" dxfId="3415" priority="213">
      <formula>AND(S$9&gt;=8/24,S$9&lt;14/24)</formula>
    </cfRule>
    <cfRule type="expression" dxfId="3414" priority="214">
      <formula>S$9&lt;8/24</formula>
    </cfRule>
  </conditionalFormatting>
  <conditionalFormatting sqref="S52:V56 S49:AD51">
    <cfRule type="expression" dxfId="3413" priority="210">
      <formula>S49&gt;$AG49</formula>
    </cfRule>
  </conditionalFormatting>
  <conditionalFormatting sqref="C93:AF93 C84:AF84">
    <cfRule type="expression" dxfId="3412" priority="206">
      <formula>C$9&gt;=20/24</formula>
    </cfRule>
    <cfRule type="expression" dxfId="3411" priority="207">
      <formula>AND(C$9&gt;=14/24,C$9&lt;20/24)</formula>
    </cfRule>
    <cfRule type="expression" dxfId="3410" priority="208">
      <formula>AND(C$9&gt;=8/24,C$9&lt;14/24)</formula>
    </cfRule>
    <cfRule type="expression" dxfId="3409" priority="209">
      <formula>C$9&lt;8/24</formula>
    </cfRule>
  </conditionalFormatting>
  <conditionalFormatting sqref="E50:R51 X42:AF42">
    <cfRule type="expression" dxfId="3408" priority="197">
      <formula>E$9&gt;=20/24</formula>
    </cfRule>
    <cfRule type="expression" dxfId="3407" priority="198">
      <formula>AND(E$9&gt;=14/24,E$9&lt;20/24)</formula>
    </cfRule>
    <cfRule type="expression" dxfId="3406" priority="199">
      <formula>AND(E$9&gt;=8/24,E$9&lt;14/24)</formula>
    </cfRule>
    <cfRule type="expression" dxfId="3405" priority="200">
      <formula>E$9&lt;8/24</formula>
    </cfRule>
  </conditionalFormatting>
  <conditionalFormatting sqref="E49:R49">
    <cfRule type="expression" dxfId="3404" priority="193">
      <formula>E$9&gt;=20/24</formula>
    </cfRule>
    <cfRule type="expression" dxfId="3403" priority="194">
      <formula>AND(E$9&gt;=14/24,E$9&lt;20/24)</formula>
    </cfRule>
    <cfRule type="expression" dxfId="3402" priority="195">
      <formula>AND(E$9&gt;=8/24,E$9&lt;14/24)</formula>
    </cfRule>
    <cfRule type="expression" dxfId="3401" priority="196">
      <formula>E$9&lt;8/24</formula>
    </cfRule>
  </conditionalFormatting>
  <conditionalFormatting sqref="E49:R51 X42:AF42">
    <cfRule type="expression" dxfId="3400" priority="192">
      <formula>E42&gt;$AG42</formula>
    </cfRule>
  </conditionalFormatting>
  <conditionalFormatting sqref="AG66 AG83 E96:Q102 Q63:AA65">
    <cfRule type="expression" dxfId="3399" priority="188">
      <formula>E$9&gt;=20/24</formula>
    </cfRule>
    <cfRule type="expression" dxfId="3398" priority="189">
      <formula>AND(E$9&gt;=14/24,E$9&lt;20/24)</formula>
    </cfRule>
    <cfRule type="expression" dxfId="3397" priority="190">
      <formula>AND(E$9&gt;=8/24,E$9&lt;14/24)</formula>
    </cfRule>
    <cfRule type="expression" dxfId="3396" priority="191">
      <formula>E$9&lt;8/24</formula>
    </cfRule>
  </conditionalFormatting>
  <conditionalFormatting sqref="AG44 AG62 AG66 Q63:AA65">
    <cfRule type="expression" dxfId="3395" priority="187">
      <formula>Q44&gt;$AG44</formula>
    </cfRule>
  </conditionalFormatting>
  <conditionalFormatting sqref="X54:AF54">
    <cfRule type="expression" dxfId="3394" priority="183">
      <formula>X$9&gt;=20/24</formula>
    </cfRule>
    <cfRule type="expression" dxfId="3393" priority="184">
      <formula>AND(X$9&gt;=14/24,X$9&lt;20/24)</formula>
    </cfRule>
    <cfRule type="expression" dxfId="3392" priority="185">
      <formula>AND(X$9&gt;=8/24,X$9&lt;14/24)</formula>
    </cfRule>
    <cfRule type="expression" dxfId="3391" priority="186">
      <formula>X$9&lt;8/24</formula>
    </cfRule>
  </conditionalFormatting>
  <conditionalFormatting sqref="X54:AF54">
    <cfRule type="expression" dxfId="3390" priority="182">
      <formula>X54&gt;$AG54</formula>
    </cfRule>
  </conditionalFormatting>
  <conditionalFormatting sqref="A40">
    <cfRule type="expression" dxfId="3389" priority="181">
      <formula>$AH40=0</formula>
    </cfRule>
  </conditionalFormatting>
  <conditionalFormatting sqref="X87:AF91">
    <cfRule type="expression" dxfId="3388" priority="177">
      <formula>X$9&gt;=20/24</formula>
    </cfRule>
    <cfRule type="expression" dxfId="3387" priority="178">
      <formula>AND(X$9&gt;=14/24,X$9&lt;20/24)</formula>
    </cfRule>
    <cfRule type="expression" dxfId="3386" priority="179">
      <formula>AND(X$9&gt;=8/24,X$9&lt;14/24)</formula>
    </cfRule>
    <cfRule type="expression" dxfId="3385" priority="180">
      <formula>X$9&lt;8/24</formula>
    </cfRule>
  </conditionalFormatting>
  <conditionalFormatting sqref="AL41 AL38 AL20:AL33 AL35:AL36 AL7:AL18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E45:I46 J45:AF47">
    <cfRule type="expression" dxfId="3384" priority="173">
      <formula>E$9&gt;=20/24</formula>
    </cfRule>
    <cfRule type="expression" dxfId="3383" priority="174">
      <formula>AND(E$9&gt;=14/24,E$9&lt;20/24)</formula>
    </cfRule>
    <cfRule type="expression" dxfId="3382" priority="175">
      <formula>AND(E$9&gt;=8/24,E$9&lt;14/24)</formula>
    </cfRule>
    <cfRule type="expression" dxfId="3381" priority="176">
      <formula>E$9&lt;8/24</formula>
    </cfRule>
  </conditionalFormatting>
  <conditionalFormatting sqref="E45:I46 J45:AF47">
    <cfRule type="expression" dxfId="3380" priority="172">
      <formula>E45&gt;$AG45</formula>
    </cfRule>
  </conditionalFormatting>
  <conditionalFormatting sqref="AG48">
    <cfRule type="expression" dxfId="3379" priority="168">
      <formula>AG$9&gt;=20/24</formula>
    </cfRule>
    <cfRule type="expression" dxfId="3378" priority="169">
      <formula>AND(AG$9&gt;=14/24,AG$9&lt;20/24)</formula>
    </cfRule>
    <cfRule type="expression" dxfId="3377" priority="170">
      <formula>AND(AG$9&gt;=8/24,AG$9&lt;14/24)</formula>
    </cfRule>
    <cfRule type="expression" dxfId="3376" priority="171">
      <formula>AG$9&lt;8/24</formula>
    </cfRule>
  </conditionalFormatting>
  <conditionalFormatting sqref="AG48">
    <cfRule type="expression" dxfId="3375" priority="167">
      <formula>AG48&gt;$AG48</formula>
    </cfRule>
  </conditionalFormatting>
  <conditionalFormatting sqref="C103:AF103">
    <cfRule type="expression" dxfId="3374" priority="163">
      <formula>C$9&gt;=20/24</formula>
    </cfRule>
    <cfRule type="expression" dxfId="3373" priority="164">
      <formula>AND(C$9&gt;=14/24,C$9&lt;20/24)</formula>
    </cfRule>
    <cfRule type="expression" dxfId="3372" priority="165">
      <formula>AND(C$9&gt;=8/24,C$9&lt;14/24)</formula>
    </cfRule>
    <cfRule type="expression" dxfId="3371" priority="166">
      <formula>C$9&lt;8/24</formula>
    </cfRule>
  </conditionalFormatting>
  <conditionalFormatting sqref="AL37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370" priority="161">
      <formula>$AH37=0</formula>
    </cfRule>
  </conditionalFormatting>
  <conditionalFormatting sqref="A86">
    <cfRule type="expression" dxfId="3369" priority="159">
      <formula>$AH86=0</formula>
    </cfRule>
  </conditionalFormatting>
  <conditionalFormatting sqref="A83">
    <cfRule type="expression" dxfId="3368" priority="160">
      <formula>$AH83=0</formula>
    </cfRule>
  </conditionalFormatting>
  <conditionalFormatting sqref="A113">
    <cfRule type="expression" dxfId="3367" priority="150">
      <formula>$AH113=0</formula>
    </cfRule>
  </conditionalFormatting>
  <conditionalFormatting sqref="D106:AF106">
    <cfRule type="expression" dxfId="3366" priority="146">
      <formula>D$9&gt;=20/24</formula>
    </cfRule>
    <cfRule type="expression" dxfId="3365" priority="147">
      <formula>AND(D$9&gt;=14/24,D$9&lt;20/24)</formula>
    </cfRule>
    <cfRule type="expression" dxfId="3364" priority="148">
      <formula>AND(D$9&gt;=8/24,D$9&lt;14/24)</formula>
    </cfRule>
    <cfRule type="expression" dxfId="3363" priority="149">
      <formula>D$9&lt;8/24</formula>
    </cfRule>
  </conditionalFormatting>
  <conditionalFormatting sqref="A106">
    <cfRule type="expression" dxfId="3362" priority="145">
      <formula>$AH106=0</formula>
    </cfRule>
  </conditionalFormatting>
  <conditionalFormatting sqref="A19">
    <cfRule type="expression" dxfId="3361" priority="143">
      <formula>$AH19=0</formula>
    </cfRule>
  </conditionalFormatting>
  <conditionalFormatting sqref="AL19">
    <cfRule type="iconSet" priority="14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360" priority="141">
      <formula>$AH34=0</formula>
    </cfRule>
  </conditionalFormatting>
  <conditionalFormatting sqref="AL34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3359" priority="137">
      <formula>Y$9&gt;=20/24</formula>
    </cfRule>
    <cfRule type="expression" dxfId="3358" priority="138">
      <formula>AND(Y$9&gt;=14/24,Y$9&lt;20/24)</formula>
    </cfRule>
    <cfRule type="expression" dxfId="3357" priority="139">
      <formula>AND(Y$9&gt;=8/24,Y$9&lt;14/24)</formula>
    </cfRule>
    <cfRule type="expression" dxfId="3356" priority="140">
      <formula>Y$9&lt;8/24</formula>
    </cfRule>
  </conditionalFormatting>
  <conditionalFormatting sqref="Y96:AD102">
    <cfRule type="expression" dxfId="3355" priority="133">
      <formula>Y$9&gt;=20/24</formula>
    </cfRule>
    <cfRule type="expression" dxfId="3354" priority="134">
      <formula>AND(Y$9&gt;=14/24,Y$9&lt;20/24)</formula>
    </cfRule>
    <cfRule type="expression" dxfId="3353" priority="135">
      <formula>AND(Y$9&gt;=8/24,Y$9&lt;14/24)</formula>
    </cfRule>
    <cfRule type="expression" dxfId="3352" priority="136">
      <formula>Y$9&lt;8/24</formula>
    </cfRule>
  </conditionalFormatting>
  <conditionalFormatting sqref="B105:C105 B107:C112 B15:W40">
    <cfRule type="expression" dxfId="3351" priority="129">
      <formula>B$9&gt;=20/24</formula>
    </cfRule>
    <cfRule type="expression" dxfId="3350" priority="130">
      <formula>AND(B$9&gt;=14/24,B$9&lt;20/24)</formula>
    </cfRule>
    <cfRule type="expression" dxfId="3349" priority="131">
      <formula>AND(B$9&gt;=8/24,B$9&lt;14/24)</formula>
    </cfRule>
    <cfRule type="expression" dxfId="3348" priority="132">
      <formula>B$9&lt;8/24</formula>
    </cfRule>
  </conditionalFormatting>
  <conditionalFormatting sqref="B43:W43">
    <cfRule type="expression" dxfId="3347" priority="125">
      <formula>B$9&gt;=20/24</formula>
    </cfRule>
    <cfRule type="expression" dxfId="3346" priority="126">
      <formula>AND(B$9&gt;=14/24,B$9&lt;20/24)</formula>
    </cfRule>
    <cfRule type="expression" dxfId="3345" priority="127">
      <formula>AND(B$9&gt;=8/24,B$9&lt;14/24)</formula>
    </cfRule>
    <cfRule type="expression" dxfId="3344" priority="128">
      <formula>B$9&lt;8/24</formula>
    </cfRule>
  </conditionalFormatting>
  <conditionalFormatting sqref="B43:W43 B15:W40">
    <cfRule type="expression" dxfId="3343" priority="124">
      <formula>B15&gt;$AG15</formula>
    </cfRule>
  </conditionalFormatting>
  <conditionalFormatting sqref="B95:D95">
    <cfRule type="expression" dxfId="3342" priority="120">
      <formula>B$9&gt;=20/24</formula>
    </cfRule>
    <cfRule type="expression" dxfId="3341" priority="121">
      <formula>AND(B$9&gt;=14/24,B$9&lt;20/24)</formula>
    </cfRule>
    <cfRule type="expression" dxfId="3340" priority="122">
      <formula>AND(B$9&gt;=8/24,B$9&lt;14/24)</formula>
    </cfRule>
    <cfRule type="expression" dxfId="3339" priority="123">
      <formula>B$9&lt;8/24</formula>
    </cfRule>
  </conditionalFormatting>
  <conditionalFormatting sqref="B50:D51 C67:D67">
    <cfRule type="expression" dxfId="3338" priority="116">
      <formula>B$9&gt;=20/24</formula>
    </cfRule>
    <cfRule type="expression" dxfId="3337" priority="117">
      <formula>AND(B$9&gt;=14/24,B$9&lt;20/24)</formula>
    </cfRule>
    <cfRule type="expression" dxfId="3336" priority="118">
      <formula>AND(B$9&gt;=8/24,B$9&lt;14/24)</formula>
    </cfRule>
    <cfRule type="expression" dxfId="3335" priority="119">
      <formula>B$9&lt;8/24</formula>
    </cfRule>
  </conditionalFormatting>
  <conditionalFormatting sqref="B49:D49">
    <cfRule type="expression" dxfId="3334" priority="112">
      <formula>B$9&gt;=20/24</formula>
    </cfRule>
    <cfRule type="expression" dxfId="3333" priority="113">
      <formula>AND(B$9&gt;=14/24,B$9&lt;20/24)</formula>
    </cfRule>
    <cfRule type="expression" dxfId="3332" priority="114">
      <formula>AND(B$9&gt;=8/24,B$9&lt;14/24)</formula>
    </cfRule>
    <cfRule type="expression" dxfId="3331" priority="115">
      <formula>B$9&lt;8/24</formula>
    </cfRule>
  </conditionalFormatting>
  <conditionalFormatting sqref="B49:D51">
    <cfRule type="expression" dxfId="3330" priority="111">
      <formula>B49&gt;$AG49</formula>
    </cfRule>
  </conditionalFormatting>
  <conditionalFormatting sqref="B82:C82 B96:D102 B92:W92 B79:AF81 C68:D69 P71:P72 B63:P65 M70:P70 S70:W70 Q70:R72 S71:AF72">
    <cfRule type="expression" dxfId="3329" priority="107">
      <formula>B$9&gt;=20/24</formula>
    </cfRule>
    <cfRule type="expression" dxfId="3328" priority="108">
      <formula>AND(B$9&gt;=14/24,B$9&lt;20/24)</formula>
    </cfRule>
    <cfRule type="expression" dxfId="3327" priority="109">
      <formula>AND(B$9&gt;=8/24,B$9&lt;14/24)</formula>
    </cfRule>
    <cfRule type="expression" dxfId="3326" priority="110">
      <formula>B$9&lt;8/24</formula>
    </cfRule>
  </conditionalFormatting>
  <conditionalFormatting sqref="B63:P65 B52:L53">
    <cfRule type="expression" dxfId="3325" priority="106">
      <formula>B52&gt;$AG52</formula>
    </cfRule>
  </conditionalFormatting>
  <conditionalFormatting sqref="W54 B54:R54">
    <cfRule type="expression" dxfId="3324" priority="102">
      <formula>B$9&gt;=20/24</formula>
    </cfRule>
    <cfRule type="expression" dxfId="3323" priority="103">
      <formula>AND(B$9&gt;=14/24,B$9&lt;20/24)</formula>
    </cfRule>
    <cfRule type="expression" dxfId="3322" priority="104">
      <formula>AND(B$9&gt;=8/24,B$9&lt;14/24)</formula>
    </cfRule>
    <cfRule type="expression" dxfId="3321" priority="105">
      <formula>B$9&lt;8/24</formula>
    </cfRule>
  </conditionalFormatting>
  <conditionalFormatting sqref="W54 B54:R54">
    <cfRule type="expression" dxfId="3320" priority="101">
      <formula>B54&gt;$AG54</formula>
    </cfRule>
  </conditionalFormatting>
  <conditionalFormatting sqref="B84 B93">
    <cfRule type="expression" dxfId="3319" priority="97">
      <formula>B$9&gt;=20/24</formula>
    </cfRule>
    <cfRule type="expression" dxfId="3318" priority="98">
      <formula>AND(B$9&gt;=14/24,B$9&lt;20/24)</formula>
    </cfRule>
    <cfRule type="expression" dxfId="3317" priority="99">
      <formula>AND(B$9&gt;=8/24,B$9&lt;14/24)</formula>
    </cfRule>
    <cfRule type="expression" dxfId="3316" priority="100">
      <formula>B$9&lt;8/24</formula>
    </cfRule>
  </conditionalFormatting>
  <conditionalFormatting sqref="B42:W42">
    <cfRule type="expression" dxfId="3315" priority="93">
      <formula>B$9&gt;=20/24</formula>
    </cfRule>
    <cfRule type="expression" dxfId="3314" priority="94">
      <formula>AND(B$9&gt;=14/24,B$9&lt;20/24)</formula>
    </cfRule>
    <cfRule type="expression" dxfId="3313" priority="95">
      <formula>AND(B$9&gt;=8/24,B$9&lt;14/24)</formula>
    </cfRule>
    <cfRule type="expression" dxfId="3312" priority="96">
      <formula>B$9&lt;8/24</formula>
    </cfRule>
  </conditionalFormatting>
  <conditionalFormatting sqref="B42:W42">
    <cfRule type="expression" dxfId="3311" priority="92">
      <formula>B42&gt;$AG42</formula>
    </cfRule>
  </conditionalFormatting>
  <conditionalFormatting sqref="B85:AF85 B94:AF94 B83:AF83 B66:AF66">
    <cfRule type="expression" dxfId="3310" priority="88">
      <formula>B$9&gt;=20/24</formula>
    </cfRule>
    <cfRule type="expression" dxfId="3309" priority="89">
      <formula>AND(B$9&gt;=14/24,B$9&lt;20/24)</formula>
    </cfRule>
    <cfRule type="expression" dxfId="3308" priority="90">
      <formula>AND(B$9&gt;=8/24,B$9&lt;14/24)</formula>
    </cfRule>
    <cfRule type="expression" dxfId="3307" priority="91">
      <formula>B$9&lt;8/24</formula>
    </cfRule>
  </conditionalFormatting>
  <conditionalFormatting sqref="B61:AF62 B44:AF44 B66:AF66">
    <cfRule type="expression" dxfId="3306" priority="87">
      <formula>B44&gt;$AG44</formula>
    </cfRule>
  </conditionalFormatting>
  <conditionalFormatting sqref="B78:AF78">
    <cfRule type="expression" dxfId="3305" priority="83">
      <formula>B$9&gt;=20/24</formula>
    </cfRule>
    <cfRule type="expression" dxfId="3304" priority="84">
      <formula>AND(B$9&gt;=14/24,B$9&lt;20/24)</formula>
    </cfRule>
    <cfRule type="expression" dxfId="3303" priority="85">
      <formula>AND(B$9&gt;=8/24,B$9&lt;14/24)</formula>
    </cfRule>
    <cfRule type="expression" dxfId="3302" priority="86">
      <formula>B$9&lt;8/24</formula>
    </cfRule>
  </conditionalFormatting>
  <conditionalFormatting sqref="B87:W91">
    <cfRule type="expression" dxfId="3301" priority="79">
      <formula>B$9&gt;=20/24</formula>
    </cfRule>
    <cfRule type="expression" dxfId="3300" priority="80">
      <formula>AND(B$9&gt;=14/24,B$9&lt;20/24)</formula>
    </cfRule>
    <cfRule type="expression" dxfId="3299" priority="81">
      <formula>AND(B$9&gt;=8/24,B$9&lt;14/24)</formula>
    </cfRule>
    <cfRule type="expression" dxfId="3298" priority="82">
      <formula>B$9&lt;8/24</formula>
    </cfRule>
  </conditionalFormatting>
  <conditionalFormatting sqref="B45:D46 B47:I47">
    <cfRule type="expression" dxfId="3297" priority="75">
      <formula>B$9&gt;=20/24</formula>
    </cfRule>
    <cfRule type="expression" dxfId="3296" priority="76">
      <formula>AND(B$9&gt;=14/24,B$9&lt;20/24)</formula>
    </cfRule>
    <cfRule type="expression" dxfId="3295" priority="77">
      <formula>AND(B$9&gt;=8/24,B$9&lt;14/24)</formula>
    </cfRule>
    <cfRule type="expression" dxfId="3294" priority="78">
      <formula>B$9&lt;8/24</formula>
    </cfRule>
  </conditionalFormatting>
  <conditionalFormatting sqref="B45:D46 B47:I47">
    <cfRule type="expression" dxfId="3293" priority="74">
      <formula>B45&gt;$AG45</formula>
    </cfRule>
  </conditionalFormatting>
  <conditionalFormatting sqref="B48:AF48">
    <cfRule type="expression" dxfId="3292" priority="70">
      <formula>B$9&gt;=20/24</formula>
    </cfRule>
    <cfRule type="expression" dxfId="3291" priority="71">
      <formula>AND(B$9&gt;=14/24,B$9&lt;20/24)</formula>
    </cfRule>
    <cfRule type="expression" dxfId="3290" priority="72">
      <formula>AND(B$9&gt;=8/24,B$9&lt;14/24)</formula>
    </cfRule>
    <cfRule type="expression" dxfId="3289" priority="73">
      <formula>B$9&lt;8/24</formula>
    </cfRule>
  </conditionalFormatting>
  <conditionalFormatting sqref="B48:AF48">
    <cfRule type="expression" dxfId="3288" priority="69">
      <formula>B48&gt;$AG48</formula>
    </cfRule>
  </conditionalFormatting>
  <conditionalFormatting sqref="B103">
    <cfRule type="expression" dxfId="3287" priority="65">
      <formula>B$9&gt;=20/24</formula>
    </cfRule>
    <cfRule type="expression" dxfId="3286" priority="66">
      <formula>AND(B$9&gt;=14/24,B$9&lt;20/24)</formula>
    </cfRule>
    <cfRule type="expression" dxfId="3285" priority="67">
      <formula>AND(B$9&gt;=8/24,B$9&lt;14/24)</formula>
    </cfRule>
    <cfRule type="expression" dxfId="3284" priority="68">
      <formula>B$9&lt;8/24</formula>
    </cfRule>
  </conditionalFormatting>
  <conditionalFormatting sqref="B106:C106">
    <cfRule type="expression" dxfId="3283" priority="53">
      <formula>B$9&gt;=20/24</formula>
    </cfRule>
    <cfRule type="expression" dxfId="3282" priority="54">
      <formula>AND(B$9&gt;=14/24,B$9&lt;20/24)</formula>
    </cfRule>
    <cfRule type="expression" dxfId="3281" priority="55">
      <formula>AND(B$9&gt;=8/24,B$9&lt;14/24)</formula>
    </cfRule>
    <cfRule type="expression" dxfId="3280" priority="56">
      <formula>B$9&lt;8/24</formula>
    </cfRule>
  </conditionalFormatting>
  <conditionalFormatting sqref="B55:R60 W56:Z56 S57:Z60 W55:AA55 AA56:AA60 AB55:AF60">
    <cfRule type="expression" dxfId="3279" priority="49">
      <formula>B$9&gt;=20/24</formula>
    </cfRule>
    <cfRule type="expression" dxfId="3278" priority="50">
      <formula>AND(B$9&gt;=14/24,B$9&lt;20/24)</formula>
    </cfRule>
    <cfRule type="expression" dxfId="3277" priority="51">
      <formula>AND(B$9&gt;=8/24,B$9&lt;14/24)</formula>
    </cfRule>
    <cfRule type="expression" dxfId="3276" priority="52">
      <formula>B$9&lt;8/24</formula>
    </cfRule>
  </conditionalFormatting>
  <conditionalFormatting sqref="B55:R60 W56:Z56 S57:Z60 W55:AA55 AA56:AA60 AB55:AF60">
    <cfRule type="expression" dxfId="3275" priority="48">
      <formula>B55&gt;$AG55</formula>
    </cfRule>
  </conditionalFormatting>
  <conditionalFormatting sqref="B12:W14 B41:W41">
    <cfRule type="expression" dxfId="3274" priority="47">
      <formula>B12&gt;$AG12</formula>
    </cfRule>
  </conditionalFormatting>
  <conditionalFormatting sqref="B11:W11">
    <cfRule type="expression" dxfId="3273" priority="43">
      <formula>B$9&gt;=20/24</formula>
    </cfRule>
    <cfRule type="expression" dxfId="3272" priority="44">
      <formula>AND(B$9&gt;=14/24,B$9&lt;20/24)</formula>
    </cfRule>
    <cfRule type="expression" dxfId="3271" priority="45">
      <formula>AND(B$9&gt;=8/24,B$9&lt;14/24)</formula>
    </cfRule>
    <cfRule type="expression" dxfId="3270" priority="46">
      <formula>B$9&lt;8/24</formula>
    </cfRule>
  </conditionalFormatting>
  <conditionalFormatting sqref="B11:W11">
    <cfRule type="expression" dxfId="3269" priority="42">
      <formula>B11&gt;$AG11</formula>
    </cfRule>
  </conditionalFormatting>
  <conditionalFormatting sqref="B12:W14">
    <cfRule type="expression" dxfId="3268" priority="38">
      <formula>B$9&gt;=20/24</formula>
    </cfRule>
    <cfRule type="expression" dxfId="3267" priority="39">
      <formula>AND(B$9&gt;=14/24,B$9&lt;20/24)</formula>
    </cfRule>
    <cfRule type="expression" dxfId="3266" priority="40">
      <formula>AND(B$9&gt;=8/24,B$9&lt;14/24)</formula>
    </cfRule>
    <cfRule type="expression" dxfId="3265" priority="41">
      <formula>B$9&lt;8/24</formula>
    </cfRule>
  </conditionalFormatting>
  <conditionalFormatting sqref="B41:W41">
    <cfRule type="expression" dxfId="3264" priority="34">
      <formula>B$9&gt;=20/24</formula>
    </cfRule>
    <cfRule type="expression" dxfId="3263" priority="35">
      <formula>AND(B$9&gt;=14/24,B$9&lt;20/24)</formula>
    </cfRule>
    <cfRule type="expression" dxfId="3262" priority="36">
      <formula>AND(B$9&gt;=8/24,B$9&lt;14/24)</formula>
    </cfRule>
    <cfRule type="expression" dxfId="3261" priority="37">
      <formula>B$9&lt;8/24</formula>
    </cfRule>
  </conditionalFormatting>
  <conditionalFormatting sqref="S73:AF77">
    <cfRule type="expression" dxfId="3260" priority="30">
      <formula>S$9&gt;=20/24</formula>
    </cfRule>
    <cfRule type="expression" dxfId="3259" priority="31">
      <formula>AND(S$9&gt;=14/24,S$9&lt;20/24)</formula>
    </cfRule>
    <cfRule type="expression" dxfId="3258" priority="32">
      <formula>AND(S$9&gt;=8/24,S$9&lt;14/24)</formula>
    </cfRule>
    <cfRule type="expression" dxfId="3257" priority="33">
      <formula>S$9&lt;8/24</formula>
    </cfRule>
  </conditionalFormatting>
  <conditionalFormatting sqref="AL74:AN74 AL80:AN80 AN75:AN76">
    <cfRule type="expression" dxfId="3256" priority="26">
      <formula>AL$9&gt;=20/24</formula>
    </cfRule>
    <cfRule type="expression" dxfId="3255" priority="27">
      <formula>AND(AL$9&gt;=14/24,AL$9&lt;20/24)</formula>
    </cfRule>
    <cfRule type="expression" dxfId="3254" priority="28">
      <formula>AND(AL$9&gt;=8/24,AL$9&lt;14/24)</formula>
    </cfRule>
    <cfRule type="expression" dxfId="3253" priority="29">
      <formula>AL$9&lt;8/24</formula>
    </cfRule>
  </conditionalFormatting>
  <conditionalFormatting sqref="AN77:AN78">
    <cfRule type="expression" dxfId="3252" priority="22">
      <formula>AN$9&gt;=20/24</formula>
    </cfRule>
    <cfRule type="expression" dxfId="3251" priority="23">
      <formula>AND(AN$9&gt;=14/24,AN$9&lt;20/24)</formula>
    </cfRule>
    <cfRule type="expression" dxfId="3250" priority="24">
      <formula>AND(AN$9&gt;=8/24,AN$9&lt;14/24)</formula>
    </cfRule>
    <cfRule type="expression" dxfId="3249" priority="25">
      <formula>AN$9&lt;8/24</formula>
    </cfRule>
  </conditionalFormatting>
  <conditionalFormatting sqref="AL75:AM79">
    <cfRule type="expression" dxfId="3248" priority="279">
      <formula>AJ$9&gt;=20/24</formula>
    </cfRule>
    <cfRule type="expression" dxfId="3247" priority="280">
      <formula>AND(AJ$9&gt;=14/24,AJ$9&lt;20/24)</formula>
    </cfRule>
    <cfRule type="expression" dxfId="3246" priority="281">
      <formula>AND(AJ$9&gt;=8/24,AJ$9&lt;14/24)</formula>
    </cfRule>
    <cfRule type="expression" dxfId="3245" priority="282">
      <formula>AJ$9&lt;8/24</formula>
    </cfRule>
  </conditionalFormatting>
  <conditionalFormatting sqref="B67">
    <cfRule type="expression" dxfId="3244" priority="18">
      <formula>B$9&gt;=20/24</formula>
    </cfRule>
    <cfRule type="expression" dxfId="3243" priority="19">
      <formula>AND(B$9&gt;=14/24,B$9&lt;20/24)</formula>
    </cfRule>
    <cfRule type="expression" dxfId="3242" priority="20">
      <formula>AND(B$9&gt;=8/24,B$9&lt;14/24)</formula>
    </cfRule>
    <cfRule type="expression" dxfId="3241" priority="21">
      <formula>B$9&lt;8/24</formula>
    </cfRule>
  </conditionalFormatting>
  <conditionalFormatting sqref="B68:B69">
    <cfRule type="expression" dxfId="3240" priority="14">
      <formula>B$9&gt;=20/24</formula>
    </cfRule>
    <cfRule type="expression" dxfId="3239" priority="15">
      <formula>AND(B$9&gt;=14/24,B$9&lt;20/24)</formula>
    </cfRule>
    <cfRule type="expression" dxfId="3238" priority="16">
      <formula>AND(B$9&gt;=8/24,B$9&lt;14/24)</formula>
    </cfRule>
    <cfRule type="expression" dxfId="3237" priority="17">
      <formula>B$9&lt;8/24</formula>
    </cfRule>
  </conditionalFormatting>
  <conditionalFormatting sqref="B70:L72 M71:O72">
    <cfRule type="expression" dxfId="3236" priority="10">
      <formula>B$9&gt;=20/24</formula>
    </cfRule>
    <cfRule type="expression" dxfId="3235" priority="11">
      <formula>AND(B$9&gt;=14/24,B$9&lt;20/24)</formula>
    </cfRule>
    <cfRule type="expression" dxfId="3234" priority="12">
      <formula>AND(B$9&gt;=8/24,B$9&lt;14/24)</formula>
    </cfRule>
    <cfRule type="expression" dxfId="3233" priority="13">
      <formula>B$9&lt;8/24</formula>
    </cfRule>
  </conditionalFormatting>
  <conditionalFormatting sqref="B73:R77">
    <cfRule type="expression" dxfId="3232" priority="6">
      <formula>B$9&gt;=20/24</formula>
    </cfRule>
    <cfRule type="expression" dxfId="3231" priority="7">
      <formula>AND(B$9&gt;=14/24,B$9&lt;20/24)</formula>
    </cfRule>
    <cfRule type="expression" dxfId="3230" priority="8">
      <formula>AND(B$9&gt;=8/24,B$9&lt;14/24)</formula>
    </cfRule>
    <cfRule type="expression" dxfId="3229" priority="9">
      <formula>B$9&lt;8/24</formula>
    </cfRule>
  </conditionalFormatting>
  <conditionalFormatting sqref="M52:R53">
    <cfRule type="expression" dxfId="3228" priority="2">
      <formula>M$9&gt;=20/24</formula>
    </cfRule>
    <cfRule type="expression" dxfId="3227" priority="3">
      <formula>AND(M$9&gt;=14/24,M$9&lt;20/24)</formula>
    </cfRule>
    <cfRule type="expression" dxfId="3226" priority="4">
      <formula>AND(M$9&gt;=8/24,M$9&lt;14/24)</formula>
    </cfRule>
    <cfRule type="expression" dxfId="3225" priority="5">
      <formula>M$9&lt;8/24</formula>
    </cfRule>
  </conditionalFormatting>
  <conditionalFormatting sqref="M52:R53">
    <cfRule type="expression" dxfId="3224" priority="1">
      <formula>M52&gt;$AG52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5" id="{5BB5C20D-9C9D-49A1-A658-77C06696CBD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6" id="{10C9D66F-BF12-41C1-B9AD-A26A01451E8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7" id="{3C2CBF0F-AC4F-48E4-A1FA-16AB4F8BE6B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58" id="{F71AB190-D6B4-4DAE-B3E7-7DAB9EBBFC4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51" id="{81652497-E540-4C60-BBDB-7D2282F2E2E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2" id="{7D1251B3-8B77-42F1-B7E4-F563D57A5AD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3" id="{2F0F06AE-20B6-43A9-9022-278147413E0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54" id="{036BD912-D716-4605-A399-A976922D0D0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61" id="{F14C8558-400E-4826-ABC3-CE10512B3EB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2" id="{EE63E5F3-526A-49F2-9C18-9BD7C4EC80A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3" id="{02AE3C8D-3865-4D09-AAC9-E84E0F62C54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4" id="{755F7C3E-E563-4106-A105-C9213E5FEB6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57" id="{4832F762-6B26-4BD0-9D4F-FC467D39F34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8" id="{BED13322-CC67-4663-96BA-6D645658D57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9" id="{4F8DC4D5-BBA0-442E-BC94-13B86D4E9C4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0" id="{DEF74AF6-7000-404C-B71E-FB702F6C5DA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J274"/>
  <sheetViews>
    <sheetView workbookViewId="0">
      <pane ySplit="10" topLeftCell="A75" activePane="bottomLeft" state="frozen"/>
      <selection pane="bottomLeft" activeCell="O118" sqref="O11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2079/09/29</v>
      </c>
      <c r="C4" s="197"/>
      <c r="D4" s="197"/>
      <c r="E4" s="198" t="str">
        <f ca="1">"2079/"&amp;"09/"&amp;INT(MID(CELL("filename",G6),FIND("]",CELL("filename",G6))+1,200))</f>
        <v>2079/09/29</v>
      </c>
      <c r="F4" s="198"/>
      <c r="G4" s="198"/>
      <c r="H4" s="198" t="str">
        <f ca="1">TEXT(E4,"dddd")</f>
        <v>Friday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427.69999999999993</v>
      </c>
      <c r="C5" s="30">
        <f t="shared" si="0"/>
        <v>432.7</v>
      </c>
      <c r="D5" s="30">
        <f t="shared" si="0"/>
        <v>436.30000000000007</v>
      </c>
      <c r="E5" s="30">
        <f t="shared" si="0"/>
        <v>445.4</v>
      </c>
      <c r="F5" s="30">
        <f t="shared" si="0"/>
        <v>433</v>
      </c>
      <c r="G5" s="30">
        <f t="shared" si="0"/>
        <v>462.7</v>
      </c>
      <c r="H5" s="30">
        <f t="shared" si="0"/>
        <v>492</v>
      </c>
      <c r="I5" s="30">
        <f t="shared" si="0"/>
        <v>497</v>
      </c>
      <c r="J5" s="30">
        <f t="shared" si="0"/>
        <v>464</v>
      </c>
      <c r="K5" s="30">
        <f t="shared" si="0"/>
        <v>341</v>
      </c>
      <c r="L5" s="30">
        <f t="shared" si="0"/>
        <v>262.89999999999998</v>
      </c>
      <c r="M5" s="30">
        <f t="shared" si="0"/>
        <v>194</v>
      </c>
      <c r="N5" s="30">
        <f t="shared" si="0"/>
        <v>199.1</v>
      </c>
      <c r="O5" s="30">
        <f t="shared" si="0"/>
        <v>305.7</v>
      </c>
      <c r="P5" s="30">
        <f t="shared" si="0"/>
        <v>464</v>
      </c>
      <c r="Q5" s="30">
        <f t="shared" si="0"/>
        <v>494.4</v>
      </c>
      <c r="R5" s="30">
        <f t="shared" si="0"/>
        <v>500.4</v>
      </c>
      <c r="S5" s="30">
        <f t="shared" si="0"/>
        <v>508</v>
      </c>
      <c r="T5" s="30">
        <f t="shared" si="0"/>
        <v>468.2</v>
      </c>
      <c r="U5" s="30">
        <f t="shared" si="0"/>
        <v>289.39999999999998</v>
      </c>
      <c r="V5" s="30">
        <f t="shared" si="0"/>
        <v>275</v>
      </c>
      <c r="W5" s="30">
        <f t="shared" si="0"/>
        <v>268.39999999999998</v>
      </c>
      <c r="X5" s="30">
        <f t="shared" si="0"/>
        <v>257.39999999999998</v>
      </c>
      <c r="Y5" s="30">
        <f t="shared" si="0"/>
        <v>250.3</v>
      </c>
      <c r="Z5" s="30">
        <f t="shared" si="0"/>
        <v>243.29999999999998</v>
      </c>
      <c r="AA5" s="30">
        <f t="shared" si="0"/>
        <v>272.8</v>
      </c>
      <c r="AB5" s="30">
        <f t="shared" si="0"/>
        <v>275.79999999999995</v>
      </c>
      <c r="AC5" s="30">
        <f t="shared" si="0"/>
        <v>248.6</v>
      </c>
      <c r="AD5" s="30">
        <f t="shared" si="0"/>
        <v>397.6</v>
      </c>
      <c r="AE5" s="30">
        <f t="shared" si="0"/>
        <v>398.6</v>
      </c>
      <c r="AF5" s="30">
        <f>B78</f>
        <v>441.09999999999997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1668MW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Load=1069</v>
      </c>
      <c r="B7" s="35">
        <f t="shared" ref="B7:AF7" si="1">B85</f>
        <v>1121.04</v>
      </c>
      <c r="C7" s="35">
        <f t="shared" si="1"/>
        <v>1082.04</v>
      </c>
      <c r="D7" s="35">
        <f t="shared" si="1"/>
        <v>1075.04</v>
      </c>
      <c r="E7" s="35">
        <f t="shared" si="1"/>
        <v>1078.6400000000001</v>
      </c>
      <c r="F7" s="35">
        <f t="shared" si="1"/>
        <v>1068.54</v>
      </c>
      <c r="G7" s="35">
        <f t="shared" si="1"/>
        <v>1091.04</v>
      </c>
      <c r="H7" s="35">
        <f t="shared" si="1"/>
        <v>1136.8399999999999</v>
      </c>
      <c r="I7" s="35">
        <f t="shared" si="1"/>
        <v>1230.8399999999999</v>
      </c>
      <c r="J7" s="35">
        <f t="shared" si="1"/>
        <v>1325.24</v>
      </c>
      <c r="K7" s="35">
        <f t="shared" si="1"/>
        <v>1352.84</v>
      </c>
      <c r="L7" s="35">
        <f t="shared" si="1"/>
        <v>1586.54</v>
      </c>
      <c r="M7" s="35">
        <f t="shared" si="1"/>
        <v>1667.6399999999999</v>
      </c>
      <c r="N7" s="35">
        <f>N85</f>
        <v>1585.94</v>
      </c>
      <c r="O7" s="35">
        <f t="shared" si="1"/>
        <v>1618.36</v>
      </c>
      <c r="P7" s="35">
        <f t="shared" si="1"/>
        <v>1388.86</v>
      </c>
      <c r="Q7" s="35">
        <f t="shared" si="1"/>
        <v>1459.74</v>
      </c>
      <c r="R7" s="35">
        <f t="shared" si="1"/>
        <v>1434.44</v>
      </c>
      <c r="S7" s="35">
        <f t="shared" si="1"/>
        <v>1398.74</v>
      </c>
      <c r="T7" s="35">
        <f t="shared" si="1"/>
        <v>1397.54</v>
      </c>
      <c r="U7" s="35">
        <f t="shared" si="1"/>
        <v>1356.04</v>
      </c>
      <c r="V7" s="35">
        <f t="shared" si="1"/>
        <v>1237.8399999999999</v>
      </c>
      <c r="W7" s="35">
        <f t="shared" si="1"/>
        <v>1338.44</v>
      </c>
      <c r="X7" s="35">
        <f t="shared" si="1"/>
        <v>1724.2399999999998</v>
      </c>
      <c r="Y7" s="35">
        <f t="shared" si="1"/>
        <v>1771.1399999999999</v>
      </c>
      <c r="Z7" s="35">
        <f t="shared" si="1"/>
        <v>1724.94</v>
      </c>
      <c r="AA7" s="35">
        <f t="shared" si="1"/>
        <v>1705.34</v>
      </c>
      <c r="AB7" s="35">
        <f t="shared" si="1"/>
        <v>1413.24</v>
      </c>
      <c r="AC7" s="35">
        <f t="shared" si="1"/>
        <v>1340.9399999999998</v>
      </c>
      <c r="AD7" s="35">
        <f t="shared" si="1"/>
        <v>1270.04</v>
      </c>
      <c r="AE7" s="35">
        <f t="shared" si="1"/>
        <v>1250.3400000000001</v>
      </c>
      <c r="AF7" s="35">
        <f t="shared" si="1"/>
        <v>1168.6399999999999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20.2</v>
      </c>
      <c r="C11" s="45">
        <v>20.2</v>
      </c>
      <c r="D11" s="45">
        <v>20.2</v>
      </c>
      <c r="E11" s="45">
        <v>20.2</v>
      </c>
      <c r="F11" s="45">
        <v>21</v>
      </c>
      <c r="G11" s="45">
        <v>21</v>
      </c>
      <c r="H11" s="45">
        <v>21</v>
      </c>
      <c r="I11" s="45">
        <v>21</v>
      </c>
      <c r="J11" s="45">
        <v>21</v>
      </c>
      <c r="K11" s="45">
        <v>21</v>
      </c>
      <c r="L11" s="45">
        <v>21</v>
      </c>
      <c r="M11" s="45">
        <v>20.3</v>
      </c>
      <c r="N11" s="45">
        <v>20.3</v>
      </c>
      <c r="O11" s="45">
        <v>17.2</v>
      </c>
      <c r="P11" s="45">
        <v>17.2</v>
      </c>
      <c r="Q11" s="45">
        <v>17.2</v>
      </c>
      <c r="R11" s="45">
        <v>17.2</v>
      </c>
      <c r="S11" s="45">
        <v>17.2</v>
      </c>
      <c r="T11" s="45">
        <v>17.2</v>
      </c>
      <c r="U11" s="45">
        <v>17.2</v>
      </c>
      <c r="V11" s="45">
        <v>17.2</v>
      </c>
      <c r="W11" s="45">
        <v>17.2</v>
      </c>
      <c r="X11" s="45">
        <v>20.9</v>
      </c>
      <c r="Y11" s="45">
        <v>20.9</v>
      </c>
      <c r="Z11" s="45">
        <v>20.9</v>
      </c>
      <c r="AA11" s="45">
        <v>20.9</v>
      </c>
      <c r="AB11" s="45">
        <v>20.9</v>
      </c>
      <c r="AC11" s="45">
        <v>20.9</v>
      </c>
      <c r="AD11" s="45">
        <v>24.9</v>
      </c>
      <c r="AE11" s="45">
        <v>24.9</v>
      </c>
      <c r="AF11" s="45">
        <v>24.9</v>
      </c>
      <c r="AG11" s="47">
        <v>52.4</v>
      </c>
      <c r="AH11" s="48">
        <f t="shared" ref="AH11:AH74" si="2">MAX(B11:AF11)</f>
        <v>24.9</v>
      </c>
      <c r="AI11" s="49">
        <f t="shared" ref="AI11:AI74" si="3">MIN(B11:AF11)</f>
        <v>17.2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39.799999999999997</v>
      </c>
      <c r="C12" s="45">
        <v>39.799999999999997</v>
      </c>
      <c r="D12" s="45">
        <v>39.799999999999997</v>
      </c>
      <c r="E12" s="45">
        <v>39.799999999999997</v>
      </c>
      <c r="F12" s="45">
        <v>39</v>
      </c>
      <c r="G12" s="45">
        <v>39</v>
      </c>
      <c r="H12" s="45">
        <v>39</v>
      </c>
      <c r="I12" s="45">
        <v>39</v>
      </c>
      <c r="J12" s="45">
        <v>39</v>
      </c>
      <c r="K12" s="45">
        <v>39</v>
      </c>
      <c r="L12" s="45">
        <v>39</v>
      </c>
      <c r="M12" s="45">
        <v>38.6</v>
      </c>
      <c r="N12" s="45">
        <v>38.6</v>
      </c>
      <c r="O12" s="45">
        <v>38.200000000000003</v>
      </c>
      <c r="P12" s="45">
        <v>38.200000000000003</v>
      </c>
      <c r="Q12" s="45">
        <v>38.200000000000003</v>
      </c>
      <c r="R12" s="45">
        <v>38.200000000000003</v>
      </c>
      <c r="S12" s="45">
        <v>38.200000000000003</v>
      </c>
      <c r="T12" s="45">
        <v>38.200000000000003</v>
      </c>
      <c r="U12" s="45">
        <v>38.200000000000003</v>
      </c>
      <c r="V12" s="45">
        <v>38.200000000000003</v>
      </c>
      <c r="W12" s="45">
        <v>38.200000000000003</v>
      </c>
      <c r="X12" s="45">
        <v>37</v>
      </c>
      <c r="Y12" s="45">
        <v>37</v>
      </c>
      <c r="Z12" s="45">
        <v>37</v>
      </c>
      <c r="AA12" s="45">
        <v>37</v>
      </c>
      <c r="AB12" s="45">
        <v>37.200000000000003</v>
      </c>
      <c r="AC12" s="45">
        <v>37.200000000000003</v>
      </c>
      <c r="AD12" s="45">
        <v>37.4</v>
      </c>
      <c r="AE12" s="45">
        <v>37.4</v>
      </c>
      <c r="AF12" s="45">
        <v>37.4</v>
      </c>
      <c r="AG12" s="51">
        <v>50</v>
      </c>
      <c r="AH12" s="48">
        <f t="shared" si="2"/>
        <v>39.799999999999997</v>
      </c>
      <c r="AI12" s="49">
        <f t="shared" si="3"/>
        <v>37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20.2</v>
      </c>
      <c r="C13" s="45">
        <v>20.2</v>
      </c>
      <c r="D13" s="45">
        <v>20.2</v>
      </c>
      <c r="E13" s="45">
        <v>20.2</v>
      </c>
      <c r="F13" s="45">
        <v>20.399999999999999</v>
      </c>
      <c r="G13" s="45">
        <v>20.399999999999999</v>
      </c>
      <c r="H13" s="45">
        <v>20.399999999999999</v>
      </c>
      <c r="I13" s="45">
        <v>20.399999999999999</v>
      </c>
      <c r="J13" s="45">
        <v>20.399999999999999</v>
      </c>
      <c r="K13" s="45">
        <v>20.399999999999999</v>
      </c>
      <c r="L13" s="45">
        <v>20.399999999999999</v>
      </c>
      <c r="M13" s="45">
        <v>19.100000000000001</v>
      </c>
      <c r="N13" s="45">
        <v>19.100000000000001</v>
      </c>
      <c r="O13" s="45">
        <v>19.100000000000001</v>
      </c>
      <c r="P13" s="45">
        <v>19.100000000000001</v>
      </c>
      <c r="Q13" s="45">
        <v>19.100000000000001</v>
      </c>
      <c r="R13" s="45">
        <v>19.100000000000001</v>
      </c>
      <c r="S13" s="45">
        <v>19.100000000000001</v>
      </c>
      <c r="T13" s="45">
        <v>19.100000000000001</v>
      </c>
      <c r="U13" s="45">
        <v>19.100000000000001</v>
      </c>
      <c r="V13" s="45">
        <v>19.100000000000001</v>
      </c>
      <c r="W13" s="45">
        <v>19.100000000000001</v>
      </c>
      <c r="X13" s="45">
        <v>23</v>
      </c>
      <c r="Y13" s="45">
        <v>23</v>
      </c>
      <c r="Z13" s="45">
        <v>23</v>
      </c>
      <c r="AA13" s="45">
        <v>23</v>
      </c>
      <c r="AB13" s="45">
        <v>23.4</v>
      </c>
      <c r="AC13" s="45">
        <v>23.4</v>
      </c>
      <c r="AD13" s="45">
        <v>23.4</v>
      </c>
      <c r="AE13" s="45">
        <v>23.4</v>
      </c>
      <c r="AF13" s="45">
        <v>23.4</v>
      </c>
      <c r="AG13" s="51">
        <v>45</v>
      </c>
      <c r="AH13" s="48">
        <f t="shared" si="2"/>
        <v>23.4</v>
      </c>
      <c r="AI13" s="49">
        <f t="shared" si="3"/>
        <v>19.100000000000001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11</v>
      </c>
      <c r="C14" s="45">
        <v>11</v>
      </c>
      <c r="D14" s="45">
        <v>11</v>
      </c>
      <c r="E14" s="45">
        <v>11</v>
      </c>
      <c r="F14" s="45">
        <v>11</v>
      </c>
      <c r="G14" s="45">
        <v>11</v>
      </c>
      <c r="H14" s="45">
        <v>11</v>
      </c>
      <c r="I14" s="45">
        <v>11</v>
      </c>
      <c r="J14" s="45">
        <v>11</v>
      </c>
      <c r="K14" s="45">
        <v>11</v>
      </c>
      <c r="L14" s="45">
        <v>11</v>
      </c>
      <c r="M14" s="45">
        <v>11</v>
      </c>
      <c r="N14" s="45">
        <v>11</v>
      </c>
      <c r="O14" s="45">
        <v>11</v>
      </c>
      <c r="P14" s="45">
        <v>11</v>
      </c>
      <c r="Q14" s="45">
        <v>11</v>
      </c>
      <c r="R14" s="45">
        <v>11</v>
      </c>
      <c r="S14" s="45">
        <v>11</v>
      </c>
      <c r="T14" s="45">
        <v>11</v>
      </c>
      <c r="U14" s="45">
        <v>11</v>
      </c>
      <c r="V14" s="45">
        <v>11</v>
      </c>
      <c r="W14" s="45">
        <v>11</v>
      </c>
      <c r="X14" s="45">
        <v>9.5</v>
      </c>
      <c r="Y14" s="45">
        <v>9.5</v>
      </c>
      <c r="Z14" s="45">
        <v>9.5</v>
      </c>
      <c r="AA14" s="45">
        <v>9.5</v>
      </c>
      <c r="AB14" s="45">
        <v>9.5</v>
      </c>
      <c r="AC14" s="45">
        <v>9.5</v>
      </c>
      <c r="AD14" s="45">
        <v>9.5</v>
      </c>
      <c r="AE14" s="45">
        <v>9.5</v>
      </c>
      <c r="AF14" s="45">
        <v>9.5</v>
      </c>
      <c r="AG14" s="51">
        <v>42</v>
      </c>
      <c r="AH14" s="48">
        <f t="shared" si="2"/>
        <v>11</v>
      </c>
      <c r="AI14" s="49">
        <f t="shared" si="3"/>
        <v>9.5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</v>
      </c>
      <c r="C15" s="45">
        <v>17</v>
      </c>
      <c r="D15" s="45">
        <v>17</v>
      </c>
      <c r="E15" s="45">
        <v>17</v>
      </c>
      <c r="F15" s="45">
        <v>17</v>
      </c>
      <c r="G15" s="45">
        <v>17</v>
      </c>
      <c r="H15" s="45">
        <v>17</v>
      </c>
      <c r="I15" s="45">
        <v>17</v>
      </c>
      <c r="J15" s="45">
        <v>17</v>
      </c>
      <c r="K15" s="45">
        <v>17</v>
      </c>
      <c r="L15" s="45">
        <v>17</v>
      </c>
      <c r="M15" s="45">
        <v>17</v>
      </c>
      <c r="N15" s="45">
        <v>17</v>
      </c>
      <c r="O15" s="45">
        <v>17</v>
      </c>
      <c r="P15" s="45">
        <v>17</v>
      </c>
      <c r="Q15" s="45">
        <v>17</v>
      </c>
      <c r="R15" s="45">
        <v>17</v>
      </c>
      <c r="S15" s="45">
        <v>17</v>
      </c>
      <c r="T15" s="45">
        <v>17</v>
      </c>
      <c r="U15" s="45">
        <v>17</v>
      </c>
      <c r="V15" s="45">
        <v>17</v>
      </c>
      <c r="W15" s="45">
        <v>17</v>
      </c>
      <c r="X15" s="45">
        <v>17</v>
      </c>
      <c r="Y15" s="45">
        <v>17</v>
      </c>
      <c r="Z15" s="45">
        <v>17</v>
      </c>
      <c r="AA15" s="45">
        <v>17</v>
      </c>
      <c r="AB15" s="45">
        <v>17</v>
      </c>
      <c r="AC15" s="45">
        <v>17</v>
      </c>
      <c r="AD15" s="45">
        <v>17</v>
      </c>
      <c r="AE15" s="45">
        <v>17</v>
      </c>
      <c r="AF15" s="45">
        <v>17</v>
      </c>
      <c r="AG15" s="51">
        <v>36</v>
      </c>
      <c r="AH15" s="48">
        <f t="shared" si="2"/>
        <v>17</v>
      </c>
      <c r="AI15" s="49">
        <f t="shared" si="3"/>
        <v>17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10.199999999999999</v>
      </c>
      <c r="C16" s="45">
        <v>10.199999999999999</v>
      </c>
      <c r="D16" s="45">
        <v>10.199999999999999</v>
      </c>
      <c r="E16" s="45">
        <v>10.199999999999999</v>
      </c>
      <c r="F16" s="45">
        <v>10.199999999999999</v>
      </c>
      <c r="G16" s="45">
        <v>10.199999999999999</v>
      </c>
      <c r="H16" s="45">
        <v>10.199999999999999</v>
      </c>
      <c r="I16" s="45">
        <v>10.199999999999999</v>
      </c>
      <c r="J16" s="45">
        <v>10.199999999999999</v>
      </c>
      <c r="K16" s="45">
        <v>10.199999999999999</v>
      </c>
      <c r="L16" s="45">
        <v>10.199999999999999</v>
      </c>
      <c r="M16" s="45">
        <v>9.1999999999999993</v>
      </c>
      <c r="N16" s="45">
        <v>9.1999999999999993</v>
      </c>
      <c r="O16" s="45">
        <v>9.1999999999999993</v>
      </c>
      <c r="P16" s="45">
        <v>9.1999999999999993</v>
      </c>
      <c r="Q16" s="45">
        <v>9.1999999999999993</v>
      </c>
      <c r="R16" s="45">
        <v>9.1999999999999993</v>
      </c>
      <c r="S16" s="45">
        <v>9.1999999999999993</v>
      </c>
      <c r="T16" s="45">
        <v>9.1999999999999993</v>
      </c>
      <c r="U16" s="45">
        <v>9.1999999999999993</v>
      </c>
      <c r="V16" s="45">
        <v>9.1999999999999993</v>
      </c>
      <c r="W16" s="45">
        <v>9.1999999999999993</v>
      </c>
      <c r="X16" s="45">
        <v>9.6</v>
      </c>
      <c r="Y16" s="45">
        <v>9.6</v>
      </c>
      <c r="Z16" s="45">
        <v>9.6</v>
      </c>
      <c r="AA16" s="45">
        <v>9.6</v>
      </c>
      <c r="AB16" s="45">
        <v>9.6</v>
      </c>
      <c r="AC16" s="45">
        <v>9.6</v>
      </c>
      <c r="AD16" s="45">
        <v>9.6</v>
      </c>
      <c r="AE16" s="45">
        <v>9.6</v>
      </c>
      <c r="AF16" s="45">
        <v>9.6</v>
      </c>
      <c r="AG16" s="52">
        <v>30</v>
      </c>
      <c r="AH16" s="48">
        <f t="shared" si="2"/>
        <v>10.199999999999999</v>
      </c>
      <c r="AI16" s="49">
        <f t="shared" si="3"/>
        <v>9.1999999999999993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8.9</v>
      </c>
      <c r="C17" s="45">
        <v>8.9</v>
      </c>
      <c r="D17" s="45">
        <v>8.9</v>
      </c>
      <c r="E17" s="45">
        <v>8.9</v>
      </c>
      <c r="F17" s="45">
        <v>8.9</v>
      </c>
      <c r="G17" s="45">
        <v>8.9</v>
      </c>
      <c r="H17" s="45">
        <v>8.9</v>
      </c>
      <c r="I17" s="45">
        <v>8.9</v>
      </c>
      <c r="J17" s="45">
        <v>8.9</v>
      </c>
      <c r="K17" s="45">
        <v>8.9</v>
      </c>
      <c r="L17" s="45">
        <v>8.9</v>
      </c>
      <c r="M17" s="45">
        <v>8.9</v>
      </c>
      <c r="N17" s="45">
        <v>8.9</v>
      </c>
      <c r="O17" s="45">
        <v>8.5</v>
      </c>
      <c r="P17" s="45">
        <v>8.5</v>
      </c>
      <c r="Q17" s="45">
        <v>8.5</v>
      </c>
      <c r="R17" s="45">
        <v>8.5</v>
      </c>
      <c r="S17" s="45">
        <v>8.5</v>
      </c>
      <c r="T17" s="45">
        <v>8.5</v>
      </c>
      <c r="U17" s="45">
        <v>8.5</v>
      </c>
      <c r="V17" s="45">
        <v>8.5</v>
      </c>
      <c r="W17" s="45">
        <v>8.5</v>
      </c>
      <c r="X17" s="45">
        <v>8.5</v>
      </c>
      <c r="Y17" s="45">
        <v>8.5</v>
      </c>
      <c r="Z17" s="45">
        <v>8.5</v>
      </c>
      <c r="AA17" s="45">
        <v>8.5</v>
      </c>
      <c r="AB17" s="45">
        <v>8.5</v>
      </c>
      <c r="AC17" s="45">
        <v>8.5</v>
      </c>
      <c r="AD17" s="45">
        <v>8.5</v>
      </c>
      <c r="AE17" s="45">
        <v>8.5</v>
      </c>
      <c r="AF17" s="45">
        <v>8.5</v>
      </c>
      <c r="AG17" s="51">
        <v>24.2</v>
      </c>
      <c r="AH17" s="48">
        <f t="shared" si="2"/>
        <v>8.9</v>
      </c>
      <c r="AI17" s="49">
        <f t="shared" si="3"/>
        <v>8.5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51">
        <v>25</v>
      </c>
      <c r="AH20" s="48">
        <f t="shared" si="2"/>
        <v>10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9.4</v>
      </c>
      <c r="C24" s="45">
        <v>9.4</v>
      </c>
      <c r="D24" s="45">
        <v>9.4</v>
      </c>
      <c r="E24" s="45">
        <v>9.4</v>
      </c>
      <c r="F24" s="45">
        <v>9.4</v>
      </c>
      <c r="G24" s="45">
        <v>9.4</v>
      </c>
      <c r="H24" s="45">
        <v>9.4</v>
      </c>
      <c r="I24" s="45">
        <v>9.4</v>
      </c>
      <c r="J24" s="45">
        <v>9.4</v>
      </c>
      <c r="K24" s="45">
        <v>9.4</v>
      </c>
      <c r="L24" s="45">
        <v>9.4</v>
      </c>
      <c r="M24" s="45">
        <v>9.4</v>
      </c>
      <c r="N24" s="45">
        <v>9.4</v>
      </c>
      <c r="O24" s="45">
        <v>9.4</v>
      </c>
      <c r="P24" s="45">
        <v>9.4</v>
      </c>
      <c r="Q24" s="45">
        <v>9.4</v>
      </c>
      <c r="R24" s="45">
        <v>9.4</v>
      </c>
      <c r="S24" s="45">
        <v>9.4</v>
      </c>
      <c r="T24" s="45">
        <v>9.4</v>
      </c>
      <c r="U24" s="45">
        <v>9.4</v>
      </c>
      <c r="V24" s="45">
        <v>9.4</v>
      </c>
      <c r="W24" s="45">
        <v>9.4</v>
      </c>
      <c r="X24" s="45">
        <v>9</v>
      </c>
      <c r="Y24" s="45">
        <v>9</v>
      </c>
      <c r="Z24" s="45">
        <v>9</v>
      </c>
      <c r="AA24" s="45">
        <v>9</v>
      </c>
      <c r="AB24" s="45">
        <v>9</v>
      </c>
      <c r="AC24" s="45">
        <v>9</v>
      </c>
      <c r="AD24" s="45">
        <v>9</v>
      </c>
      <c r="AE24" s="45">
        <v>9</v>
      </c>
      <c r="AF24" s="45">
        <v>9</v>
      </c>
      <c r="AG24" s="51">
        <v>23.5</v>
      </c>
      <c r="AH24" s="48">
        <f t="shared" si="2"/>
        <v>9.4</v>
      </c>
      <c r="AI24" s="49">
        <f t="shared" si="3"/>
        <v>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9.4</v>
      </c>
      <c r="C28" s="45">
        <v>9.4</v>
      </c>
      <c r="D28" s="45">
        <v>9.4</v>
      </c>
      <c r="E28" s="45">
        <v>9.4</v>
      </c>
      <c r="F28" s="45">
        <v>9.4</v>
      </c>
      <c r="G28" s="45">
        <v>9.4</v>
      </c>
      <c r="H28" s="45">
        <v>9.4</v>
      </c>
      <c r="I28" s="45">
        <v>9.4</v>
      </c>
      <c r="J28" s="45">
        <v>9.4</v>
      </c>
      <c r="K28" s="45">
        <v>9.4</v>
      </c>
      <c r="L28" s="45">
        <v>9.4</v>
      </c>
      <c r="M28" s="45">
        <v>9.4</v>
      </c>
      <c r="N28" s="45">
        <v>9.4</v>
      </c>
      <c r="O28" s="45">
        <v>9.4</v>
      </c>
      <c r="P28" s="45">
        <v>9.4</v>
      </c>
      <c r="Q28" s="45">
        <v>9.4</v>
      </c>
      <c r="R28" s="45">
        <v>9.4</v>
      </c>
      <c r="S28" s="45">
        <v>9.4</v>
      </c>
      <c r="T28" s="45">
        <v>9.4</v>
      </c>
      <c r="U28" s="45">
        <v>9.4</v>
      </c>
      <c r="V28" s="45">
        <v>9.4</v>
      </c>
      <c r="W28" s="45">
        <v>9.4</v>
      </c>
      <c r="X28" s="45">
        <v>9.4</v>
      </c>
      <c r="Y28" s="45">
        <v>9.4</v>
      </c>
      <c r="Z28" s="45">
        <v>9.4</v>
      </c>
      <c r="AA28" s="45">
        <v>9.4</v>
      </c>
      <c r="AB28" s="45">
        <v>9.4</v>
      </c>
      <c r="AC28" s="45">
        <v>9.4</v>
      </c>
      <c r="AD28" s="45">
        <v>9.4</v>
      </c>
      <c r="AE28" s="45">
        <v>9.4</v>
      </c>
      <c r="AF28" s="45">
        <v>9.4</v>
      </c>
      <c r="AG28" s="51">
        <v>22</v>
      </c>
      <c r="AH28" s="48">
        <f t="shared" si="2"/>
        <v>9.4</v>
      </c>
      <c r="AI28" s="49">
        <f t="shared" si="3"/>
        <v>9.4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1">
        <v>20</v>
      </c>
      <c r="AH29" s="48">
        <f t="shared" si="2"/>
        <v>10</v>
      </c>
      <c r="AI29" s="49">
        <f t="shared" si="3"/>
        <v>7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>
        <v>1.2</v>
      </c>
      <c r="S32" s="45">
        <v>1.2</v>
      </c>
      <c r="T32" s="45">
        <v>1.2</v>
      </c>
      <c r="U32" s="45">
        <v>1.2</v>
      </c>
      <c r="V32" s="45">
        <v>1.2</v>
      </c>
      <c r="W32" s="45">
        <v>1.2</v>
      </c>
      <c r="X32" s="45">
        <v>1.2</v>
      </c>
      <c r="Y32" s="45">
        <v>1.2</v>
      </c>
      <c r="Z32" s="45">
        <v>1.2</v>
      </c>
      <c r="AA32" s="45">
        <v>1.2</v>
      </c>
      <c r="AB32" s="45">
        <v>1.2</v>
      </c>
      <c r="AC32" s="45">
        <v>1.2</v>
      </c>
      <c r="AD32" s="45">
        <v>1.2</v>
      </c>
      <c r="AE32" s="45">
        <v>1.2</v>
      </c>
      <c r="AF32" s="45">
        <v>1.2</v>
      </c>
      <c r="AG32" s="51">
        <v>13.6</v>
      </c>
      <c r="AH32" s="48">
        <f t="shared" si="2"/>
        <v>1.2</v>
      </c>
      <c r="AI32" s="49">
        <f t="shared" si="3"/>
        <v>1.2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150</v>
      </c>
      <c r="C42" s="57">
        <v>150</v>
      </c>
      <c r="D42" s="57">
        <v>150</v>
      </c>
      <c r="E42" s="57">
        <v>150</v>
      </c>
      <c r="F42" s="57">
        <v>150</v>
      </c>
      <c r="G42" s="57">
        <v>150</v>
      </c>
      <c r="H42" s="57">
        <v>150</v>
      </c>
      <c r="I42" s="57">
        <v>150</v>
      </c>
      <c r="J42" s="57">
        <v>150</v>
      </c>
      <c r="K42" s="57">
        <v>150</v>
      </c>
      <c r="L42" s="57">
        <v>150</v>
      </c>
      <c r="M42" s="57">
        <v>150</v>
      </c>
      <c r="N42" s="57">
        <v>150</v>
      </c>
      <c r="O42" s="57">
        <v>150</v>
      </c>
      <c r="P42" s="57">
        <v>150</v>
      </c>
      <c r="Q42" s="57">
        <v>150</v>
      </c>
      <c r="R42" s="57">
        <v>150</v>
      </c>
      <c r="S42" s="57">
        <v>150</v>
      </c>
      <c r="T42" s="57">
        <v>150</v>
      </c>
      <c r="U42" s="57">
        <v>150</v>
      </c>
      <c r="V42" s="57">
        <v>150</v>
      </c>
      <c r="W42" s="57">
        <v>150</v>
      </c>
      <c r="X42" s="57">
        <v>150</v>
      </c>
      <c r="Y42" s="57">
        <v>150</v>
      </c>
      <c r="Z42" s="57">
        <v>150</v>
      </c>
      <c r="AA42" s="57">
        <v>150</v>
      </c>
      <c r="AB42" s="57">
        <v>150</v>
      </c>
      <c r="AC42" s="57">
        <v>150</v>
      </c>
      <c r="AD42" s="57">
        <v>150</v>
      </c>
      <c r="AE42" s="57">
        <v>150</v>
      </c>
      <c r="AF42" s="57">
        <v>150</v>
      </c>
      <c r="AG42" s="55">
        <v>85</v>
      </c>
      <c r="AH42" s="48">
        <f t="shared" si="2"/>
        <v>150</v>
      </c>
      <c r="AI42" s="49">
        <f t="shared" si="3"/>
        <v>150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467.9</v>
      </c>
      <c r="C44" s="61">
        <f t="shared" si="4"/>
        <v>467.9</v>
      </c>
      <c r="D44" s="61">
        <f t="shared" si="4"/>
        <v>467.9</v>
      </c>
      <c r="E44" s="61">
        <f t="shared" si="4"/>
        <v>467.9</v>
      </c>
      <c r="F44" s="61">
        <f t="shared" si="4"/>
        <v>468.09999999999997</v>
      </c>
      <c r="G44" s="61">
        <f t="shared" si="4"/>
        <v>468.09999999999997</v>
      </c>
      <c r="H44" s="61">
        <f t="shared" si="4"/>
        <v>468.09999999999997</v>
      </c>
      <c r="I44" s="61">
        <f t="shared" si="4"/>
        <v>468.09999999999997</v>
      </c>
      <c r="J44" s="61">
        <f t="shared" si="4"/>
        <v>468.09999999999997</v>
      </c>
      <c r="K44" s="61">
        <f t="shared" si="4"/>
        <v>468.09999999999997</v>
      </c>
      <c r="L44" s="61">
        <f t="shared" si="4"/>
        <v>468.09999999999997</v>
      </c>
      <c r="M44" s="61">
        <f t="shared" si="4"/>
        <v>464.7</v>
      </c>
      <c r="N44" s="61">
        <f t="shared" si="4"/>
        <v>464.7</v>
      </c>
      <c r="O44" s="61">
        <f t="shared" si="4"/>
        <v>460.79999999999995</v>
      </c>
      <c r="P44" s="61">
        <f t="shared" si="4"/>
        <v>460.79999999999995</v>
      </c>
      <c r="Q44" s="61">
        <f t="shared" si="4"/>
        <v>460.79999999999995</v>
      </c>
      <c r="R44" s="61">
        <f t="shared" si="4"/>
        <v>460.79999999999995</v>
      </c>
      <c r="S44" s="61">
        <f t="shared" si="4"/>
        <v>460.79999999999995</v>
      </c>
      <c r="T44" s="61">
        <f t="shared" si="4"/>
        <v>460.79999999999995</v>
      </c>
      <c r="U44" s="61">
        <f t="shared" si="4"/>
        <v>460.79999999999995</v>
      </c>
      <c r="V44" s="61">
        <f t="shared" si="4"/>
        <v>460.79999999999995</v>
      </c>
      <c r="W44" s="61">
        <f t="shared" si="4"/>
        <v>460.79999999999995</v>
      </c>
      <c r="X44" s="61">
        <f t="shared" si="4"/>
        <v>462.7</v>
      </c>
      <c r="Y44" s="61">
        <f t="shared" si="4"/>
        <v>462.7</v>
      </c>
      <c r="Z44" s="61">
        <f t="shared" si="4"/>
        <v>462.7</v>
      </c>
      <c r="AA44" s="61">
        <f t="shared" si="4"/>
        <v>462.7</v>
      </c>
      <c r="AB44" s="61">
        <f t="shared" si="4"/>
        <v>463.29999999999995</v>
      </c>
      <c r="AC44" s="61">
        <f t="shared" si="4"/>
        <v>463.29999999999995</v>
      </c>
      <c r="AD44" s="61">
        <f t="shared" si="4"/>
        <v>467.49999999999994</v>
      </c>
      <c r="AE44" s="61">
        <f t="shared" si="4"/>
        <v>467.49999999999994</v>
      </c>
      <c r="AF44" s="61">
        <f t="shared" si="4"/>
        <v>467.49999999999994</v>
      </c>
      <c r="AG44" s="62">
        <f t="shared" si="4"/>
        <v>814.78000000000009</v>
      </c>
      <c r="AH44" s="48">
        <f t="shared" si="2"/>
        <v>468.09999999999997</v>
      </c>
      <c r="AI44" s="49">
        <f t="shared" si="3"/>
        <v>460.79999999999995</v>
      </c>
      <c r="AK44" s="50"/>
    </row>
    <row r="45" spans="1:88" x14ac:dyDescent="0.25">
      <c r="A45" s="6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35</v>
      </c>
      <c r="H45" s="45">
        <v>30</v>
      </c>
      <c r="I45" s="45">
        <v>20</v>
      </c>
      <c r="J45" s="45">
        <v>45</v>
      </c>
      <c r="K45" s="45">
        <v>60</v>
      </c>
      <c r="L45" s="45">
        <v>120</v>
      </c>
      <c r="M45" s="164">
        <v>255</v>
      </c>
      <c r="N45" s="164">
        <v>220</v>
      </c>
      <c r="O45" s="45">
        <v>280</v>
      </c>
      <c r="P45" s="45">
        <v>150</v>
      </c>
      <c r="Q45" s="45">
        <v>90</v>
      </c>
      <c r="R45" s="45">
        <v>70</v>
      </c>
      <c r="S45" s="45">
        <v>30</v>
      </c>
      <c r="T45" s="45">
        <v>30</v>
      </c>
      <c r="U45" s="45">
        <v>0</v>
      </c>
      <c r="V45" s="45">
        <v>60</v>
      </c>
      <c r="W45" s="45">
        <v>140</v>
      </c>
      <c r="X45" s="45">
        <v>270</v>
      </c>
      <c r="Y45" s="45">
        <v>280</v>
      </c>
      <c r="Z45" s="45">
        <v>260</v>
      </c>
      <c r="AA45" s="45">
        <v>250</v>
      </c>
      <c r="AB45" s="45">
        <v>170</v>
      </c>
      <c r="AC45" s="45">
        <v>160</v>
      </c>
      <c r="AD45" s="45">
        <v>180</v>
      </c>
      <c r="AE45" s="45">
        <v>35</v>
      </c>
      <c r="AF45" s="45">
        <v>50</v>
      </c>
      <c r="AG45" s="52">
        <v>456</v>
      </c>
      <c r="AH45" s="48">
        <f t="shared" si="2"/>
        <v>280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41</v>
      </c>
      <c r="AK46" s="50"/>
    </row>
    <row r="47" spans="1:88" ht="15.75" thickBot="1" x14ac:dyDescent="0.3">
      <c r="A47" s="66" t="s">
        <v>55</v>
      </c>
      <c r="B47" s="67">
        <v>12.1</v>
      </c>
      <c r="C47" s="67">
        <v>12.2</v>
      </c>
      <c r="D47" s="67">
        <v>12.2</v>
      </c>
      <c r="E47" s="67">
        <v>12.2</v>
      </c>
      <c r="F47" s="67">
        <v>12.2</v>
      </c>
      <c r="G47" s="67">
        <v>12.1</v>
      </c>
      <c r="H47" s="67">
        <v>12.2</v>
      </c>
      <c r="I47" s="67">
        <v>12.2</v>
      </c>
      <c r="J47" s="67">
        <v>12.2</v>
      </c>
      <c r="K47" s="67">
        <v>12.2</v>
      </c>
      <c r="L47" s="67">
        <v>12.2</v>
      </c>
      <c r="M47" s="67">
        <v>12.1</v>
      </c>
      <c r="N47" s="67">
        <v>12.1</v>
      </c>
      <c r="O47" s="67">
        <v>12.2</v>
      </c>
      <c r="P47" s="67">
        <v>12.2</v>
      </c>
      <c r="Q47" s="67">
        <v>12</v>
      </c>
      <c r="R47" s="67">
        <v>10.199999999999999</v>
      </c>
      <c r="S47" s="67">
        <v>10.199999999999999</v>
      </c>
      <c r="T47" s="67">
        <v>10.199999999999999</v>
      </c>
      <c r="U47" s="67">
        <v>10.199999999999999</v>
      </c>
      <c r="V47" s="67">
        <v>14.2</v>
      </c>
      <c r="W47" s="67">
        <v>14.2</v>
      </c>
      <c r="X47" s="67">
        <v>14.2</v>
      </c>
      <c r="Y47" s="67">
        <v>14.2</v>
      </c>
      <c r="Z47" s="67">
        <v>14.2</v>
      </c>
      <c r="AA47" s="67">
        <v>14.2</v>
      </c>
      <c r="AB47" s="67">
        <v>13.4</v>
      </c>
      <c r="AC47" s="67">
        <v>13.4</v>
      </c>
      <c r="AD47" s="67">
        <v>13.4</v>
      </c>
      <c r="AE47" s="67">
        <v>13.4</v>
      </c>
      <c r="AF47" s="67">
        <v>13.4</v>
      </c>
      <c r="AG47" s="68">
        <v>22.1</v>
      </c>
      <c r="AH47" s="48">
        <f t="shared" si="2"/>
        <v>14.2</v>
      </c>
      <c r="AI47" s="49">
        <f t="shared" si="3"/>
        <v>10.199999999999999</v>
      </c>
      <c r="AK47" s="50"/>
    </row>
    <row r="48" spans="1:88" ht="15.75" thickBot="1" x14ac:dyDescent="0.3">
      <c r="A48" s="69" t="s">
        <v>56</v>
      </c>
      <c r="B48" s="61">
        <f t="shared" ref="B48:AG48" si="5">SUM(B45:B47)</f>
        <v>53.1</v>
      </c>
      <c r="C48" s="61">
        <f t="shared" si="5"/>
        <v>53.2</v>
      </c>
      <c r="D48" s="61">
        <f t="shared" si="5"/>
        <v>53.2</v>
      </c>
      <c r="E48" s="61">
        <f t="shared" si="5"/>
        <v>53.2</v>
      </c>
      <c r="F48" s="61">
        <f t="shared" si="5"/>
        <v>53.2</v>
      </c>
      <c r="G48" s="61">
        <f t="shared" si="5"/>
        <v>88.1</v>
      </c>
      <c r="H48" s="61">
        <f t="shared" si="5"/>
        <v>83.2</v>
      </c>
      <c r="I48" s="61">
        <f t="shared" si="5"/>
        <v>73.2</v>
      </c>
      <c r="J48" s="61">
        <f t="shared" si="5"/>
        <v>98.2</v>
      </c>
      <c r="K48" s="61">
        <f t="shared" si="5"/>
        <v>113.2</v>
      </c>
      <c r="L48" s="61">
        <f t="shared" si="5"/>
        <v>173.2</v>
      </c>
      <c r="M48" s="61">
        <f t="shared" si="5"/>
        <v>308.10000000000002</v>
      </c>
      <c r="N48" s="61">
        <f t="shared" si="5"/>
        <v>273.10000000000002</v>
      </c>
      <c r="O48" s="61">
        <f t="shared" si="5"/>
        <v>333.2</v>
      </c>
      <c r="P48" s="61">
        <f t="shared" si="5"/>
        <v>203.2</v>
      </c>
      <c r="Q48" s="61">
        <f t="shared" si="5"/>
        <v>143</v>
      </c>
      <c r="R48" s="61">
        <f t="shared" si="5"/>
        <v>121.2</v>
      </c>
      <c r="S48" s="61">
        <f t="shared" si="5"/>
        <v>81.2</v>
      </c>
      <c r="T48" s="61">
        <f t="shared" si="5"/>
        <v>81.2</v>
      </c>
      <c r="U48" s="61">
        <f t="shared" si="5"/>
        <v>51.2</v>
      </c>
      <c r="V48" s="61">
        <f t="shared" si="5"/>
        <v>115.2</v>
      </c>
      <c r="W48" s="61">
        <f t="shared" si="5"/>
        <v>195.2</v>
      </c>
      <c r="X48" s="61">
        <f t="shared" si="5"/>
        <v>325.2</v>
      </c>
      <c r="Y48" s="61">
        <f t="shared" si="5"/>
        <v>335.2</v>
      </c>
      <c r="Z48" s="61">
        <f t="shared" si="5"/>
        <v>315.2</v>
      </c>
      <c r="AA48" s="61">
        <f t="shared" si="5"/>
        <v>305.2</v>
      </c>
      <c r="AB48" s="61">
        <f t="shared" si="5"/>
        <v>224.4</v>
      </c>
      <c r="AC48" s="61">
        <f t="shared" si="5"/>
        <v>214.4</v>
      </c>
      <c r="AD48" s="61">
        <f t="shared" si="5"/>
        <v>234.4</v>
      </c>
      <c r="AE48" s="61">
        <f t="shared" si="5"/>
        <v>89.4</v>
      </c>
      <c r="AF48" s="61">
        <f t="shared" si="5"/>
        <v>104.4</v>
      </c>
      <c r="AG48" s="62">
        <f t="shared" si="5"/>
        <v>538.1</v>
      </c>
      <c r="AH48" s="48">
        <f t="shared" si="2"/>
        <v>335.2</v>
      </c>
      <c r="AI48" s="49">
        <f t="shared" si="3"/>
        <v>51.2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40</v>
      </c>
      <c r="J49" s="45">
        <v>66.400000000000006</v>
      </c>
      <c r="K49" s="45">
        <v>83.5</v>
      </c>
      <c r="L49" s="45">
        <v>112.5</v>
      </c>
      <c r="M49" s="45">
        <v>126</v>
      </c>
      <c r="N49" s="45">
        <v>126.9</v>
      </c>
      <c r="O49" s="45">
        <v>111</v>
      </c>
      <c r="P49" s="45">
        <v>141.9</v>
      </c>
      <c r="Q49" s="45">
        <v>122</v>
      </c>
      <c r="R49" s="45">
        <v>100</v>
      </c>
      <c r="S49" s="45">
        <v>90</v>
      </c>
      <c r="T49" s="45">
        <v>81.400000000000006</v>
      </c>
      <c r="U49" s="45">
        <v>91.4</v>
      </c>
      <c r="V49" s="45">
        <v>83.3</v>
      </c>
      <c r="W49" s="45">
        <v>117</v>
      </c>
      <c r="X49" s="45">
        <v>140</v>
      </c>
      <c r="Y49" s="45">
        <v>140</v>
      </c>
      <c r="Z49" s="45">
        <v>140</v>
      </c>
      <c r="AA49" s="45">
        <v>140</v>
      </c>
      <c r="AB49" s="45">
        <v>138.6</v>
      </c>
      <c r="AC49" s="45">
        <v>110</v>
      </c>
      <c r="AD49" s="45">
        <v>90</v>
      </c>
      <c r="AE49" s="45">
        <v>71.7</v>
      </c>
      <c r="AF49" s="45">
        <v>0</v>
      </c>
      <c r="AG49" s="52">
        <v>144</v>
      </c>
      <c r="AH49" s="48">
        <f t="shared" si="2"/>
        <v>141.9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21</v>
      </c>
      <c r="I50" s="65">
        <v>30</v>
      </c>
      <c r="J50" s="65">
        <v>43.2</v>
      </c>
      <c r="K50" s="65">
        <v>61.6</v>
      </c>
      <c r="L50" s="65">
        <v>57.9</v>
      </c>
      <c r="M50" s="65">
        <v>59.9</v>
      </c>
      <c r="N50" s="65">
        <v>65.099999999999994</v>
      </c>
      <c r="O50" s="65">
        <v>61.1</v>
      </c>
      <c r="P50" s="65">
        <v>51</v>
      </c>
      <c r="Q50" s="65">
        <v>61</v>
      </c>
      <c r="R50" s="45">
        <v>59.4</v>
      </c>
      <c r="S50" s="45">
        <v>35</v>
      </c>
      <c r="T50" s="45">
        <v>35</v>
      </c>
      <c r="U50" s="45">
        <v>35</v>
      </c>
      <c r="V50" s="45">
        <v>40</v>
      </c>
      <c r="W50" s="45">
        <v>41</v>
      </c>
      <c r="X50" s="45">
        <v>43</v>
      </c>
      <c r="Y50" s="45">
        <v>68.400000000000006</v>
      </c>
      <c r="Z50" s="45">
        <v>60</v>
      </c>
      <c r="AA50" s="45">
        <v>60</v>
      </c>
      <c r="AB50" s="45">
        <v>59</v>
      </c>
      <c r="AC50" s="45">
        <v>45</v>
      </c>
      <c r="AD50" s="45">
        <v>30</v>
      </c>
      <c r="AE50" s="65">
        <v>24.6</v>
      </c>
      <c r="AF50" s="65">
        <v>0</v>
      </c>
      <c r="AG50" s="55">
        <v>70</v>
      </c>
      <c r="AH50" s="48">
        <f t="shared" si="2"/>
        <v>68.400000000000006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56.1</v>
      </c>
      <c r="C51" s="65">
        <v>33.4</v>
      </c>
      <c r="D51" s="65">
        <v>21.4</v>
      </c>
      <c r="E51" s="65">
        <v>21.4</v>
      </c>
      <c r="F51" s="65">
        <v>0</v>
      </c>
      <c r="G51" s="65">
        <v>0</v>
      </c>
      <c r="H51" s="65">
        <v>0</v>
      </c>
      <c r="I51" s="65">
        <v>15.7</v>
      </c>
      <c r="J51" s="65">
        <v>35.5</v>
      </c>
      <c r="K51" s="65">
        <v>45.6</v>
      </c>
      <c r="L51" s="65">
        <v>45.1</v>
      </c>
      <c r="M51" s="65">
        <v>45</v>
      </c>
      <c r="N51" s="65">
        <v>35.4</v>
      </c>
      <c r="O51" s="65">
        <v>35.799999999999997</v>
      </c>
      <c r="P51" s="65">
        <v>35.799999999999997</v>
      </c>
      <c r="Q51" s="65">
        <v>44</v>
      </c>
      <c r="R51" s="45">
        <v>33.700000000000003</v>
      </c>
      <c r="S51" s="45">
        <v>34</v>
      </c>
      <c r="T51" s="45">
        <v>34</v>
      </c>
      <c r="U51" s="45">
        <v>45.4</v>
      </c>
      <c r="V51" s="45">
        <v>45.1</v>
      </c>
      <c r="W51" s="45">
        <v>53</v>
      </c>
      <c r="X51" s="45">
        <v>69</v>
      </c>
      <c r="Y51" s="45">
        <v>69</v>
      </c>
      <c r="Z51" s="45">
        <v>69</v>
      </c>
      <c r="AA51" s="45">
        <v>69</v>
      </c>
      <c r="AB51" s="45">
        <v>68.400000000000006</v>
      </c>
      <c r="AC51" s="45">
        <v>68.400000000000006</v>
      </c>
      <c r="AD51" s="45">
        <v>68.400000000000006</v>
      </c>
      <c r="AE51" s="45">
        <v>68.400000000000006</v>
      </c>
      <c r="AF51" s="45">
        <v>67</v>
      </c>
      <c r="AG51" s="55">
        <v>69</v>
      </c>
      <c r="AH51" s="48">
        <f t="shared" si="2"/>
        <v>69</v>
      </c>
      <c r="AI51" s="49">
        <f t="shared" si="3"/>
        <v>0</v>
      </c>
      <c r="AK51" s="50"/>
    </row>
    <row r="52" spans="1:41" x14ac:dyDescent="0.25">
      <c r="A52" s="54" t="s">
        <v>60</v>
      </c>
      <c r="B52" s="57">
        <v>53.2</v>
      </c>
      <c r="C52" s="57">
        <v>50.2</v>
      </c>
      <c r="D52" s="57">
        <v>50.2</v>
      </c>
      <c r="E52" s="57">
        <v>50.2</v>
      </c>
      <c r="F52" s="57">
        <v>52.2</v>
      </c>
      <c r="G52" s="57">
        <v>52.2</v>
      </c>
      <c r="H52" s="57">
        <v>52.2</v>
      </c>
      <c r="I52" s="57">
        <v>52.2</v>
      </c>
      <c r="J52" s="57">
        <v>52.2</v>
      </c>
      <c r="K52" s="57">
        <v>52.2</v>
      </c>
      <c r="L52" s="57">
        <v>52.2</v>
      </c>
      <c r="M52" s="65">
        <v>54.2</v>
      </c>
      <c r="N52" s="65">
        <v>52.4</v>
      </c>
      <c r="O52" s="65">
        <v>52.32</v>
      </c>
      <c r="P52" s="65">
        <v>52.32</v>
      </c>
      <c r="Q52" s="65">
        <v>52</v>
      </c>
      <c r="R52" s="65">
        <v>52</v>
      </c>
      <c r="S52" s="65">
        <v>49.6</v>
      </c>
      <c r="T52" s="65">
        <v>49.4</v>
      </c>
      <c r="U52" s="65">
        <v>49.6</v>
      </c>
      <c r="V52" s="45">
        <v>49.6</v>
      </c>
      <c r="W52" s="65">
        <v>50</v>
      </c>
      <c r="X52" s="65">
        <v>50</v>
      </c>
      <c r="Y52" s="65">
        <v>50</v>
      </c>
      <c r="Z52" s="65">
        <v>50</v>
      </c>
      <c r="AA52" s="65">
        <v>51.6</v>
      </c>
      <c r="AB52" s="65">
        <v>53.4</v>
      </c>
      <c r="AC52" s="65">
        <v>53.4</v>
      </c>
      <c r="AD52" s="65">
        <v>53.4</v>
      </c>
      <c r="AE52" s="65">
        <v>53.4</v>
      </c>
      <c r="AF52" s="65">
        <v>53.4</v>
      </c>
      <c r="AG52" s="55">
        <v>60</v>
      </c>
      <c r="AH52" s="48">
        <f t="shared" si="2"/>
        <v>54.2</v>
      </c>
      <c r="AI52" s="49">
        <f t="shared" si="3"/>
        <v>49.4</v>
      </c>
      <c r="AK52" s="50"/>
    </row>
    <row r="53" spans="1:41" x14ac:dyDescent="0.25">
      <c r="A53" s="54" t="s">
        <v>61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10</v>
      </c>
      <c r="J53" s="57">
        <v>15</v>
      </c>
      <c r="K53" s="57">
        <v>15</v>
      </c>
      <c r="L53" s="57">
        <v>15</v>
      </c>
      <c r="M53" s="65">
        <v>25.2</v>
      </c>
      <c r="N53" s="65">
        <v>25.2</v>
      </c>
      <c r="O53" s="65">
        <v>25.2</v>
      </c>
      <c r="P53" s="65">
        <v>25.2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14.5</v>
      </c>
      <c r="Y53" s="65">
        <v>26.4</v>
      </c>
      <c r="Z53" s="65">
        <v>29</v>
      </c>
      <c r="AA53" s="65">
        <v>29</v>
      </c>
      <c r="AB53" s="65">
        <v>28.1</v>
      </c>
      <c r="AC53" s="65">
        <v>28.1</v>
      </c>
      <c r="AD53" s="65">
        <v>28.1</v>
      </c>
      <c r="AE53" s="65">
        <v>28.1</v>
      </c>
      <c r="AF53" s="65">
        <v>28.1</v>
      </c>
      <c r="AG53" s="55">
        <v>30</v>
      </c>
      <c r="AH53" s="48">
        <f t="shared" si="2"/>
        <v>29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8</v>
      </c>
      <c r="T54" s="65">
        <v>8</v>
      </c>
      <c r="U54" s="65">
        <v>8</v>
      </c>
      <c r="V54" s="65">
        <v>8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8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17.100000000000001</v>
      </c>
      <c r="S55" s="65">
        <v>17.100000000000001</v>
      </c>
      <c r="T55" s="65">
        <v>17.100000000000001</v>
      </c>
      <c r="U55" s="65">
        <v>17.100000000000001</v>
      </c>
      <c r="V55" s="65">
        <v>17.100000000000001</v>
      </c>
      <c r="W55" s="65">
        <v>17.100000000000001</v>
      </c>
      <c r="X55" s="65">
        <v>17.100000000000001</v>
      </c>
      <c r="Y55" s="65">
        <v>17.100000000000001</v>
      </c>
      <c r="Z55" s="65">
        <v>17.100000000000001</v>
      </c>
      <c r="AA55" s="65">
        <v>17.100000000000001</v>
      </c>
      <c r="AB55" s="65">
        <v>17.100000000000001</v>
      </c>
      <c r="AC55" s="65">
        <v>17.100000000000001</v>
      </c>
      <c r="AD55" s="65">
        <v>17.100000000000001</v>
      </c>
      <c r="AE55" s="65">
        <v>17.100000000000001</v>
      </c>
      <c r="AF55" s="65">
        <v>17.100000000000001</v>
      </c>
      <c r="AG55" s="55">
        <v>24</v>
      </c>
      <c r="AH55" s="48">
        <f t="shared" si="2"/>
        <v>17.100000000000001</v>
      </c>
      <c r="AI55" s="49">
        <f t="shared" si="3"/>
        <v>17.100000000000001</v>
      </c>
      <c r="AK55" s="50"/>
    </row>
    <row r="56" spans="1:41" x14ac:dyDescent="0.25">
      <c r="A56" s="54" t="s">
        <v>64</v>
      </c>
      <c r="B56" s="65">
        <v>2.5</v>
      </c>
      <c r="C56" s="65">
        <v>2.5</v>
      </c>
      <c r="D56" s="65">
        <v>2.5</v>
      </c>
      <c r="E56" s="65">
        <v>2.5</v>
      </c>
      <c r="F56" s="65">
        <v>2.5</v>
      </c>
      <c r="G56" s="65">
        <v>2.5</v>
      </c>
      <c r="H56" s="65">
        <v>2.5</v>
      </c>
      <c r="I56" s="65">
        <v>2.5</v>
      </c>
      <c r="J56" s="65">
        <v>2.5</v>
      </c>
      <c r="K56" s="65">
        <v>2.5</v>
      </c>
      <c r="L56" s="65">
        <v>2.5</v>
      </c>
      <c r="M56" s="65">
        <v>2.5</v>
      </c>
      <c r="N56" s="65">
        <v>2.5</v>
      </c>
      <c r="O56" s="65">
        <v>2.5</v>
      </c>
      <c r="P56" s="65">
        <v>2.5</v>
      </c>
      <c r="Q56" s="65">
        <v>2.5</v>
      </c>
      <c r="R56" s="65">
        <v>2.5</v>
      </c>
      <c r="S56" s="65">
        <v>2.5</v>
      </c>
      <c r="T56" s="65">
        <v>2.5</v>
      </c>
      <c r="U56" s="65">
        <v>2.5</v>
      </c>
      <c r="V56" s="65">
        <v>2.5</v>
      </c>
      <c r="W56" s="65">
        <v>2.5</v>
      </c>
      <c r="X56" s="65">
        <v>2.5</v>
      </c>
      <c r="Y56" s="65">
        <v>2.5</v>
      </c>
      <c r="Z56" s="65">
        <v>2.5</v>
      </c>
      <c r="AA56" s="65">
        <v>2.5</v>
      </c>
      <c r="AB56" s="65">
        <v>2.5</v>
      </c>
      <c r="AC56" s="65">
        <v>2.5</v>
      </c>
      <c r="AD56" s="65">
        <v>2.5</v>
      </c>
      <c r="AE56" s="65">
        <v>2.5</v>
      </c>
      <c r="AF56" s="65">
        <v>2.5</v>
      </c>
      <c r="AG56" s="55">
        <v>15</v>
      </c>
      <c r="AH56" s="48">
        <f t="shared" si="2"/>
        <v>2.5</v>
      </c>
      <c r="AI56" s="49">
        <f t="shared" si="3"/>
        <v>2.5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13.3</v>
      </c>
      <c r="C57" s="65">
        <v>13.3</v>
      </c>
      <c r="D57" s="65">
        <v>13.3</v>
      </c>
      <c r="E57" s="65">
        <v>13.3</v>
      </c>
      <c r="F57" s="65">
        <v>13.3</v>
      </c>
      <c r="G57" s="65">
        <v>13.3</v>
      </c>
      <c r="H57" s="65">
        <v>13.3</v>
      </c>
      <c r="I57" s="65">
        <v>13.3</v>
      </c>
      <c r="J57" s="65">
        <v>13.3</v>
      </c>
      <c r="K57" s="65">
        <v>13.3</v>
      </c>
      <c r="L57" s="65">
        <v>13.3</v>
      </c>
      <c r="M57" s="65">
        <v>13.3</v>
      </c>
      <c r="N57" s="65">
        <v>13.3</v>
      </c>
      <c r="O57" s="65">
        <v>13.3</v>
      </c>
      <c r="P57" s="65">
        <v>13.3</v>
      </c>
      <c r="Q57" s="65">
        <v>13.3</v>
      </c>
      <c r="R57" s="65">
        <v>13.3</v>
      </c>
      <c r="S57" s="65">
        <v>13.3</v>
      </c>
      <c r="T57" s="65">
        <v>13.3</v>
      </c>
      <c r="U57" s="65">
        <v>13.3</v>
      </c>
      <c r="V57" s="65">
        <v>13.3</v>
      </c>
      <c r="W57" s="65">
        <v>13.3</v>
      </c>
      <c r="X57" s="65">
        <v>13.3</v>
      </c>
      <c r="Y57" s="65">
        <v>13.3</v>
      </c>
      <c r="Z57" s="65">
        <v>13.3</v>
      </c>
      <c r="AA57" s="65">
        <v>13.3</v>
      </c>
      <c r="AB57" s="65">
        <v>13.3</v>
      </c>
      <c r="AC57" s="65">
        <v>13.3</v>
      </c>
      <c r="AD57" s="65">
        <v>13.3</v>
      </c>
      <c r="AE57" s="65">
        <v>13.3</v>
      </c>
      <c r="AF57" s="65">
        <v>13.3</v>
      </c>
      <c r="AG57" s="55">
        <v>14.1</v>
      </c>
      <c r="AH57" s="48">
        <f t="shared" si="2"/>
        <v>13.3</v>
      </c>
      <c r="AI57" s="49">
        <f t="shared" si="3"/>
        <v>13.3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4.8</v>
      </c>
      <c r="C58" s="65">
        <v>4.8</v>
      </c>
      <c r="D58" s="65">
        <v>4.8</v>
      </c>
      <c r="E58" s="65">
        <v>4.8</v>
      </c>
      <c r="F58" s="65">
        <v>4.8</v>
      </c>
      <c r="G58" s="65">
        <v>4.8</v>
      </c>
      <c r="H58" s="65">
        <v>4.8</v>
      </c>
      <c r="I58" s="65">
        <v>4.8</v>
      </c>
      <c r="J58" s="65">
        <v>4.8</v>
      </c>
      <c r="K58" s="65">
        <v>4.8</v>
      </c>
      <c r="L58" s="65">
        <v>4.8</v>
      </c>
      <c r="M58" s="65">
        <v>4.8</v>
      </c>
      <c r="N58" s="65">
        <v>4.8</v>
      </c>
      <c r="O58" s="65">
        <v>4.8</v>
      </c>
      <c r="P58" s="65">
        <v>4.8</v>
      </c>
      <c r="Q58" s="65">
        <v>4.8</v>
      </c>
      <c r="R58" s="65">
        <v>4.8</v>
      </c>
      <c r="S58" s="65">
        <v>4.8</v>
      </c>
      <c r="T58" s="65">
        <v>4.8</v>
      </c>
      <c r="U58" s="65">
        <v>4.8</v>
      </c>
      <c r="V58" s="65">
        <v>4.8</v>
      </c>
      <c r="W58" s="65">
        <v>4.8</v>
      </c>
      <c r="X58" s="65">
        <v>4.8</v>
      </c>
      <c r="Y58" s="65">
        <v>4.8</v>
      </c>
      <c r="Z58" s="65">
        <v>4.8</v>
      </c>
      <c r="AA58" s="65">
        <v>4.8</v>
      </c>
      <c r="AB58" s="65">
        <v>4.8</v>
      </c>
      <c r="AC58" s="65">
        <v>4.8</v>
      </c>
      <c r="AD58" s="65">
        <v>4.8</v>
      </c>
      <c r="AE58" s="65">
        <v>4.8</v>
      </c>
      <c r="AF58" s="65">
        <v>4.8</v>
      </c>
      <c r="AG58" s="55">
        <v>14</v>
      </c>
      <c r="AH58" s="48">
        <f t="shared" si="2"/>
        <v>4.8</v>
      </c>
      <c r="AI58" s="49">
        <f t="shared" si="3"/>
        <v>4.8</v>
      </c>
      <c r="AK58" s="50"/>
    </row>
    <row r="59" spans="1:41" x14ac:dyDescent="0.25">
      <c r="A59" s="54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5">
        <v>10.050000000000001</v>
      </c>
      <c r="AH59" s="48">
        <f t="shared" si="2"/>
        <v>5.2</v>
      </c>
      <c r="AI59" s="49">
        <f t="shared" si="3"/>
        <v>5.2</v>
      </c>
      <c r="AK59" s="50"/>
    </row>
    <row r="60" spans="1:41" x14ac:dyDescent="0.25">
      <c r="A60" s="54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5">
        <v>6.2</v>
      </c>
      <c r="AH60" s="48">
        <f t="shared" si="2"/>
        <v>3.2</v>
      </c>
      <c r="AI60" s="49">
        <f t="shared" si="3"/>
        <v>3.2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6">SUM(B49:B61)</f>
        <v>158.94</v>
      </c>
      <c r="C62" s="61">
        <f t="shared" si="6"/>
        <v>133.23999999999998</v>
      </c>
      <c r="D62" s="61">
        <f t="shared" si="6"/>
        <v>121.24</v>
      </c>
      <c r="E62" s="61">
        <f t="shared" si="6"/>
        <v>121.24</v>
      </c>
      <c r="F62" s="61">
        <f t="shared" si="6"/>
        <v>101.84000000000002</v>
      </c>
      <c r="G62" s="61">
        <f t="shared" si="6"/>
        <v>101.84000000000002</v>
      </c>
      <c r="H62" s="61">
        <f t="shared" si="6"/>
        <v>122.84000000000002</v>
      </c>
      <c r="I62" s="61">
        <f t="shared" si="6"/>
        <v>197.54</v>
      </c>
      <c r="J62" s="61">
        <f t="shared" si="6"/>
        <v>261.94000000000005</v>
      </c>
      <c r="K62" s="61">
        <f t="shared" si="6"/>
        <v>307.54000000000002</v>
      </c>
      <c r="L62" s="61">
        <f t="shared" si="6"/>
        <v>332.34000000000003</v>
      </c>
      <c r="M62" s="61">
        <f t="shared" si="6"/>
        <v>359.94000000000005</v>
      </c>
      <c r="N62" s="61">
        <f t="shared" si="6"/>
        <v>354.64000000000004</v>
      </c>
      <c r="O62" s="61">
        <f t="shared" si="6"/>
        <v>335.06</v>
      </c>
      <c r="P62" s="61">
        <f t="shared" si="6"/>
        <v>355.86</v>
      </c>
      <c r="Q62" s="61">
        <f t="shared" si="6"/>
        <v>328.64000000000004</v>
      </c>
      <c r="R62" s="61">
        <f t="shared" si="6"/>
        <v>294.74000000000007</v>
      </c>
      <c r="S62" s="61">
        <f t="shared" si="6"/>
        <v>266.24</v>
      </c>
      <c r="T62" s="61">
        <f t="shared" si="6"/>
        <v>257.44</v>
      </c>
      <c r="U62" s="61">
        <f t="shared" si="6"/>
        <v>279.04000000000002</v>
      </c>
      <c r="V62" s="61">
        <f t="shared" si="6"/>
        <v>275.64</v>
      </c>
      <c r="W62" s="61">
        <f t="shared" si="6"/>
        <v>310.64000000000004</v>
      </c>
      <c r="X62" s="61">
        <f t="shared" si="6"/>
        <v>366.14000000000004</v>
      </c>
      <c r="Y62" s="61">
        <f t="shared" si="6"/>
        <v>403.44</v>
      </c>
      <c r="Z62" s="61">
        <f t="shared" si="6"/>
        <v>397.64000000000004</v>
      </c>
      <c r="AA62" s="61">
        <f t="shared" si="6"/>
        <v>399.24000000000007</v>
      </c>
      <c r="AB62" s="61">
        <f t="shared" si="6"/>
        <v>397.14000000000004</v>
      </c>
      <c r="AC62" s="61">
        <f t="shared" si="6"/>
        <v>354.54000000000008</v>
      </c>
      <c r="AD62" s="61">
        <f t="shared" si="6"/>
        <v>319.54000000000008</v>
      </c>
      <c r="AE62" s="61">
        <f t="shared" si="6"/>
        <v>295.84000000000003</v>
      </c>
      <c r="AF62" s="61">
        <f t="shared" si="6"/>
        <v>198.14</v>
      </c>
      <c r="AG62" s="62">
        <f t="shared" si="6"/>
        <v>489.91</v>
      </c>
      <c r="AH62" s="48">
        <f t="shared" si="2"/>
        <v>403.44</v>
      </c>
      <c r="AI62" s="49">
        <f t="shared" si="3"/>
        <v>101.84000000000002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14</v>
      </c>
      <c r="L63" s="45">
        <v>14</v>
      </c>
      <c r="M63" s="45">
        <v>14</v>
      </c>
      <c r="N63" s="45">
        <v>30</v>
      </c>
      <c r="O63" s="45">
        <v>25</v>
      </c>
      <c r="P63" s="45">
        <v>30</v>
      </c>
      <c r="Q63" s="45">
        <v>30</v>
      </c>
      <c r="R63" s="45">
        <v>30</v>
      </c>
      <c r="S63" s="45">
        <v>55</v>
      </c>
      <c r="T63" s="45">
        <v>55</v>
      </c>
      <c r="U63" s="45">
        <v>60</v>
      </c>
      <c r="V63" s="45">
        <v>60</v>
      </c>
      <c r="W63" s="45">
        <v>60</v>
      </c>
      <c r="X63" s="45">
        <v>40</v>
      </c>
      <c r="Y63" s="45">
        <v>45</v>
      </c>
      <c r="Z63" s="45">
        <v>34</v>
      </c>
      <c r="AA63" s="45">
        <v>34</v>
      </c>
      <c r="AB63" s="45">
        <v>35</v>
      </c>
      <c r="AC63" s="45">
        <v>20</v>
      </c>
      <c r="AD63" s="45">
        <v>0</v>
      </c>
      <c r="AE63" s="45">
        <v>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5.8</v>
      </c>
      <c r="M64" s="65">
        <v>5.9</v>
      </c>
      <c r="N64" s="65">
        <v>14.3</v>
      </c>
      <c r="O64" s="65">
        <v>11.1</v>
      </c>
      <c r="P64" s="65">
        <v>28</v>
      </c>
      <c r="Q64" s="65">
        <v>28</v>
      </c>
      <c r="R64" s="65">
        <v>28</v>
      </c>
      <c r="S64" s="65">
        <v>25.7</v>
      </c>
      <c r="T64" s="65">
        <v>25.7</v>
      </c>
      <c r="U64" s="65">
        <v>27</v>
      </c>
      <c r="V64" s="65">
        <v>27</v>
      </c>
      <c r="W64" s="65">
        <v>27</v>
      </c>
      <c r="X64" s="65">
        <v>16</v>
      </c>
      <c r="Y64" s="65">
        <v>20.100000000000001</v>
      </c>
      <c r="Z64" s="65">
        <v>18.399999999999999</v>
      </c>
      <c r="AA64" s="65">
        <v>15.3</v>
      </c>
      <c r="AB64" s="65">
        <v>15.1</v>
      </c>
      <c r="AC64" s="65">
        <v>9.5</v>
      </c>
      <c r="AD64" s="65">
        <v>0</v>
      </c>
      <c r="AE64" s="65">
        <v>0</v>
      </c>
      <c r="AF64" s="65">
        <v>0</v>
      </c>
      <c r="AG64" s="55">
        <v>32</v>
      </c>
      <c r="AH64" s="48">
        <f t="shared" si="2"/>
        <v>28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2.1</v>
      </c>
      <c r="M65" s="67">
        <v>2.1</v>
      </c>
      <c r="N65" s="67">
        <v>5.2</v>
      </c>
      <c r="O65" s="67">
        <v>4.0999999999999996</v>
      </c>
      <c r="P65" s="67">
        <v>5.3</v>
      </c>
      <c r="Q65" s="67">
        <v>5.3</v>
      </c>
      <c r="R65" s="67">
        <v>5.3</v>
      </c>
      <c r="S65" s="67">
        <v>9.4</v>
      </c>
      <c r="T65" s="67">
        <v>9.4</v>
      </c>
      <c r="U65" s="67">
        <v>9.8000000000000007</v>
      </c>
      <c r="V65" s="67">
        <v>9.8000000000000007</v>
      </c>
      <c r="W65" s="67">
        <v>9.8000000000000007</v>
      </c>
      <c r="X65" s="67">
        <v>5.8</v>
      </c>
      <c r="Y65" s="67">
        <v>7.3</v>
      </c>
      <c r="Z65" s="67">
        <v>6.7</v>
      </c>
      <c r="AA65" s="67">
        <v>5.6</v>
      </c>
      <c r="AB65" s="67">
        <v>5.5</v>
      </c>
      <c r="AC65" s="67">
        <v>3.4</v>
      </c>
      <c r="AD65" s="67">
        <v>0</v>
      </c>
      <c r="AE65" s="67">
        <v>0</v>
      </c>
      <c r="AF65" s="67">
        <v>0</v>
      </c>
      <c r="AG65" s="68">
        <v>14</v>
      </c>
      <c r="AH65" s="48">
        <f t="shared" si="2"/>
        <v>9.8000000000000007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21.900000000000002</v>
      </c>
      <c r="M66" s="61">
        <f t="shared" ref="M66:AF66" si="7">M63+M64+M65</f>
        <v>22</v>
      </c>
      <c r="N66" s="61">
        <f t="shared" si="7"/>
        <v>49.5</v>
      </c>
      <c r="O66" s="61">
        <f>O63+O64+O65</f>
        <v>40.200000000000003</v>
      </c>
      <c r="P66" s="61">
        <f>P63+P64+P65</f>
        <v>63.3</v>
      </c>
      <c r="Q66" s="61">
        <f t="shared" si="7"/>
        <v>63.3</v>
      </c>
      <c r="R66" s="61">
        <f t="shared" si="7"/>
        <v>63.3</v>
      </c>
      <c r="S66" s="61">
        <f t="shared" si="7"/>
        <v>90.100000000000009</v>
      </c>
      <c r="T66" s="61">
        <f t="shared" si="7"/>
        <v>90.100000000000009</v>
      </c>
      <c r="U66" s="61">
        <f t="shared" si="7"/>
        <v>96.8</v>
      </c>
      <c r="V66" s="61">
        <f t="shared" si="7"/>
        <v>96.8</v>
      </c>
      <c r="W66" s="61">
        <f t="shared" si="7"/>
        <v>96.8</v>
      </c>
      <c r="X66" s="61">
        <f t="shared" si="7"/>
        <v>61.8</v>
      </c>
      <c r="Y66" s="61">
        <f t="shared" si="7"/>
        <v>72.399999999999991</v>
      </c>
      <c r="Z66" s="61">
        <f t="shared" si="7"/>
        <v>59.1</v>
      </c>
      <c r="AA66" s="61">
        <f t="shared" si="7"/>
        <v>54.9</v>
      </c>
      <c r="AB66" s="61">
        <f t="shared" si="7"/>
        <v>55.6</v>
      </c>
      <c r="AC66" s="61">
        <f t="shared" si="7"/>
        <v>32.9</v>
      </c>
      <c r="AD66" s="61">
        <f t="shared" si="7"/>
        <v>0</v>
      </c>
      <c r="AE66" s="61">
        <f t="shared" si="7"/>
        <v>0</v>
      </c>
      <c r="AF66" s="61">
        <f t="shared" si="7"/>
        <v>0</v>
      </c>
      <c r="AG66" s="62">
        <f t="shared" ref="AG66" si="8">SUM(AG63:AG65)</f>
        <v>106</v>
      </c>
      <c r="AH66" s="48">
        <f t="shared" si="2"/>
        <v>96.8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64.099999999999994</v>
      </c>
      <c r="C67" s="45">
        <v>49.4</v>
      </c>
      <c r="D67" s="45">
        <v>62.4</v>
      </c>
      <c r="E67" s="45">
        <v>62.1</v>
      </c>
      <c r="F67" s="45">
        <v>72</v>
      </c>
      <c r="G67" s="45">
        <v>58</v>
      </c>
      <c r="H67" s="45">
        <v>70.7</v>
      </c>
      <c r="I67" s="45">
        <v>68</v>
      </c>
      <c r="J67" s="45">
        <v>71</v>
      </c>
      <c r="K67" s="45">
        <v>54</v>
      </c>
      <c r="L67" s="45">
        <v>45</v>
      </c>
      <c r="M67" s="45">
        <v>39</v>
      </c>
      <c r="N67" s="45">
        <v>34</v>
      </c>
      <c r="O67" s="45">
        <v>35.799999999999997</v>
      </c>
      <c r="P67" s="45">
        <v>36.4</v>
      </c>
      <c r="Q67" s="45">
        <v>65</v>
      </c>
      <c r="R67" s="45">
        <v>68</v>
      </c>
      <c r="S67" s="45">
        <v>63</v>
      </c>
      <c r="T67" s="45">
        <v>64.099999999999994</v>
      </c>
      <c r="U67" s="45">
        <v>61.8</v>
      </c>
      <c r="V67" s="45">
        <v>52</v>
      </c>
      <c r="W67" s="45">
        <v>51</v>
      </c>
      <c r="X67" s="45">
        <v>44.4</v>
      </c>
      <c r="Y67" s="45">
        <v>41.4</v>
      </c>
      <c r="Z67" s="45">
        <v>36.5</v>
      </c>
      <c r="AA67" s="45">
        <v>36.5</v>
      </c>
      <c r="AB67" s="45">
        <v>34.1</v>
      </c>
      <c r="AC67" s="45">
        <v>44.2</v>
      </c>
      <c r="AD67" s="45"/>
      <c r="AE67" s="45"/>
      <c r="AF67" s="45"/>
      <c r="AG67" s="52"/>
      <c r="AH67" s="48">
        <f t="shared" si="2"/>
        <v>72</v>
      </c>
      <c r="AI67" s="49">
        <f t="shared" si="3"/>
        <v>34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277.2</v>
      </c>
      <c r="C69" s="65">
        <v>269.89999999999998</v>
      </c>
      <c r="D69" s="65">
        <v>266</v>
      </c>
      <c r="E69" s="65">
        <v>272.3</v>
      </c>
      <c r="F69" s="65">
        <v>275</v>
      </c>
      <c r="G69" s="65">
        <v>275</v>
      </c>
      <c r="H69" s="65">
        <v>292</v>
      </c>
      <c r="I69" s="65">
        <v>317</v>
      </c>
      <c r="J69" s="65">
        <v>326</v>
      </c>
      <c r="K69" s="65">
        <v>325</v>
      </c>
      <c r="L69" s="65">
        <v>205</v>
      </c>
      <c r="M69" s="65">
        <v>126</v>
      </c>
      <c r="N69" s="65">
        <v>64</v>
      </c>
      <c r="O69" s="65">
        <v>58</v>
      </c>
      <c r="P69" s="65">
        <v>162</v>
      </c>
      <c r="Q69" s="65">
        <v>298</v>
      </c>
      <c r="R69" s="65">
        <v>328</v>
      </c>
      <c r="S69" s="65">
        <v>342</v>
      </c>
      <c r="T69" s="65">
        <v>350</v>
      </c>
      <c r="U69" s="65">
        <v>343</v>
      </c>
      <c r="V69" s="65">
        <v>153</v>
      </c>
      <c r="W69" s="65">
        <v>137</v>
      </c>
      <c r="X69" s="65">
        <v>139.4</v>
      </c>
      <c r="Y69" s="65">
        <v>130</v>
      </c>
      <c r="Z69" s="65">
        <v>129</v>
      </c>
      <c r="AA69" s="65">
        <v>125.2</v>
      </c>
      <c r="AB69" s="65">
        <v>152</v>
      </c>
      <c r="AC69" s="65">
        <v>155</v>
      </c>
      <c r="AD69" s="65">
        <v>160</v>
      </c>
      <c r="AE69" s="65">
        <v>309</v>
      </c>
      <c r="AF69" s="65">
        <v>310</v>
      </c>
      <c r="AG69" s="75"/>
      <c r="AH69" s="48">
        <f t="shared" si="2"/>
        <v>350</v>
      </c>
      <c r="AI69" s="49">
        <f t="shared" si="3"/>
        <v>58</v>
      </c>
      <c r="AK69" s="50"/>
    </row>
    <row r="70" spans="1:40" x14ac:dyDescent="0.25">
      <c r="A70" s="54" t="s">
        <v>78</v>
      </c>
      <c r="B70" s="76">
        <v>64.8</v>
      </c>
      <c r="C70" s="76">
        <v>73.400000000000006</v>
      </c>
      <c r="D70" s="76">
        <v>74.3</v>
      </c>
      <c r="E70" s="76">
        <v>71.900000000000006</v>
      </c>
      <c r="F70" s="76">
        <v>68.400000000000006</v>
      </c>
      <c r="G70" s="76">
        <v>65</v>
      </c>
      <c r="H70" s="76">
        <v>65</v>
      </c>
      <c r="I70" s="76">
        <v>67</v>
      </c>
      <c r="J70" s="76">
        <v>60</v>
      </c>
      <c r="K70" s="76">
        <v>45</v>
      </c>
      <c r="L70" s="76">
        <v>48</v>
      </c>
      <c r="M70" s="76">
        <v>52.9</v>
      </c>
      <c r="N70" s="76">
        <v>56</v>
      </c>
      <c r="O70" s="76">
        <v>62.3</v>
      </c>
      <c r="P70" s="76">
        <v>64.3</v>
      </c>
      <c r="Q70" s="76">
        <v>58</v>
      </c>
      <c r="R70" s="76">
        <v>55.4</v>
      </c>
      <c r="S70" s="76">
        <v>52.4</v>
      </c>
      <c r="T70" s="76">
        <v>50.9</v>
      </c>
      <c r="U70" s="76">
        <v>53.4</v>
      </c>
      <c r="V70" s="76">
        <v>41.4</v>
      </c>
      <c r="W70" s="76">
        <v>44</v>
      </c>
      <c r="X70" s="65">
        <v>54.6</v>
      </c>
      <c r="Y70" s="65">
        <v>56</v>
      </c>
      <c r="Z70" s="65">
        <v>54.8</v>
      </c>
      <c r="AA70" s="65">
        <v>51.6</v>
      </c>
      <c r="AB70" s="65">
        <v>56.7</v>
      </c>
      <c r="AC70" s="65">
        <v>46.6</v>
      </c>
      <c r="AD70" s="65">
        <v>58.6</v>
      </c>
      <c r="AE70" s="65">
        <v>58.6</v>
      </c>
      <c r="AF70" s="65">
        <v>58.6</v>
      </c>
      <c r="AG70" s="75"/>
      <c r="AH70" s="48">
        <f t="shared" si="2"/>
        <v>74.3</v>
      </c>
      <c r="AI70" s="49">
        <f t="shared" si="3"/>
        <v>41.4</v>
      </c>
      <c r="AK70" s="50"/>
    </row>
    <row r="71" spans="1:40" x14ac:dyDescent="0.25">
      <c r="A71" s="54" t="s">
        <v>79</v>
      </c>
      <c r="B71" s="45">
        <v>25</v>
      </c>
      <c r="C71" s="45">
        <v>25</v>
      </c>
      <c r="D71" s="45">
        <v>25</v>
      </c>
      <c r="E71" s="45">
        <v>25</v>
      </c>
      <c r="F71" s="45">
        <v>25</v>
      </c>
      <c r="G71" s="45">
        <v>25</v>
      </c>
      <c r="H71" s="45">
        <v>25</v>
      </c>
      <c r="I71" s="45">
        <v>30</v>
      </c>
      <c r="J71" s="45">
        <v>30</v>
      </c>
      <c r="K71" s="45">
        <v>30</v>
      </c>
      <c r="L71" s="45">
        <v>33</v>
      </c>
      <c r="M71" s="45">
        <v>35</v>
      </c>
      <c r="N71" s="45">
        <v>30</v>
      </c>
      <c r="O71" s="45">
        <v>33</v>
      </c>
      <c r="P71" s="45">
        <v>33</v>
      </c>
      <c r="Q71" s="45">
        <v>33</v>
      </c>
      <c r="R71" s="45">
        <v>33</v>
      </c>
      <c r="S71" s="45">
        <v>33</v>
      </c>
      <c r="T71" s="45">
        <v>33</v>
      </c>
      <c r="U71" s="45">
        <v>0</v>
      </c>
      <c r="V71" s="45">
        <v>33</v>
      </c>
      <c r="W71" s="45">
        <v>33</v>
      </c>
      <c r="X71" s="45">
        <v>20</v>
      </c>
      <c r="Y71" s="45">
        <v>20</v>
      </c>
      <c r="Z71" s="45">
        <v>20</v>
      </c>
      <c r="AA71" s="45">
        <v>20</v>
      </c>
      <c r="AB71" s="45">
        <v>20</v>
      </c>
      <c r="AC71" s="45">
        <v>20</v>
      </c>
      <c r="AD71" s="45">
        <v>20</v>
      </c>
      <c r="AE71" s="45">
        <v>20</v>
      </c>
      <c r="AF71" s="45">
        <v>20</v>
      </c>
      <c r="AG71" s="75"/>
      <c r="AH71" s="48">
        <f t="shared" si="2"/>
        <v>35</v>
      </c>
      <c r="AI71" s="49">
        <f t="shared" si="3"/>
        <v>0</v>
      </c>
      <c r="AK71" s="50"/>
    </row>
    <row r="72" spans="1:40" x14ac:dyDescent="0.25">
      <c r="A72" s="54" t="s">
        <v>80</v>
      </c>
      <c r="B72" s="77">
        <v>5</v>
      </c>
      <c r="C72" s="77">
        <v>5</v>
      </c>
      <c r="D72" s="77">
        <v>0</v>
      </c>
      <c r="E72" s="77">
        <v>0</v>
      </c>
      <c r="F72" s="77">
        <v>0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5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5</v>
      </c>
      <c r="C74" s="77">
        <v>5</v>
      </c>
      <c r="D74" s="77">
        <v>5</v>
      </c>
      <c r="E74" s="77">
        <v>5</v>
      </c>
      <c r="F74" s="77">
        <v>5</v>
      </c>
      <c r="G74" s="77">
        <v>5</v>
      </c>
      <c r="H74" s="77">
        <v>5</v>
      </c>
      <c r="I74" s="77">
        <v>5</v>
      </c>
      <c r="J74" s="77">
        <v>5</v>
      </c>
      <c r="K74" s="77">
        <v>5</v>
      </c>
      <c r="L74" s="77">
        <v>5</v>
      </c>
      <c r="M74" s="77">
        <v>5</v>
      </c>
      <c r="N74" s="77">
        <v>5</v>
      </c>
      <c r="O74" s="77">
        <v>5</v>
      </c>
      <c r="P74" s="77">
        <v>5</v>
      </c>
      <c r="Q74" s="77">
        <v>5</v>
      </c>
      <c r="R74" s="77">
        <v>5</v>
      </c>
      <c r="S74" s="77">
        <v>5</v>
      </c>
      <c r="T74" s="77">
        <v>5</v>
      </c>
      <c r="U74" s="77">
        <v>5</v>
      </c>
      <c r="V74" s="77">
        <v>5</v>
      </c>
      <c r="W74" s="77">
        <v>5</v>
      </c>
      <c r="X74" s="77">
        <v>5</v>
      </c>
      <c r="Y74" s="77">
        <v>5</v>
      </c>
      <c r="Z74" s="77">
        <v>5</v>
      </c>
      <c r="AA74" s="77">
        <v>5</v>
      </c>
      <c r="AB74" s="77">
        <v>5</v>
      </c>
      <c r="AC74" s="77">
        <v>5</v>
      </c>
      <c r="AD74" s="77">
        <v>5</v>
      </c>
      <c r="AE74" s="77">
        <v>5</v>
      </c>
      <c r="AF74" s="77">
        <v>5</v>
      </c>
      <c r="AG74" s="75"/>
      <c r="AH74" s="48">
        <f t="shared" si="2"/>
        <v>5</v>
      </c>
      <c r="AI74" s="49">
        <f t="shared" si="3"/>
        <v>5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9">MAX(B75:AF75)</f>
        <v>0</v>
      </c>
      <c r="AI75" s="49">
        <f t="shared" ref="AI75:AI113" si="10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9"/>
        <v>0</v>
      </c>
      <c r="AI76" s="49">
        <f t="shared" si="10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9"/>
        <v>0</v>
      </c>
      <c r="AI77" s="49">
        <f t="shared" si="10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1">SUMIF(B67:B77,"&gt;0")</f>
        <v>441.09999999999997</v>
      </c>
      <c r="C78" s="61">
        <f t="shared" si="11"/>
        <v>427.69999999999993</v>
      </c>
      <c r="D78" s="61">
        <f t="shared" si="11"/>
        <v>432.7</v>
      </c>
      <c r="E78" s="61">
        <f t="shared" si="11"/>
        <v>436.30000000000007</v>
      </c>
      <c r="F78" s="61">
        <f t="shared" si="11"/>
        <v>445.4</v>
      </c>
      <c r="G78" s="61">
        <f t="shared" si="11"/>
        <v>433</v>
      </c>
      <c r="H78" s="61">
        <f t="shared" si="11"/>
        <v>462.7</v>
      </c>
      <c r="I78" s="61">
        <f t="shared" si="11"/>
        <v>492</v>
      </c>
      <c r="J78" s="61">
        <f t="shared" si="11"/>
        <v>497</v>
      </c>
      <c r="K78" s="61">
        <f t="shared" si="11"/>
        <v>464</v>
      </c>
      <c r="L78" s="61">
        <f t="shared" si="11"/>
        <v>341</v>
      </c>
      <c r="M78" s="61">
        <f t="shared" si="11"/>
        <v>262.89999999999998</v>
      </c>
      <c r="N78" s="61">
        <f t="shared" si="11"/>
        <v>194</v>
      </c>
      <c r="O78" s="61">
        <f t="shared" si="11"/>
        <v>199.1</v>
      </c>
      <c r="P78" s="61">
        <f t="shared" si="11"/>
        <v>305.7</v>
      </c>
      <c r="Q78" s="61">
        <f t="shared" si="11"/>
        <v>464</v>
      </c>
      <c r="R78" s="61">
        <f t="shared" si="11"/>
        <v>494.4</v>
      </c>
      <c r="S78" s="61">
        <f t="shared" si="11"/>
        <v>500.4</v>
      </c>
      <c r="T78" s="61">
        <f t="shared" si="11"/>
        <v>508</v>
      </c>
      <c r="U78" s="61">
        <f t="shared" si="11"/>
        <v>468.2</v>
      </c>
      <c r="V78" s="61">
        <f t="shared" si="11"/>
        <v>289.39999999999998</v>
      </c>
      <c r="W78" s="61">
        <f t="shared" si="11"/>
        <v>275</v>
      </c>
      <c r="X78" s="61">
        <f t="shared" si="11"/>
        <v>268.39999999999998</v>
      </c>
      <c r="Y78" s="61">
        <f t="shared" si="11"/>
        <v>257.39999999999998</v>
      </c>
      <c r="Z78" s="61">
        <f t="shared" si="11"/>
        <v>250.3</v>
      </c>
      <c r="AA78" s="61">
        <f t="shared" si="11"/>
        <v>243.29999999999998</v>
      </c>
      <c r="AB78" s="61">
        <f t="shared" si="11"/>
        <v>272.8</v>
      </c>
      <c r="AC78" s="61">
        <f t="shared" si="11"/>
        <v>275.79999999999995</v>
      </c>
      <c r="AD78" s="61">
        <f t="shared" si="11"/>
        <v>248.6</v>
      </c>
      <c r="AE78" s="61">
        <f t="shared" si="11"/>
        <v>397.6</v>
      </c>
      <c r="AF78" s="61">
        <f t="shared" si="11"/>
        <v>398.6</v>
      </c>
      <c r="AG78" s="81">
        <f>SUM(AG67:AG77)</f>
        <v>0</v>
      </c>
      <c r="AH78" s="48">
        <f t="shared" si="9"/>
        <v>508</v>
      </c>
      <c r="AI78" s="49">
        <f t="shared" si="10"/>
        <v>194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9"/>
        <v>0</v>
      </c>
      <c r="AI79" s="49">
        <f t="shared" si="10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9"/>
        <v>0</v>
      </c>
      <c r="AI80" s="49">
        <f t="shared" si="10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9"/>
        <v>0</v>
      </c>
      <c r="AI81" s="49">
        <f t="shared" si="10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9"/>
        <v>0</v>
      </c>
      <c r="AI82" s="49">
        <f t="shared" si="10"/>
        <v>0</v>
      </c>
    </row>
    <row r="83" spans="1:37" ht="15.75" thickBot="1" x14ac:dyDescent="0.3">
      <c r="A83" s="74" t="s">
        <v>91</v>
      </c>
      <c r="B83" s="83">
        <f>B44+B48+B66+B62+B78+B82</f>
        <v>1121.04</v>
      </c>
      <c r="C83" s="83">
        <f t="shared" ref="C83:AG83" si="12">C44+C48+C66+C62+C78+C82</f>
        <v>1082.04</v>
      </c>
      <c r="D83" s="83">
        <f t="shared" si="12"/>
        <v>1075.04</v>
      </c>
      <c r="E83" s="83">
        <f t="shared" si="12"/>
        <v>1078.6400000000001</v>
      </c>
      <c r="F83" s="83">
        <f t="shared" si="12"/>
        <v>1068.54</v>
      </c>
      <c r="G83" s="83">
        <f t="shared" si="12"/>
        <v>1091.04</v>
      </c>
      <c r="H83" s="83">
        <f t="shared" si="12"/>
        <v>1136.8399999999999</v>
      </c>
      <c r="I83" s="83">
        <f t="shared" si="12"/>
        <v>1230.8399999999999</v>
      </c>
      <c r="J83" s="83">
        <f t="shared" si="12"/>
        <v>1325.24</v>
      </c>
      <c r="K83" s="83">
        <f t="shared" si="12"/>
        <v>1352.84</v>
      </c>
      <c r="L83" s="83">
        <f t="shared" si="12"/>
        <v>1336.54</v>
      </c>
      <c r="M83" s="83">
        <f t="shared" si="12"/>
        <v>1417.6399999999999</v>
      </c>
      <c r="N83" s="83">
        <f t="shared" si="12"/>
        <v>1335.94</v>
      </c>
      <c r="O83" s="83">
        <f t="shared" si="12"/>
        <v>1368.36</v>
      </c>
      <c r="P83" s="83">
        <f t="shared" si="12"/>
        <v>1388.86</v>
      </c>
      <c r="Q83" s="83">
        <f t="shared" si="12"/>
        <v>1459.74</v>
      </c>
      <c r="R83" s="83">
        <f t="shared" si="12"/>
        <v>1434.44</v>
      </c>
      <c r="S83" s="83">
        <f t="shared" si="12"/>
        <v>1398.74</v>
      </c>
      <c r="T83" s="83">
        <f t="shared" si="12"/>
        <v>1397.54</v>
      </c>
      <c r="U83" s="83">
        <f t="shared" si="12"/>
        <v>1356.04</v>
      </c>
      <c r="V83" s="83">
        <f t="shared" si="12"/>
        <v>1237.8399999999999</v>
      </c>
      <c r="W83" s="83">
        <f t="shared" si="12"/>
        <v>1338.44</v>
      </c>
      <c r="X83" s="83">
        <f t="shared" si="12"/>
        <v>1484.2399999999998</v>
      </c>
      <c r="Y83" s="83">
        <f t="shared" ref="Y83:Z83" si="13">Y44+Y48+Y66+Y62+Y78+Y82</f>
        <v>1531.1399999999999</v>
      </c>
      <c r="Z83" s="83">
        <f t="shared" si="13"/>
        <v>1484.94</v>
      </c>
      <c r="AA83" s="83">
        <f t="shared" si="12"/>
        <v>1465.34</v>
      </c>
      <c r="AB83" s="83">
        <f t="shared" si="12"/>
        <v>1413.24</v>
      </c>
      <c r="AC83" s="83">
        <f t="shared" si="12"/>
        <v>1340.9399999999998</v>
      </c>
      <c r="AD83" s="83">
        <f t="shared" si="12"/>
        <v>1270.04</v>
      </c>
      <c r="AE83" s="83">
        <f t="shared" si="12"/>
        <v>1250.3400000000001</v>
      </c>
      <c r="AF83" s="83">
        <f t="shared" si="12"/>
        <v>1168.6399999999999</v>
      </c>
      <c r="AG83" s="62">
        <f t="shared" si="12"/>
        <v>2004.1900000000003</v>
      </c>
      <c r="AH83" s="48">
        <f>MAX(B83:AF83)</f>
        <v>1531.1399999999999</v>
      </c>
      <c r="AI83" s="49">
        <f>MIN(B83:AF83)</f>
        <v>1068.54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>
        <v>250</v>
      </c>
      <c r="M84" s="85">
        <v>250</v>
      </c>
      <c r="N84" s="85">
        <v>250</v>
      </c>
      <c r="O84" s="85">
        <v>250</v>
      </c>
      <c r="P84" s="85"/>
      <c r="Q84" s="85"/>
      <c r="R84" s="85"/>
      <c r="S84" s="85"/>
      <c r="T84" s="85"/>
      <c r="U84" s="85"/>
      <c r="V84" s="85"/>
      <c r="W84" s="85"/>
      <c r="X84" s="85">
        <v>240</v>
      </c>
      <c r="Y84" s="85">
        <v>240</v>
      </c>
      <c r="Z84" s="85">
        <v>240</v>
      </c>
      <c r="AA84" s="85">
        <v>240</v>
      </c>
      <c r="AB84" s="85"/>
      <c r="AC84" s="85"/>
      <c r="AD84" s="85"/>
      <c r="AE84" s="85"/>
      <c r="AF84" s="85"/>
      <c r="AG84" s="81"/>
      <c r="AH84" s="48">
        <f t="shared" si="9"/>
        <v>250</v>
      </c>
      <c r="AI84" s="49">
        <f t="shared" si="10"/>
        <v>240</v>
      </c>
    </row>
    <row r="85" spans="1:37" ht="15.75" thickBot="1" x14ac:dyDescent="0.3">
      <c r="A85" s="74" t="s">
        <v>93</v>
      </c>
      <c r="B85" s="83">
        <f>B83+B84</f>
        <v>1121.04</v>
      </c>
      <c r="C85" s="83">
        <f t="shared" ref="C85:AF85" si="14">C83+C84</f>
        <v>1082.04</v>
      </c>
      <c r="D85" s="83">
        <f t="shared" si="14"/>
        <v>1075.04</v>
      </c>
      <c r="E85" s="83">
        <f t="shared" si="14"/>
        <v>1078.6400000000001</v>
      </c>
      <c r="F85" s="83">
        <f t="shared" si="14"/>
        <v>1068.54</v>
      </c>
      <c r="G85" s="83">
        <f t="shared" si="14"/>
        <v>1091.04</v>
      </c>
      <c r="H85" s="83">
        <f t="shared" si="14"/>
        <v>1136.8399999999999</v>
      </c>
      <c r="I85" s="83">
        <f t="shared" si="14"/>
        <v>1230.8399999999999</v>
      </c>
      <c r="J85" s="83">
        <f t="shared" si="14"/>
        <v>1325.24</v>
      </c>
      <c r="K85" s="83">
        <f t="shared" si="14"/>
        <v>1352.84</v>
      </c>
      <c r="L85" s="83">
        <f t="shared" si="14"/>
        <v>1586.54</v>
      </c>
      <c r="M85" s="83">
        <f t="shared" si="14"/>
        <v>1667.6399999999999</v>
      </c>
      <c r="N85" s="83">
        <f t="shared" si="14"/>
        <v>1585.94</v>
      </c>
      <c r="O85" s="83">
        <f t="shared" si="14"/>
        <v>1618.36</v>
      </c>
      <c r="P85" s="83">
        <f t="shared" si="14"/>
        <v>1388.86</v>
      </c>
      <c r="Q85" s="83">
        <f t="shared" si="14"/>
        <v>1459.74</v>
      </c>
      <c r="R85" s="83">
        <f t="shared" si="14"/>
        <v>1434.44</v>
      </c>
      <c r="S85" s="83">
        <f t="shared" si="14"/>
        <v>1398.74</v>
      </c>
      <c r="T85" s="83">
        <f t="shared" si="14"/>
        <v>1397.54</v>
      </c>
      <c r="U85" s="83">
        <f t="shared" si="14"/>
        <v>1356.04</v>
      </c>
      <c r="V85" s="83">
        <f t="shared" si="14"/>
        <v>1237.8399999999999</v>
      </c>
      <c r="W85" s="83">
        <f t="shared" si="14"/>
        <v>1338.44</v>
      </c>
      <c r="X85" s="83">
        <f t="shared" ref="X85:Y85" si="15">X83+X84</f>
        <v>1724.2399999999998</v>
      </c>
      <c r="Y85" s="83">
        <f t="shared" si="15"/>
        <v>1771.1399999999999</v>
      </c>
      <c r="Z85" s="83">
        <f t="shared" si="14"/>
        <v>1724.94</v>
      </c>
      <c r="AA85" s="83">
        <f t="shared" si="14"/>
        <v>1705.34</v>
      </c>
      <c r="AB85" s="83">
        <f t="shared" si="14"/>
        <v>1413.24</v>
      </c>
      <c r="AC85" s="83">
        <f t="shared" si="14"/>
        <v>1340.9399999999998</v>
      </c>
      <c r="AD85" s="83">
        <f t="shared" si="14"/>
        <v>1270.04</v>
      </c>
      <c r="AE85" s="83">
        <f t="shared" si="14"/>
        <v>1250.3400000000001</v>
      </c>
      <c r="AF85" s="83">
        <f t="shared" si="14"/>
        <v>1168.6399999999999</v>
      </c>
      <c r="AG85" s="81">
        <f>AG82+AG78+AG66+AG62+AG44+AG84</f>
        <v>1466.0900000000001</v>
      </c>
      <c r="AH85" s="48">
        <f t="shared" si="9"/>
        <v>1771.1399999999999</v>
      </c>
      <c r="AI85" s="49">
        <f t="shared" si="10"/>
        <v>1068.54</v>
      </c>
    </row>
    <row r="86" spans="1:37" ht="15.75" thickBot="1" x14ac:dyDescent="0.3">
      <c r="A86" s="74" t="s">
        <v>94</v>
      </c>
      <c r="B86" s="83">
        <f t="shared" ref="B86:AF86" si="16">B85-B93</f>
        <v>1121.04</v>
      </c>
      <c r="C86" s="83">
        <f t="shared" si="16"/>
        <v>1082.04</v>
      </c>
      <c r="D86" s="83">
        <f t="shared" si="16"/>
        <v>1075.04</v>
      </c>
      <c r="E86" s="83">
        <f t="shared" si="16"/>
        <v>1078.6400000000001</v>
      </c>
      <c r="F86" s="83">
        <f t="shared" si="16"/>
        <v>1068.54</v>
      </c>
      <c r="G86" s="83">
        <f t="shared" si="16"/>
        <v>1091.04</v>
      </c>
      <c r="H86" s="83">
        <f t="shared" si="16"/>
        <v>1136.8399999999999</v>
      </c>
      <c r="I86" s="83">
        <f t="shared" si="16"/>
        <v>1230.8399999999999</v>
      </c>
      <c r="J86" s="83">
        <f t="shared" si="16"/>
        <v>1325.24</v>
      </c>
      <c r="K86" s="83">
        <f t="shared" si="16"/>
        <v>1352.84</v>
      </c>
      <c r="L86" s="83">
        <f t="shared" si="16"/>
        <v>1586.54</v>
      </c>
      <c r="M86" s="83">
        <f t="shared" si="16"/>
        <v>1667.6399999999999</v>
      </c>
      <c r="N86" s="83">
        <f t="shared" si="16"/>
        <v>1585.94</v>
      </c>
      <c r="O86" s="83">
        <f t="shared" si="16"/>
        <v>1618.36</v>
      </c>
      <c r="P86" s="83">
        <f t="shared" si="16"/>
        <v>1388.86</v>
      </c>
      <c r="Q86" s="83">
        <f t="shared" si="16"/>
        <v>1459.74</v>
      </c>
      <c r="R86" s="83">
        <f t="shared" si="16"/>
        <v>1434.44</v>
      </c>
      <c r="S86" s="83">
        <f t="shared" si="16"/>
        <v>1398.74</v>
      </c>
      <c r="T86" s="83">
        <f t="shared" si="16"/>
        <v>1397.54</v>
      </c>
      <c r="U86" s="83">
        <f t="shared" si="16"/>
        <v>1356.04</v>
      </c>
      <c r="V86" s="83">
        <f t="shared" si="16"/>
        <v>1237.8399999999999</v>
      </c>
      <c r="W86" s="83">
        <f t="shared" si="16"/>
        <v>1338.44</v>
      </c>
      <c r="X86" s="83">
        <f t="shared" ref="X86:Y86" si="17">X85-X93</f>
        <v>1724.2399999999998</v>
      </c>
      <c r="Y86" s="83">
        <f t="shared" si="17"/>
        <v>1771.1399999999999</v>
      </c>
      <c r="Z86" s="83">
        <f t="shared" si="16"/>
        <v>1724.94</v>
      </c>
      <c r="AA86" s="83" t="e">
        <f t="shared" si="16"/>
        <v>#VALUE!</v>
      </c>
      <c r="AB86" s="83">
        <f t="shared" si="16"/>
        <v>1413.24</v>
      </c>
      <c r="AC86" s="83">
        <f t="shared" si="16"/>
        <v>1340.9399999999998</v>
      </c>
      <c r="AD86" s="83">
        <f t="shared" si="16"/>
        <v>1270.04</v>
      </c>
      <c r="AE86" s="83">
        <f t="shared" si="16"/>
        <v>1250.3400000000001</v>
      </c>
      <c r="AF86" s="83">
        <f t="shared" si="16"/>
        <v>1168.6399999999999</v>
      </c>
      <c r="AG86" s="81"/>
      <c r="AH86" s="48" t="e">
        <f t="shared" si="9"/>
        <v>#VALUE!</v>
      </c>
      <c r="AI86" s="49" t="e">
        <f t="shared" si="10"/>
        <v>#VALUE!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9"/>
        <v>0</v>
      </c>
      <c r="AI87" s="49">
        <f t="shared" si="10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 t="s">
        <v>294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9"/>
        <v>0</v>
      </c>
      <c r="AI88" s="49">
        <f t="shared" si="10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9"/>
        <v>0</v>
      </c>
      <c r="AI89" s="49">
        <f t="shared" si="10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9"/>
        <v>0</v>
      </c>
      <c r="AI90" s="49">
        <f t="shared" si="10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9"/>
        <v>0</v>
      </c>
      <c r="AI91" s="49">
        <f t="shared" si="10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9"/>
        <v>0</v>
      </c>
      <c r="AI92" s="49">
        <f t="shared" si="10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 t="s">
        <v>293</v>
      </c>
      <c r="AB93" s="61"/>
      <c r="AC93" s="61"/>
      <c r="AD93" s="61"/>
      <c r="AE93" s="61"/>
      <c r="AF93" s="61"/>
      <c r="AG93" s="81"/>
      <c r="AH93" s="48">
        <f t="shared" si="9"/>
        <v>0</v>
      </c>
      <c r="AI93" s="49">
        <f t="shared" si="10"/>
        <v>0</v>
      </c>
      <c r="AK93" s="50"/>
    </row>
    <row r="94" spans="1:37" ht="15.75" thickBot="1" x14ac:dyDescent="0.3">
      <c r="A94" s="74" t="s">
        <v>99</v>
      </c>
      <c r="B94" s="61">
        <f t="shared" ref="B94:AF94" si="18">B78-B93</f>
        <v>441.09999999999997</v>
      </c>
      <c r="C94" s="61">
        <f t="shared" si="18"/>
        <v>427.69999999999993</v>
      </c>
      <c r="D94" s="61">
        <f t="shared" si="18"/>
        <v>432.7</v>
      </c>
      <c r="E94" s="61">
        <f t="shared" si="18"/>
        <v>436.30000000000007</v>
      </c>
      <c r="F94" s="61">
        <f t="shared" si="18"/>
        <v>445.4</v>
      </c>
      <c r="G94" s="61">
        <f t="shared" si="18"/>
        <v>433</v>
      </c>
      <c r="H94" s="61">
        <f t="shared" si="18"/>
        <v>462.7</v>
      </c>
      <c r="I94" s="61">
        <f t="shared" si="18"/>
        <v>492</v>
      </c>
      <c r="J94" s="61">
        <f t="shared" si="18"/>
        <v>497</v>
      </c>
      <c r="K94" s="61">
        <f t="shared" si="18"/>
        <v>464</v>
      </c>
      <c r="L94" s="61">
        <f t="shared" si="18"/>
        <v>341</v>
      </c>
      <c r="M94" s="61">
        <f t="shared" si="18"/>
        <v>262.89999999999998</v>
      </c>
      <c r="N94" s="61">
        <f t="shared" si="18"/>
        <v>194</v>
      </c>
      <c r="O94" s="61">
        <f t="shared" si="18"/>
        <v>199.1</v>
      </c>
      <c r="P94" s="61">
        <f t="shared" si="18"/>
        <v>305.7</v>
      </c>
      <c r="Q94" s="61">
        <f t="shared" si="18"/>
        <v>464</v>
      </c>
      <c r="R94" s="61">
        <f t="shared" si="18"/>
        <v>494.4</v>
      </c>
      <c r="S94" s="61">
        <f t="shared" si="18"/>
        <v>500.4</v>
      </c>
      <c r="T94" s="61">
        <f t="shared" si="18"/>
        <v>508</v>
      </c>
      <c r="U94" s="61">
        <f t="shared" si="18"/>
        <v>468.2</v>
      </c>
      <c r="V94" s="61">
        <f t="shared" si="18"/>
        <v>289.39999999999998</v>
      </c>
      <c r="W94" s="61">
        <f t="shared" si="18"/>
        <v>275</v>
      </c>
      <c r="X94" s="61">
        <f t="shared" si="18"/>
        <v>268.39999999999998</v>
      </c>
      <c r="Y94" s="61">
        <f t="shared" si="18"/>
        <v>257.39999999999998</v>
      </c>
      <c r="Z94" s="61">
        <f t="shared" si="18"/>
        <v>250.3</v>
      </c>
      <c r="AA94" s="61" t="e">
        <f t="shared" si="18"/>
        <v>#VALUE!</v>
      </c>
      <c r="AB94" s="61">
        <f t="shared" si="18"/>
        <v>272.8</v>
      </c>
      <c r="AC94" s="61">
        <f t="shared" si="18"/>
        <v>275.79999999999995</v>
      </c>
      <c r="AD94" s="61">
        <f t="shared" si="18"/>
        <v>248.6</v>
      </c>
      <c r="AE94" s="61">
        <f t="shared" si="18"/>
        <v>397.6</v>
      </c>
      <c r="AF94" s="61">
        <f t="shared" si="18"/>
        <v>398.6</v>
      </c>
      <c r="AG94" s="81"/>
      <c r="AH94" s="48" t="e">
        <f t="shared" si="9"/>
        <v>#VALUE!</v>
      </c>
      <c r="AI94" s="49" t="e">
        <f t="shared" si="10"/>
        <v>#VALUE!</v>
      </c>
    </row>
    <row r="95" spans="1:37" x14ac:dyDescent="0.25">
      <c r="A95" s="88" t="s">
        <v>100</v>
      </c>
      <c r="B95" s="89">
        <v>49.929000000000002</v>
      </c>
      <c r="C95" s="89">
        <v>49.911000000000001</v>
      </c>
      <c r="D95" s="89">
        <v>49.889000000000003</v>
      </c>
      <c r="E95" s="89">
        <v>49.942999999999998</v>
      </c>
      <c r="F95" s="89">
        <v>50.036999999999999</v>
      </c>
      <c r="G95" s="89">
        <v>49.926000000000002</v>
      </c>
      <c r="H95" s="89">
        <v>49.917999999999999</v>
      </c>
      <c r="I95" s="89">
        <v>49.978999999999999</v>
      </c>
      <c r="J95" s="89">
        <v>49.987000000000002</v>
      </c>
      <c r="K95" s="89">
        <v>49.97</v>
      </c>
      <c r="L95" s="89">
        <v>49.95</v>
      </c>
      <c r="M95" s="89">
        <v>50.034999999999997</v>
      </c>
      <c r="N95" s="89">
        <v>49.636000000000003</v>
      </c>
      <c r="O95" s="89">
        <v>49.911099999999998</v>
      </c>
      <c r="P95" s="89">
        <v>49.908000000000001</v>
      </c>
      <c r="Q95" s="89">
        <v>49.97</v>
      </c>
      <c r="R95" s="89">
        <v>49.97</v>
      </c>
      <c r="S95" s="89">
        <v>50.042999999999999</v>
      </c>
      <c r="T95" s="89">
        <v>49.972999999999999</v>
      </c>
      <c r="U95" s="89">
        <v>50.023000000000003</v>
      </c>
      <c r="V95" s="89">
        <v>50.149000000000001</v>
      </c>
      <c r="W95" s="89">
        <v>50.055999999999997</v>
      </c>
      <c r="X95" s="89">
        <v>50.006999999999998</v>
      </c>
      <c r="Y95" s="89">
        <v>50.033999999999999</v>
      </c>
      <c r="Z95" s="89">
        <v>50.045000000000002</v>
      </c>
      <c r="AA95" s="89">
        <v>50.042000000000002</v>
      </c>
      <c r="AB95" s="89">
        <v>50.01</v>
      </c>
      <c r="AC95" s="89">
        <v>49.93</v>
      </c>
      <c r="AD95" s="89">
        <v>50.03</v>
      </c>
      <c r="AE95" s="89">
        <v>49.92</v>
      </c>
      <c r="AF95" s="89">
        <v>50.02</v>
      </c>
      <c r="AG95" s="90"/>
      <c r="AH95" s="48">
        <f t="shared" si="9"/>
        <v>50.149000000000001</v>
      </c>
      <c r="AI95" s="49">
        <f t="shared" si="10"/>
        <v>49.636000000000003</v>
      </c>
    </row>
    <row r="96" spans="1:37" x14ac:dyDescent="0.25">
      <c r="A96" s="91" t="s">
        <v>101</v>
      </c>
      <c r="B96" s="65">
        <v>128.6</v>
      </c>
      <c r="C96" s="65">
        <v>128.69999999999999</v>
      </c>
      <c r="D96" s="65">
        <v>128.69999999999999</v>
      </c>
      <c r="E96" s="65">
        <v>128.30000000000001</v>
      </c>
      <c r="F96" s="65">
        <v>129</v>
      </c>
      <c r="G96" s="65">
        <v>127.1</v>
      </c>
      <c r="H96" s="65">
        <v>126.6</v>
      </c>
      <c r="I96" s="65">
        <v>128</v>
      </c>
      <c r="J96" s="65">
        <v>126.1</v>
      </c>
      <c r="K96" s="65">
        <v>128.19999999999999</v>
      </c>
      <c r="L96" s="65">
        <v>127.7</v>
      </c>
      <c r="M96" s="65">
        <v>125.5</v>
      </c>
      <c r="N96" s="65">
        <v>126.4</v>
      </c>
      <c r="O96" s="65">
        <v>125.9</v>
      </c>
      <c r="P96" s="65">
        <v>125.9</v>
      </c>
      <c r="Q96" s="65">
        <v>123.8</v>
      </c>
      <c r="R96" s="65">
        <v>124.7</v>
      </c>
      <c r="S96" s="65">
        <v>125.5</v>
      </c>
      <c r="T96" s="65">
        <v>124.8</v>
      </c>
      <c r="U96" s="65">
        <v>124.7</v>
      </c>
      <c r="V96" s="65">
        <v>130</v>
      </c>
      <c r="W96" s="65">
        <v>129</v>
      </c>
      <c r="X96" s="65">
        <v>126.6</v>
      </c>
      <c r="Y96" s="65">
        <v>127.1</v>
      </c>
      <c r="Z96" s="65">
        <v>127.9</v>
      </c>
      <c r="AA96" s="65">
        <v>128.5</v>
      </c>
      <c r="AB96" s="65">
        <v>128.6</v>
      </c>
      <c r="AC96" s="65">
        <v>128.69999999999999</v>
      </c>
      <c r="AD96" s="65">
        <v>129</v>
      </c>
      <c r="AE96" s="65">
        <v>126.1</v>
      </c>
      <c r="AF96" s="65">
        <v>127.8</v>
      </c>
      <c r="AG96" s="92"/>
      <c r="AH96" s="48">
        <f t="shared" si="9"/>
        <v>130</v>
      </c>
      <c r="AI96" s="49">
        <f t="shared" si="10"/>
        <v>123.8</v>
      </c>
    </row>
    <row r="97" spans="1:35" x14ac:dyDescent="0.25">
      <c r="A97" s="91" t="s">
        <v>102</v>
      </c>
      <c r="B97" s="65">
        <v>132.4</v>
      </c>
      <c r="C97" s="65">
        <v>133.1</v>
      </c>
      <c r="D97" s="65">
        <v>132.80000000000001</v>
      </c>
      <c r="E97" s="65">
        <v>132.6</v>
      </c>
      <c r="F97" s="65">
        <v>133.30000000000001</v>
      </c>
      <c r="G97" s="65">
        <v>131.1</v>
      </c>
      <c r="H97" s="65">
        <v>130.69999999999999</v>
      </c>
      <c r="I97" s="65">
        <v>131.4</v>
      </c>
      <c r="J97" s="65">
        <v>129.19999999999999</v>
      </c>
      <c r="K97" s="65">
        <v>129.6</v>
      </c>
      <c r="L97" s="65">
        <v>129.1</v>
      </c>
      <c r="M97" s="65">
        <v>126.9</v>
      </c>
      <c r="N97" s="65">
        <v>127.7</v>
      </c>
      <c r="O97" s="65">
        <v>127.3</v>
      </c>
      <c r="P97" s="65">
        <v>128</v>
      </c>
      <c r="Q97" s="65">
        <v>126.8</v>
      </c>
      <c r="R97" s="65">
        <v>127.6</v>
      </c>
      <c r="S97" s="65">
        <v>128.80000000000001</v>
      </c>
      <c r="T97" s="65">
        <v>128.30000000000001</v>
      </c>
      <c r="U97" s="65">
        <v>128.30000000000001</v>
      </c>
      <c r="V97" s="65">
        <v>131.4</v>
      </c>
      <c r="W97" s="65">
        <v>131</v>
      </c>
      <c r="X97" s="65">
        <v>128.5</v>
      </c>
      <c r="Y97" s="65">
        <v>128.69999999999999</v>
      </c>
      <c r="Z97" s="65">
        <v>129.4</v>
      </c>
      <c r="AA97" s="65">
        <v>130</v>
      </c>
      <c r="AB97" s="65">
        <v>129.69999999999999</v>
      </c>
      <c r="AC97" s="65">
        <v>129.9</v>
      </c>
      <c r="AD97" s="65">
        <v>130.6</v>
      </c>
      <c r="AE97" s="65">
        <v>130.30000000000001</v>
      </c>
      <c r="AF97" s="65">
        <v>131.80000000000001</v>
      </c>
      <c r="AG97" s="92"/>
      <c r="AH97" s="48">
        <f t="shared" si="9"/>
        <v>133.30000000000001</v>
      </c>
      <c r="AI97" s="49">
        <f t="shared" si="10"/>
        <v>126.8</v>
      </c>
    </row>
    <row r="98" spans="1:35" x14ac:dyDescent="0.25">
      <c r="A98" s="91" t="s">
        <v>103</v>
      </c>
      <c r="B98" s="65">
        <v>130.4</v>
      </c>
      <c r="C98" s="65">
        <v>129</v>
      </c>
      <c r="D98" s="65">
        <v>129.69999999999999</v>
      </c>
      <c r="E98" s="65">
        <v>129.19999999999999</v>
      </c>
      <c r="F98" s="65">
        <v>129.30000000000001</v>
      </c>
      <c r="G98" s="65">
        <v>131.19999999999999</v>
      </c>
      <c r="H98" s="65">
        <v>130.9</v>
      </c>
      <c r="I98" s="65">
        <v>129.19999999999999</v>
      </c>
      <c r="J98" s="65">
        <v>130.19999999999999</v>
      </c>
      <c r="K98" s="65">
        <v>132.4</v>
      </c>
      <c r="L98" s="65">
        <v>132.69999999999999</v>
      </c>
      <c r="M98" s="65">
        <v>133.6</v>
      </c>
      <c r="N98" s="65">
        <v>130.6</v>
      </c>
      <c r="O98" s="65">
        <v>130.19999999999999</v>
      </c>
      <c r="P98" s="65">
        <v>129.9</v>
      </c>
      <c r="Q98" s="65">
        <v>128.30000000000001</v>
      </c>
      <c r="R98" s="65">
        <v>129.69999999999999</v>
      </c>
      <c r="S98" s="65">
        <v>129.69999999999999</v>
      </c>
      <c r="T98" s="65">
        <v>127.5</v>
      </c>
      <c r="U98" s="65">
        <v>129.30000000000001</v>
      </c>
      <c r="V98" s="65">
        <v>132.6</v>
      </c>
      <c r="W98" s="65">
        <v>130</v>
      </c>
      <c r="X98" s="65">
        <v>128.69999999999999</v>
      </c>
      <c r="Y98" s="65">
        <v>131.9</v>
      </c>
      <c r="Z98" s="65">
        <v>131.80000000000001</v>
      </c>
      <c r="AA98" s="65">
        <v>133.19999999999999</v>
      </c>
      <c r="AB98" s="65">
        <v>133.69999999999999</v>
      </c>
      <c r="AC98" s="65">
        <v>133.80000000000001</v>
      </c>
      <c r="AD98" s="65">
        <v>131</v>
      </c>
      <c r="AE98" s="65">
        <v>130.69999999999999</v>
      </c>
      <c r="AF98" s="65">
        <v>133.4</v>
      </c>
      <c r="AG98" s="92"/>
      <c r="AH98" s="48">
        <f t="shared" si="9"/>
        <v>133.80000000000001</v>
      </c>
      <c r="AI98" s="49">
        <f t="shared" si="10"/>
        <v>127.5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9"/>
        <v>0</v>
      </c>
      <c r="AI99" s="49">
        <f t="shared" si="10"/>
        <v>0</v>
      </c>
    </row>
    <row r="100" spans="1:35" x14ac:dyDescent="0.25">
      <c r="A100" s="93" t="s">
        <v>105</v>
      </c>
      <c r="B100" s="94">
        <v>131.5</v>
      </c>
      <c r="C100" s="94">
        <v>133.5</v>
      </c>
      <c r="D100" s="94">
        <v>134</v>
      </c>
      <c r="E100" s="94">
        <v>131.19999999999999</v>
      </c>
      <c r="F100" s="94">
        <v>136</v>
      </c>
      <c r="G100" s="94">
        <v>131.9</v>
      </c>
      <c r="H100" s="94">
        <v>131.9</v>
      </c>
      <c r="I100" s="94">
        <v>136.19999999999999</v>
      </c>
      <c r="J100" s="94">
        <v>133.9</v>
      </c>
      <c r="K100" s="94">
        <v>134.80000000000001</v>
      </c>
      <c r="L100" s="94">
        <v>135.6</v>
      </c>
      <c r="M100" s="94">
        <v>132.80000000000001</v>
      </c>
      <c r="N100" s="94">
        <v>134.1</v>
      </c>
      <c r="O100" s="94">
        <v>134.80000000000001</v>
      </c>
      <c r="P100" s="94">
        <v>133.9</v>
      </c>
      <c r="Q100" s="94">
        <v>133.30000000000001</v>
      </c>
      <c r="R100" s="94">
        <v>133.6</v>
      </c>
      <c r="S100" s="94">
        <v>132.69999999999999</v>
      </c>
      <c r="T100" s="94">
        <v>132</v>
      </c>
      <c r="U100" s="94">
        <v>133.30000000000001</v>
      </c>
      <c r="V100" s="94">
        <v>135.19999999999999</v>
      </c>
      <c r="W100" s="94">
        <v>135</v>
      </c>
      <c r="X100" s="94">
        <v>133.9</v>
      </c>
      <c r="Y100" s="94">
        <v>134</v>
      </c>
      <c r="Z100" s="94">
        <v>135.69999999999999</v>
      </c>
      <c r="AA100" s="94">
        <v>135.4</v>
      </c>
      <c r="AB100" s="94">
        <v>136.1</v>
      </c>
      <c r="AC100" s="94">
        <v>136.19999999999999</v>
      </c>
      <c r="AD100" s="94">
        <v>135</v>
      </c>
      <c r="AE100" s="94">
        <v>133.80000000000001</v>
      </c>
      <c r="AF100" s="94">
        <v>133.1</v>
      </c>
      <c r="AG100" s="95"/>
      <c r="AH100" s="48">
        <f t="shared" si="9"/>
        <v>136.19999999999999</v>
      </c>
      <c r="AI100" s="49">
        <f t="shared" si="10"/>
        <v>131.19999999999999</v>
      </c>
    </row>
    <row r="101" spans="1:35" x14ac:dyDescent="0.25">
      <c r="A101" s="91" t="s">
        <v>106</v>
      </c>
      <c r="B101" s="65">
        <v>131.1</v>
      </c>
      <c r="C101" s="65">
        <v>133.6</v>
      </c>
      <c r="D101" s="65">
        <v>132.9</v>
      </c>
      <c r="E101" s="65">
        <v>130</v>
      </c>
      <c r="F101" s="65">
        <v>127.1</v>
      </c>
      <c r="G101" s="65">
        <v>135.19999999999999</v>
      </c>
      <c r="H101" s="65">
        <v>127.3</v>
      </c>
      <c r="I101" s="65">
        <v>128.80000000000001</v>
      </c>
      <c r="J101" s="65">
        <v>134.1</v>
      </c>
      <c r="K101" s="65">
        <v>131.69999999999999</v>
      </c>
      <c r="L101" s="65">
        <v>133.80000000000001</v>
      </c>
      <c r="M101" s="65">
        <v>126.9</v>
      </c>
      <c r="N101" s="65">
        <v>126.4</v>
      </c>
      <c r="O101" s="65">
        <v>134.30000000000001</v>
      </c>
      <c r="P101" s="65">
        <v>125.4</v>
      </c>
      <c r="Q101" s="65">
        <v>128.80000000000001</v>
      </c>
      <c r="R101" s="65">
        <v>122.7</v>
      </c>
      <c r="S101" s="65">
        <v>132.6</v>
      </c>
      <c r="T101" s="65">
        <v>131.4</v>
      </c>
      <c r="U101" s="65">
        <v>132</v>
      </c>
      <c r="V101" s="65">
        <v>135.69999999999999</v>
      </c>
      <c r="W101" s="65">
        <v>134</v>
      </c>
      <c r="X101" s="65">
        <v>132</v>
      </c>
      <c r="Y101" s="65">
        <v>132.80000000000001</v>
      </c>
      <c r="Z101" s="65">
        <v>135.30000000000001</v>
      </c>
      <c r="AA101" s="65">
        <v>130.69999999999999</v>
      </c>
      <c r="AB101" s="65">
        <v>135.80000000000001</v>
      </c>
      <c r="AC101" s="65">
        <v>135.30000000000001</v>
      </c>
      <c r="AD101" s="65">
        <v>135.30000000000001</v>
      </c>
      <c r="AE101" s="65">
        <v>132.6</v>
      </c>
      <c r="AF101" s="65">
        <v>131.1</v>
      </c>
      <c r="AG101" s="92"/>
      <c r="AH101" s="48">
        <f t="shared" si="9"/>
        <v>135.80000000000001</v>
      </c>
      <c r="AI101" s="49">
        <f t="shared" si="10"/>
        <v>122.7</v>
      </c>
    </row>
    <row r="102" spans="1:35" ht="15.75" thickBot="1" x14ac:dyDescent="0.3">
      <c r="A102" s="91" t="s">
        <v>107</v>
      </c>
      <c r="B102" s="96">
        <v>66.7</v>
      </c>
      <c r="C102" s="96">
        <v>67.099999999999994</v>
      </c>
      <c r="D102" s="96">
        <v>67</v>
      </c>
      <c r="E102" s="96">
        <v>66.7</v>
      </c>
      <c r="F102" s="96">
        <v>67.2</v>
      </c>
      <c r="G102" s="96">
        <v>66.099999999999994</v>
      </c>
      <c r="H102" s="96">
        <v>65.7</v>
      </c>
      <c r="I102" s="96">
        <v>66.099999999999994</v>
      </c>
      <c r="J102" s="96">
        <v>64.8</v>
      </c>
      <c r="K102" s="96">
        <v>64.5</v>
      </c>
      <c r="L102" s="96">
        <v>64.5</v>
      </c>
      <c r="M102" s="96">
        <v>63.5</v>
      </c>
      <c r="N102" s="96">
        <v>63.6</v>
      </c>
      <c r="O102" s="96">
        <v>63.3</v>
      </c>
      <c r="P102" s="96">
        <v>63.6</v>
      </c>
      <c r="Q102" s="96">
        <v>63.2</v>
      </c>
      <c r="R102" s="96">
        <v>63.5</v>
      </c>
      <c r="S102" s="96">
        <v>64.400000000000006</v>
      </c>
      <c r="T102" s="96">
        <v>64.3</v>
      </c>
      <c r="U102" s="96">
        <v>64.3</v>
      </c>
      <c r="V102" s="96">
        <v>65.599999999999994</v>
      </c>
      <c r="W102" s="96">
        <v>66</v>
      </c>
      <c r="X102" s="96">
        <v>64.3</v>
      </c>
      <c r="Y102" s="96">
        <v>64.5</v>
      </c>
      <c r="Z102" s="96">
        <v>64.8</v>
      </c>
      <c r="AA102" s="96">
        <v>65.099999999999994</v>
      </c>
      <c r="AB102" s="96">
        <v>65.099999999999994</v>
      </c>
      <c r="AC102" s="96">
        <v>65.099999999999994</v>
      </c>
      <c r="AD102" s="96">
        <v>65.099999999999994</v>
      </c>
      <c r="AE102" s="96">
        <v>65.599999999999994</v>
      </c>
      <c r="AF102" s="96">
        <v>66.5</v>
      </c>
      <c r="AG102" s="97"/>
      <c r="AH102" s="48">
        <f t="shared" si="9"/>
        <v>67.2</v>
      </c>
      <c r="AI102" s="49">
        <f t="shared" si="10"/>
        <v>63.2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9"/>
        <v>0</v>
      </c>
      <c r="AI103" s="49">
        <f t="shared" si="10"/>
        <v>0</v>
      </c>
    </row>
    <row r="104" spans="1:35" ht="15.75" thickBot="1" x14ac:dyDescent="0.3">
      <c r="A104" s="99" t="s">
        <v>295</v>
      </c>
      <c r="B104" s="100">
        <f t="shared" ref="B104:AF104" si="19">SUM(B16,B22,B25:B26,B52,B54:B55,B57,B59,B105:B109,B131,B137,B143,B152,B154,B166,B173,B176:B177,B184,B186,B188,B192:B194,B196:B198,B203,B209:B210,B212:B214,B222,B227)</f>
        <v>144</v>
      </c>
      <c r="C104" s="100">
        <f t="shared" si="19"/>
        <v>125.74</v>
      </c>
      <c r="D104" s="100">
        <f t="shared" si="19"/>
        <v>119.53999999999999</v>
      </c>
      <c r="E104" s="100">
        <f t="shared" si="19"/>
        <v>110.14</v>
      </c>
      <c r="F104" s="100">
        <f t="shared" si="19"/>
        <v>128.54</v>
      </c>
      <c r="G104" s="100">
        <f t="shared" si="19"/>
        <v>156.74</v>
      </c>
      <c r="H104" s="100">
        <f t="shared" si="19"/>
        <v>176.34</v>
      </c>
      <c r="I104" s="100">
        <f t="shared" si="19"/>
        <v>210.84</v>
      </c>
      <c r="J104" s="100">
        <f t="shared" si="19"/>
        <v>253.04000000000002</v>
      </c>
      <c r="K104" s="100">
        <f t="shared" si="19"/>
        <v>314.44</v>
      </c>
      <c r="L104" s="100">
        <f t="shared" si="19"/>
        <v>356.94</v>
      </c>
      <c r="M104" s="100">
        <f t="shared" si="19"/>
        <v>388.44</v>
      </c>
      <c r="N104" s="100">
        <f t="shared" si="19"/>
        <v>377.34</v>
      </c>
      <c r="O104" s="100">
        <f t="shared" si="19"/>
        <v>355.46</v>
      </c>
      <c r="P104" s="100">
        <v>42</v>
      </c>
      <c r="Q104" s="100">
        <f t="shared" si="19"/>
        <v>323.20000000000005</v>
      </c>
      <c r="R104" s="100">
        <f t="shared" si="19"/>
        <v>304.8</v>
      </c>
      <c r="S104" s="100">
        <f t="shared" si="19"/>
        <v>300.8</v>
      </c>
      <c r="T104" s="100">
        <f t="shared" si="19"/>
        <v>306.7</v>
      </c>
      <c r="U104" s="100">
        <f t="shared" si="19"/>
        <v>302</v>
      </c>
      <c r="V104" s="100">
        <f t="shared" si="19"/>
        <v>328.7</v>
      </c>
      <c r="W104" s="100">
        <f t="shared" si="19"/>
        <v>361.8</v>
      </c>
      <c r="X104" s="100">
        <v>390.59708333333339</v>
      </c>
      <c r="Y104" s="100">
        <f t="shared" si="19"/>
        <v>441.2</v>
      </c>
      <c r="Z104" s="100">
        <f t="shared" si="19"/>
        <v>1731.2</v>
      </c>
      <c r="AA104" s="100" t="s">
        <v>296</v>
      </c>
      <c r="AB104" s="100">
        <f t="shared" si="19"/>
        <v>403.99999999999994</v>
      </c>
      <c r="AC104" s="100">
        <f t="shared" si="19"/>
        <v>377.99999999999994</v>
      </c>
      <c r="AD104" s="100">
        <f t="shared" si="19"/>
        <v>365.79999999999995</v>
      </c>
      <c r="AE104" s="100">
        <f t="shared" si="19"/>
        <v>261.7</v>
      </c>
      <c r="AF104" s="100">
        <f t="shared" si="19"/>
        <v>194.6</v>
      </c>
      <c r="AG104" s="101"/>
      <c r="AH104" s="48">
        <f t="shared" si="9"/>
        <v>1731.2</v>
      </c>
      <c r="AI104" s="49">
        <f t="shared" si="10"/>
        <v>42</v>
      </c>
    </row>
    <row r="105" spans="1:35" x14ac:dyDescent="0.25">
      <c r="A105" s="88" t="s">
        <v>109</v>
      </c>
      <c r="B105" s="102">
        <v>5.2</v>
      </c>
      <c r="C105" s="102">
        <v>0</v>
      </c>
      <c r="D105" s="102">
        <v>-1.7</v>
      </c>
      <c r="E105" s="102">
        <v>-6.1</v>
      </c>
      <c r="F105" s="102">
        <v>-5.6</v>
      </c>
      <c r="G105" s="102">
        <v>-1.6</v>
      </c>
      <c r="H105" s="102">
        <v>-4.0999999999999996</v>
      </c>
      <c r="I105" s="102">
        <v>7.7</v>
      </c>
      <c r="J105" s="102">
        <v>14.4</v>
      </c>
      <c r="K105" s="102">
        <v>25.1</v>
      </c>
      <c r="L105" s="102">
        <v>30</v>
      </c>
      <c r="M105" s="102">
        <v>29.1</v>
      </c>
      <c r="N105" s="102">
        <v>31.2</v>
      </c>
      <c r="O105" s="102">
        <v>29.6</v>
      </c>
      <c r="P105" s="102">
        <v>31</v>
      </c>
      <c r="Q105" s="102">
        <v>30.4</v>
      </c>
      <c r="R105" s="102">
        <v>23</v>
      </c>
      <c r="S105" s="102">
        <v>15</v>
      </c>
      <c r="T105" s="102">
        <v>13.6</v>
      </c>
      <c r="U105" s="102">
        <v>15.4</v>
      </c>
      <c r="V105" s="102">
        <v>33.1</v>
      </c>
      <c r="W105" s="102">
        <v>39</v>
      </c>
      <c r="X105" s="102">
        <v>38</v>
      </c>
      <c r="Y105" s="102">
        <v>40</v>
      </c>
      <c r="Z105" s="102">
        <v>42</v>
      </c>
      <c r="AA105" s="102">
        <v>46</v>
      </c>
      <c r="AB105" s="102">
        <v>63</v>
      </c>
      <c r="AC105" s="102">
        <v>38.6</v>
      </c>
      <c r="AD105" s="102">
        <v>42</v>
      </c>
      <c r="AE105" s="102">
        <v>27.4</v>
      </c>
      <c r="AF105" s="102">
        <v>4</v>
      </c>
      <c r="AG105" s="103">
        <v>75</v>
      </c>
      <c r="AH105" s="48">
        <f t="shared" si="9"/>
        <v>63</v>
      </c>
      <c r="AI105" s="49">
        <f t="shared" si="10"/>
        <v>-6.1</v>
      </c>
    </row>
    <row r="106" spans="1:35" x14ac:dyDescent="0.25">
      <c r="A106" s="91" t="s">
        <v>110</v>
      </c>
      <c r="B106" s="104">
        <v>6.8</v>
      </c>
      <c r="C106" s="104">
        <v>2</v>
      </c>
      <c r="D106" s="104">
        <v>0</v>
      </c>
      <c r="E106" s="104">
        <v>-4.9000000000000004</v>
      </c>
      <c r="F106" s="104">
        <v>-4.8</v>
      </c>
      <c r="G106" s="104">
        <v>0</v>
      </c>
      <c r="H106" s="104">
        <v>-3.5</v>
      </c>
      <c r="I106" s="104">
        <v>11.8</v>
      </c>
      <c r="J106" s="104">
        <v>18.8</v>
      </c>
      <c r="K106" s="104">
        <v>36</v>
      </c>
      <c r="L106" s="104">
        <v>40</v>
      </c>
      <c r="M106" s="104">
        <v>38.6</v>
      </c>
      <c r="N106" s="104">
        <v>43.4</v>
      </c>
      <c r="O106" s="104">
        <v>39.9</v>
      </c>
      <c r="P106" s="104">
        <v>41.6</v>
      </c>
      <c r="Q106" s="104">
        <v>41.9</v>
      </c>
      <c r="R106" s="104">
        <v>33.4</v>
      </c>
      <c r="S106" s="104">
        <v>22.4</v>
      </c>
      <c r="T106" s="104">
        <v>20</v>
      </c>
      <c r="U106" s="104">
        <v>20</v>
      </c>
      <c r="V106" s="104">
        <v>41.3</v>
      </c>
      <c r="W106" s="104">
        <v>49</v>
      </c>
      <c r="X106" s="104">
        <v>45</v>
      </c>
      <c r="Y106" s="104">
        <v>49</v>
      </c>
      <c r="Z106" s="104">
        <v>52</v>
      </c>
      <c r="AA106" s="104">
        <v>58</v>
      </c>
      <c r="AB106" s="104">
        <v>63.5</v>
      </c>
      <c r="AC106" s="104">
        <v>47.6</v>
      </c>
      <c r="AD106" s="104">
        <v>32</v>
      </c>
      <c r="AE106" s="104">
        <v>35.700000000000003</v>
      </c>
      <c r="AF106" s="104">
        <v>4.5</v>
      </c>
      <c r="AG106" s="103">
        <v>240</v>
      </c>
      <c r="AH106" s="48">
        <f t="shared" si="9"/>
        <v>63.5</v>
      </c>
      <c r="AI106" s="49">
        <f t="shared" si="10"/>
        <v>-4.9000000000000004</v>
      </c>
    </row>
    <row r="107" spans="1:35" x14ac:dyDescent="0.25">
      <c r="A107" s="91" t="s">
        <v>111</v>
      </c>
      <c r="B107" s="104">
        <v>-52</v>
      </c>
      <c r="C107" s="104">
        <v>-55</v>
      </c>
      <c r="D107" s="104">
        <v>-59</v>
      </c>
      <c r="E107" s="104">
        <v>-58.8</v>
      </c>
      <c r="F107" s="104">
        <v>-50</v>
      </c>
      <c r="G107" s="104">
        <v>-43</v>
      </c>
      <c r="H107" s="104">
        <v>-32</v>
      </c>
      <c r="I107" s="104">
        <v>-30</v>
      </c>
      <c r="J107" s="104">
        <v>-10</v>
      </c>
      <c r="K107" s="104">
        <v>10</v>
      </c>
      <c r="L107" s="104">
        <v>38</v>
      </c>
      <c r="M107" s="104">
        <v>47</v>
      </c>
      <c r="N107" s="104">
        <f>24+22</f>
        <v>46</v>
      </c>
      <c r="O107" s="104">
        <v>42.6</v>
      </c>
      <c r="P107" s="104">
        <f>17.4+14.4</f>
        <v>31.799999999999997</v>
      </c>
      <c r="Q107" s="104">
        <v>-3</v>
      </c>
      <c r="R107" s="104">
        <v>-14</v>
      </c>
      <c r="S107" s="104">
        <v>-5</v>
      </c>
      <c r="T107" s="104">
        <v>-1</v>
      </c>
      <c r="U107" s="104">
        <v>-2</v>
      </c>
      <c r="V107" s="104">
        <v>19</v>
      </c>
      <c r="W107" s="104">
        <v>36</v>
      </c>
      <c r="X107" s="104">
        <v>65</v>
      </c>
      <c r="Y107" s="104">
        <v>68</v>
      </c>
      <c r="Z107" s="104">
        <v>60</v>
      </c>
      <c r="AA107" s="104">
        <v>54</v>
      </c>
      <c r="AB107" s="104">
        <f>0+17.3</f>
        <v>17.3</v>
      </c>
      <c r="AC107" s="104">
        <f>6.3+18.3</f>
        <v>24.6</v>
      </c>
      <c r="AD107" s="104">
        <f>6.3+18.3</f>
        <v>24.6</v>
      </c>
      <c r="AE107" s="104">
        <f>-11.8-12.5</f>
        <v>-24.3</v>
      </c>
      <c r="AF107" s="104">
        <f>-17.3-19</f>
        <v>-36.299999999999997</v>
      </c>
      <c r="AG107" s="103">
        <v>240</v>
      </c>
      <c r="AH107" s="48">
        <f t="shared" si="9"/>
        <v>68</v>
      </c>
      <c r="AI107" s="49">
        <f t="shared" si="10"/>
        <v>-59</v>
      </c>
    </row>
    <row r="108" spans="1:35" x14ac:dyDescent="0.25">
      <c r="A108" s="91" t="s">
        <v>112</v>
      </c>
      <c r="B108" s="104">
        <v>-2.9</v>
      </c>
      <c r="C108" s="104">
        <v>-5.0999999999999996</v>
      </c>
      <c r="D108" s="104">
        <v>-6.4</v>
      </c>
      <c r="E108" s="104">
        <v>-6.5</v>
      </c>
      <c r="F108" s="104">
        <v>-6</v>
      </c>
      <c r="G108" s="104">
        <v>-2.6</v>
      </c>
      <c r="H108" s="104">
        <v>1</v>
      </c>
      <c r="I108" s="104">
        <v>2.4</v>
      </c>
      <c r="J108" s="104">
        <v>3.9</v>
      </c>
      <c r="K108" s="104">
        <v>20.399999999999999</v>
      </c>
      <c r="L108" s="104">
        <v>30</v>
      </c>
      <c r="M108" s="104">
        <v>38.4</v>
      </c>
      <c r="N108" s="104">
        <v>42</v>
      </c>
      <c r="O108" s="104">
        <v>41.3</v>
      </c>
      <c r="P108" s="104">
        <v>39.299999999999997</v>
      </c>
      <c r="Q108" s="104">
        <v>31.9</v>
      </c>
      <c r="R108" s="104">
        <v>37.6</v>
      </c>
      <c r="S108" s="104">
        <v>43</v>
      </c>
      <c r="T108" s="104">
        <v>45.4</v>
      </c>
      <c r="U108" s="104">
        <v>47.2</v>
      </c>
      <c r="V108" s="104">
        <v>44.2</v>
      </c>
      <c r="W108" s="104">
        <v>50</v>
      </c>
      <c r="X108" s="104">
        <v>53</v>
      </c>
      <c r="Y108" s="104">
        <v>57</v>
      </c>
      <c r="Z108" s="104">
        <v>55</v>
      </c>
      <c r="AA108" s="104">
        <v>49</v>
      </c>
      <c r="AB108" s="104">
        <v>38.4</v>
      </c>
      <c r="AC108" s="104">
        <v>37.9</v>
      </c>
      <c r="AD108" s="104">
        <v>37.9</v>
      </c>
      <c r="AE108" s="104">
        <v>8.9</v>
      </c>
      <c r="AF108" s="104">
        <v>0</v>
      </c>
      <c r="AG108" s="103">
        <v>60</v>
      </c>
      <c r="AH108" s="48">
        <f t="shared" si="9"/>
        <v>57</v>
      </c>
      <c r="AI108" s="49">
        <f t="shared" si="10"/>
        <v>-6.5</v>
      </c>
    </row>
    <row r="109" spans="1:35" x14ac:dyDescent="0.25">
      <c r="A109" s="105" t="s">
        <v>113</v>
      </c>
      <c r="B109" s="106">
        <v>62.9</v>
      </c>
      <c r="C109" s="106">
        <v>61.9</v>
      </c>
      <c r="D109" s="106">
        <v>64.7</v>
      </c>
      <c r="E109" s="106">
        <v>64.5</v>
      </c>
      <c r="F109" s="106">
        <v>71</v>
      </c>
      <c r="G109" s="106">
        <v>80</v>
      </c>
      <c r="H109" s="106">
        <v>91</v>
      </c>
      <c r="I109" s="106">
        <v>95</v>
      </c>
      <c r="J109" s="106">
        <v>102</v>
      </c>
      <c r="K109" s="106">
        <v>99</v>
      </c>
      <c r="L109" s="106">
        <v>95</v>
      </c>
      <c r="M109" s="106">
        <v>110.4</v>
      </c>
      <c r="N109" s="106">
        <v>91.6</v>
      </c>
      <c r="O109" s="106">
        <v>79</v>
      </c>
      <c r="P109" s="106">
        <v>78.400000000000006</v>
      </c>
      <c r="Q109" s="106">
        <v>100.2</v>
      </c>
      <c r="R109" s="106">
        <v>103</v>
      </c>
      <c r="S109" s="106">
        <v>98</v>
      </c>
      <c r="T109" s="106">
        <v>101.5</v>
      </c>
      <c r="U109" s="106">
        <v>94</v>
      </c>
      <c r="V109" s="106">
        <v>63.7</v>
      </c>
      <c r="W109" s="106">
        <v>68</v>
      </c>
      <c r="X109" s="106">
        <v>98</v>
      </c>
      <c r="Y109" s="106">
        <v>107</v>
      </c>
      <c r="Z109" s="106">
        <v>1402</v>
      </c>
      <c r="AA109" s="106">
        <v>100</v>
      </c>
      <c r="AB109" s="106">
        <v>98.2</v>
      </c>
      <c r="AC109" s="106">
        <v>105.7</v>
      </c>
      <c r="AD109" s="106">
        <v>105.7</v>
      </c>
      <c r="AE109" s="106">
        <v>90.4</v>
      </c>
      <c r="AF109" s="106">
        <v>98.8</v>
      </c>
      <c r="AG109" s="107">
        <v>120</v>
      </c>
      <c r="AH109" s="48">
        <f t="shared" si="9"/>
        <v>1402</v>
      </c>
      <c r="AI109" s="49">
        <f t="shared" si="10"/>
        <v>61.9</v>
      </c>
    </row>
    <row r="110" spans="1:35" x14ac:dyDescent="0.25">
      <c r="A110" s="105" t="s">
        <v>115</v>
      </c>
      <c r="B110" s="106">
        <v>69.2</v>
      </c>
      <c r="C110" s="106">
        <v>69.7</v>
      </c>
      <c r="D110" s="106">
        <v>73.599999999999994</v>
      </c>
      <c r="E110" s="106">
        <v>74.400000000000006</v>
      </c>
      <c r="F110" s="106">
        <v>78</v>
      </c>
      <c r="G110" s="106">
        <v>82</v>
      </c>
      <c r="H110" s="106">
        <v>89</v>
      </c>
      <c r="I110" s="106">
        <v>93</v>
      </c>
      <c r="J110" s="106">
        <v>98</v>
      </c>
      <c r="K110" s="106">
        <v>95</v>
      </c>
      <c r="L110" s="106">
        <v>85</v>
      </c>
      <c r="M110" s="106">
        <v>96.6</v>
      </c>
      <c r="N110" s="106">
        <v>75.099999999999994</v>
      </c>
      <c r="O110" s="106">
        <v>91</v>
      </c>
      <c r="P110" s="106">
        <v>78.900000000000006</v>
      </c>
      <c r="Q110" s="106">
        <v>87.9</v>
      </c>
      <c r="R110" s="106">
        <v>97.9</v>
      </c>
      <c r="S110" s="106">
        <v>96.3</v>
      </c>
      <c r="T110" s="106">
        <v>93</v>
      </c>
      <c r="U110" s="106">
        <v>91.4</v>
      </c>
      <c r="V110" s="106" t="s">
        <v>280</v>
      </c>
      <c r="W110" s="106">
        <v>60</v>
      </c>
      <c r="X110" s="106">
        <v>90</v>
      </c>
      <c r="Y110" s="106">
        <v>91</v>
      </c>
      <c r="Z110" s="106">
        <v>85</v>
      </c>
      <c r="AA110" s="106">
        <v>80</v>
      </c>
      <c r="AB110" s="106">
        <v>64.5</v>
      </c>
      <c r="AC110" s="106">
        <v>73.099999999999994</v>
      </c>
      <c r="AD110" s="106">
        <v>73.099999999999994</v>
      </c>
      <c r="AE110" s="106">
        <v>85.4</v>
      </c>
      <c r="AF110" s="106">
        <v>100.2</v>
      </c>
      <c r="AG110" s="107"/>
      <c r="AH110" s="48">
        <f t="shared" si="9"/>
        <v>100.2</v>
      </c>
      <c r="AI110" s="49">
        <f t="shared" si="10"/>
        <v>60</v>
      </c>
    </row>
    <row r="111" spans="1:35" x14ac:dyDescent="0.25">
      <c r="A111" s="105" t="s">
        <v>116</v>
      </c>
      <c r="B111" s="106">
        <v>38.799999999999997</v>
      </c>
      <c r="C111" s="106">
        <v>35.1</v>
      </c>
      <c r="D111" s="106">
        <v>34.200000000000003</v>
      </c>
      <c r="E111" s="106">
        <v>35.9</v>
      </c>
      <c r="F111" s="106">
        <v>40</v>
      </c>
      <c r="G111" s="106">
        <v>45</v>
      </c>
      <c r="H111" s="106">
        <v>47</v>
      </c>
      <c r="I111" s="106">
        <v>38</v>
      </c>
      <c r="J111" s="106">
        <v>37</v>
      </c>
      <c r="K111" s="106">
        <v>30</v>
      </c>
      <c r="L111" s="106">
        <v>13</v>
      </c>
      <c r="M111" s="106">
        <v>13.4</v>
      </c>
      <c r="N111" s="106">
        <v>11.2</v>
      </c>
      <c r="O111" s="106">
        <v>17.100000000000001</v>
      </c>
      <c r="P111" s="106">
        <v>10.7</v>
      </c>
      <c r="Q111" s="106">
        <v>17.600000000000001</v>
      </c>
      <c r="R111" s="106">
        <v>23.2</v>
      </c>
      <c r="S111" s="106">
        <v>30.6</v>
      </c>
      <c r="T111" s="106">
        <v>30.7</v>
      </c>
      <c r="U111" s="106">
        <v>26.5</v>
      </c>
      <c r="V111" s="106">
        <v>12</v>
      </c>
      <c r="W111" s="106">
        <v>5</v>
      </c>
      <c r="X111" s="106">
        <v>9</v>
      </c>
      <c r="Y111" s="106">
        <v>15</v>
      </c>
      <c r="Z111" s="106">
        <v>12</v>
      </c>
      <c r="AA111" s="106">
        <v>9.5</v>
      </c>
      <c r="AB111" s="106">
        <v>7</v>
      </c>
      <c r="AC111" s="106">
        <v>16.2</v>
      </c>
      <c r="AD111" s="106">
        <v>16.2</v>
      </c>
      <c r="AE111" s="106"/>
      <c r="AF111" s="106"/>
      <c r="AG111" s="108"/>
      <c r="AH111" s="48">
        <f t="shared" si="9"/>
        <v>47</v>
      </c>
      <c r="AI111" s="49">
        <f t="shared" si="10"/>
        <v>5</v>
      </c>
    </row>
    <row r="112" spans="1:35" x14ac:dyDescent="0.25">
      <c r="A112" s="109" t="s">
        <v>117</v>
      </c>
      <c r="B112" s="94">
        <v>30.4</v>
      </c>
      <c r="C112" s="94">
        <v>34.200000000000003</v>
      </c>
      <c r="D112" s="94">
        <v>36.6</v>
      </c>
      <c r="E112" s="94">
        <v>36.9</v>
      </c>
      <c r="F112" s="94">
        <v>37</v>
      </c>
      <c r="G112" s="94">
        <v>35</v>
      </c>
      <c r="H112" s="94">
        <v>30</v>
      </c>
      <c r="I112" s="94">
        <v>19</v>
      </c>
      <c r="J112" s="94">
        <v>5</v>
      </c>
      <c r="K112" s="94">
        <v>-12</v>
      </c>
      <c r="L112" s="94">
        <v>-12</v>
      </c>
      <c r="M112" s="94">
        <v>18.899999999999999</v>
      </c>
      <c r="N112" s="94">
        <v>-15.5</v>
      </c>
      <c r="O112" s="94">
        <v>6</v>
      </c>
      <c r="P112" s="94">
        <v>10.9</v>
      </c>
      <c r="Q112" s="94">
        <v>10.1</v>
      </c>
      <c r="R112" s="94">
        <v>18.600000000000001</v>
      </c>
      <c r="S112" s="94">
        <v>13</v>
      </c>
      <c r="T112" s="94">
        <v>9.9</v>
      </c>
      <c r="U112" s="94">
        <v>7.6</v>
      </c>
      <c r="V112" s="94">
        <v>6</v>
      </c>
      <c r="W112" s="94">
        <v>-27</v>
      </c>
      <c r="X112" s="94">
        <v>-50</v>
      </c>
      <c r="Y112" s="94">
        <v>-40</v>
      </c>
      <c r="Z112" s="94">
        <v>-30</v>
      </c>
      <c r="AA112" s="94">
        <v>-24</v>
      </c>
      <c r="AB112" s="94">
        <v>-5.9</v>
      </c>
      <c r="AC112" s="94">
        <v>-2.7</v>
      </c>
      <c r="AD112" s="94">
        <v>-2.7</v>
      </c>
      <c r="AE112" s="94">
        <v>26.7</v>
      </c>
      <c r="AF112" s="94">
        <v>31.6</v>
      </c>
      <c r="AG112" s="108"/>
      <c r="AH112" s="48">
        <f t="shared" si="9"/>
        <v>37</v>
      </c>
      <c r="AI112" s="49">
        <f t="shared" si="10"/>
        <v>-50</v>
      </c>
    </row>
    <row r="113" spans="1:37" ht="15.75" thickBot="1" x14ac:dyDescent="0.3">
      <c r="A113" s="109" t="s">
        <v>118</v>
      </c>
      <c r="B113" s="94">
        <v>27</v>
      </c>
      <c r="C113" s="94">
        <v>28.7</v>
      </c>
      <c r="D113" s="94">
        <v>29.6</v>
      </c>
      <c r="E113" s="94">
        <v>30</v>
      </c>
      <c r="F113" s="94">
        <v>24</v>
      </c>
      <c r="G113" s="94">
        <v>22</v>
      </c>
      <c r="H113" s="94">
        <v>13</v>
      </c>
      <c r="I113" s="94">
        <v>18</v>
      </c>
      <c r="J113" s="94">
        <v>4</v>
      </c>
      <c r="K113" s="94">
        <v>-12</v>
      </c>
      <c r="L113" s="94">
        <v>-27</v>
      </c>
      <c r="M113" s="94">
        <v>-36.1</v>
      </c>
      <c r="N113" s="94">
        <v>-22.9</v>
      </c>
      <c r="O113" s="94">
        <v>-35.200000000000003</v>
      </c>
      <c r="P113" s="94">
        <v>-12.5</v>
      </c>
      <c r="Q113" s="94">
        <v>13.9</v>
      </c>
      <c r="R113" s="94">
        <v>18.2</v>
      </c>
      <c r="S113" s="94">
        <v>23.4</v>
      </c>
      <c r="T113" s="94">
        <v>21.9</v>
      </c>
      <c r="U113" s="94">
        <v>26</v>
      </c>
      <c r="V113" s="94">
        <v>3.4</v>
      </c>
      <c r="W113" s="94">
        <v>-2</v>
      </c>
      <c r="X113" s="94">
        <v>-30</v>
      </c>
      <c r="Y113" s="94">
        <v>-30</v>
      </c>
      <c r="Z113" s="94">
        <v>-25</v>
      </c>
      <c r="AA113" s="94">
        <v>-20</v>
      </c>
      <c r="AB113" s="94">
        <v>-9.9</v>
      </c>
      <c r="AC113" s="94">
        <v>-20.5</v>
      </c>
      <c r="AD113" s="94">
        <v>-20.5</v>
      </c>
      <c r="AE113" s="94">
        <v>-17</v>
      </c>
      <c r="AF113" s="94">
        <v>14.2</v>
      </c>
      <c r="AG113" s="108"/>
      <c r="AH113" s="48">
        <f t="shared" si="9"/>
        <v>30</v>
      </c>
      <c r="AI113" s="49">
        <f t="shared" si="10"/>
        <v>-36.1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/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20">SUM(B115:B219)</f>
        <v>0</v>
      </c>
      <c r="C220" s="125">
        <f t="shared" si="20"/>
        <v>0</v>
      </c>
      <c r="D220" s="125">
        <f t="shared" si="20"/>
        <v>0</v>
      </c>
      <c r="E220" s="125">
        <f t="shared" si="20"/>
        <v>0</v>
      </c>
      <c r="F220" s="125">
        <f t="shared" si="20"/>
        <v>0</v>
      </c>
      <c r="G220" s="125">
        <f t="shared" si="20"/>
        <v>0</v>
      </c>
      <c r="H220" s="125">
        <f t="shared" si="20"/>
        <v>0</v>
      </c>
      <c r="I220" s="125">
        <f t="shared" si="20"/>
        <v>0</v>
      </c>
      <c r="J220" s="125">
        <f t="shared" si="20"/>
        <v>0</v>
      </c>
      <c r="K220" s="125">
        <f t="shared" si="20"/>
        <v>0</v>
      </c>
      <c r="L220" s="125">
        <f t="shared" si="20"/>
        <v>0</v>
      </c>
      <c r="M220" s="125">
        <f t="shared" si="20"/>
        <v>0</v>
      </c>
      <c r="N220" s="125">
        <f t="shared" si="20"/>
        <v>0</v>
      </c>
      <c r="O220" s="125">
        <f t="shared" si="20"/>
        <v>0</v>
      </c>
      <c r="P220" s="125">
        <f t="shared" si="20"/>
        <v>0</v>
      </c>
      <c r="Q220" s="125">
        <f t="shared" si="20"/>
        <v>0</v>
      </c>
      <c r="R220" s="125">
        <f t="shared" si="20"/>
        <v>0</v>
      </c>
      <c r="S220" s="125">
        <f t="shared" si="20"/>
        <v>0</v>
      </c>
      <c r="T220" s="125">
        <f t="shared" si="20"/>
        <v>0</v>
      </c>
      <c r="U220" s="125">
        <f t="shared" si="20"/>
        <v>0</v>
      </c>
      <c r="V220" s="125">
        <f t="shared" si="20"/>
        <v>0</v>
      </c>
      <c r="W220" s="125">
        <f t="shared" si="20"/>
        <v>0</v>
      </c>
      <c r="X220" s="125">
        <f t="shared" si="20"/>
        <v>0</v>
      </c>
      <c r="Y220" s="125">
        <f t="shared" si="20"/>
        <v>0</v>
      </c>
      <c r="Z220" s="125">
        <f t="shared" si="20"/>
        <v>0</v>
      </c>
      <c r="AA220" s="125">
        <f t="shared" si="20"/>
        <v>0</v>
      </c>
      <c r="AB220" s="125">
        <f t="shared" si="20"/>
        <v>0</v>
      </c>
      <c r="AC220" s="125">
        <f t="shared" si="20"/>
        <v>0</v>
      </c>
      <c r="AD220" s="125">
        <f t="shared" si="20"/>
        <v>0</v>
      </c>
      <c r="AE220" s="125">
        <f t="shared" si="20"/>
        <v>0</v>
      </c>
      <c r="AF220" s="126">
        <f t="shared" si="20"/>
        <v>0</v>
      </c>
      <c r="AG220" s="127">
        <f t="shared" si="20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21">AF222</f>
        <v>0</v>
      </c>
      <c r="C222" s="129">
        <v>0.3</v>
      </c>
      <c r="D222" s="129">
        <f t="shared" ref="D222:P227" si="22">C222</f>
        <v>0.3</v>
      </c>
      <c r="E222" s="129">
        <f t="shared" si="22"/>
        <v>0.3</v>
      </c>
      <c r="F222" s="129">
        <f t="shared" si="22"/>
        <v>0.3</v>
      </c>
      <c r="G222" s="129">
        <f t="shared" si="22"/>
        <v>0.3</v>
      </c>
      <c r="H222" s="129">
        <f t="shared" si="22"/>
        <v>0.3</v>
      </c>
      <c r="I222" s="129">
        <f t="shared" si="22"/>
        <v>0.3</v>
      </c>
      <c r="J222" s="129">
        <f t="shared" si="22"/>
        <v>0.3</v>
      </c>
      <c r="K222" s="129">
        <f t="shared" si="22"/>
        <v>0.3</v>
      </c>
      <c r="L222" s="129">
        <f t="shared" si="22"/>
        <v>0.3</v>
      </c>
      <c r="M222" s="129">
        <f t="shared" si="22"/>
        <v>0.3</v>
      </c>
      <c r="N222" s="129">
        <f t="shared" si="22"/>
        <v>0.3</v>
      </c>
      <c r="O222" s="129">
        <f t="shared" si="22"/>
        <v>0.3</v>
      </c>
      <c r="P222" s="129">
        <f t="shared" si="22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21"/>
        <v>0</v>
      </c>
      <c r="C223" s="117">
        <v>0.4</v>
      </c>
      <c r="D223" s="117">
        <f t="shared" si="22"/>
        <v>0.4</v>
      </c>
      <c r="E223" s="117">
        <f t="shared" si="22"/>
        <v>0.4</v>
      </c>
      <c r="F223" s="117">
        <f t="shared" si="22"/>
        <v>0.4</v>
      </c>
      <c r="G223" s="117">
        <f t="shared" si="22"/>
        <v>0.4</v>
      </c>
      <c r="H223" s="117">
        <f t="shared" si="22"/>
        <v>0.4</v>
      </c>
      <c r="I223" s="117">
        <f t="shared" si="22"/>
        <v>0.4</v>
      </c>
      <c r="J223" s="117">
        <f t="shared" si="22"/>
        <v>0.4</v>
      </c>
      <c r="K223" s="117">
        <f t="shared" si="22"/>
        <v>0.4</v>
      </c>
      <c r="L223" s="117">
        <f t="shared" si="22"/>
        <v>0.4</v>
      </c>
      <c r="M223" s="117">
        <f t="shared" si="22"/>
        <v>0.4</v>
      </c>
      <c r="N223" s="117">
        <f t="shared" si="22"/>
        <v>0.4</v>
      </c>
      <c r="O223" s="117">
        <f t="shared" si="22"/>
        <v>0.4</v>
      </c>
      <c r="P223" s="117">
        <f t="shared" si="22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21"/>
        <v>0</v>
      </c>
      <c r="C224" s="117">
        <v>1.5</v>
      </c>
      <c r="D224" s="117">
        <f t="shared" si="22"/>
        <v>1.5</v>
      </c>
      <c r="E224" s="117">
        <f t="shared" si="22"/>
        <v>1.5</v>
      </c>
      <c r="F224" s="117">
        <f t="shared" si="22"/>
        <v>1.5</v>
      </c>
      <c r="G224" s="117">
        <f t="shared" si="22"/>
        <v>1.5</v>
      </c>
      <c r="H224" s="117">
        <f t="shared" si="22"/>
        <v>1.5</v>
      </c>
      <c r="I224" s="100">
        <f t="shared" ref="I224" ca="1" si="23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22"/>
        <v>1.5</v>
      </c>
      <c r="K224" s="117">
        <f t="shared" ca="1" si="22"/>
        <v>1.5</v>
      </c>
      <c r="L224" s="117">
        <f t="shared" ca="1" si="22"/>
        <v>1.5</v>
      </c>
      <c r="M224" s="117">
        <f t="shared" ca="1" si="22"/>
        <v>1.5</v>
      </c>
      <c r="N224" s="117">
        <f t="shared" ca="1" si="22"/>
        <v>1.5</v>
      </c>
      <c r="O224" s="117">
        <f t="shared" ca="1" si="22"/>
        <v>1.5</v>
      </c>
      <c r="P224" s="117">
        <f t="shared" ca="1" si="22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21"/>
        <v>0</v>
      </c>
      <c r="C225" s="117">
        <v>0.3</v>
      </c>
      <c r="D225" s="117">
        <f t="shared" si="22"/>
        <v>0.3</v>
      </c>
      <c r="E225" s="117">
        <f t="shared" si="22"/>
        <v>0.3</v>
      </c>
      <c r="F225" s="117">
        <f t="shared" si="22"/>
        <v>0.3</v>
      </c>
      <c r="G225" s="117">
        <f t="shared" si="22"/>
        <v>0.3</v>
      </c>
      <c r="H225" s="117">
        <f t="shared" si="22"/>
        <v>0.3</v>
      </c>
      <c r="I225" s="117">
        <f t="shared" si="22"/>
        <v>0.3</v>
      </c>
      <c r="J225" s="117">
        <f t="shared" si="22"/>
        <v>0.3</v>
      </c>
      <c r="K225" s="117">
        <f t="shared" si="22"/>
        <v>0.3</v>
      </c>
      <c r="L225" s="117">
        <f t="shared" si="22"/>
        <v>0.3</v>
      </c>
      <c r="M225" s="117">
        <f t="shared" si="22"/>
        <v>0.3</v>
      </c>
      <c r="N225" s="117">
        <f t="shared" si="22"/>
        <v>0.3</v>
      </c>
      <c r="O225" s="117">
        <f t="shared" si="22"/>
        <v>0.3</v>
      </c>
      <c r="P225" s="117">
        <f t="shared" si="22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21"/>
        <v>0</v>
      </c>
      <c r="C226" s="117">
        <v>0.4</v>
      </c>
      <c r="D226" s="117">
        <f t="shared" si="22"/>
        <v>0.4</v>
      </c>
      <c r="E226" s="117">
        <f t="shared" si="22"/>
        <v>0.4</v>
      </c>
      <c r="F226" s="117">
        <f t="shared" si="22"/>
        <v>0.4</v>
      </c>
      <c r="G226" s="117">
        <f t="shared" si="22"/>
        <v>0.4</v>
      </c>
      <c r="H226" s="117">
        <f t="shared" si="22"/>
        <v>0.4</v>
      </c>
      <c r="I226" s="117">
        <f t="shared" si="22"/>
        <v>0.4</v>
      </c>
      <c r="J226" s="117">
        <f t="shared" si="22"/>
        <v>0.4</v>
      </c>
      <c r="K226" s="117">
        <f t="shared" si="22"/>
        <v>0.4</v>
      </c>
      <c r="L226" s="117">
        <f t="shared" si="22"/>
        <v>0.4</v>
      </c>
      <c r="M226" s="117">
        <f t="shared" si="22"/>
        <v>0.4</v>
      </c>
      <c r="N226" s="117">
        <f t="shared" si="22"/>
        <v>0.4</v>
      </c>
      <c r="O226" s="117">
        <f t="shared" si="22"/>
        <v>0.4</v>
      </c>
      <c r="P226" s="117">
        <f t="shared" si="22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21"/>
        <v>0</v>
      </c>
      <c r="C227" s="121">
        <v>0.64</v>
      </c>
      <c r="D227" s="121">
        <f t="shared" si="22"/>
        <v>0.64</v>
      </c>
      <c r="E227" s="121">
        <f t="shared" si="22"/>
        <v>0.64</v>
      </c>
      <c r="F227" s="121">
        <f t="shared" si="22"/>
        <v>0.64</v>
      </c>
      <c r="G227" s="121">
        <f t="shared" si="22"/>
        <v>0.64</v>
      </c>
      <c r="H227" s="121">
        <f t="shared" si="22"/>
        <v>0.64</v>
      </c>
      <c r="I227" s="121">
        <f t="shared" si="22"/>
        <v>0.64</v>
      </c>
      <c r="J227" s="121">
        <f t="shared" si="22"/>
        <v>0.64</v>
      </c>
      <c r="K227" s="121">
        <f t="shared" si="22"/>
        <v>0.64</v>
      </c>
      <c r="L227" s="121">
        <f t="shared" si="22"/>
        <v>0.64</v>
      </c>
      <c r="M227" s="121">
        <f t="shared" si="22"/>
        <v>0.64</v>
      </c>
      <c r="N227" s="121">
        <f t="shared" si="22"/>
        <v>0.64</v>
      </c>
      <c r="O227" s="121">
        <f t="shared" si="22"/>
        <v>0.64</v>
      </c>
      <c r="P227" s="121">
        <f t="shared" si="22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4">SUM(B222:B227)</f>
        <v>0</v>
      </c>
      <c r="C228" s="125">
        <f t="shared" si="24"/>
        <v>3.54</v>
      </c>
      <c r="D228" s="125">
        <f t="shared" si="24"/>
        <v>3.54</v>
      </c>
      <c r="E228" s="125">
        <f t="shared" si="24"/>
        <v>3.54</v>
      </c>
      <c r="F228" s="125">
        <f t="shared" si="24"/>
        <v>3.54</v>
      </c>
      <c r="G228" s="125">
        <f t="shared" si="24"/>
        <v>3.54</v>
      </c>
      <c r="H228" s="125">
        <f t="shared" si="24"/>
        <v>3.54</v>
      </c>
      <c r="I228" s="125">
        <f t="shared" ca="1" si="24"/>
        <v>3.54</v>
      </c>
      <c r="J228" s="125">
        <f t="shared" ca="1" si="24"/>
        <v>3.54</v>
      </c>
      <c r="K228" s="125">
        <f t="shared" ca="1" si="24"/>
        <v>3.54</v>
      </c>
      <c r="L228" s="125">
        <f t="shared" ca="1" si="24"/>
        <v>3.54</v>
      </c>
      <c r="M228" s="125">
        <f t="shared" ca="1" si="24"/>
        <v>3.54</v>
      </c>
      <c r="N228" s="125">
        <f t="shared" ca="1" si="24"/>
        <v>3.54</v>
      </c>
      <c r="O228" s="125">
        <f t="shared" ca="1" si="24"/>
        <v>3.54</v>
      </c>
      <c r="P228" s="125">
        <f t="shared" ca="1" si="24"/>
        <v>3.54</v>
      </c>
      <c r="Q228" s="125">
        <f t="shared" si="24"/>
        <v>0</v>
      </c>
      <c r="R228" s="125">
        <f t="shared" si="24"/>
        <v>0</v>
      </c>
      <c r="S228" s="125">
        <f t="shared" si="24"/>
        <v>0</v>
      </c>
      <c r="T228" s="125">
        <f t="shared" si="24"/>
        <v>0</v>
      </c>
      <c r="U228" s="125">
        <f t="shared" si="24"/>
        <v>0</v>
      </c>
      <c r="V228" s="125">
        <f t="shared" si="24"/>
        <v>0</v>
      </c>
      <c r="W228" s="125">
        <f t="shared" si="24"/>
        <v>0</v>
      </c>
      <c r="X228" s="125">
        <f t="shared" si="24"/>
        <v>0</v>
      </c>
      <c r="Y228" s="125">
        <f t="shared" si="24"/>
        <v>0</v>
      </c>
      <c r="Z228" s="125">
        <f t="shared" si="24"/>
        <v>0</v>
      </c>
      <c r="AA228" s="125">
        <f t="shared" si="24"/>
        <v>0</v>
      </c>
      <c r="AB228" s="125">
        <f t="shared" si="24"/>
        <v>0</v>
      </c>
      <c r="AC228" s="125">
        <f t="shared" si="24"/>
        <v>0</v>
      </c>
      <c r="AD228" s="125">
        <f t="shared" si="24"/>
        <v>0</v>
      </c>
      <c r="AE228" s="125">
        <f t="shared" si="24"/>
        <v>0</v>
      </c>
      <c r="AF228" s="125">
        <f t="shared" si="24"/>
        <v>0</v>
      </c>
      <c r="AG228" s="134">
        <f t="shared" si="24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1667.6399999999999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29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2079/09/29)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2079/09/29)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5">B85</f>
        <v>1121.04</v>
      </c>
      <c r="U242" s="159">
        <f t="shared" si="25"/>
        <v>1082.04</v>
      </c>
      <c r="V242" s="159">
        <f t="shared" si="25"/>
        <v>1075.04</v>
      </c>
      <c r="W242" s="159">
        <f t="shared" si="25"/>
        <v>1078.6400000000001</v>
      </c>
      <c r="X242" s="159">
        <f t="shared" si="25"/>
        <v>1068.54</v>
      </c>
      <c r="Y242" s="159">
        <f t="shared" si="25"/>
        <v>1091.04</v>
      </c>
      <c r="Z242" s="159">
        <f t="shared" si="25"/>
        <v>1136.8399999999999</v>
      </c>
      <c r="AA242" s="159">
        <f t="shared" si="25"/>
        <v>1230.8399999999999</v>
      </c>
      <c r="AB242" s="159">
        <f t="shared" si="25"/>
        <v>1325.24</v>
      </c>
      <c r="AC242" s="159">
        <f t="shared" si="25"/>
        <v>1352.84</v>
      </c>
      <c r="AD242" s="159">
        <f t="shared" si="25"/>
        <v>1586.54</v>
      </c>
      <c r="AE242" s="159">
        <f t="shared" si="25"/>
        <v>1667.6399999999999</v>
      </c>
      <c r="AF242" s="159">
        <f t="shared" si="25"/>
        <v>1585.94</v>
      </c>
      <c r="AG242" s="159">
        <f t="shared" si="25"/>
        <v>1618.36</v>
      </c>
      <c r="AH242" s="159">
        <f t="shared" si="25"/>
        <v>1388.86</v>
      </c>
      <c r="AI242" s="159">
        <f t="shared" si="25"/>
        <v>1459.74</v>
      </c>
      <c r="AJ242" s="159">
        <f t="shared" si="25"/>
        <v>1434.44</v>
      </c>
      <c r="AK242" s="159">
        <f t="shared" si="25"/>
        <v>1398.74</v>
      </c>
      <c r="AL242" s="159">
        <f t="shared" si="25"/>
        <v>1397.54</v>
      </c>
      <c r="AM242" s="159">
        <f t="shared" si="25"/>
        <v>1356.04</v>
      </c>
      <c r="AN242" s="159">
        <f t="shared" si="25"/>
        <v>1237.8399999999999</v>
      </c>
      <c r="AO242" s="159">
        <f t="shared" si="25"/>
        <v>1338.44</v>
      </c>
      <c r="AP242" s="159">
        <f t="shared" si="25"/>
        <v>1724.2399999999998</v>
      </c>
      <c r="AQ242" s="159">
        <f t="shared" si="25"/>
        <v>1771.1399999999999</v>
      </c>
      <c r="AR242" s="159">
        <f t="shared" si="25"/>
        <v>1724.94</v>
      </c>
      <c r="AS242" s="159">
        <f t="shared" si="25"/>
        <v>1705.34</v>
      </c>
      <c r="AT242" s="159">
        <f t="shared" si="25"/>
        <v>1413.24</v>
      </c>
      <c r="AU242" s="159">
        <f t="shared" si="25"/>
        <v>1340.9399999999998</v>
      </c>
      <c r="AV242" s="159">
        <f t="shared" si="25"/>
        <v>1270.04</v>
      </c>
      <c r="AW242" s="159">
        <f t="shared" si="25"/>
        <v>1250.3400000000001</v>
      </c>
      <c r="AX242" s="159">
        <f t="shared" si="25"/>
        <v>1168.6399999999999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6">C227</f>
        <v>0.64</v>
      </c>
      <c r="C263" s="162">
        <f t="shared" si="26"/>
        <v>0.64</v>
      </c>
      <c r="D263" s="162">
        <f t="shared" si="26"/>
        <v>0.64</v>
      </c>
      <c r="E263" s="162">
        <f t="shared" si="26"/>
        <v>0.64</v>
      </c>
      <c r="F263" s="162">
        <f t="shared" si="26"/>
        <v>0.64</v>
      </c>
      <c r="G263" s="162">
        <f t="shared" si="26"/>
        <v>0.64</v>
      </c>
      <c r="H263" s="162">
        <f t="shared" si="26"/>
        <v>0.64</v>
      </c>
      <c r="I263" s="162">
        <f t="shared" si="26"/>
        <v>0.64</v>
      </c>
      <c r="J263" s="162">
        <f t="shared" si="26"/>
        <v>0.64</v>
      </c>
      <c r="K263" s="162">
        <f t="shared" si="26"/>
        <v>0.64</v>
      </c>
      <c r="L263" s="162">
        <f t="shared" si="26"/>
        <v>0.64</v>
      </c>
      <c r="M263" s="162">
        <f t="shared" si="26"/>
        <v>0.64</v>
      </c>
      <c r="N263" s="162">
        <f t="shared" si="26"/>
        <v>0.64</v>
      </c>
      <c r="O263" s="162">
        <f t="shared" si="26"/>
        <v>0.64</v>
      </c>
      <c r="P263" s="162">
        <f t="shared" si="26"/>
        <v>0</v>
      </c>
      <c r="Q263" s="162">
        <f t="shared" si="26"/>
        <v>0</v>
      </c>
      <c r="R263" s="162">
        <f t="shared" si="26"/>
        <v>0</v>
      </c>
      <c r="S263" s="162">
        <f t="shared" si="26"/>
        <v>0</v>
      </c>
      <c r="T263" s="162">
        <f t="shared" si="26"/>
        <v>0</v>
      </c>
      <c r="U263" s="162">
        <f t="shared" si="26"/>
        <v>0</v>
      </c>
      <c r="V263" s="162">
        <f t="shared" si="26"/>
        <v>0</v>
      </c>
      <c r="W263" s="162">
        <f t="shared" si="26"/>
        <v>0</v>
      </c>
      <c r="X263" s="162">
        <f t="shared" si="26"/>
        <v>0</v>
      </c>
      <c r="Y263" s="162">
        <f t="shared" si="26"/>
        <v>0</v>
      </c>
      <c r="Z263" s="162">
        <f t="shared" si="26"/>
        <v>0</v>
      </c>
      <c r="AA263" s="162">
        <f t="shared" si="26"/>
        <v>0</v>
      </c>
      <c r="AB263" s="162">
        <f t="shared" si="26"/>
        <v>0</v>
      </c>
      <c r="AC263" s="162">
        <f t="shared" si="26"/>
        <v>0</v>
      </c>
      <c r="AD263" s="162">
        <f t="shared" si="26"/>
        <v>0</v>
      </c>
      <c r="AE263" s="162">
        <f t="shared" si="26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7">IF(B231&lt;100,"",B231-520)</f>
        <v/>
      </c>
      <c r="C264" s="163" t="str">
        <f t="shared" si="27"/>
        <v/>
      </c>
      <c r="D264" s="163" t="str">
        <f t="shared" si="27"/>
        <v/>
      </c>
      <c r="E264" s="163" t="str">
        <f t="shared" si="27"/>
        <v/>
      </c>
      <c r="F264" s="163" t="str">
        <f t="shared" si="27"/>
        <v/>
      </c>
      <c r="G264" s="163" t="str">
        <f t="shared" si="27"/>
        <v/>
      </c>
      <c r="H264" s="163" t="str">
        <f t="shared" si="27"/>
        <v/>
      </c>
      <c r="I264" s="163" t="str">
        <f t="shared" si="27"/>
        <v/>
      </c>
      <c r="J264" s="163" t="str">
        <f t="shared" si="27"/>
        <v/>
      </c>
      <c r="K264" s="163" t="str">
        <f t="shared" si="27"/>
        <v/>
      </c>
      <c r="L264" s="163" t="str">
        <f t="shared" si="27"/>
        <v/>
      </c>
      <c r="M264" s="163" t="str">
        <f t="shared" si="27"/>
        <v/>
      </c>
      <c r="N264" s="163" t="str">
        <f t="shared" si="27"/>
        <v/>
      </c>
      <c r="O264" s="163" t="str">
        <f t="shared" si="27"/>
        <v/>
      </c>
      <c r="P264" s="163" t="str">
        <f t="shared" si="27"/>
        <v/>
      </c>
      <c r="Q264" s="163" t="str">
        <f t="shared" si="27"/>
        <v/>
      </c>
      <c r="R264" s="163" t="str">
        <f t="shared" si="27"/>
        <v/>
      </c>
      <c r="S264" s="163" t="str">
        <f t="shared" si="27"/>
        <v/>
      </c>
      <c r="T264" s="163" t="str">
        <f t="shared" si="27"/>
        <v/>
      </c>
      <c r="U264" s="163" t="str">
        <f t="shared" si="27"/>
        <v/>
      </c>
      <c r="V264" s="163" t="str">
        <f t="shared" si="27"/>
        <v/>
      </c>
      <c r="W264" s="163" t="str">
        <f t="shared" si="27"/>
        <v/>
      </c>
      <c r="X264" s="163" t="str">
        <f t="shared" si="27"/>
        <v/>
      </c>
      <c r="Y264" s="163" t="str">
        <f t="shared" si="27"/>
        <v/>
      </c>
      <c r="Z264" s="163" t="str">
        <f t="shared" si="27"/>
        <v/>
      </c>
      <c r="AA264" s="163" t="str">
        <f t="shared" si="27"/>
        <v/>
      </c>
      <c r="AB264" s="163" t="str">
        <f t="shared" si="27"/>
        <v/>
      </c>
      <c r="AC264" s="163" t="str">
        <f t="shared" si="27"/>
        <v/>
      </c>
      <c r="AD264" s="163" t="str">
        <f t="shared" si="27"/>
        <v/>
      </c>
      <c r="AE264" s="163" t="str">
        <f t="shared" si="27"/>
        <v/>
      </c>
      <c r="AF264" s="163" t="str">
        <f t="shared" si="27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8">IF(B232&lt;100,"",B232-620)</f>
        <v/>
      </c>
      <c r="C265" s="163" t="str">
        <f t="shared" si="28"/>
        <v/>
      </c>
      <c r="D265" s="163" t="str">
        <f t="shared" si="28"/>
        <v/>
      </c>
      <c r="E265" s="163" t="str">
        <f t="shared" si="28"/>
        <v/>
      </c>
      <c r="F265" s="163" t="str">
        <f t="shared" si="28"/>
        <v/>
      </c>
      <c r="G265" s="163" t="str">
        <f t="shared" si="28"/>
        <v/>
      </c>
      <c r="H265" s="163" t="str">
        <f t="shared" si="28"/>
        <v/>
      </c>
      <c r="I265" s="163" t="str">
        <f t="shared" si="28"/>
        <v/>
      </c>
      <c r="J265" s="163" t="str">
        <f t="shared" si="28"/>
        <v/>
      </c>
      <c r="K265" s="163" t="str">
        <f t="shared" si="28"/>
        <v/>
      </c>
      <c r="L265" s="163" t="str">
        <f t="shared" si="28"/>
        <v/>
      </c>
      <c r="M265" s="163" t="str">
        <f t="shared" si="28"/>
        <v/>
      </c>
      <c r="N265" s="163" t="str">
        <f t="shared" si="28"/>
        <v/>
      </c>
      <c r="O265" s="163" t="str">
        <f t="shared" si="28"/>
        <v/>
      </c>
      <c r="P265" s="163" t="str">
        <f t="shared" si="28"/>
        <v/>
      </c>
      <c r="Q265" s="163" t="str">
        <f t="shared" si="28"/>
        <v/>
      </c>
      <c r="R265" s="163" t="str">
        <f t="shared" si="28"/>
        <v/>
      </c>
      <c r="S265" s="163" t="str">
        <f t="shared" si="28"/>
        <v/>
      </c>
      <c r="T265" s="163" t="str">
        <f t="shared" si="28"/>
        <v/>
      </c>
      <c r="U265" s="163" t="str">
        <f t="shared" si="28"/>
        <v/>
      </c>
      <c r="V265" s="163" t="str">
        <f t="shared" si="28"/>
        <v/>
      </c>
      <c r="W265" s="163" t="str">
        <f t="shared" si="28"/>
        <v/>
      </c>
      <c r="X265" s="163" t="str">
        <f t="shared" si="28"/>
        <v/>
      </c>
      <c r="Y265" s="163" t="str">
        <f t="shared" si="28"/>
        <v/>
      </c>
      <c r="Z265" s="163" t="str">
        <f t="shared" si="28"/>
        <v/>
      </c>
      <c r="AA265" s="163" t="str">
        <f t="shared" si="28"/>
        <v/>
      </c>
      <c r="AB265" s="163" t="str">
        <f t="shared" si="28"/>
        <v/>
      </c>
      <c r="AC265" s="163" t="str">
        <f t="shared" si="28"/>
        <v/>
      </c>
      <c r="AD265" s="163" t="str">
        <f t="shared" si="28"/>
        <v/>
      </c>
      <c r="AE265" s="163" t="str">
        <f t="shared" si="28"/>
        <v/>
      </c>
      <c r="AF265" s="163" t="str">
        <f t="shared" si="28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29">IF(B233&lt;100,"",B233-330)</f>
        <v/>
      </c>
      <c r="C266" s="163" t="str">
        <f t="shared" si="29"/>
        <v/>
      </c>
      <c r="D266" s="163" t="str">
        <f t="shared" si="29"/>
        <v/>
      </c>
      <c r="E266" s="163" t="str">
        <f t="shared" si="29"/>
        <v/>
      </c>
      <c r="F266" s="163" t="str">
        <f t="shared" si="29"/>
        <v/>
      </c>
      <c r="G266" s="163" t="str">
        <f t="shared" si="29"/>
        <v/>
      </c>
      <c r="H266" s="163" t="str">
        <f t="shared" si="29"/>
        <v/>
      </c>
      <c r="I266" s="163" t="str">
        <f t="shared" si="29"/>
        <v/>
      </c>
      <c r="J266" s="163" t="str">
        <f t="shared" si="29"/>
        <v/>
      </c>
      <c r="K266" s="163" t="str">
        <f t="shared" si="29"/>
        <v/>
      </c>
      <c r="L266" s="163" t="str">
        <f t="shared" si="29"/>
        <v/>
      </c>
      <c r="M266" s="163" t="str">
        <f t="shared" si="29"/>
        <v/>
      </c>
      <c r="N266" s="163" t="str">
        <f t="shared" si="29"/>
        <v/>
      </c>
      <c r="O266" s="163" t="str">
        <f t="shared" si="29"/>
        <v/>
      </c>
      <c r="P266" s="163" t="str">
        <f t="shared" si="29"/>
        <v/>
      </c>
      <c r="Q266" s="163" t="str">
        <f t="shared" si="29"/>
        <v/>
      </c>
      <c r="R266" s="163" t="str">
        <f t="shared" si="29"/>
        <v/>
      </c>
      <c r="S266" s="163" t="str">
        <f t="shared" si="29"/>
        <v/>
      </c>
      <c r="T266" s="163" t="str">
        <f t="shared" si="29"/>
        <v/>
      </c>
      <c r="U266" s="163" t="str">
        <f t="shared" si="29"/>
        <v/>
      </c>
      <c r="V266" s="163" t="str">
        <f t="shared" si="29"/>
        <v/>
      </c>
      <c r="W266" s="163" t="str">
        <f t="shared" si="29"/>
        <v/>
      </c>
      <c r="X266" s="163" t="str">
        <f t="shared" si="29"/>
        <v/>
      </c>
      <c r="Y266" s="163" t="str">
        <f t="shared" si="29"/>
        <v/>
      </c>
      <c r="Z266" s="163" t="str">
        <f t="shared" si="29"/>
        <v/>
      </c>
      <c r="AA266" s="163" t="str">
        <f t="shared" si="29"/>
        <v/>
      </c>
      <c r="AB266" s="163" t="str">
        <f t="shared" si="29"/>
        <v/>
      </c>
      <c r="AC266" s="163" t="str">
        <f t="shared" si="29"/>
        <v/>
      </c>
      <c r="AD266" s="163" t="str">
        <f t="shared" si="29"/>
        <v/>
      </c>
      <c r="AE266" s="163" t="str">
        <f t="shared" si="29"/>
        <v/>
      </c>
      <c r="AF266" s="163" t="str">
        <f t="shared" si="29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0">IF(B234&lt;100,"",B234-1500)</f>
        <v/>
      </c>
      <c r="C267" s="163" t="str">
        <f t="shared" si="30"/>
        <v/>
      </c>
      <c r="D267" s="163" t="str">
        <f t="shared" si="30"/>
        <v/>
      </c>
      <c r="E267" s="163" t="str">
        <f t="shared" si="30"/>
        <v/>
      </c>
      <c r="F267" s="163" t="str">
        <f t="shared" si="30"/>
        <v/>
      </c>
      <c r="G267" s="163" t="str">
        <f t="shared" si="30"/>
        <v/>
      </c>
      <c r="H267" s="163" t="str">
        <f t="shared" si="30"/>
        <v/>
      </c>
      <c r="I267" s="163" t="str">
        <f t="shared" si="30"/>
        <v/>
      </c>
      <c r="J267" s="163" t="str">
        <f t="shared" si="30"/>
        <v/>
      </c>
      <c r="K267" s="163" t="str">
        <f t="shared" si="30"/>
        <v/>
      </c>
      <c r="L267" s="163" t="str">
        <f t="shared" si="30"/>
        <v/>
      </c>
      <c r="M267" s="163" t="str">
        <f t="shared" si="30"/>
        <v/>
      </c>
      <c r="N267" s="163" t="str">
        <f t="shared" si="30"/>
        <v/>
      </c>
      <c r="O267" s="163" t="str">
        <f t="shared" si="30"/>
        <v/>
      </c>
      <c r="P267" s="163" t="str">
        <f t="shared" si="30"/>
        <v/>
      </c>
      <c r="Q267" s="163" t="str">
        <f t="shared" si="30"/>
        <v/>
      </c>
      <c r="R267" s="163" t="str">
        <f t="shared" si="30"/>
        <v/>
      </c>
      <c r="S267" s="163" t="str">
        <f t="shared" si="30"/>
        <v/>
      </c>
      <c r="T267" s="163" t="str">
        <f t="shared" si="30"/>
        <v/>
      </c>
      <c r="U267" s="163" t="str">
        <f t="shared" si="30"/>
        <v/>
      </c>
      <c r="V267" s="163" t="str">
        <f t="shared" si="30"/>
        <v/>
      </c>
      <c r="W267" s="163" t="str">
        <f t="shared" si="30"/>
        <v/>
      </c>
      <c r="X267" s="163" t="str">
        <f t="shared" si="30"/>
        <v/>
      </c>
      <c r="Y267" s="163" t="str">
        <f t="shared" si="30"/>
        <v/>
      </c>
      <c r="Z267" s="163" t="str">
        <f t="shared" si="30"/>
        <v/>
      </c>
      <c r="AA267" s="163" t="str">
        <f t="shared" si="30"/>
        <v/>
      </c>
      <c r="AB267" s="163" t="str">
        <f t="shared" si="30"/>
        <v/>
      </c>
      <c r="AC267" s="163" t="str">
        <f t="shared" si="30"/>
        <v/>
      </c>
      <c r="AD267" s="163" t="str">
        <f t="shared" si="30"/>
        <v/>
      </c>
      <c r="AE267" s="163" t="str">
        <f t="shared" si="30"/>
        <v/>
      </c>
      <c r="AF267" s="163" t="str">
        <f t="shared" si="30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X11:AF41">
    <cfRule type="expression" dxfId="3207" priority="234">
      <formula>B$9&gt;=20/24</formula>
    </cfRule>
    <cfRule type="expression" dxfId="3206" priority="235">
      <formula>AND(B$9&gt;=14/24,B$9&lt;20/24)</formula>
    </cfRule>
    <cfRule type="expression" dxfId="3205" priority="236">
      <formula>AND(B$9&gt;=8/24,B$9&lt;14/24)</formula>
    </cfRule>
    <cfRule type="expression" dxfId="3204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X11:AF41">
    <cfRule type="expression" dxfId="3203" priority="232">
      <formula>X11&gt;$AG11</formula>
    </cfRule>
  </conditionalFormatting>
  <conditionalFormatting sqref="A95:A105 A55:A82 A91:A93 A198:A228 A42:A53 A114:A185 A38:A39 A87:A89 A84:A85 A107:A109 A35:A36 A17:A18 A11:A15 A20:A33">
    <cfRule type="expression" dxfId="3202" priority="231">
      <formula>$AH11=0</formula>
    </cfRule>
  </conditionalFormatting>
  <conditionalFormatting sqref="A110">
    <cfRule type="expression" dxfId="3201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3200" priority="228">
      <formula>$AH41=0</formula>
    </cfRule>
  </conditionalFormatting>
  <conditionalFormatting sqref="A94">
    <cfRule type="expression" dxfId="3199" priority="227">
      <formula>$AH94=0</formula>
    </cfRule>
  </conditionalFormatting>
  <conditionalFormatting sqref="A16">
    <cfRule type="expression" dxfId="3198" priority="226">
      <formula>$AH16=0</formula>
    </cfRule>
  </conditionalFormatting>
  <conditionalFormatting sqref="A192:A197">
    <cfRule type="expression" dxfId="3197" priority="225">
      <formula>$AH192=0</formula>
    </cfRule>
  </conditionalFormatting>
  <conditionalFormatting sqref="A186:A191">
    <cfRule type="expression" dxfId="3196" priority="224">
      <formula>$AH186=0</formula>
    </cfRule>
  </conditionalFormatting>
  <conditionalFormatting sqref="A54">
    <cfRule type="expression" dxfId="3195" priority="223">
      <formula>$AH54=0</formula>
    </cfRule>
  </conditionalFormatting>
  <conditionalFormatting sqref="A90">
    <cfRule type="expression" dxfId="3194" priority="222">
      <formula>$AH90=0</formula>
    </cfRule>
  </conditionalFormatting>
  <conditionalFormatting sqref="AD95:AF95 E95:X95">
    <cfRule type="expression" dxfId="3193" priority="218">
      <formula>E$9&gt;=20/24</formula>
    </cfRule>
    <cfRule type="expression" dxfId="3192" priority="219">
      <formula>AND(E$9&gt;=14/24,E$9&lt;20/24)</formula>
    </cfRule>
    <cfRule type="expression" dxfId="3191" priority="220">
      <formula>AND(E$9&gt;=8/24,E$9&lt;14/24)</formula>
    </cfRule>
    <cfRule type="expression" dxfId="3190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189" priority="240">
      <formula>C$9&gt;=20/24</formula>
    </cfRule>
    <cfRule type="expression" dxfId="3188" priority="241">
      <formula>AND(C$9&gt;=14/24,C$9&lt;20/24)</formula>
    </cfRule>
    <cfRule type="expression" dxfId="3187" priority="242">
      <formula>AND(C$9&gt;=8/24,C$9&lt;14/24)</formula>
    </cfRule>
    <cfRule type="expression" dxfId="3186" priority="243">
      <formula>C$9&lt;8/24</formula>
    </cfRule>
  </conditionalFormatting>
  <conditionalFormatting sqref="A229">
    <cfRule type="expression" dxfId="3185" priority="244">
      <formula>$AH229=0</formula>
    </cfRule>
  </conditionalFormatting>
  <conditionalFormatting sqref="AG241">
    <cfRule type="expression" dxfId="3184" priority="245">
      <formula>B$9&gt;=20/24</formula>
    </cfRule>
    <cfRule type="expression" dxfId="3183" priority="246">
      <formula>AND(B$9&gt;=14/24,B$9&lt;20/24)</formula>
    </cfRule>
    <cfRule type="expression" dxfId="3182" priority="247">
      <formula>AND(B$9&gt;=8/24,B$9&lt;14/24)</formula>
    </cfRule>
    <cfRule type="expression" dxfId="3181" priority="248">
      <formula>B$9&lt;8/24</formula>
    </cfRule>
  </conditionalFormatting>
  <conditionalFormatting sqref="S8">
    <cfRule type="expression" dxfId="3180" priority="213">
      <formula>U$9&gt;=20/24</formula>
    </cfRule>
    <cfRule type="expression" dxfId="3179" priority="214">
      <formula>AND(U$9&gt;=14/24,U$9&lt;20/24)</formula>
    </cfRule>
    <cfRule type="expression" dxfId="3178" priority="215">
      <formula>AND(U$9&gt;=8/24,U$9&lt;14/24)</formula>
    </cfRule>
    <cfRule type="expression" dxfId="3177" priority="216">
      <formula>U$9&lt;8/24</formula>
    </cfRule>
  </conditionalFormatting>
  <conditionalFormatting sqref="AB8">
    <cfRule type="expression" dxfId="3176" priority="209">
      <formula>AD$9&gt;=20/24</formula>
    </cfRule>
    <cfRule type="expression" dxfId="3175" priority="210">
      <formula>AND(AD$9&gt;=14/24,AD$9&lt;20/24)</formula>
    </cfRule>
    <cfRule type="expression" dxfId="3174" priority="211">
      <formula>AND(AD$9&gt;=8/24,AD$9&lt;14/24)</formula>
    </cfRule>
    <cfRule type="expression" dxfId="3173" priority="212">
      <formula>AD$9&lt;8/24</formula>
    </cfRule>
  </conditionalFormatting>
  <conditionalFormatting sqref="AH241:AX241">
    <cfRule type="expression" dxfId="3172" priority="249">
      <formula>AG$9&gt;=20/24</formula>
    </cfRule>
    <cfRule type="expression" dxfId="3171" priority="250">
      <formula>AND(AG$9&gt;=14/24,AG$9&lt;20/24)</formula>
    </cfRule>
    <cfRule type="expression" dxfId="3170" priority="251">
      <formula>AND(AG$9&gt;=8/24,AG$9&lt;14/24)</formula>
    </cfRule>
    <cfRule type="expression" dxfId="3169" priority="252">
      <formula>AG$9&lt;8/24</formula>
    </cfRule>
  </conditionalFormatting>
  <conditionalFormatting sqref="T241">
    <cfRule type="expression" dxfId="3168" priority="253">
      <formula>AX$9&gt;=20/24</formula>
    </cfRule>
    <cfRule type="expression" dxfId="3167" priority="254">
      <formula>AND(AX$9&gt;=14/24,AX$9&lt;20/24)</formula>
    </cfRule>
    <cfRule type="expression" dxfId="3166" priority="255">
      <formula>AND(AX$9&gt;=8/24,AX$9&lt;14/24)</formula>
    </cfRule>
    <cfRule type="expression" dxfId="3165" priority="256">
      <formula>AX$9&lt;8/24</formula>
    </cfRule>
  </conditionalFormatting>
  <conditionalFormatting sqref="A111:A112">
    <cfRule type="expression" dxfId="3164" priority="208">
      <formula>$AH111=0</formula>
    </cfRule>
  </conditionalFormatting>
  <conditionalFormatting sqref="W52:X52 M50:Q56 R52:U53 V53:X53 R54:W56 E67:AF67 AE50:AF50 Y52:AF53">
    <cfRule type="expression" dxfId="3163" priority="204">
      <formula>E$9&gt;=20/24</formula>
    </cfRule>
    <cfRule type="expression" dxfId="3162" priority="205">
      <formula>AND(E$9&gt;=14/24,E$9&lt;20/24)</formula>
    </cfRule>
    <cfRule type="expression" dxfId="3161" priority="206">
      <formula>AND(E$9&gt;=8/24,E$9&lt;14/24)</formula>
    </cfRule>
    <cfRule type="expression" dxfId="3160" priority="207">
      <formula>E$9&lt;8/24</formula>
    </cfRule>
  </conditionalFormatting>
  <conditionalFormatting sqref="M49:Q49 AE49:AF49">
    <cfRule type="expression" dxfId="3159" priority="200">
      <formula>M$9&gt;=20/24</formula>
    </cfRule>
    <cfRule type="expression" dxfId="3158" priority="201">
      <formula>AND(M$9&gt;=14/24,M$9&lt;20/24)</formula>
    </cfRule>
    <cfRule type="expression" dxfId="3157" priority="202">
      <formula>AND(M$9&gt;=8/24,M$9&lt;14/24)</formula>
    </cfRule>
    <cfRule type="expression" dxfId="3156" priority="203">
      <formula>M$9&lt;8/24</formula>
    </cfRule>
  </conditionalFormatting>
  <conditionalFormatting sqref="W52:X52 M49:Q56 R52:U53 V53:X53 R54:W56 AE49:AF50 Y52:AF53">
    <cfRule type="expression" dxfId="3155" priority="199">
      <formula>M49&gt;$AG49</formula>
    </cfRule>
  </conditionalFormatting>
  <conditionalFormatting sqref="X70 X43:AF43 X92:AF92 AD96:AF100 D82:AF82 M96:X102 E68:X69 AE101:AF102 X63:AF65 Y68:AF70">
    <cfRule type="expression" dxfId="3154" priority="195">
      <formula>D$9&gt;=20/24</formula>
    </cfRule>
    <cfRule type="expression" dxfId="3153" priority="196">
      <formula>AND(D$9&gt;=14/24,D$9&lt;20/24)</formula>
    </cfRule>
    <cfRule type="expression" dxfId="3152" priority="197">
      <formula>AND(D$9&gt;=8/24,D$9&lt;14/24)</formula>
    </cfRule>
    <cfRule type="expression" dxfId="3151" priority="198">
      <formula>D$9&lt;8/24</formula>
    </cfRule>
  </conditionalFormatting>
  <conditionalFormatting sqref="X43:AF43 X63:AF65">
    <cfRule type="expression" dxfId="3150" priority="194">
      <formula>X43&gt;$AG43</formula>
    </cfRule>
  </conditionalFormatting>
  <conditionalFormatting sqref="V52 R49:AD51 AE51:AF51">
    <cfRule type="expression" dxfId="3149" priority="190">
      <formula>R$9&gt;=20/24</formula>
    </cfRule>
    <cfRule type="expression" dxfId="3148" priority="191">
      <formula>AND(R$9&gt;=14/24,R$9&lt;20/24)</formula>
    </cfRule>
    <cfRule type="expression" dxfId="3147" priority="192">
      <formula>AND(R$9&gt;=8/24,R$9&lt;14/24)</formula>
    </cfRule>
    <cfRule type="expression" dxfId="3146" priority="193">
      <formula>R$9&lt;8/24</formula>
    </cfRule>
  </conditionalFormatting>
  <conditionalFormatting sqref="V52 R49:AD51 AE51:AF51">
    <cfRule type="expression" dxfId="3145" priority="189">
      <formula>R49&gt;$AG49</formula>
    </cfRule>
  </conditionalFormatting>
  <conditionalFormatting sqref="C93:AF93 C84:AF84">
    <cfRule type="expression" dxfId="3144" priority="185">
      <formula>C$9&gt;=20/24</formula>
    </cfRule>
    <cfRule type="expression" dxfId="3143" priority="186">
      <formula>AND(C$9&gt;=14/24,C$9&lt;20/24)</formula>
    </cfRule>
    <cfRule type="expression" dxfId="3142" priority="187">
      <formula>AND(C$9&gt;=8/24,C$9&lt;14/24)</formula>
    </cfRule>
    <cfRule type="expression" dxfId="3141" priority="188">
      <formula>C$9&lt;8/24</formula>
    </cfRule>
  </conditionalFormatting>
  <conditionalFormatting sqref="T43:W43">
    <cfRule type="expression" dxfId="3140" priority="181">
      <formula>T$9&gt;=20/24</formula>
    </cfRule>
    <cfRule type="expression" dxfId="3139" priority="182">
      <formula>AND(T$9&gt;=14/24,T$9&lt;20/24)</formula>
    </cfRule>
    <cfRule type="expression" dxfId="3138" priority="183">
      <formula>AND(T$9&gt;=8/24,T$9&lt;14/24)</formula>
    </cfRule>
    <cfRule type="expression" dxfId="3137" priority="184">
      <formula>T$9&lt;8/24</formula>
    </cfRule>
  </conditionalFormatting>
  <conditionalFormatting sqref="T43:W43">
    <cfRule type="expression" dxfId="3136" priority="180">
      <formula>T43&gt;$AG43</formula>
    </cfRule>
  </conditionalFormatting>
  <conditionalFormatting sqref="F50:L51 X42:AF42">
    <cfRule type="expression" dxfId="3135" priority="176">
      <formula>F$9&gt;=20/24</formula>
    </cfRule>
    <cfRule type="expression" dxfId="3134" priority="177">
      <formula>AND(F$9&gt;=14/24,F$9&lt;20/24)</formula>
    </cfRule>
    <cfRule type="expression" dxfId="3133" priority="178">
      <formula>AND(F$9&gt;=8/24,F$9&lt;14/24)</formula>
    </cfRule>
    <cfRule type="expression" dxfId="3132" priority="179">
      <formula>F$9&lt;8/24</formula>
    </cfRule>
  </conditionalFormatting>
  <conditionalFormatting sqref="F49:L49">
    <cfRule type="expression" dxfId="3131" priority="172">
      <formula>F$9&gt;=20/24</formula>
    </cfRule>
    <cfRule type="expression" dxfId="3130" priority="173">
      <formula>AND(F$9&gt;=14/24,F$9&lt;20/24)</formula>
    </cfRule>
    <cfRule type="expression" dxfId="3129" priority="174">
      <formula>AND(F$9&gt;=8/24,F$9&lt;14/24)</formula>
    </cfRule>
    <cfRule type="expression" dxfId="3128" priority="175">
      <formula>F$9&lt;8/24</formula>
    </cfRule>
  </conditionalFormatting>
  <conditionalFormatting sqref="F49:L51 X42:AF42">
    <cfRule type="expression" dxfId="3127" priority="171">
      <formula>F42&gt;$AG42</formula>
    </cfRule>
  </conditionalFormatting>
  <conditionalFormatting sqref="AG66 AG83 E96:L102 S63:W65">
    <cfRule type="expression" dxfId="3126" priority="167">
      <formula>E$9&gt;=20/24</formula>
    </cfRule>
    <cfRule type="expression" dxfId="3125" priority="168">
      <formula>AND(E$9&gt;=14/24,E$9&lt;20/24)</formula>
    </cfRule>
    <cfRule type="expression" dxfId="3124" priority="169">
      <formula>AND(E$9&gt;=8/24,E$9&lt;14/24)</formula>
    </cfRule>
    <cfRule type="expression" dxfId="3123" priority="170">
      <formula>E$9&lt;8/24</formula>
    </cfRule>
  </conditionalFormatting>
  <conditionalFormatting sqref="AG44 AG62 AG66 S63:W65">
    <cfRule type="expression" dxfId="3122" priority="166">
      <formula>S44&gt;$AG44</formula>
    </cfRule>
  </conditionalFormatting>
  <conditionalFormatting sqref="X54:AF54">
    <cfRule type="expression" dxfId="3121" priority="162">
      <formula>X$9&gt;=20/24</formula>
    </cfRule>
    <cfRule type="expression" dxfId="3120" priority="163">
      <formula>AND(X$9&gt;=14/24,X$9&lt;20/24)</formula>
    </cfRule>
    <cfRule type="expression" dxfId="3119" priority="164">
      <formula>AND(X$9&gt;=8/24,X$9&lt;14/24)</formula>
    </cfRule>
    <cfRule type="expression" dxfId="3118" priority="165">
      <formula>X$9&lt;8/24</formula>
    </cfRule>
  </conditionalFormatting>
  <conditionalFormatting sqref="X54:AF54">
    <cfRule type="expression" dxfId="3117" priority="161">
      <formula>X54&gt;$AG54</formula>
    </cfRule>
  </conditionalFormatting>
  <conditionalFormatting sqref="A40">
    <cfRule type="expression" dxfId="3116" priority="160">
      <formula>$AH40=0</formula>
    </cfRule>
  </conditionalFormatting>
  <conditionalFormatting sqref="X87:AF91">
    <cfRule type="expression" dxfId="3115" priority="156">
      <formula>X$9&gt;=20/24</formula>
    </cfRule>
    <cfRule type="expression" dxfId="3114" priority="157">
      <formula>AND(X$9&gt;=14/24,X$9&lt;20/24)</formula>
    </cfRule>
    <cfRule type="expression" dxfId="3113" priority="158">
      <formula>AND(X$9&gt;=8/24,X$9&lt;14/24)</formula>
    </cfRule>
    <cfRule type="expression" dxfId="3112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F45:AF47">
    <cfRule type="expression" dxfId="3111" priority="152">
      <formula>F$9&gt;=20/24</formula>
    </cfRule>
    <cfRule type="expression" dxfId="3110" priority="153">
      <formula>AND(F$9&gt;=14/24,F$9&lt;20/24)</formula>
    </cfRule>
    <cfRule type="expression" dxfId="3109" priority="154">
      <formula>AND(F$9&gt;=8/24,F$9&lt;14/24)</formula>
    </cfRule>
    <cfRule type="expression" dxfId="3108" priority="155">
      <formula>F$9&lt;8/24</formula>
    </cfRule>
  </conditionalFormatting>
  <conditionalFormatting sqref="F45:AF47">
    <cfRule type="expression" dxfId="3107" priority="151">
      <formula>F45&gt;$AG45</formula>
    </cfRule>
  </conditionalFormatting>
  <conditionalFormatting sqref="AG48">
    <cfRule type="expression" dxfId="3106" priority="147">
      <formula>AG$9&gt;=20/24</formula>
    </cfRule>
    <cfRule type="expression" dxfId="3105" priority="148">
      <formula>AND(AG$9&gt;=14/24,AG$9&lt;20/24)</formula>
    </cfRule>
    <cfRule type="expression" dxfId="3104" priority="149">
      <formula>AND(AG$9&gt;=8/24,AG$9&lt;14/24)</formula>
    </cfRule>
    <cfRule type="expression" dxfId="3103" priority="150">
      <formula>AG$9&lt;8/24</formula>
    </cfRule>
  </conditionalFormatting>
  <conditionalFormatting sqref="AG48">
    <cfRule type="expression" dxfId="3102" priority="146">
      <formula>AG48&gt;$AG48</formula>
    </cfRule>
  </conditionalFormatting>
  <conditionalFormatting sqref="C103:AF103">
    <cfRule type="expression" dxfId="3101" priority="142">
      <formula>C$9&gt;=20/24</formula>
    </cfRule>
    <cfRule type="expression" dxfId="3100" priority="143">
      <formula>AND(C$9&gt;=14/24,C$9&lt;20/24)</formula>
    </cfRule>
    <cfRule type="expression" dxfId="3099" priority="144">
      <formula>AND(C$9&gt;=8/24,C$9&lt;14/24)</formula>
    </cfRule>
    <cfRule type="expression" dxfId="3098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097" priority="140">
      <formula>$AH37=0</formula>
    </cfRule>
  </conditionalFormatting>
  <conditionalFormatting sqref="A86">
    <cfRule type="expression" dxfId="3096" priority="138">
      <formula>$AH86=0</formula>
    </cfRule>
  </conditionalFormatting>
  <conditionalFormatting sqref="A83">
    <cfRule type="expression" dxfId="3095" priority="139">
      <formula>$AH83=0</formula>
    </cfRule>
  </conditionalFormatting>
  <conditionalFormatting sqref="A113">
    <cfRule type="expression" dxfId="3094" priority="129">
      <formula>$AH113=0</formula>
    </cfRule>
  </conditionalFormatting>
  <conditionalFormatting sqref="D106:AF106">
    <cfRule type="expression" dxfId="3093" priority="125">
      <formula>D$9&gt;=20/24</formula>
    </cfRule>
    <cfRule type="expression" dxfId="3092" priority="126">
      <formula>AND(D$9&gt;=14/24,D$9&lt;20/24)</formula>
    </cfRule>
    <cfRule type="expression" dxfId="3091" priority="127">
      <formula>AND(D$9&gt;=8/24,D$9&lt;14/24)</formula>
    </cfRule>
    <cfRule type="expression" dxfId="3090" priority="128">
      <formula>D$9&lt;8/24</formula>
    </cfRule>
  </conditionalFormatting>
  <conditionalFormatting sqref="A106">
    <cfRule type="expression" dxfId="3089" priority="124">
      <formula>$AH106=0</formula>
    </cfRule>
  </conditionalFormatting>
  <conditionalFormatting sqref="A19">
    <cfRule type="expression" dxfId="3088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087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3086" priority="116">
      <formula>Y$9&gt;=20/24</formula>
    </cfRule>
    <cfRule type="expression" dxfId="3085" priority="117">
      <formula>AND(Y$9&gt;=14/24,Y$9&lt;20/24)</formula>
    </cfRule>
    <cfRule type="expression" dxfId="3084" priority="118">
      <formula>AND(Y$9&gt;=8/24,Y$9&lt;14/24)</formula>
    </cfRule>
    <cfRule type="expression" dxfId="3083" priority="119">
      <formula>Y$9&lt;8/24</formula>
    </cfRule>
  </conditionalFormatting>
  <conditionalFormatting sqref="Y96:AC102 AD101:AD102">
    <cfRule type="expression" dxfId="3082" priority="112">
      <formula>Y$9&gt;=20/24</formula>
    </cfRule>
    <cfRule type="expression" dxfId="3081" priority="113">
      <formula>AND(Y$9&gt;=14/24,Y$9&lt;20/24)</formula>
    </cfRule>
    <cfRule type="expression" dxfId="3080" priority="114">
      <formula>AND(Y$9&gt;=8/24,Y$9&lt;14/24)</formula>
    </cfRule>
    <cfRule type="expression" dxfId="3079" priority="115">
      <formula>Y$9&lt;8/24</formula>
    </cfRule>
  </conditionalFormatting>
  <conditionalFormatting sqref="B105:C105 B107:C112 B15:W40">
    <cfRule type="expression" dxfId="3078" priority="108">
      <formula>B$9&gt;=20/24</formula>
    </cfRule>
    <cfRule type="expression" dxfId="3077" priority="109">
      <formula>AND(B$9&gt;=14/24,B$9&lt;20/24)</formula>
    </cfRule>
    <cfRule type="expression" dxfId="3076" priority="110">
      <formula>AND(B$9&gt;=8/24,B$9&lt;14/24)</formula>
    </cfRule>
    <cfRule type="expression" dxfId="3075" priority="111">
      <formula>B$9&lt;8/24</formula>
    </cfRule>
  </conditionalFormatting>
  <conditionalFormatting sqref="B43:S43">
    <cfRule type="expression" dxfId="3074" priority="104">
      <formula>B$9&gt;=20/24</formula>
    </cfRule>
    <cfRule type="expression" dxfId="3073" priority="105">
      <formula>AND(B$9&gt;=14/24,B$9&lt;20/24)</formula>
    </cfRule>
    <cfRule type="expression" dxfId="3072" priority="106">
      <formula>AND(B$9&gt;=8/24,B$9&lt;14/24)</formula>
    </cfRule>
    <cfRule type="expression" dxfId="3071" priority="107">
      <formula>B$9&lt;8/24</formula>
    </cfRule>
  </conditionalFormatting>
  <conditionalFormatting sqref="B43:S43 B15:W40">
    <cfRule type="expression" dxfId="3070" priority="103">
      <formula>B15&gt;$AG15</formula>
    </cfRule>
  </conditionalFormatting>
  <conditionalFormatting sqref="B95:D95">
    <cfRule type="expression" dxfId="3069" priority="99">
      <formula>B$9&gt;=20/24</formula>
    </cfRule>
    <cfRule type="expression" dxfId="3068" priority="100">
      <formula>AND(B$9&gt;=14/24,B$9&lt;20/24)</formula>
    </cfRule>
    <cfRule type="expression" dxfId="3067" priority="101">
      <formula>AND(B$9&gt;=8/24,B$9&lt;14/24)</formula>
    </cfRule>
    <cfRule type="expression" dxfId="3066" priority="102">
      <formula>B$9&lt;8/24</formula>
    </cfRule>
  </conditionalFormatting>
  <conditionalFormatting sqref="B67:D67 B50:E51">
    <cfRule type="expression" dxfId="3065" priority="95">
      <formula>B$9&gt;=20/24</formula>
    </cfRule>
    <cfRule type="expression" dxfId="3064" priority="96">
      <formula>AND(B$9&gt;=14/24,B$9&lt;20/24)</formula>
    </cfRule>
    <cfRule type="expression" dxfId="3063" priority="97">
      <formula>AND(B$9&gt;=8/24,B$9&lt;14/24)</formula>
    </cfRule>
    <cfRule type="expression" dxfId="3062" priority="98">
      <formula>B$9&lt;8/24</formula>
    </cfRule>
  </conditionalFormatting>
  <conditionalFormatting sqref="B49:E49">
    <cfRule type="expression" dxfId="3061" priority="91">
      <formula>B$9&gt;=20/24</formula>
    </cfRule>
    <cfRule type="expression" dxfId="3060" priority="92">
      <formula>AND(B$9&gt;=14/24,B$9&lt;20/24)</formula>
    </cfRule>
    <cfRule type="expression" dxfId="3059" priority="93">
      <formula>AND(B$9&gt;=8/24,B$9&lt;14/24)</formula>
    </cfRule>
    <cfRule type="expression" dxfId="3058" priority="94">
      <formula>B$9&lt;8/24</formula>
    </cfRule>
  </conditionalFormatting>
  <conditionalFormatting sqref="B49:E51">
    <cfRule type="expression" dxfId="3057" priority="90">
      <formula>B49&gt;$AG49</formula>
    </cfRule>
  </conditionalFormatting>
  <conditionalFormatting sqref="B82:C82 B68:D72 B96:D102 B92:W92 B79:AF81 V70:W70 B63:R65 E70:U72 V71:AF72">
    <cfRule type="expression" dxfId="3056" priority="86">
      <formula>B$9&gt;=20/24</formula>
    </cfRule>
    <cfRule type="expression" dxfId="3055" priority="87">
      <formula>AND(B$9&gt;=14/24,B$9&lt;20/24)</formula>
    </cfRule>
    <cfRule type="expression" dxfId="3054" priority="88">
      <formula>AND(B$9&gt;=8/24,B$9&lt;14/24)</formula>
    </cfRule>
    <cfRule type="expression" dxfId="3053" priority="89">
      <formula>B$9&lt;8/24</formula>
    </cfRule>
  </conditionalFormatting>
  <conditionalFormatting sqref="B52:L53 B63:R65">
    <cfRule type="expression" dxfId="3052" priority="85">
      <formula>B52&gt;$AG52</formula>
    </cfRule>
  </conditionalFormatting>
  <conditionalFormatting sqref="B54:L54">
    <cfRule type="expression" dxfId="3051" priority="81">
      <formula>B$9&gt;=20/24</formula>
    </cfRule>
    <cfRule type="expression" dxfId="3050" priority="82">
      <formula>AND(B$9&gt;=14/24,B$9&lt;20/24)</formula>
    </cfRule>
    <cfRule type="expression" dxfId="3049" priority="83">
      <formula>AND(B$9&gt;=8/24,B$9&lt;14/24)</formula>
    </cfRule>
    <cfRule type="expression" dxfId="3048" priority="84">
      <formula>B$9&lt;8/24</formula>
    </cfRule>
  </conditionalFormatting>
  <conditionalFormatting sqref="B54:L54">
    <cfRule type="expression" dxfId="3047" priority="80">
      <formula>B54&gt;$AG54</formula>
    </cfRule>
  </conditionalFormatting>
  <conditionalFormatting sqref="B84 B93">
    <cfRule type="expression" dxfId="3046" priority="76">
      <formula>B$9&gt;=20/24</formula>
    </cfRule>
    <cfRule type="expression" dxfId="3045" priority="77">
      <formula>AND(B$9&gt;=14/24,B$9&lt;20/24)</formula>
    </cfRule>
    <cfRule type="expression" dxfId="3044" priority="78">
      <formula>AND(B$9&gt;=8/24,B$9&lt;14/24)</formula>
    </cfRule>
    <cfRule type="expression" dxfId="3043" priority="79">
      <formula>B$9&lt;8/24</formula>
    </cfRule>
  </conditionalFormatting>
  <conditionalFormatting sqref="B42:W42">
    <cfRule type="expression" dxfId="3042" priority="72">
      <formula>B$9&gt;=20/24</formula>
    </cfRule>
    <cfRule type="expression" dxfId="3041" priority="73">
      <formula>AND(B$9&gt;=14/24,B$9&lt;20/24)</formula>
    </cfRule>
    <cfRule type="expression" dxfId="3040" priority="74">
      <formula>AND(B$9&gt;=8/24,B$9&lt;14/24)</formula>
    </cfRule>
    <cfRule type="expression" dxfId="3039" priority="75">
      <formula>B$9&lt;8/24</formula>
    </cfRule>
  </conditionalFormatting>
  <conditionalFormatting sqref="B42:W42">
    <cfRule type="expression" dxfId="3038" priority="71">
      <formula>B42&gt;$AG42</formula>
    </cfRule>
  </conditionalFormatting>
  <conditionalFormatting sqref="B85:AF85 B94:AF94 B66:AF66 B83:AF83">
    <cfRule type="expression" dxfId="3037" priority="67">
      <formula>B$9&gt;=20/24</formula>
    </cfRule>
    <cfRule type="expression" dxfId="3036" priority="68">
      <formula>AND(B$9&gt;=14/24,B$9&lt;20/24)</formula>
    </cfRule>
    <cfRule type="expression" dxfId="3035" priority="69">
      <formula>AND(B$9&gt;=8/24,B$9&lt;14/24)</formula>
    </cfRule>
    <cfRule type="expression" dxfId="3034" priority="70">
      <formula>B$9&lt;8/24</formula>
    </cfRule>
  </conditionalFormatting>
  <conditionalFormatting sqref="B61:AF62 B66:AF66 B44:AF44">
    <cfRule type="expression" dxfId="3033" priority="66">
      <formula>B44&gt;$AG44</formula>
    </cfRule>
  </conditionalFormatting>
  <conditionalFormatting sqref="B78:AF78">
    <cfRule type="expression" dxfId="3032" priority="62">
      <formula>B$9&gt;=20/24</formula>
    </cfRule>
    <cfRule type="expression" dxfId="3031" priority="63">
      <formula>AND(B$9&gt;=14/24,B$9&lt;20/24)</formula>
    </cfRule>
    <cfRule type="expression" dxfId="3030" priority="64">
      <formula>AND(B$9&gt;=8/24,B$9&lt;14/24)</formula>
    </cfRule>
    <cfRule type="expression" dxfId="3029" priority="65">
      <formula>B$9&lt;8/24</formula>
    </cfRule>
  </conditionalFormatting>
  <conditionalFormatting sqref="B87:W91">
    <cfRule type="expression" dxfId="3028" priority="58">
      <formula>B$9&gt;=20/24</formula>
    </cfRule>
    <cfRule type="expression" dxfId="3027" priority="59">
      <formula>AND(B$9&gt;=14/24,B$9&lt;20/24)</formula>
    </cfRule>
    <cfRule type="expression" dxfId="3026" priority="60">
      <formula>AND(B$9&gt;=8/24,B$9&lt;14/24)</formula>
    </cfRule>
    <cfRule type="expression" dxfId="3025" priority="61">
      <formula>B$9&lt;8/24</formula>
    </cfRule>
  </conditionalFormatting>
  <conditionalFormatting sqref="B45:E47">
    <cfRule type="expression" dxfId="3024" priority="54">
      <formula>B$9&gt;=20/24</formula>
    </cfRule>
    <cfRule type="expression" dxfId="3023" priority="55">
      <formula>AND(B$9&gt;=14/24,B$9&lt;20/24)</formula>
    </cfRule>
    <cfRule type="expression" dxfId="3022" priority="56">
      <formula>AND(B$9&gt;=8/24,B$9&lt;14/24)</formula>
    </cfRule>
    <cfRule type="expression" dxfId="3021" priority="57">
      <formula>B$9&lt;8/24</formula>
    </cfRule>
  </conditionalFormatting>
  <conditionalFormatting sqref="B45:E47">
    <cfRule type="expression" dxfId="3020" priority="53">
      <formula>B45&gt;$AG45</formula>
    </cfRule>
  </conditionalFormatting>
  <conditionalFormatting sqref="B48:AF48">
    <cfRule type="expression" dxfId="3019" priority="49">
      <formula>B$9&gt;=20/24</formula>
    </cfRule>
    <cfRule type="expression" dxfId="3018" priority="50">
      <formula>AND(B$9&gt;=14/24,B$9&lt;20/24)</formula>
    </cfRule>
    <cfRule type="expression" dxfId="3017" priority="51">
      <formula>AND(B$9&gt;=8/24,B$9&lt;14/24)</formula>
    </cfRule>
    <cfRule type="expression" dxfId="3016" priority="52">
      <formula>B$9&lt;8/24</formula>
    </cfRule>
  </conditionalFormatting>
  <conditionalFormatting sqref="B48:AF48">
    <cfRule type="expression" dxfId="3015" priority="48">
      <formula>B48&gt;$AG48</formula>
    </cfRule>
  </conditionalFormatting>
  <conditionalFormatting sqref="B103">
    <cfRule type="expression" dxfId="3014" priority="44">
      <formula>B$9&gt;=20/24</formula>
    </cfRule>
    <cfRule type="expression" dxfId="3013" priority="45">
      <formula>AND(B$9&gt;=14/24,B$9&lt;20/24)</formula>
    </cfRule>
    <cfRule type="expression" dxfId="3012" priority="46">
      <formula>AND(B$9&gt;=8/24,B$9&lt;14/24)</formula>
    </cfRule>
    <cfRule type="expression" dxfId="3011" priority="47">
      <formula>B$9&lt;8/24</formula>
    </cfRule>
  </conditionalFormatting>
  <conditionalFormatting sqref="B106:C106">
    <cfRule type="expression" dxfId="3010" priority="32">
      <formula>B$9&gt;=20/24</formula>
    </cfRule>
    <cfRule type="expression" dxfId="3009" priority="33">
      <formula>AND(B$9&gt;=14/24,B$9&lt;20/24)</formula>
    </cfRule>
    <cfRule type="expression" dxfId="3008" priority="34">
      <formula>AND(B$9&gt;=8/24,B$9&lt;14/24)</formula>
    </cfRule>
    <cfRule type="expression" dxfId="3007" priority="35">
      <formula>B$9&lt;8/24</formula>
    </cfRule>
  </conditionalFormatting>
  <conditionalFormatting sqref="B55:L60 M57:W60 X55:AF60">
    <cfRule type="expression" dxfId="3006" priority="28">
      <formula>B$9&gt;=20/24</formula>
    </cfRule>
    <cfRule type="expression" dxfId="3005" priority="29">
      <formula>AND(B$9&gt;=14/24,B$9&lt;20/24)</formula>
    </cfRule>
    <cfRule type="expression" dxfId="3004" priority="30">
      <formula>AND(B$9&gt;=8/24,B$9&lt;14/24)</formula>
    </cfRule>
    <cfRule type="expression" dxfId="3003" priority="31">
      <formula>B$9&lt;8/24</formula>
    </cfRule>
  </conditionalFormatting>
  <conditionalFormatting sqref="B55:L60 M57:W60 X55:AF60">
    <cfRule type="expression" dxfId="3002" priority="27">
      <formula>B55&gt;$AG55</formula>
    </cfRule>
  </conditionalFormatting>
  <conditionalFormatting sqref="B12:W14 B41:W41">
    <cfRule type="expression" dxfId="3001" priority="26">
      <formula>B12&gt;$AG12</formula>
    </cfRule>
  </conditionalFormatting>
  <conditionalFormatting sqref="B11:W11">
    <cfRule type="expression" dxfId="3000" priority="22">
      <formula>B$9&gt;=20/24</formula>
    </cfRule>
    <cfRule type="expression" dxfId="2999" priority="23">
      <formula>AND(B$9&gt;=14/24,B$9&lt;20/24)</formula>
    </cfRule>
    <cfRule type="expression" dxfId="2998" priority="24">
      <formula>AND(B$9&gt;=8/24,B$9&lt;14/24)</formula>
    </cfRule>
    <cfRule type="expression" dxfId="2997" priority="25">
      <formula>B$9&lt;8/24</formula>
    </cfRule>
  </conditionalFormatting>
  <conditionalFormatting sqref="B11:W11">
    <cfRule type="expression" dxfId="2996" priority="21">
      <formula>B11&gt;$AG11</formula>
    </cfRule>
  </conditionalFormatting>
  <conditionalFormatting sqref="B12:W14">
    <cfRule type="expression" dxfId="2995" priority="17">
      <formula>B$9&gt;=20/24</formula>
    </cfRule>
    <cfRule type="expression" dxfId="2994" priority="18">
      <formula>AND(B$9&gt;=14/24,B$9&lt;20/24)</formula>
    </cfRule>
    <cfRule type="expression" dxfId="2993" priority="19">
      <formula>AND(B$9&gt;=8/24,B$9&lt;14/24)</formula>
    </cfRule>
    <cfRule type="expression" dxfId="2992" priority="20">
      <formula>B$9&lt;8/24</formula>
    </cfRule>
  </conditionalFormatting>
  <conditionalFormatting sqref="B41:W41">
    <cfRule type="expression" dxfId="2991" priority="13">
      <formula>B$9&gt;=20/24</formula>
    </cfRule>
    <cfRule type="expression" dxfId="2990" priority="14">
      <formula>AND(B$9&gt;=14/24,B$9&lt;20/24)</formula>
    </cfRule>
    <cfRule type="expression" dxfId="2989" priority="15">
      <formula>AND(B$9&gt;=8/24,B$9&lt;14/24)</formula>
    </cfRule>
    <cfRule type="expression" dxfId="2988" priority="16">
      <formula>B$9&lt;8/24</formula>
    </cfRule>
  </conditionalFormatting>
  <conditionalFormatting sqref="B73:AF77">
    <cfRule type="expression" dxfId="2987" priority="9">
      <formula>B$9&gt;=20/24</formula>
    </cfRule>
    <cfRule type="expression" dxfId="2986" priority="10">
      <formula>AND(B$9&gt;=14/24,B$9&lt;20/24)</formula>
    </cfRule>
    <cfRule type="expression" dxfId="2985" priority="11">
      <formula>AND(B$9&gt;=8/24,B$9&lt;14/24)</formula>
    </cfRule>
    <cfRule type="expression" dxfId="2984" priority="12">
      <formula>B$9&lt;8/24</formula>
    </cfRule>
  </conditionalFormatting>
  <conditionalFormatting sqref="AL74:AN74 AL80:AN80 AN75:AN76">
    <cfRule type="expression" dxfId="2983" priority="5">
      <formula>AL$9&gt;=20/24</formula>
    </cfRule>
    <cfRule type="expression" dxfId="2982" priority="6">
      <formula>AND(AL$9&gt;=14/24,AL$9&lt;20/24)</formula>
    </cfRule>
    <cfRule type="expression" dxfId="2981" priority="7">
      <formula>AND(AL$9&gt;=8/24,AL$9&lt;14/24)</formula>
    </cfRule>
    <cfRule type="expression" dxfId="2980" priority="8">
      <formula>AL$9&lt;8/24</formula>
    </cfRule>
  </conditionalFormatting>
  <conditionalFormatting sqref="AN77:AN78">
    <cfRule type="expression" dxfId="2979" priority="1">
      <formula>AN$9&gt;=20/24</formula>
    </cfRule>
    <cfRule type="expression" dxfId="2978" priority="2">
      <formula>AND(AN$9&gt;=14/24,AN$9&lt;20/24)</formula>
    </cfRule>
    <cfRule type="expression" dxfId="2977" priority="3">
      <formula>AND(AN$9&gt;=8/24,AN$9&lt;14/24)</formula>
    </cfRule>
    <cfRule type="expression" dxfId="2976" priority="4">
      <formula>AN$9&lt;8/24</formula>
    </cfRule>
  </conditionalFormatting>
  <conditionalFormatting sqref="AL75:AM79">
    <cfRule type="expression" dxfId="2975" priority="258">
      <formula>AJ$9&gt;=20/24</formula>
    </cfRule>
    <cfRule type="expression" dxfId="2974" priority="259">
      <formula>AND(AJ$9&gt;=14/24,AJ$9&lt;20/24)</formula>
    </cfRule>
    <cfRule type="expression" dxfId="2973" priority="260">
      <formula>AND(AJ$9&gt;=8/24,AJ$9&lt;14/24)</formula>
    </cfRule>
    <cfRule type="expression" dxfId="2972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2CC5DDD9-7F86-4172-9481-D7AFE3CF9DD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2B5C7980-8F13-44B9-B4D4-CA1BE21C84F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03ED8AE6-E8C4-4904-AB62-001936BE1A1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8497EC07-C071-43A0-AAA4-C5358492110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57661C57-0531-41F4-B897-7FA535817F9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E9D901B3-0019-4D0A-90B5-FB5E6E13C7A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67AA6C3D-0C9E-4CD7-9659-E8D54AB3058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ABEB520B-8156-4455-95D0-005D644B437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51E14D44-9651-4786-B364-B79B03116F7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164BC3B5-8F6F-46B0-B523-4DF6E3A94CA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BC932908-827C-4366-8896-97EA047E026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A96EF8F6-71D6-4CE0-A249-A0BA9090FC9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4F2807CF-3712-4367-9ADD-A545BFF5430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EAB571A5-8B12-4807-870D-C2E310D02530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0863A942-0FC3-45D0-B5E9-1C8DEC37C35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94998FE8-3020-4233-BD76-DC4C435F7C2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J274"/>
  <sheetViews>
    <sheetView tabSelected="1" workbookViewId="0">
      <pane ySplit="10" topLeftCell="A50" activePane="bottomLeft" state="frozen"/>
      <selection activeCell="U80" sqref="U80"/>
      <selection pane="bottomLeft" activeCell="C85" sqref="C8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str">
        <f ca="1">"2079/"&amp;"09/"&amp;INT(MID(CELL("filename",D6),FIND("]",CELL("filename",D6))+1,200))</f>
        <v>2079/09/30</v>
      </c>
      <c r="C4" s="197"/>
      <c r="D4" s="197"/>
      <c r="E4" s="198" t="str">
        <f ca="1">"2079/"&amp;"09/"&amp;INT(MID(CELL("filename",G6),FIND("]",CELL("filename",G6))+1,200))</f>
        <v>2079/09/30</v>
      </c>
      <c r="F4" s="198"/>
      <c r="G4" s="198"/>
      <c r="H4" s="198" t="str">
        <f ca="1">TEXT(E4,"dddd")</f>
        <v>Saturday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440.6</v>
      </c>
      <c r="C5" s="30">
        <f t="shared" si="0"/>
        <v>420</v>
      </c>
      <c r="D5" s="30">
        <f t="shared" si="0"/>
        <v>412</v>
      </c>
      <c r="E5" s="30">
        <f t="shared" si="0"/>
        <v>430</v>
      </c>
      <c r="F5" s="30">
        <f t="shared" si="0"/>
        <v>422.8</v>
      </c>
      <c r="G5" s="30">
        <f t="shared" si="0"/>
        <v>470</v>
      </c>
      <c r="H5" s="30">
        <f t="shared" si="0"/>
        <v>489.4</v>
      </c>
      <c r="I5" s="30">
        <f t="shared" si="0"/>
        <v>444</v>
      </c>
      <c r="J5" s="30">
        <f t="shared" si="0"/>
        <v>379</v>
      </c>
      <c r="K5" s="30">
        <f t="shared" si="0"/>
        <v>260</v>
      </c>
      <c r="L5" s="30">
        <f t="shared" si="0"/>
        <v>202.3</v>
      </c>
      <c r="M5" s="30">
        <f t="shared" si="0"/>
        <v>146.5</v>
      </c>
      <c r="N5" s="30">
        <f t="shared" si="0"/>
        <v>157</v>
      </c>
      <c r="O5" s="30">
        <f t="shared" si="0"/>
        <v>296</v>
      </c>
      <c r="P5" s="30">
        <f t="shared" si="0"/>
        <v>328</v>
      </c>
      <c r="Q5" s="30">
        <f t="shared" si="0"/>
        <v>377</v>
      </c>
      <c r="R5" s="30">
        <f t="shared" si="0"/>
        <v>427.8</v>
      </c>
      <c r="S5" s="30">
        <f t="shared" si="0"/>
        <v>438.9</v>
      </c>
      <c r="T5" s="30">
        <f t="shared" si="0"/>
        <v>430.7</v>
      </c>
      <c r="U5" s="30">
        <f t="shared" si="0"/>
        <v>428.8</v>
      </c>
      <c r="V5" s="30">
        <f t="shared" si="0"/>
        <v>343.8</v>
      </c>
      <c r="W5" s="30">
        <f t="shared" si="0"/>
        <v>230.8</v>
      </c>
      <c r="X5" s="30">
        <f t="shared" si="0"/>
        <v>309.5</v>
      </c>
      <c r="Y5" s="30">
        <f t="shared" si="0"/>
        <v>299.2</v>
      </c>
      <c r="Z5" s="30">
        <f t="shared" si="0"/>
        <v>291.89999999999998</v>
      </c>
      <c r="AA5" s="30">
        <f t="shared" si="0"/>
        <v>357.7</v>
      </c>
      <c r="AB5" s="30">
        <f t="shared" si="0"/>
        <v>417.7</v>
      </c>
      <c r="AC5" s="30">
        <f t="shared" si="0"/>
        <v>397.2</v>
      </c>
      <c r="AD5" s="30">
        <f t="shared" si="0"/>
        <v>353</v>
      </c>
      <c r="AE5" s="30">
        <f t="shared" si="0"/>
        <v>369</v>
      </c>
      <c r="AF5" s="30">
        <f>B78</f>
        <v>398.6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1575MW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Load=1069</v>
      </c>
      <c r="B7" s="35">
        <f t="shared" ref="B7:AF7" si="1">B85</f>
        <v>1168.6399999999999</v>
      </c>
      <c r="C7" s="35">
        <f t="shared" si="1"/>
        <v>1145.1399999999999</v>
      </c>
      <c r="D7" s="35">
        <f t="shared" si="1"/>
        <v>1095.44</v>
      </c>
      <c r="E7" s="35">
        <f t="shared" si="1"/>
        <v>1068.8399999999999</v>
      </c>
      <c r="F7" s="35">
        <f t="shared" si="1"/>
        <v>1086.8399999999999</v>
      </c>
      <c r="G7" s="35">
        <f t="shared" si="1"/>
        <v>1114.6399999999999</v>
      </c>
      <c r="H7" s="35">
        <f t="shared" si="1"/>
        <v>1167.2399999999998</v>
      </c>
      <c r="I7" s="35">
        <f t="shared" si="1"/>
        <v>1191.6399999999999</v>
      </c>
      <c r="J7" s="35">
        <f t="shared" si="1"/>
        <v>1268.54</v>
      </c>
      <c r="K7" s="35">
        <f t="shared" si="1"/>
        <v>1280.04</v>
      </c>
      <c r="L7" s="35">
        <f t="shared" si="1"/>
        <v>1514.54</v>
      </c>
      <c r="M7" s="35">
        <f t="shared" si="1"/>
        <v>1574.74</v>
      </c>
      <c r="N7" s="35">
        <f>N85</f>
        <v>1537.6399999999999</v>
      </c>
      <c r="O7" s="35">
        <f t="shared" si="1"/>
        <v>1371.14</v>
      </c>
      <c r="P7" s="35">
        <f t="shared" si="1"/>
        <v>1303.8399999999999</v>
      </c>
      <c r="Q7" s="35">
        <f t="shared" si="1"/>
        <v>1235.44</v>
      </c>
      <c r="R7" s="35">
        <f t="shared" si="1"/>
        <v>1218.24</v>
      </c>
      <c r="S7" s="35">
        <f t="shared" si="1"/>
        <v>1222.1400000000001</v>
      </c>
      <c r="T7" s="35">
        <f t="shared" si="1"/>
        <v>1208.94</v>
      </c>
      <c r="U7" s="35">
        <f t="shared" si="1"/>
        <v>1167.1400000000001</v>
      </c>
      <c r="V7" s="35">
        <f t="shared" si="1"/>
        <v>1238.3399999999999</v>
      </c>
      <c r="W7" s="35">
        <f t="shared" si="1"/>
        <v>1344.94</v>
      </c>
      <c r="X7" s="35">
        <f t="shared" si="1"/>
        <v>1496.04</v>
      </c>
      <c r="Y7" s="35">
        <f t="shared" si="1"/>
        <v>1548.1399999999999</v>
      </c>
      <c r="Z7" s="35">
        <f t="shared" si="1"/>
        <v>1536.34</v>
      </c>
      <c r="AA7" s="35">
        <f t="shared" si="1"/>
        <v>1423.1399999999999</v>
      </c>
      <c r="AB7" s="35">
        <f t="shared" si="1"/>
        <v>1510.54</v>
      </c>
      <c r="AC7" s="35">
        <f t="shared" si="1"/>
        <v>1470.54</v>
      </c>
      <c r="AD7" s="35">
        <f t="shared" si="1"/>
        <v>1388.84</v>
      </c>
      <c r="AE7" s="35">
        <f t="shared" si="1"/>
        <v>1240.6399999999999</v>
      </c>
      <c r="AF7" s="35">
        <f t="shared" si="1"/>
        <v>1129.94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20.8</v>
      </c>
      <c r="C11" s="45">
        <v>20.8</v>
      </c>
      <c r="D11" s="45">
        <v>20.9</v>
      </c>
      <c r="E11" s="45">
        <v>20.9</v>
      </c>
      <c r="F11" s="45">
        <v>20.9</v>
      </c>
      <c r="G11" s="45">
        <v>20.9</v>
      </c>
      <c r="H11" s="45">
        <v>20.9</v>
      </c>
      <c r="I11" s="45">
        <v>20.9</v>
      </c>
      <c r="J11" s="45">
        <v>20.9</v>
      </c>
      <c r="K11" s="45">
        <v>20.9</v>
      </c>
      <c r="L11" s="45">
        <v>20.9</v>
      </c>
      <c r="M11" s="45">
        <v>20.7</v>
      </c>
      <c r="N11" s="45">
        <v>20.7</v>
      </c>
      <c r="O11" s="45">
        <v>20.7</v>
      </c>
      <c r="P11" s="45">
        <v>20.7</v>
      </c>
      <c r="Q11" s="45">
        <v>20.7</v>
      </c>
      <c r="R11" s="45">
        <v>20.7</v>
      </c>
      <c r="S11" s="45">
        <v>20.7</v>
      </c>
      <c r="T11" s="45">
        <v>20.7</v>
      </c>
      <c r="U11" s="45">
        <v>20.7</v>
      </c>
      <c r="V11" s="45">
        <v>20.7</v>
      </c>
      <c r="W11" s="45">
        <v>20.7</v>
      </c>
      <c r="X11" s="45">
        <v>20.7</v>
      </c>
      <c r="Y11" s="45">
        <v>20.7</v>
      </c>
      <c r="Z11" s="45">
        <v>20.7</v>
      </c>
      <c r="AA11" s="45">
        <v>20.7</v>
      </c>
      <c r="AB11" s="45">
        <v>20.7</v>
      </c>
      <c r="AC11" s="45">
        <v>20.7</v>
      </c>
      <c r="AD11" s="45">
        <v>19.7</v>
      </c>
      <c r="AE11" s="45">
        <v>19.7</v>
      </c>
      <c r="AF11" s="45">
        <v>20.3</v>
      </c>
      <c r="AG11" s="47">
        <v>52.4</v>
      </c>
      <c r="AH11" s="48">
        <f t="shared" ref="AH11:AH74" si="2">MAX(B11:AF11)</f>
        <v>20.9</v>
      </c>
      <c r="AI11" s="49">
        <f t="shared" ref="AI11:AI74" si="3">MIN(B11:AF11)</f>
        <v>19.7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37.4</v>
      </c>
      <c r="C12" s="45">
        <v>37.4</v>
      </c>
      <c r="D12" s="45">
        <v>38.4</v>
      </c>
      <c r="E12" s="45">
        <v>38.4</v>
      </c>
      <c r="F12" s="45">
        <v>38.4</v>
      </c>
      <c r="G12" s="45">
        <v>38.4</v>
      </c>
      <c r="H12" s="45">
        <v>38.4</v>
      </c>
      <c r="I12" s="45">
        <v>38.4</v>
      </c>
      <c r="J12" s="45">
        <v>38.4</v>
      </c>
      <c r="K12" s="45">
        <v>38.4</v>
      </c>
      <c r="L12" s="45">
        <v>38.4</v>
      </c>
      <c r="M12" s="45">
        <v>37.9</v>
      </c>
      <c r="N12" s="45">
        <v>37.9</v>
      </c>
      <c r="O12" s="45">
        <v>37.9</v>
      </c>
      <c r="P12" s="45">
        <v>37.9</v>
      </c>
      <c r="Q12" s="45">
        <v>37.9</v>
      </c>
      <c r="R12" s="45">
        <v>37.9</v>
      </c>
      <c r="S12" s="45">
        <v>37.9</v>
      </c>
      <c r="T12" s="45">
        <v>37.9</v>
      </c>
      <c r="U12" s="45">
        <v>37.9</v>
      </c>
      <c r="V12" s="45">
        <v>37.9</v>
      </c>
      <c r="W12" s="45">
        <v>37.9</v>
      </c>
      <c r="X12" s="45">
        <v>37.9</v>
      </c>
      <c r="Y12" s="45">
        <v>37.9</v>
      </c>
      <c r="Z12" s="45">
        <v>37.9</v>
      </c>
      <c r="AA12" s="45">
        <v>37.9</v>
      </c>
      <c r="AB12" s="45">
        <v>37.9</v>
      </c>
      <c r="AC12" s="45">
        <v>37.9</v>
      </c>
      <c r="AD12" s="45">
        <v>37.9</v>
      </c>
      <c r="AE12" s="45">
        <v>37.9</v>
      </c>
      <c r="AF12" s="45">
        <v>37.9</v>
      </c>
      <c r="AG12" s="51">
        <v>50</v>
      </c>
      <c r="AH12" s="48">
        <f t="shared" si="2"/>
        <v>38.4</v>
      </c>
      <c r="AI12" s="49">
        <f t="shared" si="3"/>
        <v>37.4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23.4</v>
      </c>
      <c r="C13" s="45">
        <v>21</v>
      </c>
      <c r="D13" s="45">
        <v>21</v>
      </c>
      <c r="E13" s="45">
        <v>21</v>
      </c>
      <c r="F13" s="45">
        <v>21</v>
      </c>
      <c r="G13" s="45">
        <v>21</v>
      </c>
      <c r="H13" s="45">
        <v>21</v>
      </c>
      <c r="I13" s="45">
        <v>21</v>
      </c>
      <c r="J13" s="45">
        <v>21</v>
      </c>
      <c r="K13" s="45">
        <v>21</v>
      </c>
      <c r="L13" s="45">
        <v>21</v>
      </c>
      <c r="M13" s="45">
        <v>21</v>
      </c>
      <c r="N13" s="45">
        <v>21</v>
      </c>
      <c r="O13" s="45">
        <v>21</v>
      </c>
      <c r="P13" s="45">
        <v>21</v>
      </c>
      <c r="Q13" s="45">
        <v>21</v>
      </c>
      <c r="R13" s="45">
        <v>21</v>
      </c>
      <c r="S13" s="45">
        <v>21</v>
      </c>
      <c r="T13" s="45">
        <v>21</v>
      </c>
      <c r="U13" s="45">
        <v>21</v>
      </c>
      <c r="V13" s="45">
        <v>21</v>
      </c>
      <c r="W13" s="45">
        <v>21</v>
      </c>
      <c r="X13" s="45">
        <v>21</v>
      </c>
      <c r="Y13" s="45">
        <v>21</v>
      </c>
      <c r="Z13" s="45">
        <v>21</v>
      </c>
      <c r="AA13" s="45">
        <v>21</v>
      </c>
      <c r="AB13" s="45">
        <v>21</v>
      </c>
      <c r="AC13" s="45">
        <v>21</v>
      </c>
      <c r="AD13" s="45">
        <v>21</v>
      </c>
      <c r="AE13" s="45">
        <v>21</v>
      </c>
      <c r="AF13" s="45">
        <v>21</v>
      </c>
      <c r="AG13" s="51">
        <v>45</v>
      </c>
      <c r="AH13" s="48">
        <f t="shared" si="2"/>
        <v>23.4</v>
      </c>
      <c r="AI13" s="49">
        <f t="shared" si="3"/>
        <v>21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9.5</v>
      </c>
      <c r="C14" s="45">
        <v>9.5</v>
      </c>
      <c r="D14" s="45">
        <v>11</v>
      </c>
      <c r="E14" s="45">
        <v>11</v>
      </c>
      <c r="F14" s="45">
        <v>11</v>
      </c>
      <c r="G14" s="45">
        <v>11</v>
      </c>
      <c r="H14" s="45">
        <v>11</v>
      </c>
      <c r="I14" s="45">
        <v>11</v>
      </c>
      <c r="J14" s="45">
        <v>11</v>
      </c>
      <c r="K14" s="45">
        <v>11</v>
      </c>
      <c r="L14" s="45">
        <v>11</v>
      </c>
      <c r="M14" s="45">
        <v>11</v>
      </c>
      <c r="N14" s="45">
        <v>11</v>
      </c>
      <c r="O14" s="45">
        <v>11</v>
      </c>
      <c r="P14" s="45">
        <v>11</v>
      </c>
      <c r="Q14" s="45">
        <v>11</v>
      </c>
      <c r="R14" s="45">
        <v>11</v>
      </c>
      <c r="S14" s="45">
        <v>11</v>
      </c>
      <c r="T14" s="45">
        <v>11</v>
      </c>
      <c r="U14" s="45">
        <v>11</v>
      </c>
      <c r="V14" s="45">
        <v>11</v>
      </c>
      <c r="W14" s="45">
        <v>11</v>
      </c>
      <c r="X14" s="45">
        <v>11</v>
      </c>
      <c r="Y14" s="45">
        <v>11</v>
      </c>
      <c r="Z14" s="45">
        <v>11</v>
      </c>
      <c r="AA14" s="45">
        <v>11</v>
      </c>
      <c r="AB14" s="45">
        <v>11</v>
      </c>
      <c r="AC14" s="45">
        <v>11</v>
      </c>
      <c r="AD14" s="45">
        <v>11</v>
      </c>
      <c r="AE14" s="45">
        <v>11</v>
      </c>
      <c r="AF14" s="45">
        <v>11</v>
      </c>
      <c r="AG14" s="51">
        <v>42</v>
      </c>
      <c r="AH14" s="48">
        <f t="shared" si="2"/>
        <v>11</v>
      </c>
      <c r="AI14" s="49">
        <f t="shared" si="3"/>
        <v>9.5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</v>
      </c>
      <c r="C15" s="45">
        <v>17</v>
      </c>
      <c r="D15" s="45">
        <v>17</v>
      </c>
      <c r="E15" s="45">
        <v>17</v>
      </c>
      <c r="F15" s="45">
        <v>17</v>
      </c>
      <c r="G15" s="45">
        <v>17</v>
      </c>
      <c r="H15" s="45">
        <v>17</v>
      </c>
      <c r="I15" s="45">
        <v>17</v>
      </c>
      <c r="J15" s="45">
        <v>17</v>
      </c>
      <c r="K15" s="45">
        <v>17</v>
      </c>
      <c r="L15" s="45">
        <v>17</v>
      </c>
      <c r="M15" s="45">
        <v>17</v>
      </c>
      <c r="N15" s="45">
        <v>17</v>
      </c>
      <c r="O15" s="45">
        <v>17</v>
      </c>
      <c r="P15" s="45">
        <v>17</v>
      </c>
      <c r="Q15" s="45">
        <v>17</v>
      </c>
      <c r="R15" s="45">
        <v>17</v>
      </c>
      <c r="S15" s="45">
        <v>17</v>
      </c>
      <c r="T15" s="45">
        <v>17</v>
      </c>
      <c r="U15" s="45">
        <v>17</v>
      </c>
      <c r="V15" s="45">
        <v>17</v>
      </c>
      <c r="W15" s="45">
        <v>17</v>
      </c>
      <c r="X15" s="45">
        <v>17</v>
      </c>
      <c r="Y15" s="45">
        <v>17</v>
      </c>
      <c r="Z15" s="45">
        <v>17</v>
      </c>
      <c r="AA15" s="45">
        <v>17</v>
      </c>
      <c r="AB15" s="45">
        <v>17</v>
      </c>
      <c r="AC15" s="45">
        <v>17</v>
      </c>
      <c r="AD15" s="45">
        <v>17</v>
      </c>
      <c r="AE15" s="45">
        <v>17</v>
      </c>
      <c r="AF15" s="45">
        <v>17</v>
      </c>
      <c r="AG15" s="51">
        <v>36</v>
      </c>
      <c r="AH15" s="48">
        <f t="shared" si="2"/>
        <v>17</v>
      </c>
      <c r="AI15" s="49">
        <f t="shared" si="3"/>
        <v>17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9.6</v>
      </c>
      <c r="C16" s="45">
        <v>9.6</v>
      </c>
      <c r="D16" s="45">
        <v>9.8000000000000007</v>
      </c>
      <c r="E16" s="45">
        <v>9.8000000000000007</v>
      </c>
      <c r="F16" s="45">
        <v>9.8000000000000007</v>
      </c>
      <c r="G16" s="45">
        <v>9.8000000000000007</v>
      </c>
      <c r="H16" s="45">
        <v>9.8000000000000007</v>
      </c>
      <c r="I16" s="45">
        <v>9.8000000000000007</v>
      </c>
      <c r="J16" s="45">
        <v>9.8000000000000007</v>
      </c>
      <c r="K16" s="45">
        <v>9.8000000000000007</v>
      </c>
      <c r="L16" s="45">
        <v>9.8000000000000007</v>
      </c>
      <c r="M16" s="45">
        <v>9.1</v>
      </c>
      <c r="N16" s="45">
        <v>9.1</v>
      </c>
      <c r="O16" s="45">
        <v>9.1</v>
      </c>
      <c r="P16" s="45">
        <v>9.1</v>
      </c>
      <c r="Q16" s="45">
        <v>9.1</v>
      </c>
      <c r="R16" s="45">
        <v>9.1</v>
      </c>
      <c r="S16" s="45">
        <v>9.1</v>
      </c>
      <c r="T16" s="45">
        <v>9.1</v>
      </c>
      <c r="U16" s="45">
        <v>9.1</v>
      </c>
      <c r="V16" s="45">
        <v>9.1</v>
      </c>
      <c r="W16" s="45">
        <v>9.1</v>
      </c>
      <c r="X16" s="45">
        <v>9.1</v>
      </c>
      <c r="Y16" s="45">
        <v>9.1</v>
      </c>
      <c r="Z16" s="45">
        <v>9.1</v>
      </c>
      <c r="AA16" s="45">
        <v>9.1</v>
      </c>
      <c r="AB16" s="45">
        <v>9.1</v>
      </c>
      <c r="AC16" s="45">
        <v>9.1</v>
      </c>
      <c r="AD16" s="45">
        <v>9.1</v>
      </c>
      <c r="AE16" s="45">
        <v>9.1</v>
      </c>
      <c r="AF16" s="45">
        <v>9.1</v>
      </c>
      <c r="AG16" s="52">
        <v>30</v>
      </c>
      <c r="AH16" s="48">
        <f t="shared" si="2"/>
        <v>9.8000000000000007</v>
      </c>
      <c r="AI16" s="49">
        <f t="shared" si="3"/>
        <v>9.1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8.5</v>
      </c>
      <c r="C17" s="45">
        <v>8.5</v>
      </c>
      <c r="D17" s="45">
        <v>9.3000000000000007</v>
      </c>
      <c r="E17" s="45">
        <v>9.3000000000000007</v>
      </c>
      <c r="F17" s="45">
        <v>9.3000000000000007</v>
      </c>
      <c r="G17" s="45">
        <v>9.3000000000000007</v>
      </c>
      <c r="H17" s="45">
        <v>9.3000000000000007</v>
      </c>
      <c r="I17" s="45">
        <v>9.3000000000000007</v>
      </c>
      <c r="J17" s="45">
        <v>9.3000000000000007</v>
      </c>
      <c r="K17" s="45">
        <v>9.3000000000000007</v>
      </c>
      <c r="L17" s="45">
        <v>9.3000000000000007</v>
      </c>
      <c r="M17" s="45">
        <v>9.3000000000000007</v>
      </c>
      <c r="N17" s="45">
        <v>9.3000000000000007</v>
      </c>
      <c r="O17" s="45">
        <v>9.3000000000000007</v>
      </c>
      <c r="P17" s="45">
        <v>9.3000000000000007</v>
      </c>
      <c r="Q17" s="45">
        <v>9.3000000000000007</v>
      </c>
      <c r="R17" s="45">
        <v>9.3000000000000007</v>
      </c>
      <c r="S17" s="45">
        <v>9.3000000000000007</v>
      </c>
      <c r="T17" s="45">
        <v>9.3000000000000007</v>
      </c>
      <c r="U17" s="45">
        <v>9.3000000000000007</v>
      </c>
      <c r="V17" s="45">
        <v>9.3000000000000007</v>
      </c>
      <c r="W17" s="45">
        <v>9.3000000000000007</v>
      </c>
      <c r="X17" s="45">
        <v>9.3000000000000007</v>
      </c>
      <c r="Y17" s="45">
        <v>9.3000000000000007</v>
      </c>
      <c r="Z17" s="45">
        <v>9.3000000000000007</v>
      </c>
      <c r="AA17" s="45">
        <v>9.3000000000000007</v>
      </c>
      <c r="AB17" s="45">
        <v>9.3000000000000007</v>
      </c>
      <c r="AC17" s="45">
        <v>9.3000000000000007</v>
      </c>
      <c r="AD17" s="45">
        <v>9.3000000000000007</v>
      </c>
      <c r="AE17" s="45">
        <v>9.3000000000000007</v>
      </c>
      <c r="AF17" s="45">
        <v>9.3000000000000007</v>
      </c>
      <c r="AG17" s="51">
        <v>24.2</v>
      </c>
      <c r="AH17" s="48">
        <f t="shared" si="2"/>
        <v>9.3000000000000007</v>
      </c>
      <c r="AI17" s="49">
        <f t="shared" si="3"/>
        <v>8.5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51">
        <v>25</v>
      </c>
      <c r="AH20" s="48">
        <f t="shared" si="2"/>
        <v>10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9</v>
      </c>
      <c r="C24" s="45">
        <v>9</v>
      </c>
      <c r="D24" s="45">
        <v>9</v>
      </c>
      <c r="E24" s="45">
        <v>9</v>
      </c>
      <c r="F24" s="45">
        <v>9</v>
      </c>
      <c r="G24" s="45">
        <v>9</v>
      </c>
      <c r="H24" s="45">
        <v>9</v>
      </c>
      <c r="I24" s="45">
        <v>9</v>
      </c>
      <c r="J24" s="45">
        <v>9</v>
      </c>
      <c r="K24" s="45">
        <v>9</v>
      </c>
      <c r="L24" s="45">
        <v>9</v>
      </c>
      <c r="M24" s="45">
        <v>9</v>
      </c>
      <c r="N24" s="45">
        <v>9</v>
      </c>
      <c r="O24" s="45">
        <v>9</v>
      </c>
      <c r="P24" s="45">
        <v>9</v>
      </c>
      <c r="Q24" s="45">
        <v>9</v>
      </c>
      <c r="R24" s="45">
        <v>9</v>
      </c>
      <c r="S24" s="45">
        <v>9</v>
      </c>
      <c r="T24" s="45">
        <v>9</v>
      </c>
      <c r="U24" s="45">
        <v>9</v>
      </c>
      <c r="V24" s="45">
        <v>9</v>
      </c>
      <c r="W24" s="45">
        <v>9</v>
      </c>
      <c r="X24" s="45">
        <v>9</v>
      </c>
      <c r="Y24" s="45">
        <v>9</v>
      </c>
      <c r="Z24" s="45">
        <v>9</v>
      </c>
      <c r="AA24" s="45">
        <v>9</v>
      </c>
      <c r="AB24" s="45">
        <v>9</v>
      </c>
      <c r="AC24" s="45">
        <v>9</v>
      </c>
      <c r="AD24" s="45">
        <v>9</v>
      </c>
      <c r="AE24" s="45">
        <v>9</v>
      </c>
      <c r="AF24" s="45">
        <v>9</v>
      </c>
      <c r="AG24" s="51">
        <v>23.5</v>
      </c>
      <c r="AH24" s="48">
        <f t="shared" si="2"/>
        <v>9</v>
      </c>
      <c r="AI24" s="49">
        <f t="shared" si="3"/>
        <v>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9.4</v>
      </c>
      <c r="C28" s="45">
        <v>9.4</v>
      </c>
      <c r="D28" s="45">
        <v>9.4</v>
      </c>
      <c r="E28" s="45">
        <v>9.4</v>
      </c>
      <c r="F28" s="45">
        <v>9.4</v>
      </c>
      <c r="G28" s="45">
        <v>9.4</v>
      </c>
      <c r="H28" s="45">
        <v>9.4</v>
      </c>
      <c r="I28" s="45">
        <v>9.4</v>
      </c>
      <c r="J28" s="45">
        <v>9.4</v>
      </c>
      <c r="K28" s="45">
        <v>9.4</v>
      </c>
      <c r="L28" s="45">
        <v>9.4</v>
      </c>
      <c r="M28" s="45">
        <v>9.4</v>
      </c>
      <c r="N28" s="45">
        <v>9.4</v>
      </c>
      <c r="O28" s="45">
        <v>9.4</v>
      </c>
      <c r="P28" s="45">
        <v>9.4</v>
      </c>
      <c r="Q28" s="45">
        <v>9.4</v>
      </c>
      <c r="R28" s="45">
        <v>9.4</v>
      </c>
      <c r="S28" s="45">
        <v>9.4</v>
      </c>
      <c r="T28" s="45">
        <v>9.4</v>
      </c>
      <c r="U28" s="45">
        <v>9.4</v>
      </c>
      <c r="V28" s="45">
        <v>9.4</v>
      </c>
      <c r="W28" s="45">
        <v>9.4</v>
      </c>
      <c r="X28" s="45">
        <v>9.4</v>
      </c>
      <c r="Y28" s="45">
        <v>9.4</v>
      </c>
      <c r="Z28" s="45">
        <v>9.4</v>
      </c>
      <c r="AA28" s="45">
        <v>9.4</v>
      </c>
      <c r="AB28" s="45">
        <v>9.4</v>
      </c>
      <c r="AC28" s="45">
        <v>9.4</v>
      </c>
      <c r="AD28" s="45">
        <v>9.4</v>
      </c>
      <c r="AE28" s="45">
        <v>9.4</v>
      </c>
      <c r="AF28" s="45">
        <v>9.4</v>
      </c>
      <c r="AG28" s="51">
        <v>22</v>
      </c>
      <c r="AH28" s="48">
        <f t="shared" si="2"/>
        <v>9.4</v>
      </c>
      <c r="AI28" s="49">
        <f t="shared" si="3"/>
        <v>9.4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1">
        <v>20</v>
      </c>
      <c r="AH29" s="48">
        <f t="shared" si="2"/>
        <v>7</v>
      </c>
      <c r="AI29" s="49">
        <f t="shared" si="3"/>
        <v>7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>
        <v>1.2</v>
      </c>
      <c r="S32" s="45">
        <v>1.2</v>
      </c>
      <c r="T32" s="45">
        <v>1.2</v>
      </c>
      <c r="U32" s="45">
        <v>1.2</v>
      </c>
      <c r="V32" s="45">
        <v>1.2</v>
      </c>
      <c r="W32" s="45">
        <v>1.2</v>
      </c>
      <c r="X32" s="45">
        <v>1.2</v>
      </c>
      <c r="Y32" s="45">
        <v>1.2</v>
      </c>
      <c r="Z32" s="45">
        <v>1.2</v>
      </c>
      <c r="AA32" s="45">
        <v>1.2</v>
      </c>
      <c r="AB32" s="45">
        <v>1.2</v>
      </c>
      <c r="AC32" s="45">
        <v>1.2</v>
      </c>
      <c r="AD32" s="45">
        <v>1.2</v>
      </c>
      <c r="AE32" s="45">
        <v>1.2</v>
      </c>
      <c r="AF32" s="45">
        <v>1.2</v>
      </c>
      <c r="AG32" s="51">
        <v>13.6</v>
      </c>
      <c r="AH32" s="48">
        <f t="shared" si="2"/>
        <v>1.2</v>
      </c>
      <c r="AI32" s="49">
        <f t="shared" si="3"/>
        <v>1.2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150</v>
      </c>
      <c r="C42" s="57">
        <v>150</v>
      </c>
      <c r="D42" s="57">
        <v>150</v>
      </c>
      <c r="E42" s="57">
        <v>150</v>
      </c>
      <c r="F42" s="57">
        <v>150</v>
      </c>
      <c r="G42" s="57">
        <v>150</v>
      </c>
      <c r="H42" s="57">
        <v>150</v>
      </c>
      <c r="I42" s="57">
        <v>150</v>
      </c>
      <c r="J42" s="57">
        <v>150</v>
      </c>
      <c r="K42" s="57">
        <v>150</v>
      </c>
      <c r="L42" s="57">
        <v>150</v>
      </c>
      <c r="M42" s="57">
        <v>150</v>
      </c>
      <c r="N42" s="57">
        <v>150</v>
      </c>
      <c r="O42" s="57">
        <v>150</v>
      </c>
      <c r="P42" s="57">
        <v>150</v>
      </c>
      <c r="Q42" s="57">
        <v>150</v>
      </c>
      <c r="R42" s="57">
        <v>150</v>
      </c>
      <c r="S42" s="57">
        <v>150</v>
      </c>
      <c r="T42" s="57">
        <v>150</v>
      </c>
      <c r="U42" s="57">
        <v>150</v>
      </c>
      <c r="V42" s="57">
        <v>150</v>
      </c>
      <c r="W42" s="57">
        <v>150</v>
      </c>
      <c r="X42" s="57">
        <v>150</v>
      </c>
      <c r="Y42" s="57">
        <v>150</v>
      </c>
      <c r="Z42" s="57">
        <v>150</v>
      </c>
      <c r="AA42" s="57">
        <v>150</v>
      </c>
      <c r="AB42" s="57">
        <v>150</v>
      </c>
      <c r="AC42" s="57">
        <v>150</v>
      </c>
      <c r="AD42" s="57">
        <v>150</v>
      </c>
      <c r="AE42" s="57">
        <v>150</v>
      </c>
      <c r="AF42" s="57">
        <v>150</v>
      </c>
      <c r="AG42" s="55">
        <v>85</v>
      </c>
      <c r="AH42" s="48">
        <f t="shared" si="2"/>
        <v>150</v>
      </c>
      <c r="AI42" s="49">
        <f t="shared" si="3"/>
        <v>150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v>467.49999999999994</v>
      </c>
      <c r="C44" s="61">
        <f t="shared" ref="C44:AG44" si="4">SUM(C11:C42)</f>
        <v>461</v>
      </c>
      <c r="D44" s="61">
        <f t="shared" si="4"/>
        <v>464.59999999999997</v>
      </c>
      <c r="E44" s="61">
        <f t="shared" si="4"/>
        <v>464.59999999999997</v>
      </c>
      <c r="F44" s="61">
        <f t="shared" si="4"/>
        <v>464.59999999999997</v>
      </c>
      <c r="G44" s="61">
        <f t="shared" si="4"/>
        <v>464.59999999999997</v>
      </c>
      <c r="H44" s="61">
        <f t="shared" si="4"/>
        <v>464.59999999999997</v>
      </c>
      <c r="I44" s="61">
        <f t="shared" si="4"/>
        <v>464.59999999999997</v>
      </c>
      <c r="J44" s="61">
        <f t="shared" si="4"/>
        <v>464.59999999999997</v>
      </c>
      <c r="K44" s="61">
        <f t="shared" si="4"/>
        <v>464.59999999999997</v>
      </c>
      <c r="L44" s="61">
        <f t="shared" si="4"/>
        <v>464.59999999999997</v>
      </c>
      <c r="M44" s="61">
        <f t="shared" si="4"/>
        <v>463.2</v>
      </c>
      <c r="N44" s="61">
        <f t="shared" si="4"/>
        <v>463.2</v>
      </c>
      <c r="O44" s="61">
        <f t="shared" si="4"/>
        <v>463.2</v>
      </c>
      <c r="P44" s="61">
        <f t="shared" si="4"/>
        <v>463.2</v>
      </c>
      <c r="Q44" s="61">
        <f t="shared" si="4"/>
        <v>463.2</v>
      </c>
      <c r="R44" s="61">
        <f t="shared" ref="R44" si="5">SUM(R11:R42)</f>
        <v>463.2</v>
      </c>
      <c r="S44" s="61">
        <f t="shared" si="4"/>
        <v>463.2</v>
      </c>
      <c r="T44" s="61">
        <f t="shared" si="4"/>
        <v>463.2</v>
      </c>
      <c r="U44" s="61">
        <f t="shared" si="4"/>
        <v>463.2</v>
      </c>
      <c r="V44" s="61">
        <f t="shared" si="4"/>
        <v>463.2</v>
      </c>
      <c r="W44" s="61">
        <f t="shared" si="4"/>
        <v>463.2</v>
      </c>
      <c r="X44" s="61">
        <f t="shared" si="4"/>
        <v>463.2</v>
      </c>
      <c r="Y44" s="61">
        <f t="shared" si="4"/>
        <v>463.2</v>
      </c>
      <c r="Z44" s="61">
        <f t="shared" si="4"/>
        <v>463.2</v>
      </c>
      <c r="AA44" s="61">
        <f t="shared" si="4"/>
        <v>463.2</v>
      </c>
      <c r="AB44" s="61">
        <f t="shared" si="4"/>
        <v>463.2</v>
      </c>
      <c r="AC44" s="61">
        <f t="shared" si="4"/>
        <v>463.2</v>
      </c>
      <c r="AD44" s="61">
        <f t="shared" si="4"/>
        <v>462.2</v>
      </c>
      <c r="AE44" s="61">
        <f t="shared" si="4"/>
        <v>462.2</v>
      </c>
      <c r="AF44" s="61">
        <f t="shared" si="4"/>
        <v>462.79999999999995</v>
      </c>
      <c r="AG44" s="62">
        <f t="shared" si="4"/>
        <v>814.78000000000009</v>
      </c>
      <c r="AH44" s="48">
        <f t="shared" si="2"/>
        <v>467.49999999999994</v>
      </c>
      <c r="AI44" s="49">
        <f t="shared" si="3"/>
        <v>461</v>
      </c>
      <c r="AK44" s="50"/>
    </row>
    <row r="45" spans="1:88" x14ac:dyDescent="0.25">
      <c r="A45" s="63" t="s">
        <v>53</v>
      </c>
      <c r="B45" s="45">
        <v>50</v>
      </c>
      <c r="C45" s="45">
        <v>15</v>
      </c>
      <c r="D45" s="45">
        <v>30</v>
      </c>
      <c r="E45" s="45">
        <v>35</v>
      </c>
      <c r="F45" s="45">
        <v>35</v>
      </c>
      <c r="G45" s="45">
        <v>55</v>
      </c>
      <c r="H45" s="45">
        <v>15</v>
      </c>
      <c r="I45" s="45">
        <v>0</v>
      </c>
      <c r="J45" s="45">
        <v>40</v>
      </c>
      <c r="K45" s="45">
        <v>90</v>
      </c>
      <c r="L45" s="45">
        <v>200</v>
      </c>
      <c r="M45" s="164">
        <v>320</v>
      </c>
      <c r="N45" s="164">
        <v>335</v>
      </c>
      <c r="O45" s="45">
        <v>180</v>
      </c>
      <c r="P45" s="45">
        <v>130</v>
      </c>
      <c r="Q45" s="45">
        <v>80</v>
      </c>
      <c r="R45" s="45">
        <v>90</v>
      </c>
      <c r="S45" s="45">
        <v>50</v>
      </c>
      <c r="T45" s="45">
        <v>30</v>
      </c>
      <c r="U45" s="45">
        <v>0</v>
      </c>
      <c r="V45" s="45">
        <v>0</v>
      </c>
      <c r="W45" s="45">
        <v>45</v>
      </c>
      <c r="X45" s="45">
        <v>210</v>
      </c>
      <c r="Y45" s="45">
        <v>180</v>
      </c>
      <c r="Z45" s="45">
        <v>180</v>
      </c>
      <c r="AA45" s="45">
        <v>180</v>
      </c>
      <c r="AB45" s="45">
        <v>200</v>
      </c>
      <c r="AC45" s="45">
        <v>100</v>
      </c>
      <c r="AD45" s="45">
        <v>70</v>
      </c>
      <c r="AE45" s="45">
        <v>0</v>
      </c>
      <c r="AF45" s="45">
        <v>0</v>
      </c>
      <c r="AG45" s="52">
        <v>456</v>
      </c>
      <c r="AH45" s="48">
        <f t="shared" si="2"/>
        <v>335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5">
        <v>60</v>
      </c>
      <c r="AH46" s="48">
        <f t="shared" si="2"/>
        <v>41</v>
      </c>
      <c r="AI46" s="49">
        <f t="shared" si="3"/>
        <v>41</v>
      </c>
      <c r="AK46" s="50"/>
    </row>
    <row r="47" spans="1:88" ht="15.75" thickBot="1" x14ac:dyDescent="0.3">
      <c r="A47" s="66" t="s">
        <v>55</v>
      </c>
      <c r="B47" s="67">
        <v>13.4</v>
      </c>
      <c r="C47" s="67">
        <v>13.4</v>
      </c>
      <c r="D47" s="67">
        <v>12.5</v>
      </c>
      <c r="E47" s="67">
        <v>12.6</v>
      </c>
      <c r="F47" s="67">
        <v>12.6</v>
      </c>
      <c r="G47" s="67">
        <v>12.6</v>
      </c>
      <c r="H47" s="67">
        <v>12</v>
      </c>
      <c r="I47" s="67">
        <v>12</v>
      </c>
      <c r="J47" s="67">
        <v>12</v>
      </c>
      <c r="K47" s="67">
        <v>12</v>
      </c>
      <c r="L47" s="67">
        <v>12</v>
      </c>
      <c r="M47" s="67">
        <v>12.6</v>
      </c>
      <c r="N47" s="67">
        <v>12.6</v>
      </c>
      <c r="O47" s="67">
        <v>12</v>
      </c>
      <c r="P47" s="67">
        <v>12.6</v>
      </c>
      <c r="Q47" s="67">
        <v>12.6</v>
      </c>
      <c r="R47" s="67">
        <v>12</v>
      </c>
      <c r="S47" s="67">
        <v>12</v>
      </c>
      <c r="T47" s="67">
        <v>12</v>
      </c>
      <c r="U47" s="67">
        <v>12</v>
      </c>
      <c r="V47" s="67">
        <v>11.3</v>
      </c>
      <c r="W47" s="67">
        <v>11.3</v>
      </c>
      <c r="X47" s="67">
        <v>11.3</v>
      </c>
      <c r="Y47" s="67">
        <v>19.100000000000001</v>
      </c>
      <c r="Z47" s="67">
        <v>19.100000000000001</v>
      </c>
      <c r="AA47" s="67">
        <v>19.100000000000001</v>
      </c>
      <c r="AB47" s="67">
        <v>19.100000000000001</v>
      </c>
      <c r="AC47" s="67">
        <v>19.100000000000001</v>
      </c>
      <c r="AD47" s="67">
        <v>19.100000000000001</v>
      </c>
      <c r="AE47" s="67">
        <v>19.100000000000001</v>
      </c>
      <c r="AF47" s="67">
        <v>19.100000000000001</v>
      </c>
      <c r="AG47" s="68">
        <v>22.1</v>
      </c>
      <c r="AH47" s="48">
        <f t="shared" si="2"/>
        <v>19.100000000000001</v>
      </c>
      <c r="AI47" s="49">
        <f t="shared" si="3"/>
        <v>11.3</v>
      </c>
      <c r="AK47" s="50"/>
    </row>
    <row r="48" spans="1:88" ht="15.75" thickBot="1" x14ac:dyDescent="0.3">
      <c r="A48" s="69" t="s">
        <v>56</v>
      </c>
      <c r="B48" s="61">
        <v>104.4</v>
      </c>
      <c r="C48" s="61">
        <f t="shared" ref="C48:AG48" si="6">SUM(C45:C47)</f>
        <v>69.400000000000006</v>
      </c>
      <c r="D48" s="61">
        <f t="shared" si="6"/>
        <v>83.5</v>
      </c>
      <c r="E48" s="61">
        <f t="shared" si="6"/>
        <v>88.6</v>
      </c>
      <c r="F48" s="61">
        <f t="shared" si="6"/>
        <v>88.6</v>
      </c>
      <c r="G48" s="61">
        <f t="shared" si="6"/>
        <v>108.6</v>
      </c>
      <c r="H48" s="61">
        <f t="shared" si="6"/>
        <v>68</v>
      </c>
      <c r="I48" s="61">
        <f t="shared" si="6"/>
        <v>53</v>
      </c>
      <c r="J48" s="61">
        <f t="shared" si="6"/>
        <v>93</v>
      </c>
      <c r="K48" s="61">
        <f t="shared" si="6"/>
        <v>143</v>
      </c>
      <c r="L48" s="61">
        <f t="shared" si="6"/>
        <v>253</v>
      </c>
      <c r="M48" s="61">
        <f t="shared" si="6"/>
        <v>373.6</v>
      </c>
      <c r="N48" s="61">
        <f t="shared" si="6"/>
        <v>388.6</v>
      </c>
      <c r="O48" s="61">
        <f t="shared" si="6"/>
        <v>233</v>
      </c>
      <c r="P48" s="61">
        <f t="shared" si="6"/>
        <v>183.6</v>
      </c>
      <c r="Q48" s="61">
        <f t="shared" si="6"/>
        <v>133.6</v>
      </c>
      <c r="R48" s="61">
        <f t="shared" si="6"/>
        <v>143</v>
      </c>
      <c r="S48" s="61">
        <f t="shared" si="6"/>
        <v>103</v>
      </c>
      <c r="T48" s="61">
        <f t="shared" si="6"/>
        <v>83</v>
      </c>
      <c r="U48" s="61">
        <f t="shared" si="6"/>
        <v>53</v>
      </c>
      <c r="V48" s="61">
        <f t="shared" si="6"/>
        <v>52.3</v>
      </c>
      <c r="W48" s="61">
        <f t="shared" si="6"/>
        <v>97.3</v>
      </c>
      <c r="X48" s="61">
        <f t="shared" si="6"/>
        <v>262.3</v>
      </c>
      <c r="Y48" s="61">
        <f t="shared" si="6"/>
        <v>240.1</v>
      </c>
      <c r="Z48" s="61">
        <f t="shared" si="6"/>
        <v>240.1</v>
      </c>
      <c r="AA48" s="61">
        <f t="shared" si="6"/>
        <v>240.1</v>
      </c>
      <c r="AB48" s="61">
        <f t="shared" si="6"/>
        <v>260.10000000000002</v>
      </c>
      <c r="AC48" s="61">
        <f t="shared" si="6"/>
        <v>160.1</v>
      </c>
      <c r="AD48" s="61">
        <f t="shared" si="6"/>
        <v>130.1</v>
      </c>
      <c r="AE48" s="61">
        <f t="shared" si="6"/>
        <v>60.1</v>
      </c>
      <c r="AF48" s="61">
        <f t="shared" si="6"/>
        <v>60.1</v>
      </c>
      <c r="AG48" s="62">
        <f t="shared" si="6"/>
        <v>538.1</v>
      </c>
      <c r="AH48" s="48">
        <f t="shared" si="2"/>
        <v>388.6</v>
      </c>
      <c r="AI48" s="49">
        <f t="shared" si="3"/>
        <v>52.3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23</v>
      </c>
      <c r="I49" s="45">
        <v>36.4</v>
      </c>
      <c r="J49" s="45">
        <v>80</v>
      </c>
      <c r="K49" s="45">
        <v>94</v>
      </c>
      <c r="L49" s="45">
        <v>75.900000000000006</v>
      </c>
      <c r="M49" s="45">
        <v>71.400000000000006</v>
      </c>
      <c r="N49" s="45">
        <v>86.6</v>
      </c>
      <c r="O49" s="45">
        <v>86.8</v>
      </c>
      <c r="P49" s="45">
        <v>97.4</v>
      </c>
      <c r="Q49" s="45">
        <v>97</v>
      </c>
      <c r="R49" s="45">
        <v>60</v>
      </c>
      <c r="S49" s="45">
        <v>56.6</v>
      </c>
      <c r="T49" s="45">
        <v>61.3</v>
      </c>
      <c r="U49" s="45">
        <v>51.5</v>
      </c>
      <c r="V49" s="45">
        <v>47.1</v>
      </c>
      <c r="W49" s="45">
        <v>66.3</v>
      </c>
      <c r="X49" s="45">
        <v>110</v>
      </c>
      <c r="Y49" s="45">
        <v>132</v>
      </c>
      <c r="Z49" s="45">
        <v>132</v>
      </c>
      <c r="AA49" s="45">
        <v>142</v>
      </c>
      <c r="AB49" s="45">
        <v>141.30000000000001</v>
      </c>
      <c r="AC49" s="45">
        <v>141.30000000000001</v>
      </c>
      <c r="AD49" s="45">
        <v>141.30000000000001</v>
      </c>
      <c r="AE49" s="45">
        <v>141.30000000000001</v>
      </c>
      <c r="AF49" s="45">
        <v>45</v>
      </c>
      <c r="AG49" s="52">
        <v>144</v>
      </c>
      <c r="AH49" s="48">
        <f t="shared" si="2"/>
        <v>142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19</v>
      </c>
      <c r="I50" s="65">
        <v>25.9</v>
      </c>
      <c r="J50" s="65">
        <v>51.6</v>
      </c>
      <c r="K50" s="65">
        <v>53.2</v>
      </c>
      <c r="L50" s="65">
        <v>55.9</v>
      </c>
      <c r="M50" s="65">
        <v>55</v>
      </c>
      <c r="N50" s="65">
        <v>60.1</v>
      </c>
      <c r="O50" s="65">
        <v>51</v>
      </c>
      <c r="P50" s="65">
        <v>58</v>
      </c>
      <c r="Q50" s="65">
        <v>58</v>
      </c>
      <c r="R50" s="45">
        <v>35.200000000000003</v>
      </c>
      <c r="S50" s="45">
        <v>25.8</v>
      </c>
      <c r="T50" s="45">
        <v>22.8</v>
      </c>
      <c r="U50" s="45">
        <v>28.2</v>
      </c>
      <c r="V50" s="45">
        <v>23.9</v>
      </c>
      <c r="W50" s="45">
        <v>42.1</v>
      </c>
      <c r="X50" s="45">
        <v>49.3</v>
      </c>
      <c r="Y50" s="45">
        <v>49.3</v>
      </c>
      <c r="Z50" s="45">
        <v>50.2</v>
      </c>
      <c r="AA50" s="45">
        <v>72</v>
      </c>
      <c r="AB50" s="45">
        <v>71.099999999999994</v>
      </c>
      <c r="AC50" s="45">
        <v>71.099999999999994</v>
      </c>
      <c r="AD50" s="45">
        <v>62</v>
      </c>
      <c r="AE50" s="45">
        <v>51</v>
      </c>
      <c r="AF50" s="65">
        <v>34</v>
      </c>
      <c r="AG50" s="55">
        <v>70</v>
      </c>
      <c r="AH50" s="48">
        <f t="shared" si="2"/>
        <v>72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67</v>
      </c>
      <c r="C51" s="65">
        <v>43</v>
      </c>
      <c r="D51" s="65">
        <v>23.7</v>
      </c>
      <c r="E51" s="65">
        <v>0</v>
      </c>
      <c r="F51" s="65">
        <v>0</v>
      </c>
      <c r="G51" s="65">
        <v>17.899999999999999</v>
      </c>
      <c r="H51" s="65">
        <v>22</v>
      </c>
      <c r="I51" s="65">
        <v>21.3</v>
      </c>
      <c r="J51" s="65">
        <v>32</v>
      </c>
      <c r="K51" s="65">
        <v>32.9</v>
      </c>
      <c r="L51" s="65">
        <v>46.8</v>
      </c>
      <c r="M51" s="65">
        <v>41.3</v>
      </c>
      <c r="N51" s="65">
        <v>32</v>
      </c>
      <c r="O51" s="65">
        <v>32.5</v>
      </c>
      <c r="P51" s="65">
        <v>46</v>
      </c>
      <c r="Q51" s="65">
        <v>46</v>
      </c>
      <c r="R51" s="45">
        <v>33.1</v>
      </c>
      <c r="S51" s="45">
        <v>32.799999999999997</v>
      </c>
      <c r="T51" s="45">
        <v>35.6</v>
      </c>
      <c r="U51" s="45">
        <v>35.6</v>
      </c>
      <c r="V51" s="45">
        <v>17.899999999999999</v>
      </c>
      <c r="W51" s="45">
        <v>35.299999999999997</v>
      </c>
      <c r="X51" s="45">
        <v>53.3</v>
      </c>
      <c r="Y51" s="45">
        <v>53.3</v>
      </c>
      <c r="Z51" s="45">
        <v>52</v>
      </c>
      <c r="AA51" s="45">
        <v>68</v>
      </c>
      <c r="AB51" s="45">
        <v>68</v>
      </c>
      <c r="AC51" s="45">
        <v>68</v>
      </c>
      <c r="AD51" s="45">
        <v>68</v>
      </c>
      <c r="AE51" s="45">
        <v>68</v>
      </c>
      <c r="AF51" s="65">
        <v>54</v>
      </c>
      <c r="AG51" s="55">
        <v>69</v>
      </c>
      <c r="AH51" s="48">
        <f t="shared" si="2"/>
        <v>68</v>
      </c>
      <c r="AI51" s="49">
        <f t="shared" si="3"/>
        <v>0</v>
      </c>
      <c r="AK51" s="50"/>
    </row>
    <row r="52" spans="1:41" x14ac:dyDescent="0.25">
      <c r="A52" s="54" t="s">
        <v>60</v>
      </c>
      <c r="B52" s="57">
        <v>53.4</v>
      </c>
      <c r="C52" s="57">
        <v>53.4</v>
      </c>
      <c r="D52" s="57">
        <v>54</v>
      </c>
      <c r="E52" s="57">
        <v>54</v>
      </c>
      <c r="F52" s="57">
        <v>54</v>
      </c>
      <c r="G52" s="57">
        <v>51.1</v>
      </c>
      <c r="H52" s="57">
        <v>51</v>
      </c>
      <c r="I52" s="57">
        <v>51.4</v>
      </c>
      <c r="J52" s="57">
        <v>53.7</v>
      </c>
      <c r="K52" s="57">
        <v>53.7</v>
      </c>
      <c r="L52" s="57">
        <v>53.7</v>
      </c>
      <c r="M52" s="65">
        <v>55.2</v>
      </c>
      <c r="N52" s="65">
        <v>54.9</v>
      </c>
      <c r="O52" s="65">
        <v>54.9</v>
      </c>
      <c r="P52" s="65">
        <v>51.1</v>
      </c>
      <c r="Q52" s="65">
        <v>51.1</v>
      </c>
      <c r="R52" s="45">
        <v>58.2</v>
      </c>
      <c r="S52" s="45">
        <v>56.4</v>
      </c>
      <c r="T52" s="45">
        <v>47.6</v>
      </c>
      <c r="U52" s="45">
        <v>48.4</v>
      </c>
      <c r="V52" s="45">
        <v>48.6</v>
      </c>
      <c r="W52" s="65">
        <v>48.4</v>
      </c>
      <c r="X52" s="65">
        <v>50</v>
      </c>
      <c r="Y52" s="65">
        <v>50</v>
      </c>
      <c r="Z52" s="65">
        <v>50</v>
      </c>
      <c r="AA52" s="65">
        <v>51.4</v>
      </c>
      <c r="AB52" s="65">
        <v>51.4</v>
      </c>
      <c r="AC52" s="65">
        <v>51.4</v>
      </c>
      <c r="AD52" s="65">
        <v>51.4</v>
      </c>
      <c r="AE52" s="65">
        <v>51.4</v>
      </c>
      <c r="AF52" s="65">
        <v>51.4</v>
      </c>
      <c r="AG52" s="55">
        <v>60</v>
      </c>
      <c r="AH52" s="48">
        <f t="shared" si="2"/>
        <v>58.2</v>
      </c>
      <c r="AI52" s="49">
        <f t="shared" si="3"/>
        <v>47.6</v>
      </c>
      <c r="AK52" s="50"/>
    </row>
    <row r="53" spans="1:41" x14ac:dyDescent="0.25">
      <c r="A53" s="54" t="s">
        <v>61</v>
      </c>
      <c r="B53" s="57">
        <v>28.1</v>
      </c>
      <c r="C53" s="57">
        <v>28.1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10</v>
      </c>
      <c r="L53" s="57">
        <v>15</v>
      </c>
      <c r="M53" s="65">
        <v>15</v>
      </c>
      <c r="N53" s="65">
        <v>8</v>
      </c>
      <c r="O53" s="65">
        <v>15</v>
      </c>
      <c r="P53" s="65">
        <v>10</v>
      </c>
      <c r="Q53" s="65">
        <v>10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65">
        <v>0</v>
      </c>
      <c r="X53" s="65">
        <v>10.3</v>
      </c>
      <c r="Y53" s="65">
        <v>10.3</v>
      </c>
      <c r="Z53" s="65">
        <v>10.3</v>
      </c>
      <c r="AA53" s="65">
        <v>15.2</v>
      </c>
      <c r="AB53" s="65">
        <v>29</v>
      </c>
      <c r="AC53" s="65">
        <v>29</v>
      </c>
      <c r="AD53" s="65">
        <v>29</v>
      </c>
      <c r="AE53" s="65">
        <v>6</v>
      </c>
      <c r="AF53" s="65">
        <v>6</v>
      </c>
      <c r="AG53" s="55">
        <v>30</v>
      </c>
      <c r="AH53" s="48">
        <f t="shared" si="2"/>
        <v>29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45">
        <v>0</v>
      </c>
      <c r="S54" s="45">
        <v>8</v>
      </c>
      <c r="T54" s="45">
        <v>8</v>
      </c>
      <c r="U54" s="45">
        <v>8</v>
      </c>
      <c r="V54" s="45">
        <v>8</v>
      </c>
      <c r="W54" s="4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8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45">
        <v>17</v>
      </c>
      <c r="S55" s="45">
        <v>17</v>
      </c>
      <c r="T55" s="45">
        <v>17</v>
      </c>
      <c r="U55" s="45">
        <v>17</v>
      </c>
      <c r="V55" s="45">
        <v>17</v>
      </c>
      <c r="W55" s="45">
        <v>17</v>
      </c>
      <c r="X55" s="6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5">
        <v>24</v>
      </c>
      <c r="AH55" s="48">
        <f t="shared" si="2"/>
        <v>17.100000000000001</v>
      </c>
      <c r="AI55" s="49">
        <f t="shared" si="3"/>
        <v>17</v>
      </c>
      <c r="AK55" s="50"/>
    </row>
    <row r="56" spans="1:41" x14ac:dyDescent="0.25">
      <c r="A56" s="54" t="s">
        <v>64</v>
      </c>
      <c r="B56" s="65">
        <v>2.5</v>
      </c>
      <c r="C56" s="65">
        <v>2.5</v>
      </c>
      <c r="D56" s="65">
        <v>2.5</v>
      </c>
      <c r="E56" s="65">
        <v>2.5</v>
      </c>
      <c r="F56" s="65">
        <v>2.5</v>
      </c>
      <c r="G56" s="65">
        <v>2.5</v>
      </c>
      <c r="H56" s="65">
        <v>2.5</v>
      </c>
      <c r="I56" s="65">
        <v>2.5</v>
      </c>
      <c r="J56" s="65">
        <v>2.5</v>
      </c>
      <c r="K56" s="65">
        <v>2.5</v>
      </c>
      <c r="L56" s="65">
        <v>2.5</v>
      </c>
      <c r="M56" s="65">
        <v>2.5</v>
      </c>
      <c r="N56" s="65">
        <v>2.5</v>
      </c>
      <c r="O56" s="65">
        <v>2.5</v>
      </c>
      <c r="P56" s="65">
        <v>2.5</v>
      </c>
      <c r="Q56" s="65">
        <v>2.5</v>
      </c>
      <c r="R56" s="45">
        <v>2.5</v>
      </c>
      <c r="S56" s="45">
        <v>2.5</v>
      </c>
      <c r="T56" s="45">
        <v>2.5</v>
      </c>
      <c r="U56" s="45">
        <v>2.5</v>
      </c>
      <c r="V56" s="45">
        <v>2.5</v>
      </c>
      <c r="W56" s="45">
        <v>2.5</v>
      </c>
      <c r="X56" s="65">
        <v>2.5</v>
      </c>
      <c r="Y56" s="65">
        <v>2.5</v>
      </c>
      <c r="Z56" s="65">
        <v>2.5</v>
      </c>
      <c r="AA56" s="65">
        <v>2.5</v>
      </c>
      <c r="AB56" s="65">
        <v>2.5</v>
      </c>
      <c r="AC56" s="65">
        <v>2.5</v>
      </c>
      <c r="AD56" s="65">
        <v>2.5</v>
      </c>
      <c r="AE56" s="65">
        <v>2.5</v>
      </c>
      <c r="AF56" s="65">
        <v>2.5</v>
      </c>
      <c r="AG56" s="55">
        <v>15</v>
      </c>
      <c r="AH56" s="48">
        <f t="shared" si="2"/>
        <v>2.5</v>
      </c>
      <c r="AI56" s="49">
        <f t="shared" si="3"/>
        <v>2.5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13.3</v>
      </c>
      <c r="C57" s="65">
        <v>13.3</v>
      </c>
      <c r="D57" s="65">
        <v>13.3</v>
      </c>
      <c r="E57" s="65">
        <v>13.3</v>
      </c>
      <c r="F57" s="65">
        <v>13.3</v>
      </c>
      <c r="G57" s="65">
        <v>13.3</v>
      </c>
      <c r="H57" s="65">
        <v>13.3</v>
      </c>
      <c r="I57" s="65">
        <v>13.3</v>
      </c>
      <c r="J57" s="65">
        <v>13.3</v>
      </c>
      <c r="K57" s="65">
        <v>13.3</v>
      </c>
      <c r="L57" s="65">
        <v>13.3</v>
      </c>
      <c r="M57" s="65">
        <v>11.5</v>
      </c>
      <c r="N57" s="65">
        <v>11.5</v>
      </c>
      <c r="O57" s="65">
        <v>11.5</v>
      </c>
      <c r="P57" s="65">
        <v>12.3</v>
      </c>
      <c r="Q57" s="65">
        <v>12.3</v>
      </c>
      <c r="R57" s="65">
        <v>12.3</v>
      </c>
      <c r="S57" s="65">
        <v>12.3</v>
      </c>
      <c r="T57" s="65">
        <v>12.3</v>
      </c>
      <c r="U57" s="65">
        <v>12.3</v>
      </c>
      <c r="V57" s="65">
        <v>12.3</v>
      </c>
      <c r="W57" s="65">
        <v>12.3</v>
      </c>
      <c r="X57" s="65">
        <v>12.3</v>
      </c>
      <c r="Y57" s="65">
        <v>12.3</v>
      </c>
      <c r="Z57" s="65">
        <v>12.3</v>
      </c>
      <c r="AA57" s="65">
        <v>12.3</v>
      </c>
      <c r="AB57" s="65">
        <v>12.3</v>
      </c>
      <c r="AC57" s="65">
        <v>12.3</v>
      </c>
      <c r="AD57" s="65">
        <v>12.3</v>
      </c>
      <c r="AE57" s="65">
        <v>12.3</v>
      </c>
      <c r="AF57" s="65">
        <v>12.3</v>
      </c>
      <c r="AG57" s="55">
        <v>14.1</v>
      </c>
      <c r="AH57" s="48">
        <f t="shared" si="2"/>
        <v>13.3</v>
      </c>
      <c r="AI57" s="49">
        <f t="shared" si="3"/>
        <v>11.5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4.8</v>
      </c>
      <c r="C58" s="65">
        <v>4.8</v>
      </c>
      <c r="D58" s="65">
        <v>4.8</v>
      </c>
      <c r="E58" s="65">
        <v>4.8</v>
      </c>
      <c r="F58" s="65">
        <v>4.8</v>
      </c>
      <c r="G58" s="65">
        <v>4.8</v>
      </c>
      <c r="H58" s="65">
        <v>4.8</v>
      </c>
      <c r="I58" s="65">
        <v>4.8</v>
      </c>
      <c r="J58" s="65">
        <v>4.8</v>
      </c>
      <c r="K58" s="65">
        <v>4.8</v>
      </c>
      <c r="L58" s="65">
        <v>4.8</v>
      </c>
      <c r="M58" s="65">
        <v>4.8</v>
      </c>
      <c r="N58" s="65">
        <v>4.8</v>
      </c>
      <c r="O58" s="65">
        <v>4.8</v>
      </c>
      <c r="P58" s="65">
        <v>4.8</v>
      </c>
      <c r="Q58" s="65">
        <v>4.8</v>
      </c>
      <c r="R58" s="65">
        <v>4.8</v>
      </c>
      <c r="S58" s="65">
        <v>4.8</v>
      </c>
      <c r="T58" s="65">
        <v>4.8</v>
      </c>
      <c r="U58" s="65">
        <v>4.8</v>
      </c>
      <c r="V58" s="65">
        <v>4.8</v>
      </c>
      <c r="W58" s="65">
        <v>4.8</v>
      </c>
      <c r="X58" s="65">
        <v>3.9</v>
      </c>
      <c r="Y58" s="65">
        <v>3.9</v>
      </c>
      <c r="Z58" s="65">
        <v>3.9</v>
      </c>
      <c r="AA58" s="65">
        <v>3.9</v>
      </c>
      <c r="AB58" s="65">
        <v>3.9</v>
      </c>
      <c r="AC58" s="65">
        <v>3.9</v>
      </c>
      <c r="AD58" s="65">
        <v>3.9</v>
      </c>
      <c r="AE58" s="65">
        <v>3.9</v>
      </c>
      <c r="AF58" s="65">
        <v>3.9</v>
      </c>
      <c r="AG58" s="55">
        <v>14</v>
      </c>
      <c r="AH58" s="48">
        <f t="shared" si="2"/>
        <v>4.8</v>
      </c>
      <c r="AI58" s="49">
        <f t="shared" si="3"/>
        <v>3.9</v>
      </c>
      <c r="AK58" s="50"/>
    </row>
    <row r="59" spans="1:41" x14ac:dyDescent="0.25">
      <c r="A59" s="54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5">
        <v>10.050000000000001</v>
      </c>
      <c r="AH59" s="48">
        <f t="shared" si="2"/>
        <v>5.2</v>
      </c>
      <c r="AI59" s="49">
        <f t="shared" si="3"/>
        <v>5.2</v>
      </c>
      <c r="AK59" s="50"/>
    </row>
    <row r="60" spans="1:41" x14ac:dyDescent="0.25">
      <c r="A60" s="54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5">
        <v>6.2</v>
      </c>
      <c r="AH60" s="48">
        <f t="shared" si="2"/>
        <v>3.2</v>
      </c>
      <c r="AI60" s="49">
        <f t="shared" si="3"/>
        <v>3.2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v>198.14</v>
      </c>
      <c r="C62" s="61">
        <f t="shared" ref="C62:AG62" si="7">SUM(C49:C61)</f>
        <v>174.14</v>
      </c>
      <c r="D62" s="61">
        <f t="shared" si="7"/>
        <v>127.34000000000002</v>
      </c>
      <c r="E62" s="61">
        <f t="shared" si="7"/>
        <v>103.64</v>
      </c>
      <c r="F62" s="61">
        <f t="shared" si="7"/>
        <v>103.64</v>
      </c>
      <c r="G62" s="61">
        <f t="shared" si="7"/>
        <v>118.64</v>
      </c>
      <c r="H62" s="61">
        <f t="shared" si="7"/>
        <v>164.64</v>
      </c>
      <c r="I62" s="61">
        <f t="shared" si="7"/>
        <v>184.64</v>
      </c>
      <c r="J62" s="61">
        <f t="shared" si="7"/>
        <v>266.94000000000005</v>
      </c>
      <c r="K62" s="61">
        <f t="shared" si="7"/>
        <v>293.44000000000005</v>
      </c>
      <c r="L62" s="61">
        <f t="shared" si="7"/>
        <v>296.94000000000005</v>
      </c>
      <c r="M62" s="61">
        <f t="shared" si="7"/>
        <v>285.64</v>
      </c>
      <c r="N62" s="61">
        <f t="shared" si="7"/>
        <v>289.34000000000003</v>
      </c>
      <c r="O62" s="61">
        <f t="shared" si="7"/>
        <v>287.94000000000005</v>
      </c>
      <c r="P62" s="61">
        <f t="shared" si="7"/>
        <v>311.04000000000002</v>
      </c>
      <c r="Q62" s="61">
        <f t="shared" si="7"/>
        <v>310.64000000000004</v>
      </c>
      <c r="R62" s="61">
        <f t="shared" si="7"/>
        <v>235.04</v>
      </c>
      <c r="S62" s="61">
        <f t="shared" si="7"/>
        <v>228.14</v>
      </c>
      <c r="T62" s="61">
        <f t="shared" si="7"/>
        <v>223.83999999999997</v>
      </c>
      <c r="U62" s="61">
        <f t="shared" si="7"/>
        <v>220.24</v>
      </c>
      <c r="V62" s="61">
        <f t="shared" si="7"/>
        <v>194.04</v>
      </c>
      <c r="W62" s="61">
        <f t="shared" si="7"/>
        <v>240.64</v>
      </c>
      <c r="X62" s="61">
        <f t="shared" si="7"/>
        <v>320.54000000000002</v>
      </c>
      <c r="Y62" s="61">
        <f t="shared" si="7"/>
        <v>342.54</v>
      </c>
      <c r="Z62" s="61">
        <f t="shared" si="7"/>
        <v>342.14</v>
      </c>
      <c r="AA62" s="61">
        <f t="shared" si="7"/>
        <v>396.23999999999995</v>
      </c>
      <c r="AB62" s="61">
        <f t="shared" si="7"/>
        <v>408.43999999999994</v>
      </c>
      <c r="AC62" s="61">
        <f t="shared" si="7"/>
        <v>408.43999999999994</v>
      </c>
      <c r="AD62" s="61">
        <f t="shared" si="7"/>
        <v>399.34</v>
      </c>
      <c r="AE62" s="61">
        <f t="shared" si="7"/>
        <v>365.34</v>
      </c>
      <c r="AF62" s="61">
        <f t="shared" si="7"/>
        <v>238.04</v>
      </c>
      <c r="AG62" s="62">
        <f t="shared" si="7"/>
        <v>489.91</v>
      </c>
      <c r="AH62" s="48">
        <f t="shared" si="2"/>
        <v>408.43999999999994</v>
      </c>
      <c r="AI62" s="49">
        <f t="shared" si="3"/>
        <v>103.64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14</v>
      </c>
      <c r="Y63" s="45">
        <v>20</v>
      </c>
      <c r="Z63" s="45">
        <v>20</v>
      </c>
      <c r="AA63" s="45">
        <v>20</v>
      </c>
      <c r="AB63" s="45">
        <v>14</v>
      </c>
      <c r="AC63" s="45">
        <v>14</v>
      </c>
      <c r="AD63" s="45">
        <v>0</v>
      </c>
      <c r="AE63" s="45">
        <v>0</v>
      </c>
      <c r="AF63" s="45">
        <v>0</v>
      </c>
      <c r="AG63" s="52">
        <v>60</v>
      </c>
      <c r="AH63" s="48">
        <f t="shared" si="2"/>
        <v>20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45">
        <v>0</v>
      </c>
      <c r="S64" s="4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3.8</v>
      </c>
      <c r="Y64" s="65">
        <v>9.4</v>
      </c>
      <c r="Z64" s="65">
        <v>8.6</v>
      </c>
      <c r="AA64" s="65">
        <v>8.6</v>
      </c>
      <c r="AB64" s="65">
        <v>5.2</v>
      </c>
      <c r="AC64" s="65">
        <v>5.2</v>
      </c>
      <c r="AD64" s="65">
        <v>0</v>
      </c>
      <c r="AE64" s="65">
        <v>0</v>
      </c>
      <c r="AF64" s="65">
        <v>0</v>
      </c>
      <c r="AG64" s="55">
        <v>32</v>
      </c>
      <c r="AH64" s="48">
        <f t="shared" si="2"/>
        <v>9.4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67">
        <v>0</v>
      </c>
      <c r="R65" s="45">
        <v>0</v>
      </c>
      <c r="S65" s="45">
        <v>0</v>
      </c>
      <c r="T65" s="67">
        <v>0</v>
      </c>
      <c r="U65" s="67">
        <v>0</v>
      </c>
      <c r="V65" s="67">
        <v>0</v>
      </c>
      <c r="W65" s="67">
        <v>0</v>
      </c>
      <c r="X65" s="67">
        <v>1.4</v>
      </c>
      <c r="Y65" s="67">
        <v>3.4</v>
      </c>
      <c r="Z65" s="67">
        <v>3.1</v>
      </c>
      <c r="AA65" s="67">
        <v>3.1</v>
      </c>
      <c r="AB65" s="67">
        <v>1.9</v>
      </c>
      <c r="AC65" s="67">
        <v>1.9</v>
      </c>
      <c r="AD65" s="67">
        <v>0</v>
      </c>
      <c r="AE65" s="67">
        <v>0</v>
      </c>
      <c r="AF65" s="67">
        <v>0</v>
      </c>
      <c r="AG65" s="68">
        <v>14</v>
      </c>
      <c r="AH65" s="48">
        <f t="shared" si="2"/>
        <v>3.4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0</v>
      </c>
      <c r="M66" s="61">
        <f t="shared" ref="M66:AF66" si="8">M63+M64+M65</f>
        <v>0</v>
      </c>
      <c r="N66" s="61">
        <f t="shared" si="8"/>
        <v>0</v>
      </c>
      <c r="O66" s="61">
        <f t="shared" si="8"/>
        <v>0</v>
      </c>
      <c r="P66" s="61">
        <f t="shared" si="8"/>
        <v>0</v>
      </c>
      <c r="Q66" s="61">
        <f t="shared" si="8"/>
        <v>0</v>
      </c>
      <c r="R66" s="61">
        <f t="shared" si="8"/>
        <v>0</v>
      </c>
      <c r="S66" s="61">
        <f t="shared" si="8"/>
        <v>0</v>
      </c>
      <c r="T66" s="61">
        <f t="shared" si="8"/>
        <v>0</v>
      </c>
      <c r="U66" s="61">
        <f t="shared" si="8"/>
        <v>0</v>
      </c>
      <c r="V66" s="61">
        <f t="shared" si="8"/>
        <v>0</v>
      </c>
      <c r="W66" s="61">
        <f t="shared" si="8"/>
        <v>0</v>
      </c>
      <c r="X66" s="61">
        <f t="shared" si="8"/>
        <v>19.2</v>
      </c>
      <c r="Y66" s="61">
        <f t="shared" si="8"/>
        <v>32.799999999999997</v>
      </c>
      <c r="Z66" s="61">
        <f t="shared" si="8"/>
        <v>31.700000000000003</v>
      </c>
      <c r="AA66" s="61">
        <f t="shared" si="8"/>
        <v>31.700000000000003</v>
      </c>
      <c r="AB66" s="61">
        <f t="shared" si="8"/>
        <v>21.099999999999998</v>
      </c>
      <c r="AC66" s="61">
        <f t="shared" si="8"/>
        <v>21.099999999999998</v>
      </c>
      <c r="AD66" s="61">
        <f t="shared" si="8"/>
        <v>0</v>
      </c>
      <c r="AE66" s="61">
        <f t="shared" si="8"/>
        <v>0</v>
      </c>
      <c r="AF66" s="61">
        <f t="shared" si="8"/>
        <v>0</v>
      </c>
      <c r="AG66" s="62">
        <f t="shared" ref="AG66" si="9">SUM(AG63:AG65)</f>
        <v>106</v>
      </c>
      <c r="AH66" s="48">
        <f t="shared" si="2"/>
        <v>32.799999999999997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66</v>
      </c>
      <c r="C67" s="45">
        <v>65</v>
      </c>
      <c r="D67" s="45">
        <v>64</v>
      </c>
      <c r="E67" s="45">
        <v>67</v>
      </c>
      <c r="F67" s="45">
        <v>70</v>
      </c>
      <c r="G67" s="45">
        <v>66</v>
      </c>
      <c r="H67" s="45">
        <v>70</v>
      </c>
      <c r="I67" s="45">
        <v>71</v>
      </c>
      <c r="J67" s="45">
        <v>58</v>
      </c>
      <c r="K67" s="45">
        <v>52</v>
      </c>
      <c r="L67" s="45">
        <v>46</v>
      </c>
      <c r="M67" s="45">
        <v>41.8</v>
      </c>
      <c r="N67" s="45">
        <v>23</v>
      </c>
      <c r="O67" s="45">
        <v>33.5</v>
      </c>
      <c r="P67" s="45">
        <v>54</v>
      </c>
      <c r="Q67" s="45">
        <v>54</v>
      </c>
      <c r="R67" s="45">
        <v>68</v>
      </c>
      <c r="S67" s="45">
        <v>77</v>
      </c>
      <c r="T67" s="45">
        <v>72.5</v>
      </c>
      <c r="U67" s="45">
        <v>64.2</v>
      </c>
      <c r="V67" s="45">
        <v>46</v>
      </c>
      <c r="W67" s="45">
        <v>43.3</v>
      </c>
      <c r="X67" s="45">
        <v>40.299999999999997</v>
      </c>
      <c r="Y67" s="45">
        <v>52</v>
      </c>
      <c r="Z67" s="45">
        <v>50</v>
      </c>
      <c r="AA67" s="45">
        <v>58.3</v>
      </c>
      <c r="AB67" s="45">
        <v>71.2</v>
      </c>
      <c r="AC67" s="45">
        <v>71.2</v>
      </c>
      <c r="AD67" s="45">
        <v>60</v>
      </c>
      <c r="AE67" s="45">
        <v>65</v>
      </c>
      <c r="AF67" s="45">
        <v>68</v>
      </c>
      <c r="AG67" s="52"/>
      <c r="AH67" s="48">
        <f t="shared" si="2"/>
        <v>77</v>
      </c>
      <c r="AI67" s="49">
        <f t="shared" si="3"/>
        <v>23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300</v>
      </c>
      <c r="C69" s="65">
        <v>287</v>
      </c>
      <c r="D69" s="65">
        <v>268</v>
      </c>
      <c r="E69" s="65">
        <v>257</v>
      </c>
      <c r="F69" s="65">
        <v>270</v>
      </c>
      <c r="G69" s="65">
        <v>266.8</v>
      </c>
      <c r="H69" s="65">
        <v>310</v>
      </c>
      <c r="I69" s="65">
        <v>328.4</v>
      </c>
      <c r="J69" s="65">
        <v>294</v>
      </c>
      <c r="K69" s="65">
        <v>233</v>
      </c>
      <c r="L69" s="65">
        <v>118</v>
      </c>
      <c r="M69" s="65">
        <v>62</v>
      </c>
      <c r="N69" s="65">
        <v>25</v>
      </c>
      <c r="O69" s="65">
        <v>25</v>
      </c>
      <c r="P69" s="65">
        <v>168</v>
      </c>
      <c r="Q69" s="65">
        <v>200</v>
      </c>
      <c r="R69" s="65">
        <v>219</v>
      </c>
      <c r="S69" s="65">
        <v>260</v>
      </c>
      <c r="T69" s="65">
        <v>275</v>
      </c>
      <c r="U69" s="65">
        <v>285</v>
      </c>
      <c r="V69" s="65">
        <v>308</v>
      </c>
      <c r="W69" s="65">
        <v>228</v>
      </c>
      <c r="X69" s="65">
        <v>128</v>
      </c>
      <c r="Y69" s="65">
        <v>192</v>
      </c>
      <c r="Z69" s="65">
        <v>181</v>
      </c>
      <c r="AA69" s="65">
        <v>153.1</v>
      </c>
      <c r="AB69" s="65">
        <v>206</v>
      </c>
      <c r="AC69" s="65">
        <v>266</v>
      </c>
      <c r="AD69" s="65">
        <v>257</v>
      </c>
      <c r="AE69" s="65">
        <v>215</v>
      </c>
      <c r="AF69" s="65">
        <v>225</v>
      </c>
      <c r="AG69" s="75"/>
      <c r="AH69" s="48">
        <f t="shared" si="2"/>
        <v>328.4</v>
      </c>
      <c r="AI69" s="49">
        <f t="shared" si="3"/>
        <v>25</v>
      </c>
      <c r="AK69" s="50"/>
    </row>
    <row r="70" spans="1:40" x14ac:dyDescent="0.25">
      <c r="A70" s="54" t="s">
        <v>78</v>
      </c>
      <c r="B70" s="76">
        <v>58.6</v>
      </c>
      <c r="C70" s="76">
        <v>58.6</v>
      </c>
      <c r="D70" s="76">
        <v>58</v>
      </c>
      <c r="E70" s="76">
        <v>58</v>
      </c>
      <c r="F70" s="76">
        <v>58</v>
      </c>
      <c r="G70" s="76">
        <v>58</v>
      </c>
      <c r="H70" s="76">
        <v>58</v>
      </c>
      <c r="I70" s="76">
        <v>58</v>
      </c>
      <c r="J70" s="76">
        <v>58</v>
      </c>
      <c r="K70" s="76">
        <v>58</v>
      </c>
      <c r="L70" s="76">
        <v>58</v>
      </c>
      <c r="M70" s="76">
        <v>56.5</v>
      </c>
      <c r="N70" s="76">
        <v>56.5</v>
      </c>
      <c r="O70" s="76">
        <v>56.5</v>
      </c>
      <c r="P70" s="76">
        <v>32</v>
      </c>
      <c r="Q70" s="76">
        <v>32</v>
      </c>
      <c r="R70" s="76">
        <v>28</v>
      </c>
      <c r="S70" s="76">
        <v>54.8</v>
      </c>
      <c r="T70" s="76">
        <v>55.4</v>
      </c>
      <c r="U70" s="76">
        <v>45.5</v>
      </c>
      <c r="V70" s="76">
        <v>38.799999999999997</v>
      </c>
      <c r="W70" s="76">
        <v>36.5</v>
      </c>
      <c r="X70" s="65">
        <v>38.5</v>
      </c>
      <c r="Y70" s="65">
        <v>41.5</v>
      </c>
      <c r="Z70" s="65">
        <v>44.2</v>
      </c>
      <c r="AA70" s="65">
        <v>46.5</v>
      </c>
      <c r="AB70" s="65">
        <v>46.5</v>
      </c>
      <c r="AC70" s="65">
        <v>46.5</v>
      </c>
      <c r="AD70" s="65">
        <v>46.2</v>
      </c>
      <c r="AE70" s="65">
        <v>39</v>
      </c>
      <c r="AF70" s="65">
        <v>42</v>
      </c>
      <c r="AG70" s="75"/>
      <c r="AH70" s="48">
        <f t="shared" si="2"/>
        <v>58.6</v>
      </c>
      <c r="AI70" s="49">
        <f t="shared" si="3"/>
        <v>28</v>
      </c>
      <c r="AK70" s="50"/>
    </row>
    <row r="71" spans="1:40" x14ac:dyDescent="0.25">
      <c r="A71" s="54" t="s">
        <v>79</v>
      </c>
      <c r="B71" s="45">
        <v>20</v>
      </c>
      <c r="C71" s="45">
        <v>20</v>
      </c>
      <c r="D71" s="45">
        <v>20</v>
      </c>
      <c r="E71" s="45">
        <v>20</v>
      </c>
      <c r="F71" s="45">
        <v>22</v>
      </c>
      <c r="G71" s="45">
        <v>22</v>
      </c>
      <c r="H71" s="45">
        <v>22</v>
      </c>
      <c r="I71" s="45">
        <v>22</v>
      </c>
      <c r="J71" s="45">
        <v>24</v>
      </c>
      <c r="K71" s="45">
        <v>26</v>
      </c>
      <c r="L71" s="45">
        <v>28</v>
      </c>
      <c r="M71" s="45">
        <v>32</v>
      </c>
      <c r="N71" s="45">
        <v>32</v>
      </c>
      <c r="O71" s="45">
        <v>32</v>
      </c>
      <c r="P71" s="45">
        <v>32</v>
      </c>
      <c r="Q71" s="45">
        <v>32</v>
      </c>
      <c r="R71" s="45">
        <v>52</v>
      </c>
      <c r="S71" s="45">
        <v>26</v>
      </c>
      <c r="T71" s="45">
        <v>26</v>
      </c>
      <c r="U71" s="45">
        <v>26</v>
      </c>
      <c r="V71" s="45">
        <v>26</v>
      </c>
      <c r="W71" s="45">
        <v>26</v>
      </c>
      <c r="X71" s="45">
        <v>14</v>
      </c>
      <c r="Y71" s="45">
        <v>14</v>
      </c>
      <c r="Z71" s="45">
        <v>14</v>
      </c>
      <c r="AA71" s="45">
        <v>24</v>
      </c>
      <c r="AB71" s="45">
        <v>24</v>
      </c>
      <c r="AC71" s="45">
        <v>24</v>
      </c>
      <c r="AD71" s="45">
        <v>24</v>
      </c>
      <c r="AE71" s="45">
        <v>24</v>
      </c>
      <c r="AF71" s="45">
        <v>24</v>
      </c>
      <c r="AG71" s="75"/>
      <c r="AH71" s="48">
        <f t="shared" si="2"/>
        <v>52</v>
      </c>
      <c r="AI71" s="49">
        <f t="shared" si="3"/>
        <v>14</v>
      </c>
      <c r="AK71" s="50"/>
    </row>
    <row r="72" spans="1:40" x14ac:dyDescent="0.25">
      <c r="A72" s="54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8">
        <f t="shared" si="2"/>
        <v>5</v>
      </c>
      <c r="AI72" s="49">
        <f t="shared" si="3"/>
        <v>5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5</v>
      </c>
      <c r="C74" s="77">
        <v>5</v>
      </c>
      <c r="D74" s="77">
        <v>5</v>
      </c>
      <c r="E74" s="77">
        <v>5</v>
      </c>
      <c r="F74" s="77">
        <v>5</v>
      </c>
      <c r="G74" s="77">
        <v>5</v>
      </c>
      <c r="H74" s="77">
        <v>5</v>
      </c>
      <c r="I74" s="77">
        <v>5</v>
      </c>
      <c r="J74" s="77">
        <v>5</v>
      </c>
      <c r="K74" s="77">
        <v>5</v>
      </c>
      <c r="L74" s="77">
        <v>5</v>
      </c>
      <c r="M74" s="77">
        <v>5</v>
      </c>
      <c r="N74" s="77">
        <v>5</v>
      </c>
      <c r="O74" s="77">
        <v>5</v>
      </c>
      <c r="P74" s="77">
        <v>5</v>
      </c>
      <c r="Q74" s="77">
        <v>5</v>
      </c>
      <c r="R74" s="77">
        <v>5</v>
      </c>
      <c r="S74" s="77">
        <v>5</v>
      </c>
      <c r="T74" s="77">
        <v>5</v>
      </c>
      <c r="U74" s="77">
        <v>5</v>
      </c>
      <c r="V74" s="77">
        <v>5</v>
      </c>
      <c r="W74" s="77">
        <v>5</v>
      </c>
      <c r="X74" s="77">
        <v>5</v>
      </c>
      <c r="Y74" s="77">
        <v>5</v>
      </c>
      <c r="Z74" s="77">
        <v>5</v>
      </c>
      <c r="AA74" s="77">
        <v>5</v>
      </c>
      <c r="AB74" s="77">
        <v>5</v>
      </c>
      <c r="AC74" s="77">
        <v>5</v>
      </c>
      <c r="AD74" s="77">
        <v>5</v>
      </c>
      <c r="AE74" s="77">
        <v>5</v>
      </c>
      <c r="AF74" s="77">
        <v>5</v>
      </c>
      <c r="AG74" s="75"/>
      <c r="AH74" s="48">
        <f t="shared" si="2"/>
        <v>5</v>
      </c>
      <c r="AI74" s="49">
        <f t="shared" si="3"/>
        <v>5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8">
        <f t="shared" ref="AH75:AH113" si="10">MAX(B75:AF75)</f>
        <v>0</v>
      </c>
      <c r="AI75" s="49">
        <f t="shared" ref="AI75:AI113" si="11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0"/>
      <c r="AH76" s="48">
        <f t="shared" si="10"/>
        <v>0</v>
      </c>
      <c r="AI76" s="49">
        <f t="shared" si="11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0"/>
      <c r="AH77" s="48">
        <f t="shared" si="10"/>
        <v>0</v>
      </c>
      <c r="AI77" s="49">
        <f t="shared" si="11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v>398.6</v>
      </c>
      <c r="C78" s="61">
        <f t="shared" ref="C78:AF78" si="12">SUMIF(C67:C77,"&gt;0")</f>
        <v>440.6</v>
      </c>
      <c r="D78" s="61">
        <f t="shared" si="12"/>
        <v>420</v>
      </c>
      <c r="E78" s="61">
        <f t="shared" si="12"/>
        <v>412</v>
      </c>
      <c r="F78" s="61">
        <f t="shared" si="12"/>
        <v>430</v>
      </c>
      <c r="G78" s="61">
        <f t="shared" si="12"/>
        <v>422.8</v>
      </c>
      <c r="H78" s="61">
        <f t="shared" si="12"/>
        <v>470</v>
      </c>
      <c r="I78" s="61">
        <f t="shared" si="12"/>
        <v>489.4</v>
      </c>
      <c r="J78" s="61">
        <f t="shared" si="12"/>
        <v>444</v>
      </c>
      <c r="K78" s="61">
        <f t="shared" si="12"/>
        <v>379</v>
      </c>
      <c r="L78" s="61">
        <f t="shared" si="12"/>
        <v>260</v>
      </c>
      <c r="M78" s="61">
        <f t="shared" si="12"/>
        <v>202.3</v>
      </c>
      <c r="N78" s="61">
        <f t="shared" si="12"/>
        <v>146.5</v>
      </c>
      <c r="O78" s="61">
        <f t="shared" si="12"/>
        <v>157</v>
      </c>
      <c r="P78" s="61">
        <f t="shared" si="12"/>
        <v>296</v>
      </c>
      <c r="Q78" s="61">
        <f t="shared" si="12"/>
        <v>328</v>
      </c>
      <c r="R78" s="61">
        <f t="shared" si="12"/>
        <v>377</v>
      </c>
      <c r="S78" s="61">
        <f t="shared" si="12"/>
        <v>427.8</v>
      </c>
      <c r="T78" s="61">
        <f t="shared" si="12"/>
        <v>438.9</v>
      </c>
      <c r="U78" s="61">
        <f t="shared" si="12"/>
        <v>430.7</v>
      </c>
      <c r="V78" s="61">
        <f t="shared" si="12"/>
        <v>428.8</v>
      </c>
      <c r="W78" s="61">
        <f t="shared" si="12"/>
        <v>343.8</v>
      </c>
      <c r="X78" s="61">
        <f t="shared" si="12"/>
        <v>230.8</v>
      </c>
      <c r="Y78" s="61">
        <f t="shared" si="12"/>
        <v>309.5</v>
      </c>
      <c r="Z78" s="61">
        <f t="shared" si="12"/>
        <v>299.2</v>
      </c>
      <c r="AA78" s="61">
        <f t="shared" si="12"/>
        <v>291.89999999999998</v>
      </c>
      <c r="AB78" s="61">
        <f t="shared" si="12"/>
        <v>357.7</v>
      </c>
      <c r="AC78" s="61">
        <f t="shared" si="12"/>
        <v>417.7</v>
      </c>
      <c r="AD78" s="61">
        <f t="shared" si="12"/>
        <v>397.2</v>
      </c>
      <c r="AE78" s="61">
        <f t="shared" si="12"/>
        <v>353</v>
      </c>
      <c r="AF78" s="61">
        <f t="shared" si="12"/>
        <v>369</v>
      </c>
      <c r="AG78" s="81">
        <f>SUM(AG67:AG77)</f>
        <v>0</v>
      </c>
      <c r="AH78" s="48">
        <f t="shared" si="10"/>
        <v>489.4</v>
      </c>
      <c r="AI78" s="49">
        <f t="shared" si="11"/>
        <v>146.5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10"/>
        <v>0</v>
      </c>
      <c r="AI79" s="49">
        <f t="shared" si="11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10"/>
        <v>0</v>
      </c>
      <c r="AI80" s="49">
        <f t="shared" si="11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0"/>
        <v>0</v>
      </c>
      <c r="AI81" s="49">
        <f t="shared" si="11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10"/>
        <v>0</v>
      </c>
      <c r="AI82" s="49">
        <f t="shared" si="11"/>
        <v>0</v>
      </c>
    </row>
    <row r="83" spans="1:37" ht="15.75" thickBot="1" x14ac:dyDescent="0.3">
      <c r="A83" s="74" t="s">
        <v>91</v>
      </c>
      <c r="B83" s="83">
        <v>1168.6399999999999</v>
      </c>
      <c r="C83" s="83">
        <f t="shared" ref="C83:AG83" si="13">C44+C48+C66+C62+C78+C82</f>
        <v>1145.1399999999999</v>
      </c>
      <c r="D83" s="83">
        <f t="shared" si="13"/>
        <v>1095.44</v>
      </c>
      <c r="E83" s="83">
        <f t="shared" si="13"/>
        <v>1068.8399999999999</v>
      </c>
      <c r="F83" s="83">
        <f t="shared" si="13"/>
        <v>1086.8399999999999</v>
      </c>
      <c r="G83" s="83">
        <f t="shared" si="13"/>
        <v>1114.6399999999999</v>
      </c>
      <c r="H83" s="83">
        <f t="shared" si="13"/>
        <v>1167.2399999999998</v>
      </c>
      <c r="I83" s="83">
        <f t="shared" si="13"/>
        <v>1191.6399999999999</v>
      </c>
      <c r="J83" s="83">
        <f t="shared" si="13"/>
        <v>1268.54</v>
      </c>
      <c r="K83" s="83">
        <f t="shared" si="13"/>
        <v>1280.04</v>
      </c>
      <c r="L83" s="83">
        <f t="shared" si="13"/>
        <v>1274.54</v>
      </c>
      <c r="M83" s="83">
        <f t="shared" si="13"/>
        <v>1324.74</v>
      </c>
      <c r="N83" s="83">
        <f t="shared" si="13"/>
        <v>1287.6399999999999</v>
      </c>
      <c r="O83" s="83">
        <f t="shared" si="13"/>
        <v>1141.1400000000001</v>
      </c>
      <c r="P83" s="83">
        <f t="shared" si="13"/>
        <v>1253.8399999999999</v>
      </c>
      <c r="Q83" s="83">
        <f t="shared" si="13"/>
        <v>1235.44</v>
      </c>
      <c r="R83" s="83">
        <f t="shared" si="13"/>
        <v>1218.24</v>
      </c>
      <c r="S83" s="83">
        <f t="shared" si="13"/>
        <v>1222.1400000000001</v>
      </c>
      <c r="T83" s="83">
        <f t="shared" si="13"/>
        <v>1208.94</v>
      </c>
      <c r="U83" s="83">
        <f t="shared" si="13"/>
        <v>1167.1400000000001</v>
      </c>
      <c r="V83" s="83">
        <f t="shared" si="13"/>
        <v>1138.3399999999999</v>
      </c>
      <c r="W83" s="83">
        <f t="shared" si="13"/>
        <v>1144.94</v>
      </c>
      <c r="X83" s="83">
        <f t="shared" si="13"/>
        <v>1296.04</v>
      </c>
      <c r="Y83" s="83">
        <f t="shared" si="13"/>
        <v>1388.1399999999999</v>
      </c>
      <c r="Z83" s="83">
        <f t="shared" si="13"/>
        <v>1376.34</v>
      </c>
      <c r="AA83" s="83">
        <f t="shared" si="13"/>
        <v>1423.1399999999999</v>
      </c>
      <c r="AB83" s="83">
        <f t="shared" si="13"/>
        <v>1510.54</v>
      </c>
      <c r="AC83" s="83">
        <f t="shared" si="13"/>
        <v>1470.54</v>
      </c>
      <c r="AD83" s="83">
        <f t="shared" si="13"/>
        <v>1388.84</v>
      </c>
      <c r="AE83" s="83">
        <f t="shared" si="13"/>
        <v>1240.6399999999999</v>
      </c>
      <c r="AF83" s="83">
        <f t="shared" si="13"/>
        <v>1129.94</v>
      </c>
      <c r="AG83" s="62">
        <f t="shared" si="13"/>
        <v>2004.1900000000003</v>
      </c>
      <c r="AH83" s="48">
        <f>MAX(B83:AF83)</f>
        <v>1510.54</v>
      </c>
      <c r="AI83" s="49">
        <f>MIN(B83:AF83)</f>
        <v>1068.8399999999999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>
        <v>240</v>
      </c>
      <c r="M84" s="85">
        <v>250</v>
      </c>
      <c r="N84" s="85">
        <v>250</v>
      </c>
      <c r="O84" s="85">
        <v>230</v>
      </c>
      <c r="P84" s="85">
        <v>50</v>
      </c>
      <c r="Q84" s="85"/>
      <c r="R84" s="85"/>
      <c r="S84" s="85"/>
      <c r="T84" s="85"/>
      <c r="U84" s="85"/>
      <c r="V84" s="85">
        <v>100</v>
      </c>
      <c r="W84" s="85">
        <v>200</v>
      </c>
      <c r="X84" s="85">
        <v>200</v>
      </c>
      <c r="Y84" s="85">
        <v>160</v>
      </c>
      <c r="Z84" s="85">
        <v>160</v>
      </c>
      <c r="AA84" s="85"/>
      <c r="AB84" s="85"/>
      <c r="AC84" s="85"/>
      <c r="AD84" s="85"/>
      <c r="AE84" s="85"/>
      <c r="AF84" s="85"/>
      <c r="AG84" s="81"/>
      <c r="AH84" s="48">
        <f t="shared" si="10"/>
        <v>250</v>
      </c>
      <c r="AI84" s="49">
        <f t="shared" si="11"/>
        <v>50</v>
      </c>
    </row>
    <row r="85" spans="1:37" ht="15.75" thickBot="1" x14ac:dyDescent="0.3">
      <c r="A85" s="74" t="s">
        <v>93</v>
      </c>
      <c r="B85" s="83">
        <v>1168.6399999999999</v>
      </c>
      <c r="C85" s="83">
        <f t="shared" ref="C85:AF85" si="14">C83+C84</f>
        <v>1145.1399999999999</v>
      </c>
      <c r="D85" s="83">
        <f t="shared" si="14"/>
        <v>1095.44</v>
      </c>
      <c r="E85" s="83">
        <f t="shared" si="14"/>
        <v>1068.8399999999999</v>
      </c>
      <c r="F85" s="83">
        <f t="shared" si="14"/>
        <v>1086.8399999999999</v>
      </c>
      <c r="G85" s="83">
        <f t="shared" si="14"/>
        <v>1114.6399999999999</v>
      </c>
      <c r="H85" s="83">
        <f t="shared" si="14"/>
        <v>1167.2399999999998</v>
      </c>
      <c r="I85" s="83">
        <f t="shared" si="14"/>
        <v>1191.6399999999999</v>
      </c>
      <c r="J85" s="83">
        <f t="shared" si="14"/>
        <v>1268.54</v>
      </c>
      <c r="K85" s="83">
        <f t="shared" si="14"/>
        <v>1280.04</v>
      </c>
      <c r="L85" s="83">
        <f t="shared" si="14"/>
        <v>1514.54</v>
      </c>
      <c r="M85" s="83">
        <f t="shared" si="14"/>
        <v>1574.74</v>
      </c>
      <c r="N85" s="83">
        <f t="shared" si="14"/>
        <v>1537.6399999999999</v>
      </c>
      <c r="O85" s="83">
        <f t="shared" si="14"/>
        <v>1371.14</v>
      </c>
      <c r="P85" s="83">
        <f t="shared" si="14"/>
        <v>1303.8399999999999</v>
      </c>
      <c r="Q85" s="83">
        <f t="shared" si="14"/>
        <v>1235.44</v>
      </c>
      <c r="R85" s="83">
        <f t="shared" si="14"/>
        <v>1218.24</v>
      </c>
      <c r="S85" s="83">
        <f t="shared" si="14"/>
        <v>1222.1400000000001</v>
      </c>
      <c r="T85" s="83">
        <f t="shared" si="14"/>
        <v>1208.94</v>
      </c>
      <c r="U85" s="83">
        <f t="shared" si="14"/>
        <v>1167.1400000000001</v>
      </c>
      <c r="V85" s="83">
        <f t="shared" si="14"/>
        <v>1238.3399999999999</v>
      </c>
      <c r="W85" s="83">
        <f t="shared" si="14"/>
        <v>1344.94</v>
      </c>
      <c r="X85" s="83">
        <f t="shared" si="14"/>
        <v>1496.04</v>
      </c>
      <c r="Y85" s="83">
        <f t="shared" si="14"/>
        <v>1548.1399999999999</v>
      </c>
      <c r="Z85" s="83">
        <f t="shared" si="14"/>
        <v>1536.34</v>
      </c>
      <c r="AA85" s="83">
        <f t="shared" si="14"/>
        <v>1423.1399999999999</v>
      </c>
      <c r="AB85" s="83">
        <f t="shared" si="14"/>
        <v>1510.54</v>
      </c>
      <c r="AC85" s="83">
        <f t="shared" si="14"/>
        <v>1470.54</v>
      </c>
      <c r="AD85" s="83">
        <f t="shared" si="14"/>
        <v>1388.84</v>
      </c>
      <c r="AE85" s="83">
        <f t="shared" si="14"/>
        <v>1240.6399999999999</v>
      </c>
      <c r="AF85" s="83">
        <f t="shared" si="14"/>
        <v>1129.94</v>
      </c>
      <c r="AG85" s="81">
        <f>AG82+AG78+AG66+AG62+AG44+AG84</f>
        <v>1466.0900000000001</v>
      </c>
      <c r="AH85" s="48">
        <f t="shared" si="10"/>
        <v>1574.74</v>
      </c>
      <c r="AI85" s="49">
        <f t="shared" si="11"/>
        <v>1068.8399999999999</v>
      </c>
    </row>
    <row r="86" spans="1:37" ht="15.75" thickBot="1" x14ac:dyDescent="0.3">
      <c r="A86" s="74" t="s">
        <v>94</v>
      </c>
      <c r="B86" s="83">
        <v>1168.6399999999999</v>
      </c>
      <c r="C86" s="83">
        <f t="shared" ref="C86:AF86" si="15">C85-C93</f>
        <v>1145.1399999999999</v>
      </c>
      <c r="D86" s="83">
        <f t="shared" si="15"/>
        <v>1095.44</v>
      </c>
      <c r="E86" s="83">
        <f t="shared" si="15"/>
        <v>1068.8399999999999</v>
      </c>
      <c r="F86" s="83">
        <f t="shared" si="15"/>
        <v>1086.8399999999999</v>
      </c>
      <c r="G86" s="83">
        <f t="shared" si="15"/>
        <v>1114.6399999999999</v>
      </c>
      <c r="H86" s="83">
        <f t="shared" si="15"/>
        <v>1167.2399999999998</v>
      </c>
      <c r="I86" s="83">
        <f t="shared" si="15"/>
        <v>1191.6399999999999</v>
      </c>
      <c r="J86" s="83">
        <f t="shared" si="15"/>
        <v>1268.54</v>
      </c>
      <c r="K86" s="83">
        <f t="shared" si="15"/>
        <v>1280.04</v>
      </c>
      <c r="L86" s="83">
        <f t="shared" si="15"/>
        <v>1514.54</v>
      </c>
      <c r="M86" s="83">
        <f t="shared" si="15"/>
        <v>1574.74</v>
      </c>
      <c r="N86" s="83">
        <f t="shared" si="15"/>
        <v>1537.6399999999999</v>
      </c>
      <c r="O86" s="83">
        <f t="shared" si="15"/>
        <v>1371.14</v>
      </c>
      <c r="P86" s="83">
        <f t="shared" si="15"/>
        <v>1303.8399999999999</v>
      </c>
      <c r="Q86" s="83">
        <f t="shared" si="15"/>
        <v>1235.44</v>
      </c>
      <c r="R86" s="83">
        <f t="shared" si="15"/>
        <v>1218.24</v>
      </c>
      <c r="S86" s="83">
        <f t="shared" si="15"/>
        <v>1222.1400000000001</v>
      </c>
      <c r="T86" s="83">
        <f t="shared" si="15"/>
        <v>1208.94</v>
      </c>
      <c r="U86" s="83">
        <f t="shared" si="15"/>
        <v>1167.1400000000001</v>
      </c>
      <c r="V86" s="83">
        <f t="shared" si="15"/>
        <v>1238.3399999999999</v>
      </c>
      <c r="W86" s="83">
        <f t="shared" si="15"/>
        <v>1344.94</v>
      </c>
      <c r="X86" s="83">
        <f t="shared" si="15"/>
        <v>1496.04</v>
      </c>
      <c r="Y86" s="83">
        <f t="shared" si="15"/>
        <v>1548.1399999999999</v>
      </c>
      <c r="Z86" s="83">
        <f t="shared" si="15"/>
        <v>1536.34</v>
      </c>
      <c r="AA86" s="83">
        <f t="shared" si="15"/>
        <v>1423.1399999999999</v>
      </c>
      <c r="AB86" s="83">
        <f t="shared" si="15"/>
        <v>1510.54</v>
      </c>
      <c r="AC86" s="83">
        <f t="shared" si="15"/>
        <v>1470.54</v>
      </c>
      <c r="AD86" s="83">
        <f t="shared" si="15"/>
        <v>1388.84</v>
      </c>
      <c r="AE86" s="83">
        <f t="shared" si="15"/>
        <v>1240.6399999999999</v>
      </c>
      <c r="AF86" s="83">
        <f t="shared" si="15"/>
        <v>1129.94</v>
      </c>
      <c r="AG86" s="81"/>
      <c r="AH86" s="48">
        <f t="shared" si="10"/>
        <v>1574.74</v>
      </c>
      <c r="AI86" s="49">
        <f t="shared" si="11"/>
        <v>1068.8399999999999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10"/>
        <v>0</v>
      </c>
      <c r="AI87" s="49">
        <f t="shared" si="11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10"/>
        <v>0</v>
      </c>
      <c r="AI88" s="49">
        <f t="shared" si="11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10"/>
        <v>0</v>
      </c>
      <c r="AI89" s="49">
        <f t="shared" si="11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10"/>
        <v>0</v>
      </c>
      <c r="AI90" s="49">
        <f t="shared" si="11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10"/>
        <v>0</v>
      </c>
      <c r="AI91" s="49">
        <f t="shared" si="11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10"/>
        <v>0</v>
      </c>
      <c r="AI92" s="49">
        <f t="shared" si="11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81"/>
      <c r="AH93" s="48">
        <f t="shared" si="10"/>
        <v>0</v>
      </c>
      <c r="AI93" s="49">
        <f t="shared" si="11"/>
        <v>0</v>
      </c>
      <c r="AK93" s="50"/>
    </row>
    <row r="94" spans="1:37" ht="15.75" thickBot="1" x14ac:dyDescent="0.3">
      <c r="A94" s="74" t="s">
        <v>99</v>
      </c>
      <c r="B94" s="61">
        <v>398.6</v>
      </c>
      <c r="C94" s="61">
        <f t="shared" ref="C94:AF94" si="16">C78-C93</f>
        <v>440.6</v>
      </c>
      <c r="D94" s="61">
        <f t="shared" si="16"/>
        <v>420</v>
      </c>
      <c r="E94" s="61">
        <f t="shared" si="16"/>
        <v>412</v>
      </c>
      <c r="F94" s="61">
        <f t="shared" si="16"/>
        <v>430</v>
      </c>
      <c r="G94" s="61">
        <f t="shared" si="16"/>
        <v>422.8</v>
      </c>
      <c r="H94" s="61">
        <f t="shared" si="16"/>
        <v>470</v>
      </c>
      <c r="I94" s="61">
        <f t="shared" si="16"/>
        <v>489.4</v>
      </c>
      <c r="J94" s="61">
        <f t="shared" si="16"/>
        <v>444</v>
      </c>
      <c r="K94" s="61">
        <f t="shared" si="16"/>
        <v>379</v>
      </c>
      <c r="L94" s="61">
        <f t="shared" si="16"/>
        <v>260</v>
      </c>
      <c r="M94" s="61">
        <f t="shared" si="16"/>
        <v>202.3</v>
      </c>
      <c r="N94" s="61">
        <f t="shared" si="16"/>
        <v>146.5</v>
      </c>
      <c r="O94" s="61">
        <f t="shared" si="16"/>
        <v>157</v>
      </c>
      <c r="P94" s="61">
        <f t="shared" si="16"/>
        <v>296</v>
      </c>
      <c r="Q94" s="61">
        <f t="shared" si="16"/>
        <v>328</v>
      </c>
      <c r="R94" s="61">
        <f t="shared" si="16"/>
        <v>377</v>
      </c>
      <c r="S94" s="61">
        <f t="shared" si="16"/>
        <v>427.8</v>
      </c>
      <c r="T94" s="61">
        <f t="shared" si="16"/>
        <v>438.9</v>
      </c>
      <c r="U94" s="61">
        <f t="shared" si="16"/>
        <v>430.7</v>
      </c>
      <c r="V94" s="61">
        <f t="shared" si="16"/>
        <v>428.8</v>
      </c>
      <c r="W94" s="61">
        <f t="shared" si="16"/>
        <v>343.8</v>
      </c>
      <c r="X94" s="61">
        <v>151.6</v>
      </c>
      <c r="Y94" s="61">
        <f t="shared" si="16"/>
        <v>309.5</v>
      </c>
      <c r="Z94" s="61">
        <f t="shared" si="16"/>
        <v>299.2</v>
      </c>
      <c r="AA94" s="61">
        <f t="shared" si="16"/>
        <v>291.89999999999998</v>
      </c>
      <c r="AB94" s="61">
        <f t="shared" si="16"/>
        <v>357.7</v>
      </c>
      <c r="AC94" s="61">
        <f t="shared" si="16"/>
        <v>417.7</v>
      </c>
      <c r="AD94" s="61">
        <f t="shared" si="16"/>
        <v>397.2</v>
      </c>
      <c r="AE94" s="61">
        <f t="shared" si="16"/>
        <v>353</v>
      </c>
      <c r="AF94" s="61">
        <f t="shared" si="16"/>
        <v>369</v>
      </c>
      <c r="AG94" s="81"/>
      <c r="AH94" s="48">
        <f t="shared" si="10"/>
        <v>489.4</v>
      </c>
      <c r="AI94" s="49">
        <f t="shared" si="11"/>
        <v>146.5</v>
      </c>
    </row>
    <row r="95" spans="1:37" x14ac:dyDescent="0.25">
      <c r="A95" s="88" t="s">
        <v>100</v>
      </c>
      <c r="B95" s="89">
        <v>50.02</v>
      </c>
      <c r="C95" s="89">
        <v>50.04</v>
      </c>
      <c r="D95" s="89">
        <v>50</v>
      </c>
      <c r="E95" s="89">
        <v>50.088999999999999</v>
      </c>
      <c r="F95" s="89">
        <v>49.978999999999999</v>
      </c>
      <c r="G95" s="89">
        <v>49.923999999999999</v>
      </c>
      <c r="H95" s="89">
        <v>50.094000000000001</v>
      </c>
      <c r="I95" s="89">
        <v>49.954000000000001</v>
      </c>
      <c r="J95" s="89">
        <v>49.984000000000002</v>
      </c>
      <c r="K95" s="89">
        <v>49.966999999999999</v>
      </c>
      <c r="L95" s="89">
        <v>50.045999999999999</v>
      </c>
      <c r="M95" s="89">
        <v>50.054000000000002</v>
      </c>
      <c r="N95" s="89">
        <v>49.942</v>
      </c>
      <c r="O95" s="89">
        <v>50.002000000000002</v>
      </c>
      <c r="P95" s="89">
        <v>50.161999999999999</v>
      </c>
      <c r="Q95" s="89">
        <v>50.094000000000001</v>
      </c>
      <c r="R95" s="89">
        <v>50.005000000000003</v>
      </c>
      <c r="S95" s="89">
        <v>50.048000000000002</v>
      </c>
      <c r="T95" s="89">
        <v>50.018999999999998</v>
      </c>
      <c r="U95" s="89">
        <v>49.613999999999997</v>
      </c>
      <c r="V95" s="89">
        <v>49.999000000000002</v>
      </c>
      <c r="W95" s="89">
        <v>50.16</v>
      </c>
      <c r="X95" s="89">
        <v>50.098999999999997</v>
      </c>
      <c r="Y95" s="89">
        <v>50.009</v>
      </c>
      <c r="Z95" s="89">
        <v>49.954000000000001</v>
      </c>
      <c r="AA95" s="89">
        <v>49.945999999999998</v>
      </c>
      <c r="AB95" s="89">
        <v>49.99</v>
      </c>
      <c r="AC95" s="89">
        <v>49.93</v>
      </c>
      <c r="AD95" s="89">
        <v>50.07</v>
      </c>
      <c r="AE95" s="89">
        <v>49.95</v>
      </c>
      <c r="AF95" s="89">
        <v>49.99</v>
      </c>
      <c r="AG95" s="90"/>
      <c r="AH95" s="48">
        <f t="shared" si="10"/>
        <v>50.161999999999999</v>
      </c>
      <c r="AI95" s="49">
        <f t="shared" si="11"/>
        <v>49.613999999999997</v>
      </c>
    </row>
    <row r="96" spans="1:37" x14ac:dyDescent="0.25">
      <c r="A96" s="91" t="s">
        <v>101</v>
      </c>
      <c r="B96" s="65">
        <v>127.8</v>
      </c>
      <c r="C96" s="65">
        <v>127.8</v>
      </c>
      <c r="D96" s="65">
        <v>127.8</v>
      </c>
      <c r="E96" s="65">
        <v>130</v>
      </c>
      <c r="F96" s="65">
        <v>130</v>
      </c>
      <c r="G96" s="65">
        <v>129</v>
      </c>
      <c r="H96" s="65">
        <v>128.5</v>
      </c>
      <c r="I96" s="65">
        <v>128.69999999999999</v>
      </c>
      <c r="J96" s="65">
        <v>127</v>
      </c>
      <c r="K96" s="65">
        <v>128</v>
      </c>
      <c r="L96" s="65">
        <v>128</v>
      </c>
      <c r="M96" s="65">
        <v>126.5</v>
      </c>
      <c r="N96" s="65">
        <v>127.3</v>
      </c>
      <c r="O96" s="65">
        <v>128.9</v>
      </c>
      <c r="P96" s="65">
        <v>126.4</v>
      </c>
      <c r="Q96" s="65">
        <v>127.3</v>
      </c>
      <c r="R96" s="65">
        <v>128.30000000000001</v>
      </c>
      <c r="S96" s="65">
        <v>128.1</v>
      </c>
      <c r="T96" s="65">
        <v>128.69999999999999</v>
      </c>
      <c r="U96" s="65">
        <v>127</v>
      </c>
      <c r="V96" s="65">
        <v>130</v>
      </c>
      <c r="W96" s="65">
        <v>129.69999999999999</v>
      </c>
      <c r="X96" s="65">
        <v>128</v>
      </c>
      <c r="Y96" s="65">
        <v>127.9</v>
      </c>
      <c r="Z96" s="65">
        <v>127.9</v>
      </c>
      <c r="AA96" s="65">
        <v>127.3</v>
      </c>
      <c r="AB96" s="65">
        <v>126</v>
      </c>
      <c r="AC96" s="65">
        <v>127</v>
      </c>
      <c r="AD96" s="65">
        <v>127</v>
      </c>
      <c r="AE96" s="65">
        <v>129</v>
      </c>
      <c r="AF96" s="65">
        <v>129</v>
      </c>
      <c r="AG96" s="92"/>
      <c r="AH96" s="48">
        <f t="shared" si="10"/>
        <v>130</v>
      </c>
      <c r="AI96" s="49">
        <f t="shared" si="11"/>
        <v>126</v>
      </c>
    </row>
    <row r="97" spans="1:35" x14ac:dyDescent="0.25">
      <c r="A97" s="91" t="s">
        <v>102</v>
      </c>
      <c r="B97" s="65">
        <v>131.80000000000001</v>
      </c>
      <c r="C97" s="65">
        <v>132.4</v>
      </c>
      <c r="D97" s="65">
        <v>132.4</v>
      </c>
      <c r="E97" s="65">
        <v>133</v>
      </c>
      <c r="F97" s="65">
        <v>133</v>
      </c>
      <c r="G97" s="65">
        <v>133</v>
      </c>
      <c r="H97" s="65">
        <v>132</v>
      </c>
      <c r="I97" s="65">
        <v>132</v>
      </c>
      <c r="J97" s="65">
        <v>130.5</v>
      </c>
      <c r="K97" s="65">
        <v>130.9</v>
      </c>
      <c r="L97" s="65">
        <v>130</v>
      </c>
      <c r="M97" s="65">
        <v>128.30000000000001</v>
      </c>
      <c r="N97" s="65">
        <v>129.19999999999999</v>
      </c>
      <c r="O97" s="65">
        <v>131.4</v>
      </c>
      <c r="P97" s="65">
        <v>128.9</v>
      </c>
      <c r="Q97" s="65">
        <v>130.19999999999999</v>
      </c>
      <c r="R97" s="65">
        <v>131</v>
      </c>
      <c r="S97" s="65">
        <v>130.80000000000001</v>
      </c>
      <c r="T97" s="65">
        <v>131.80000000000001</v>
      </c>
      <c r="U97" s="65">
        <v>130.6</v>
      </c>
      <c r="V97" s="65">
        <v>132.30000000000001</v>
      </c>
      <c r="W97" s="65">
        <v>131.19999999999999</v>
      </c>
      <c r="X97" s="65">
        <v>129.4</v>
      </c>
      <c r="Y97" s="65">
        <v>129.30000000000001</v>
      </c>
      <c r="Z97" s="65">
        <v>129.4</v>
      </c>
      <c r="AA97" s="65">
        <v>128.69999999999999</v>
      </c>
      <c r="AB97" s="65">
        <v>128.1</v>
      </c>
      <c r="AC97" s="65">
        <v>129</v>
      </c>
      <c r="AD97" s="65">
        <v>129</v>
      </c>
      <c r="AE97" s="65">
        <v>132</v>
      </c>
      <c r="AF97" s="65">
        <v>132</v>
      </c>
      <c r="AG97" s="92"/>
      <c r="AH97" s="48">
        <f t="shared" si="10"/>
        <v>133</v>
      </c>
      <c r="AI97" s="49">
        <f t="shared" si="11"/>
        <v>128.1</v>
      </c>
    </row>
    <row r="98" spans="1:35" x14ac:dyDescent="0.25">
      <c r="A98" s="91" t="s">
        <v>103</v>
      </c>
      <c r="B98" s="65">
        <v>133.4</v>
      </c>
      <c r="C98" s="65">
        <v>131.9</v>
      </c>
      <c r="D98" s="65">
        <v>131.9</v>
      </c>
      <c r="E98" s="65">
        <v>133</v>
      </c>
      <c r="F98" s="65">
        <v>133</v>
      </c>
      <c r="G98" s="65">
        <v>130</v>
      </c>
      <c r="H98" s="65">
        <v>130</v>
      </c>
      <c r="I98" s="65">
        <v>129.4</v>
      </c>
      <c r="J98" s="65">
        <v>128</v>
      </c>
      <c r="K98" s="65">
        <v>127.9</v>
      </c>
      <c r="L98" s="65">
        <v>130.80000000000001</v>
      </c>
      <c r="M98" s="65">
        <v>131.5</v>
      </c>
      <c r="N98" s="65">
        <v>134.6</v>
      </c>
      <c r="O98" s="65">
        <v>131.5</v>
      </c>
      <c r="P98" s="65">
        <v>128.5</v>
      </c>
      <c r="Q98" s="65">
        <v>130.19999999999999</v>
      </c>
      <c r="R98" s="65">
        <v>128.9</v>
      </c>
      <c r="S98" s="65">
        <v>130</v>
      </c>
      <c r="T98" s="65">
        <v>131.69999999999999</v>
      </c>
      <c r="U98" s="65">
        <v>130.69999999999999</v>
      </c>
      <c r="V98" s="65">
        <v>132.80000000000001</v>
      </c>
      <c r="W98" s="65">
        <v>132.4</v>
      </c>
      <c r="X98" s="65">
        <v>129.6</v>
      </c>
      <c r="Y98" s="65">
        <v>130.9</v>
      </c>
      <c r="Z98" s="65">
        <v>131.19999999999999</v>
      </c>
      <c r="AA98" s="65">
        <v>130</v>
      </c>
      <c r="AB98" s="65">
        <v>131.6</v>
      </c>
      <c r="AC98" s="65">
        <v>132</v>
      </c>
      <c r="AD98" s="65">
        <v>132</v>
      </c>
      <c r="AE98" s="65">
        <v>131</v>
      </c>
      <c r="AF98" s="65">
        <v>130</v>
      </c>
      <c r="AG98" s="92"/>
      <c r="AH98" s="48">
        <f t="shared" si="10"/>
        <v>134.6</v>
      </c>
      <c r="AI98" s="49">
        <f t="shared" si="11"/>
        <v>127.9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0"/>
        <v>0</v>
      </c>
      <c r="AI99" s="49">
        <f t="shared" si="11"/>
        <v>0</v>
      </c>
    </row>
    <row r="100" spans="1:35" x14ac:dyDescent="0.25">
      <c r="A100" s="93" t="s">
        <v>105</v>
      </c>
      <c r="B100" s="94">
        <v>133.1</v>
      </c>
      <c r="C100" s="94">
        <v>132.6</v>
      </c>
      <c r="D100" s="94">
        <v>132.6</v>
      </c>
      <c r="E100" s="94">
        <v>135</v>
      </c>
      <c r="F100" s="94">
        <v>135</v>
      </c>
      <c r="G100" s="94">
        <v>133.5</v>
      </c>
      <c r="H100" s="94">
        <v>134.69999999999999</v>
      </c>
      <c r="I100" s="94">
        <v>136</v>
      </c>
      <c r="J100" s="94">
        <v>133.69999999999999</v>
      </c>
      <c r="K100" s="94">
        <v>134</v>
      </c>
      <c r="L100" s="94">
        <v>132.5</v>
      </c>
      <c r="M100" s="94">
        <v>132.69999999999999</v>
      </c>
      <c r="N100" s="94">
        <v>134.69999999999999</v>
      </c>
      <c r="O100" s="94">
        <v>137.4</v>
      </c>
      <c r="P100" s="94">
        <v>135.69999999999999</v>
      </c>
      <c r="Q100" s="94">
        <v>133.19999999999999</v>
      </c>
      <c r="R100" s="94">
        <v>135</v>
      </c>
      <c r="S100" s="94">
        <v>135</v>
      </c>
      <c r="T100" s="94">
        <v>135.30000000000001</v>
      </c>
      <c r="U100" s="94">
        <v>132.9</v>
      </c>
      <c r="V100" s="94">
        <v>136</v>
      </c>
      <c r="W100" s="94">
        <v>134.9</v>
      </c>
      <c r="X100" s="94">
        <v>131.19999999999999</v>
      </c>
      <c r="Y100" s="94">
        <v>136</v>
      </c>
      <c r="Z100" s="94">
        <v>136.9</v>
      </c>
      <c r="AA100" s="94">
        <v>136</v>
      </c>
      <c r="AB100" s="94">
        <v>135.19999999999999</v>
      </c>
      <c r="AC100" s="94">
        <v>137</v>
      </c>
      <c r="AD100" s="94">
        <v>137</v>
      </c>
      <c r="AE100" s="94">
        <v>136</v>
      </c>
      <c r="AF100" s="94">
        <v>135</v>
      </c>
      <c r="AG100" s="95"/>
      <c r="AH100" s="48">
        <f t="shared" si="10"/>
        <v>137.4</v>
      </c>
      <c r="AI100" s="49">
        <f t="shared" si="11"/>
        <v>131.19999999999999</v>
      </c>
    </row>
    <row r="101" spans="1:35" x14ac:dyDescent="0.25">
      <c r="A101" s="91" t="s">
        <v>106</v>
      </c>
      <c r="B101" s="65">
        <v>131.1</v>
      </c>
      <c r="C101" s="65">
        <v>131.19999999999999</v>
      </c>
      <c r="D101" s="65">
        <v>131.19999999999999</v>
      </c>
      <c r="E101" s="65">
        <v>130</v>
      </c>
      <c r="F101" s="65">
        <v>130</v>
      </c>
      <c r="G101" s="65">
        <v>130</v>
      </c>
      <c r="H101" s="65">
        <v>129</v>
      </c>
      <c r="I101" s="65">
        <v>130</v>
      </c>
      <c r="J101" s="65">
        <v>132</v>
      </c>
      <c r="K101" s="65">
        <v>135</v>
      </c>
      <c r="L101" s="65">
        <v>131.9</v>
      </c>
      <c r="M101" s="65">
        <v>134</v>
      </c>
      <c r="N101" s="65">
        <v>134.1</v>
      </c>
      <c r="O101" s="65">
        <v>129.97999999999999</v>
      </c>
      <c r="P101" s="65">
        <v>129</v>
      </c>
      <c r="Q101" s="65">
        <v>125.8</v>
      </c>
      <c r="R101" s="65">
        <v>130.5</v>
      </c>
      <c r="S101" s="65">
        <v>135.19999999999999</v>
      </c>
      <c r="T101" s="65">
        <v>128.6</v>
      </c>
      <c r="U101" s="65">
        <v>131.69999999999999</v>
      </c>
      <c r="V101" s="65">
        <v>134.1</v>
      </c>
      <c r="W101" s="65">
        <v>134</v>
      </c>
      <c r="X101" s="65">
        <v>129.1</v>
      </c>
      <c r="Y101" s="65">
        <v>133</v>
      </c>
      <c r="Z101" s="65">
        <v>134.30000000000001</v>
      </c>
      <c r="AA101" s="65">
        <v>133.6</v>
      </c>
      <c r="AB101" s="65">
        <v>126.5</v>
      </c>
      <c r="AC101" s="65">
        <v>132</v>
      </c>
      <c r="AD101" s="65">
        <v>132</v>
      </c>
      <c r="AE101" s="65">
        <v>132</v>
      </c>
      <c r="AF101" s="65">
        <v>131</v>
      </c>
      <c r="AG101" s="92"/>
      <c r="AH101" s="48">
        <f t="shared" si="10"/>
        <v>135.19999999999999</v>
      </c>
      <c r="AI101" s="49">
        <f t="shared" si="11"/>
        <v>125.8</v>
      </c>
    </row>
    <row r="102" spans="1:35" ht="15.75" thickBot="1" x14ac:dyDescent="0.3">
      <c r="A102" s="91" t="s">
        <v>107</v>
      </c>
      <c r="B102" s="96">
        <v>66.5</v>
      </c>
      <c r="C102" s="96">
        <v>66.900000000000006</v>
      </c>
      <c r="D102" s="96">
        <v>66.900000000000006</v>
      </c>
      <c r="E102" s="96">
        <v>67.8</v>
      </c>
      <c r="F102" s="96">
        <v>67.8</v>
      </c>
      <c r="G102" s="96">
        <v>67.3</v>
      </c>
      <c r="H102" s="96">
        <v>67</v>
      </c>
      <c r="I102" s="96">
        <v>66</v>
      </c>
      <c r="J102" s="96">
        <v>65.8</v>
      </c>
      <c r="K102" s="96">
        <v>65.8</v>
      </c>
      <c r="L102" s="96">
        <v>64.849999999999994</v>
      </c>
      <c r="M102" s="96">
        <v>63.9</v>
      </c>
      <c r="N102" s="96">
        <v>64.400000000000006</v>
      </c>
      <c r="O102" s="96">
        <v>65.5</v>
      </c>
      <c r="P102" s="96">
        <v>64.8</v>
      </c>
      <c r="Q102" s="96">
        <v>65.3</v>
      </c>
      <c r="R102" s="96">
        <v>65.8</v>
      </c>
      <c r="S102" s="96">
        <v>65.7</v>
      </c>
      <c r="T102" s="96">
        <v>66.400000000000006</v>
      </c>
      <c r="U102" s="96">
        <v>65.8</v>
      </c>
      <c r="V102" s="96">
        <v>66.599999999999994</v>
      </c>
      <c r="W102" s="96">
        <v>65.8</v>
      </c>
      <c r="X102" s="96">
        <v>64.900000000000006</v>
      </c>
      <c r="Y102" s="96"/>
      <c r="Z102" s="96">
        <v>64.8</v>
      </c>
      <c r="AA102" s="96">
        <v>64.400000000000006</v>
      </c>
      <c r="AB102" s="96">
        <v>64.3</v>
      </c>
      <c r="AC102" s="96">
        <v>64.8</v>
      </c>
      <c r="AD102" s="96">
        <v>64.8</v>
      </c>
      <c r="AE102" s="96">
        <v>66.7</v>
      </c>
      <c r="AF102" s="96">
        <v>66.400000000000006</v>
      </c>
      <c r="AG102" s="97"/>
      <c r="AH102" s="48">
        <f t="shared" si="10"/>
        <v>67.8</v>
      </c>
      <c r="AI102" s="49">
        <f t="shared" si="11"/>
        <v>63.9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0"/>
        <v>0</v>
      </c>
      <c r="AI103" s="49">
        <f t="shared" si="11"/>
        <v>0</v>
      </c>
    </row>
    <row r="104" spans="1:35" ht="15.75" thickBot="1" x14ac:dyDescent="0.3">
      <c r="A104" s="99" t="s">
        <v>108</v>
      </c>
      <c r="B104" s="100">
        <v>194.6</v>
      </c>
      <c r="C104" s="100">
        <f t="shared" ref="C104:AF104" si="17">SUM(C16,C22,C25:C26,C52,C54:C55,C57,C59,C105:C109,C131,C137,C143,C152,C154,C166,C173,C176:C177,C184,C186,C188,C192:C194,C196:C198,C203,C209:C210,C212:C214,C222,C227)</f>
        <v>128.54</v>
      </c>
      <c r="D104" s="100">
        <f t="shared" si="17"/>
        <v>124.03999999999999</v>
      </c>
      <c r="E104" s="100">
        <f t="shared" si="17"/>
        <v>121.44</v>
      </c>
      <c r="F104" s="100">
        <f t="shared" si="17"/>
        <v>125.94</v>
      </c>
      <c r="G104" s="100">
        <f t="shared" si="17"/>
        <v>143.34</v>
      </c>
      <c r="H104" s="100">
        <f t="shared" si="17"/>
        <v>174.34</v>
      </c>
      <c r="I104" s="100">
        <f t="shared" si="17"/>
        <v>213.73999999999998</v>
      </c>
      <c r="J104" s="100">
        <f t="shared" si="17"/>
        <v>239.83999999999997</v>
      </c>
      <c r="K104" s="100">
        <f t="shared" si="17"/>
        <v>451.94</v>
      </c>
      <c r="L104" s="100">
        <f t="shared" si="17"/>
        <v>321.03999999999996</v>
      </c>
      <c r="M104" s="100">
        <f t="shared" si="17"/>
        <v>354.24</v>
      </c>
      <c r="N104" s="100">
        <f t="shared" si="17"/>
        <v>352.44</v>
      </c>
      <c r="O104" s="100">
        <f t="shared" si="17"/>
        <v>317.04000000000002</v>
      </c>
      <c r="P104" s="100">
        <v>42</v>
      </c>
      <c r="Q104" s="100">
        <f t="shared" si="17"/>
        <v>290.5</v>
      </c>
      <c r="R104" s="100">
        <f t="shared" si="17"/>
        <v>222.2</v>
      </c>
      <c r="S104" s="100">
        <f t="shared" si="17"/>
        <v>239.5</v>
      </c>
      <c r="T104" s="100">
        <f t="shared" si="17"/>
        <v>236.7</v>
      </c>
      <c r="U104" s="100">
        <f t="shared" si="17"/>
        <v>232.2</v>
      </c>
      <c r="V104" s="100">
        <f t="shared" si="17"/>
        <v>263.8</v>
      </c>
      <c r="W104" s="100">
        <f t="shared" si="17"/>
        <v>313.7</v>
      </c>
      <c r="X104" s="100">
        <v>390.59708333333339</v>
      </c>
      <c r="Y104" s="100">
        <f t="shared" si="17"/>
        <v>400.6</v>
      </c>
      <c r="Z104" s="100">
        <f t="shared" si="17"/>
        <v>399.09999999999997</v>
      </c>
      <c r="AA104" s="100">
        <f t="shared" si="17"/>
        <v>397.99999999999994</v>
      </c>
      <c r="AB104" s="100">
        <f t="shared" si="17"/>
        <v>364.1</v>
      </c>
      <c r="AC104" s="100">
        <f t="shared" si="17"/>
        <v>337</v>
      </c>
      <c r="AD104" s="100">
        <f t="shared" si="17"/>
        <v>335</v>
      </c>
      <c r="AE104" s="100">
        <f t="shared" si="17"/>
        <v>255</v>
      </c>
      <c r="AF104" s="100">
        <f t="shared" si="17"/>
        <v>180</v>
      </c>
      <c r="AG104" s="101"/>
      <c r="AH104" s="48">
        <f t="shared" si="10"/>
        <v>451.94</v>
      </c>
      <c r="AI104" s="49">
        <f t="shared" si="11"/>
        <v>42</v>
      </c>
    </row>
    <row r="105" spans="1:35" x14ac:dyDescent="0.25">
      <c r="A105" s="88" t="s">
        <v>109</v>
      </c>
      <c r="B105" s="102">
        <v>1.5</v>
      </c>
      <c r="C105" s="102">
        <v>-3.9</v>
      </c>
      <c r="D105" s="102">
        <v>-11.8</v>
      </c>
      <c r="E105" s="102">
        <v>-10</v>
      </c>
      <c r="F105" s="102">
        <v>-13.3</v>
      </c>
      <c r="G105" s="102">
        <v>-8.6</v>
      </c>
      <c r="H105" s="102">
        <v>0</v>
      </c>
      <c r="I105" s="102">
        <v>10</v>
      </c>
      <c r="J105" s="102">
        <v>13.8</v>
      </c>
      <c r="K105" s="102">
        <v>185</v>
      </c>
      <c r="L105" s="102">
        <v>25.2</v>
      </c>
      <c r="M105" s="102">
        <v>20.5</v>
      </c>
      <c r="N105" s="102">
        <v>23.9</v>
      </c>
      <c r="O105" s="102">
        <v>35.6</v>
      </c>
      <c r="P105" s="102">
        <v>34.4</v>
      </c>
      <c r="Q105" s="102">
        <v>37.700000000000003</v>
      </c>
      <c r="R105" s="102">
        <v>19.2</v>
      </c>
      <c r="S105" s="102">
        <v>15.2</v>
      </c>
      <c r="T105" s="102">
        <v>15.4</v>
      </c>
      <c r="U105" s="102">
        <v>16.5</v>
      </c>
      <c r="V105" s="102">
        <v>11.2</v>
      </c>
      <c r="W105" s="102">
        <v>27.1</v>
      </c>
      <c r="X105" s="102">
        <v>27.1</v>
      </c>
      <c r="Y105" s="102">
        <v>37.200000000000003</v>
      </c>
      <c r="Z105" s="102">
        <v>40.6</v>
      </c>
      <c r="AA105" s="102">
        <v>53.2</v>
      </c>
      <c r="AB105" s="102">
        <v>54.1</v>
      </c>
      <c r="AC105" s="102">
        <v>54</v>
      </c>
      <c r="AD105" s="102">
        <v>53</v>
      </c>
      <c r="AE105" s="102">
        <v>56</v>
      </c>
      <c r="AF105" s="102">
        <v>27</v>
      </c>
      <c r="AG105" s="103">
        <v>75</v>
      </c>
      <c r="AH105" s="48">
        <f t="shared" si="10"/>
        <v>185</v>
      </c>
      <c r="AI105" s="49">
        <f t="shared" si="11"/>
        <v>-13.3</v>
      </c>
    </row>
    <row r="106" spans="1:35" x14ac:dyDescent="0.25">
      <c r="A106" s="91" t="s">
        <v>110</v>
      </c>
      <c r="B106" s="104">
        <v>2.5</v>
      </c>
      <c r="C106" s="104">
        <v>-5.3</v>
      </c>
      <c r="D106" s="104">
        <v>-13.9</v>
      </c>
      <c r="E106" s="104">
        <v>-12.5</v>
      </c>
      <c r="F106" s="104">
        <v>-15.1</v>
      </c>
      <c r="G106" s="104">
        <v>-12.1</v>
      </c>
      <c r="H106" s="104">
        <v>0.6</v>
      </c>
      <c r="I106" s="104">
        <v>10</v>
      </c>
      <c r="J106" s="104">
        <v>20.7</v>
      </c>
      <c r="K106" s="104">
        <v>26.5</v>
      </c>
      <c r="L106" s="104">
        <v>30.6</v>
      </c>
      <c r="M106" s="104">
        <v>23.4</v>
      </c>
      <c r="N106" s="104">
        <v>28.9</v>
      </c>
      <c r="O106" s="104">
        <v>48.8</v>
      </c>
      <c r="P106" s="104">
        <v>46.2</v>
      </c>
      <c r="Q106" s="104">
        <v>54.9</v>
      </c>
      <c r="R106" s="104">
        <v>27.6</v>
      </c>
      <c r="S106" s="104">
        <v>22.4</v>
      </c>
      <c r="T106" s="104">
        <v>21.1</v>
      </c>
      <c r="U106" s="104">
        <v>23.1</v>
      </c>
      <c r="V106" s="104">
        <v>12.9</v>
      </c>
      <c r="W106" s="104">
        <v>33</v>
      </c>
      <c r="X106" s="104">
        <v>33</v>
      </c>
      <c r="Y106" s="104">
        <v>43.8</v>
      </c>
      <c r="Z106" s="104">
        <v>49.6</v>
      </c>
      <c r="AA106" s="104">
        <v>67.599999999999994</v>
      </c>
      <c r="AB106" s="104">
        <v>71</v>
      </c>
      <c r="AC106" s="104">
        <v>72</v>
      </c>
      <c r="AD106" s="104">
        <v>71</v>
      </c>
      <c r="AE106" s="104">
        <v>76</v>
      </c>
      <c r="AF106" s="104">
        <v>37</v>
      </c>
      <c r="AG106" s="103">
        <v>240</v>
      </c>
      <c r="AH106" s="48">
        <f t="shared" si="10"/>
        <v>76</v>
      </c>
      <c r="AI106" s="49">
        <f t="shared" si="11"/>
        <v>-15.1</v>
      </c>
    </row>
    <row r="107" spans="1:35" x14ac:dyDescent="0.25">
      <c r="A107" s="91" t="s">
        <v>111</v>
      </c>
      <c r="B107" s="104">
        <v>-52</v>
      </c>
      <c r="C107" s="104">
        <f>-27-28.2</f>
        <v>-55.2</v>
      </c>
      <c r="D107" s="104">
        <v>-48</v>
      </c>
      <c r="E107" s="104">
        <v>-50</v>
      </c>
      <c r="F107" s="104">
        <v>-46</v>
      </c>
      <c r="G107" s="104">
        <v>-41</v>
      </c>
      <c r="H107" s="104">
        <v>-35.5</v>
      </c>
      <c r="I107" s="104">
        <v>-25</v>
      </c>
      <c r="J107" s="104">
        <v>-19</v>
      </c>
      <c r="K107" s="104">
        <v>4.2</v>
      </c>
      <c r="L107" s="104">
        <v>26</v>
      </c>
      <c r="M107" s="104">
        <v>47.6</v>
      </c>
      <c r="N107" s="104">
        <f>21.4+23.5</f>
        <v>44.9</v>
      </c>
      <c r="O107" s="104">
        <v>-9</v>
      </c>
      <c r="P107" s="104">
        <v>1</v>
      </c>
      <c r="Q107" s="104">
        <v>-12</v>
      </c>
      <c r="R107" s="104">
        <v>-34.200000000000003</v>
      </c>
      <c r="S107" s="104">
        <v>-28</v>
      </c>
      <c r="T107" s="104">
        <v>-19</v>
      </c>
      <c r="U107" s="104">
        <v>-19</v>
      </c>
      <c r="V107" s="104">
        <f>6.9+7.2</f>
        <v>14.100000000000001</v>
      </c>
      <c r="W107" s="104">
        <v>26</v>
      </c>
      <c r="X107" s="104">
        <v>26</v>
      </c>
      <c r="Y107" s="104">
        <v>60</v>
      </c>
      <c r="Z107" s="104">
        <v>52</v>
      </c>
      <c r="AA107" s="104">
        <v>28</v>
      </c>
      <c r="AB107" s="104">
        <f>1.6+7.5</f>
        <v>9.1</v>
      </c>
      <c r="AC107" s="104">
        <v>-10</v>
      </c>
      <c r="AD107" s="104">
        <v>-10</v>
      </c>
      <c r="AE107" s="104">
        <v>-45</v>
      </c>
      <c r="AF107" s="104">
        <v>-57</v>
      </c>
      <c r="AG107" s="103">
        <v>240</v>
      </c>
      <c r="AH107" s="48">
        <f t="shared" si="10"/>
        <v>60</v>
      </c>
      <c r="AI107" s="49">
        <f t="shared" si="11"/>
        <v>-57</v>
      </c>
    </row>
    <row r="108" spans="1:35" x14ac:dyDescent="0.25">
      <c r="A108" s="91" t="s">
        <v>112</v>
      </c>
      <c r="B108" s="104">
        <v>-3.2</v>
      </c>
      <c r="C108" s="104">
        <v>-6</v>
      </c>
      <c r="D108" s="104">
        <v>-4.9000000000000004</v>
      </c>
      <c r="E108" s="104">
        <v>-4.7</v>
      </c>
      <c r="F108" s="104">
        <v>-2.1</v>
      </c>
      <c r="G108" s="104">
        <v>-1.4</v>
      </c>
      <c r="H108" s="104">
        <v>0.9</v>
      </c>
      <c r="I108" s="104">
        <v>1</v>
      </c>
      <c r="J108" s="104">
        <v>3.6</v>
      </c>
      <c r="K108" s="104">
        <v>10.7</v>
      </c>
      <c r="L108" s="104">
        <v>17.7</v>
      </c>
      <c r="M108" s="104">
        <v>21.8</v>
      </c>
      <c r="N108" s="104">
        <v>22</v>
      </c>
      <c r="O108" s="104">
        <v>13</v>
      </c>
      <c r="P108" s="104">
        <v>12.9</v>
      </c>
      <c r="Q108" s="104">
        <v>11.3</v>
      </c>
      <c r="R108" s="104">
        <v>7</v>
      </c>
      <c r="S108" s="104">
        <v>9.4</v>
      </c>
      <c r="T108" s="104">
        <v>10</v>
      </c>
      <c r="U108" s="104">
        <v>9.1999999999999993</v>
      </c>
      <c r="V108" s="104">
        <v>14.1</v>
      </c>
      <c r="W108" s="104">
        <v>19</v>
      </c>
      <c r="X108" s="104">
        <v>19</v>
      </c>
      <c r="Y108" s="104">
        <v>41</v>
      </c>
      <c r="Z108" s="104">
        <v>40.299999999999997</v>
      </c>
      <c r="AA108" s="104">
        <v>39</v>
      </c>
      <c r="AB108" s="104">
        <v>33.6</v>
      </c>
      <c r="AC108" s="104">
        <v>19</v>
      </c>
      <c r="AD108" s="104">
        <v>19</v>
      </c>
      <c r="AE108" s="104">
        <v>9</v>
      </c>
      <c r="AF108" s="104">
        <v>4</v>
      </c>
      <c r="AG108" s="103">
        <v>60</v>
      </c>
      <c r="AH108" s="48">
        <f t="shared" si="10"/>
        <v>41</v>
      </c>
      <c r="AI108" s="49">
        <f t="shared" si="11"/>
        <v>-6</v>
      </c>
    </row>
    <row r="109" spans="1:35" x14ac:dyDescent="0.25">
      <c r="A109" s="105" t="s">
        <v>113</v>
      </c>
      <c r="B109" s="106">
        <v>82</v>
      </c>
      <c r="C109" s="106">
        <v>74.400000000000006</v>
      </c>
      <c r="D109" s="106">
        <v>77.3</v>
      </c>
      <c r="E109" s="106">
        <v>73.3</v>
      </c>
      <c r="F109" s="106">
        <v>77.099999999999994</v>
      </c>
      <c r="G109" s="106">
        <v>84</v>
      </c>
      <c r="H109" s="106">
        <v>86</v>
      </c>
      <c r="I109" s="106">
        <v>95</v>
      </c>
      <c r="J109" s="106">
        <v>95.7</v>
      </c>
      <c r="K109" s="106">
        <v>100.5</v>
      </c>
      <c r="L109" s="106">
        <v>96.5</v>
      </c>
      <c r="M109" s="106">
        <v>117</v>
      </c>
      <c r="N109" s="106">
        <v>109.1</v>
      </c>
      <c r="O109" s="106">
        <v>105</v>
      </c>
      <c r="P109" s="106">
        <v>93</v>
      </c>
      <c r="Q109" s="106">
        <v>78.900000000000006</v>
      </c>
      <c r="R109" s="106">
        <v>75.8</v>
      </c>
      <c r="S109" s="106">
        <v>87.5</v>
      </c>
      <c r="T109" s="106">
        <v>85</v>
      </c>
      <c r="U109" s="106">
        <v>77.400000000000006</v>
      </c>
      <c r="V109" s="106">
        <v>86.3</v>
      </c>
      <c r="W109" s="106">
        <v>91.6</v>
      </c>
      <c r="X109" s="106">
        <v>91.6</v>
      </c>
      <c r="Y109" s="106">
        <v>100</v>
      </c>
      <c r="Z109" s="106">
        <v>98</v>
      </c>
      <c r="AA109" s="106">
        <v>90.2</v>
      </c>
      <c r="AB109" s="106">
        <v>76.3</v>
      </c>
      <c r="AC109" s="106">
        <v>82</v>
      </c>
      <c r="AD109" s="106">
        <v>82</v>
      </c>
      <c r="AE109" s="106">
        <v>39</v>
      </c>
      <c r="AF109" s="106">
        <v>49</v>
      </c>
      <c r="AG109" s="107">
        <v>120</v>
      </c>
      <c r="AH109" s="48">
        <f t="shared" si="10"/>
        <v>117</v>
      </c>
      <c r="AI109" s="49">
        <f t="shared" si="11"/>
        <v>39</v>
      </c>
    </row>
    <row r="110" spans="1:35" x14ac:dyDescent="0.25">
      <c r="A110" s="105" t="s">
        <v>115</v>
      </c>
      <c r="B110" s="106">
        <v>100.2</v>
      </c>
      <c r="C110" s="106">
        <v>82.7</v>
      </c>
      <c r="D110" s="106">
        <v>82.5</v>
      </c>
      <c r="E110" s="106">
        <v>79.900000000000006</v>
      </c>
      <c r="F110" s="106">
        <v>77.739999999999995</v>
      </c>
      <c r="G110" s="106">
        <v>84.7</v>
      </c>
      <c r="H110" s="106">
        <v>86.7</v>
      </c>
      <c r="I110" s="106">
        <v>95</v>
      </c>
      <c r="J110" s="106">
        <v>88.1</v>
      </c>
      <c r="K110" s="106">
        <v>75.2</v>
      </c>
      <c r="L110" s="106">
        <v>73.2</v>
      </c>
      <c r="M110" s="106">
        <v>99.9</v>
      </c>
      <c r="N110" s="106">
        <v>89.9</v>
      </c>
      <c r="O110" s="106">
        <v>49.7</v>
      </c>
      <c r="P110" s="106">
        <v>78.599999999999994</v>
      </c>
      <c r="Q110" s="106">
        <v>78</v>
      </c>
      <c r="R110" s="106">
        <v>72</v>
      </c>
      <c r="S110" s="106">
        <v>87</v>
      </c>
      <c r="T110" s="106">
        <v>84</v>
      </c>
      <c r="U110" s="106">
        <v>72.8</v>
      </c>
      <c r="V110" s="106">
        <v>69.400000000000006</v>
      </c>
      <c r="W110" s="106">
        <v>64.599999999999994</v>
      </c>
      <c r="X110" s="106">
        <v>64.599999999999994</v>
      </c>
      <c r="Y110" s="106">
        <v>86.3</v>
      </c>
      <c r="Z110" s="106">
        <v>84</v>
      </c>
      <c r="AA110" s="106">
        <v>67</v>
      </c>
      <c r="AB110" s="106">
        <v>74</v>
      </c>
      <c r="AC110" s="106">
        <v>63</v>
      </c>
      <c r="AD110" s="106">
        <v>63</v>
      </c>
      <c r="AE110" s="106">
        <v>40</v>
      </c>
      <c r="AF110" s="106">
        <v>55</v>
      </c>
      <c r="AG110" s="107"/>
      <c r="AH110" s="48">
        <f t="shared" si="10"/>
        <v>100.2</v>
      </c>
      <c r="AI110" s="49">
        <f t="shared" si="11"/>
        <v>40</v>
      </c>
    </row>
    <row r="111" spans="1:35" x14ac:dyDescent="0.25">
      <c r="A111" s="105" t="s">
        <v>116</v>
      </c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>
        <v>24</v>
      </c>
      <c r="V111" s="106">
        <v>21.4</v>
      </c>
      <c r="W111" s="106">
        <v>11.1</v>
      </c>
      <c r="X111" s="106">
        <v>11.1</v>
      </c>
      <c r="Y111" s="106">
        <v>8</v>
      </c>
      <c r="Z111" s="106">
        <v>6.1</v>
      </c>
      <c r="AA111" s="106">
        <v>5.3</v>
      </c>
      <c r="AB111" s="106">
        <v>4.3</v>
      </c>
      <c r="AC111" s="106">
        <v>1.5</v>
      </c>
      <c r="AD111" s="106">
        <v>1.5</v>
      </c>
      <c r="AE111" s="106">
        <v>-5.4</v>
      </c>
      <c r="AF111" s="106">
        <v>23</v>
      </c>
      <c r="AG111" s="108"/>
      <c r="AH111" s="48">
        <f t="shared" si="10"/>
        <v>24</v>
      </c>
      <c r="AI111" s="49">
        <f t="shared" si="11"/>
        <v>-5.4</v>
      </c>
    </row>
    <row r="112" spans="1:35" x14ac:dyDescent="0.25">
      <c r="A112" s="109" t="s">
        <v>117</v>
      </c>
      <c r="B112" s="94">
        <v>31.6</v>
      </c>
      <c r="C112" s="94">
        <v>35.299999999999997</v>
      </c>
      <c r="D112" s="94">
        <v>37.6</v>
      </c>
      <c r="E112" s="94">
        <v>39.6</v>
      </c>
      <c r="F112" s="94">
        <v>41</v>
      </c>
      <c r="G112" s="94">
        <v>39.700000000000003</v>
      </c>
      <c r="H112" s="94">
        <v>31.2</v>
      </c>
      <c r="I112" s="94">
        <v>16</v>
      </c>
      <c r="J112" s="94">
        <v>9.9</v>
      </c>
      <c r="K112" s="94">
        <v>-1.1000000000000001</v>
      </c>
      <c r="L112" s="94">
        <v>-9.5</v>
      </c>
      <c r="M112" s="94">
        <v>-16.7</v>
      </c>
      <c r="N112" s="94">
        <v>-11.4</v>
      </c>
      <c r="O112" s="94">
        <v>0</v>
      </c>
      <c r="P112" s="94">
        <v>9.1</v>
      </c>
      <c r="Q112" s="94">
        <v>19.899999999999999</v>
      </c>
      <c r="R112" s="94">
        <v>23.4</v>
      </c>
      <c r="S112" s="94">
        <v>28.6</v>
      </c>
      <c r="T112" s="94">
        <v>27</v>
      </c>
      <c r="U112" s="94">
        <v>20</v>
      </c>
      <c r="V112" s="94">
        <v>0</v>
      </c>
      <c r="W112" s="94">
        <v>-18</v>
      </c>
      <c r="X112" s="94">
        <v>-18</v>
      </c>
      <c r="Y112" s="94">
        <v>-26</v>
      </c>
      <c r="Z112" s="94">
        <v>-20.2</v>
      </c>
      <c r="AA112" s="94">
        <v>-14</v>
      </c>
      <c r="AB112" s="94">
        <v>-6.6</v>
      </c>
      <c r="AC112" s="94">
        <v>3.6</v>
      </c>
      <c r="AD112" s="94">
        <v>3.6</v>
      </c>
      <c r="AE112" s="94">
        <v>25</v>
      </c>
      <c r="AF112" s="94">
        <v>35</v>
      </c>
      <c r="AG112" s="108"/>
      <c r="AH112" s="48">
        <f t="shared" si="10"/>
        <v>41</v>
      </c>
      <c r="AI112" s="49">
        <f t="shared" si="11"/>
        <v>-26</v>
      </c>
    </row>
    <row r="113" spans="1:37" ht="15.75" thickBot="1" x14ac:dyDescent="0.3">
      <c r="A113" s="109" t="s">
        <v>118</v>
      </c>
      <c r="B113" s="94">
        <v>14.2</v>
      </c>
      <c r="C113" s="94">
        <v>25.7</v>
      </c>
      <c r="D113" s="94">
        <v>16.3</v>
      </c>
      <c r="E113" s="94">
        <v>17.2</v>
      </c>
      <c r="F113" s="94">
        <v>15.8</v>
      </c>
      <c r="G113" s="94">
        <v>12.6</v>
      </c>
      <c r="H113" s="94">
        <v>12.8</v>
      </c>
      <c r="I113" s="94">
        <v>8</v>
      </c>
      <c r="J113" s="94">
        <v>5.9</v>
      </c>
      <c r="K113" s="94">
        <v>-11.5</v>
      </c>
      <c r="L113" s="94">
        <v>-28.3</v>
      </c>
      <c r="M113" s="94">
        <v>-44</v>
      </c>
      <c r="N113" s="94">
        <v>-41</v>
      </c>
      <c r="O113" s="94">
        <v>3.1</v>
      </c>
      <c r="P113" s="94"/>
      <c r="Q113" s="94">
        <v>13.7</v>
      </c>
      <c r="R113" s="94">
        <v>-17.600000000000001</v>
      </c>
      <c r="S113" s="94">
        <v>16.399999999999999</v>
      </c>
      <c r="T113" s="94">
        <v>12</v>
      </c>
      <c r="U113" s="94">
        <v>10</v>
      </c>
      <c r="V113" s="94">
        <v>-21.6</v>
      </c>
      <c r="W113" s="94">
        <v>-24</v>
      </c>
      <c r="X113" s="94">
        <v>-24</v>
      </c>
      <c r="Y113" s="94">
        <v>-30</v>
      </c>
      <c r="Z113" s="94">
        <v>-24.1</v>
      </c>
      <c r="AA113" s="94">
        <v>-2.2999999999999998</v>
      </c>
      <c r="AB113" s="94">
        <v>3.8</v>
      </c>
      <c r="AC113" s="94">
        <v>15</v>
      </c>
      <c r="AD113" s="94">
        <v>15.5</v>
      </c>
      <c r="AE113" s="94">
        <v>45</v>
      </c>
      <c r="AF113" s="94">
        <v>38</v>
      </c>
      <c r="AG113" s="108"/>
      <c r="AH113" s="48">
        <f t="shared" si="10"/>
        <v>45</v>
      </c>
      <c r="AI113" s="49">
        <f t="shared" si="11"/>
        <v>-44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18">SUM(B115:B219)</f>
        <v>0</v>
      </c>
      <c r="C220" s="125">
        <f t="shared" si="18"/>
        <v>0</v>
      </c>
      <c r="D220" s="125">
        <f t="shared" si="18"/>
        <v>0</v>
      </c>
      <c r="E220" s="125">
        <f t="shared" si="18"/>
        <v>0</v>
      </c>
      <c r="F220" s="125">
        <f t="shared" si="18"/>
        <v>0</v>
      </c>
      <c r="G220" s="125">
        <f t="shared" si="18"/>
        <v>0</v>
      </c>
      <c r="H220" s="125">
        <f t="shared" si="18"/>
        <v>0</v>
      </c>
      <c r="I220" s="125">
        <f t="shared" si="18"/>
        <v>0</v>
      </c>
      <c r="J220" s="125">
        <f t="shared" si="18"/>
        <v>0</v>
      </c>
      <c r="K220" s="125">
        <f t="shared" si="18"/>
        <v>0</v>
      </c>
      <c r="L220" s="125">
        <f t="shared" si="18"/>
        <v>0</v>
      </c>
      <c r="M220" s="125">
        <f t="shared" si="18"/>
        <v>0</v>
      </c>
      <c r="N220" s="125">
        <f t="shared" si="18"/>
        <v>0</v>
      </c>
      <c r="O220" s="125">
        <f t="shared" si="18"/>
        <v>0</v>
      </c>
      <c r="P220" s="125">
        <f t="shared" si="18"/>
        <v>0</v>
      </c>
      <c r="Q220" s="125">
        <f t="shared" si="18"/>
        <v>0</v>
      </c>
      <c r="R220" s="125">
        <f t="shared" si="18"/>
        <v>0</v>
      </c>
      <c r="S220" s="125">
        <f t="shared" si="18"/>
        <v>0</v>
      </c>
      <c r="T220" s="125">
        <f t="shared" si="18"/>
        <v>0</v>
      </c>
      <c r="U220" s="125">
        <f t="shared" si="18"/>
        <v>0</v>
      </c>
      <c r="V220" s="125">
        <f t="shared" si="18"/>
        <v>0</v>
      </c>
      <c r="W220" s="125">
        <f t="shared" si="18"/>
        <v>0</v>
      </c>
      <c r="X220" s="125">
        <f t="shared" si="18"/>
        <v>0</v>
      </c>
      <c r="Y220" s="125">
        <f t="shared" si="18"/>
        <v>0</v>
      </c>
      <c r="Z220" s="125">
        <f t="shared" si="18"/>
        <v>0</v>
      </c>
      <c r="AA220" s="125">
        <f t="shared" si="18"/>
        <v>0</v>
      </c>
      <c r="AB220" s="125">
        <f t="shared" si="18"/>
        <v>0</v>
      </c>
      <c r="AC220" s="125">
        <f t="shared" si="18"/>
        <v>0</v>
      </c>
      <c r="AD220" s="125">
        <f t="shared" si="18"/>
        <v>0</v>
      </c>
      <c r="AE220" s="125">
        <f t="shared" si="18"/>
        <v>0</v>
      </c>
      <c r="AF220" s="126">
        <f t="shared" si="18"/>
        <v>0</v>
      </c>
      <c r="AG220" s="127">
        <f t="shared" si="18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19">AF222</f>
        <v>0</v>
      </c>
      <c r="C222" s="129">
        <v>0.3</v>
      </c>
      <c r="D222" s="129">
        <f t="shared" ref="D222:P227" si="20">C222</f>
        <v>0.3</v>
      </c>
      <c r="E222" s="129">
        <f t="shared" si="20"/>
        <v>0.3</v>
      </c>
      <c r="F222" s="129">
        <f t="shared" si="20"/>
        <v>0.3</v>
      </c>
      <c r="G222" s="129">
        <f t="shared" si="20"/>
        <v>0.3</v>
      </c>
      <c r="H222" s="129">
        <f t="shared" si="20"/>
        <v>0.3</v>
      </c>
      <c r="I222" s="129">
        <f t="shared" si="20"/>
        <v>0.3</v>
      </c>
      <c r="J222" s="129">
        <f t="shared" si="20"/>
        <v>0.3</v>
      </c>
      <c r="K222" s="129">
        <f t="shared" si="20"/>
        <v>0.3</v>
      </c>
      <c r="L222" s="129">
        <f t="shared" si="20"/>
        <v>0.3</v>
      </c>
      <c r="M222" s="129">
        <f t="shared" si="20"/>
        <v>0.3</v>
      </c>
      <c r="N222" s="129">
        <f t="shared" si="20"/>
        <v>0.3</v>
      </c>
      <c r="O222" s="129">
        <f t="shared" si="20"/>
        <v>0.3</v>
      </c>
      <c r="P222" s="129">
        <f t="shared" si="20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19"/>
        <v>0</v>
      </c>
      <c r="C223" s="117">
        <v>0.4</v>
      </c>
      <c r="D223" s="117">
        <f t="shared" si="20"/>
        <v>0.4</v>
      </c>
      <c r="E223" s="117">
        <f t="shared" si="20"/>
        <v>0.4</v>
      </c>
      <c r="F223" s="117">
        <f t="shared" si="20"/>
        <v>0.4</v>
      </c>
      <c r="G223" s="117">
        <f t="shared" si="20"/>
        <v>0.4</v>
      </c>
      <c r="H223" s="117">
        <f t="shared" si="20"/>
        <v>0.4</v>
      </c>
      <c r="I223" s="117">
        <f t="shared" si="20"/>
        <v>0.4</v>
      </c>
      <c r="J223" s="117">
        <f t="shared" si="20"/>
        <v>0.4</v>
      </c>
      <c r="K223" s="117">
        <f t="shared" si="20"/>
        <v>0.4</v>
      </c>
      <c r="L223" s="117">
        <f t="shared" si="20"/>
        <v>0.4</v>
      </c>
      <c r="M223" s="117">
        <f t="shared" si="20"/>
        <v>0.4</v>
      </c>
      <c r="N223" s="117">
        <f t="shared" si="20"/>
        <v>0.4</v>
      </c>
      <c r="O223" s="117">
        <f t="shared" si="20"/>
        <v>0.4</v>
      </c>
      <c r="P223" s="117">
        <f t="shared" si="20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19"/>
        <v>0</v>
      </c>
      <c r="C224" s="117">
        <v>1.5</v>
      </c>
      <c r="D224" s="117">
        <f t="shared" si="20"/>
        <v>1.5</v>
      </c>
      <c r="E224" s="117">
        <f t="shared" si="20"/>
        <v>1.5</v>
      </c>
      <c r="F224" s="117">
        <f t="shared" si="20"/>
        <v>1.5</v>
      </c>
      <c r="G224" s="117">
        <f t="shared" si="20"/>
        <v>1.5</v>
      </c>
      <c r="H224" s="117">
        <f t="shared" si="20"/>
        <v>1.5</v>
      </c>
      <c r="I224" s="100">
        <f t="shared" ref="I224" ca="1" si="21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20"/>
        <v>1.5</v>
      </c>
      <c r="K224" s="117">
        <f t="shared" ca="1" si="20"/>
        <v>1.5</v>
      </c>
      <c r="L224" s="117">
        <f t="shared" ca="1" si="20"/>
        <v>1.5</v>
      </c>
      <c r="M224" s="117">
        <f t="shared" ca="1" si="20"/>
        <v>1.5</v>
      </c>
      <c r="N224" s="117">
        <f t="shared" ca="1" si="20"/>
        <v>1.5</v>
      </c>
      <c r="O224" s="117">
        <f t="shared" ca="1" si="20"/>
        <v>1.5</v>
      </c>
      <c r="P224" s="117">
        <f t="shared" ca="1" si="20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19"/>
        <v>0</v>
      </c>
      <c r="C225" s="117">
        <v>0.3</v>
      </c>
      <c r="D225" s="117">
        <f t="shared" si="20"/>
        <v>0.3</v>
      </c>
      <c r="E225" s="117">
        <f t="shared" si="20"/>
        <v>0.3</v>
      </c>
      <c r="F225" s="117">
        <f t="shared" si="20"/>
        <v>0.3</v>
      </c>
      <c r="G225" s="117">
        <f t="shared" si="20"/>
        <v>0.3</v>
      </c>
      <c r="H225" s="117">
        <f t="shared" si="20"/>
        <v>0.3</v>
      </c>
      <c r="I225" s="117">
        <f t="shared" si="20"/>
        <v>0.3</v>
      </c>
      <c r="J225" s="117">
        <f t="shared" si="20"/>
        <v>0.3</v>
      </c>
      <c r="K225" s="117">
        <f t="shared" si="20"/>
        <v>0.3</v>
      </c>
      <c r="L225" s="117">
        <f t="shared" si="20"/>
        <v>0.3</v>
      </c>
      <c r="M225" s="117">
        <f t="shared" si="20"/>
        <v>0.3</v>
      </c>
      <c r="N225" s="117">
        <f t="shared" si="20"/>
        <v>0.3</v>
      </c>
      <c r="O225" s="117">
        <f t="shared" si="20"/>
        <v>0.3</v>
      </c>
      <c r="P225" s="117">
        <f t="shared" si="20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19"/>
        <v>0</v>
      </c>
      <c r="C226" s="117">
        <v>0.4</v>
      </c>
      <c r="D226" s="117">
        <f t="shared" si="20"/>
        <v>0.4</v>
      </c>
      <c r="E226" s="117">
        <f t="shared" si="20"/>
        <v>0.4</v>
      </c>
      <c r="F226" s="117">
        <f t="shared" si="20"/>
        <v>0.4</v>
      </c>
      <c r="G226" s="117">
        <f t="shared" si="20"/>
        <v>0.4</v>
      </c>
      <c r="H226" s="117">
        <f t="shared" si="20"/>
        <v>0.4</v>
      </c>
      <c r="I226" s="117">
        <f t="shared" si="20"/>
        <v>0.4</v>
      </c>
      <c r="J226" s="117">
        <f t="shared" si="20"/>
        <v>0.4</v>
      </c>
      <c r="K226" s="117">
        <f t="shared" si="20"/>
        <v>0.4</v>
      </c>
      <c r="L226" s="117">
        <f t="shared" si="20"/>
        <v>0.4</v>
      </c>
      <c r="M226" s="117">
        <f t="shared" si="20"/>
        <v>0.4</v>
      </c>
      <c r="N226" s="117">
        <f t="shared" si="20"/>
        <v>0.4</v>
      </c>
      <c r="O226" s="117">
        <f t="shared" si="20"/>
        <v>0.4</v>
      </c>
      <c r="P226" s="117">
        <f t="shared" si="20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19"/>
        <v>0</v>
      </c>
      <c r="C227" s="121">
        <v>0.64</v>
      </c>
      <c r="D227" s="121">
        <f t="shared" si="20"/>
        <v>0.64</v>
      </c>
      <c r="E227" s="121">
        <f t="shared" si="20"/>
        <v>0.64</v>
      </c>
      <c r="F227" s="121">
        <f t="shared" si="20"/>
        <v>0.64</v>
      </c>
      <c r="G227" s="121">
        <f t="shared" si="20"/>
        <v>0.64</v>
      </c>
      <c r="H227" s="121">
        <f t="shared" si="20"/>
        <v>0.64</v>
      </c>
      <c r="I227" s="121">
        <f t="shared" si="20"/>
        <v>0.64</v>
      </c>
      <c r="J227" s="121">
        <f t="shared" si="20"/>
        <v>0.64</v>
      </c>
      <c r="K227" s="121">
        <f t="shared" si="20"/>
        <v>0.64</v>
      </c>
      <c r="L227" s="121">
        <f t="shared" si="20"/>
        <v>0.64</v>
      </c>
      <c r="M227" s="121">
        <f t="shared" si="20"/>
        <v>0.64</v>
      </c>
      <c r="N227" s="121">
        <f t="shared" si="20"/>
        <v>0.64</v>
      </c>
      <c r="O227" s="121">
        <f t="shared" si="20"/>
        <v>0.64</v>
      </c>
      <c r="P227" s="121">
        <f t="shared" si="20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2">SUM(B222:B227)</f>
        <v>0</v>
      </c>
      <c r="C228" s="125">
        <f t="shared" si="22"/>
        <v>3.54</v>
      </c>
      <c r="D228" s="125">
        <f t="shared" si="22"/>
        <v>3.54</v>
      </c>
      <c r="E228" s="125">
        <f t="shared" si="22"/>
        <v>3.54</v>
      </c>
      <c r="F228" s="125">
        <f t="shared" si="22"/>
        <v>3.54</v>
      </c>
      <c r="G228" s="125">
        <f t="shared" si="22"/>
        <v>3.54</v>
      </c>
      <c r="H228" s="125">
        <f t="shared" si="22"/>
        <v>3.54</v>
      </c>
      <c r="I228" s="125">
        <f t="shared" ca="1" si="22"/>
        <v>3.54</v>
      </c>
      <c r="J228" s="125">
        <f t="shared" ca="1" si="22"/>
        <v>3.54</v>
      </c>
      <c r="K228" s="125">
        <f t="shared" ca="1" si="22"/>
        <v>3.54</v>
      </c>
      <c r="L228" s="125">
        <f t="shared" ca="1" si="22"/>
        <v>3.54</v>
      </c>
      <c r="M228" s="125">
        <f t="shared" ca="1" si="22"/>
        <v>3.54</v>
      </c>
      <c r="N228" s="125">
        <f t="shared" ca="1" si="22"/>
        <v>3.54</v>
      </c>
      <c r="O228" s="125">
        <f t="shared" ca="1" si="22"/>
        <v>3.54</v>
      </c>
      <c r="P228" s="125">
        <f t="shared" ca="1" si="22"/>
        <v>3.54</v>
      </c>
      <c r="Q228" s="125">
        <f t="shared" si="22"/>
        <v>0</v>
      </c>
      <c r="R228" s="125">
        <f t="shared" si="22"/>
        <v>0</v>
      </c>
      <c r="S228" s="125">
        <f t="shared" si="22"/>
        <v>0</v>
      </c>
      <c r="T228" s="125">
        <f t="shared" si="22"/>
        <v>0</v>
      </c>
      <c r="U228" s="125">
        <f t="shared" si="22"/>
        <v>0</v>
      </c>
      <c r="V228" s="125">
        <f t="shared" si="22"/>
        <v>0</v>
      </c>
      <c r="W228" s="125">
        <f t="shared" si="22"/>
        <v>0</v>
      </c>
      <c r="X228" s="125">
        <f t="shared" si="22"/>
        <v>0</v>
      </c>
      <c r="Y228" s="125">
        <f t="shared" si="22"/>
        <v>0</v>
      </c>
      <c r="Z228" s="125">
        <f t="shared" si="22"/>
        <v>0</v>
      </c>
      <c r="AA228" s="125">
        <f t="shared" si="22"/>
        <v>0</v>
      </c>
      <c r="AB228" s="125">
        <f t="shared" si="22"/>
        <v>0</v>
      </c>
      <c r="AC228" s="125">
        <f t="shared" si="22"/>
        <v>0</v>
      </c>
      <c r="AD228" s="125">
        <f t="shared" si="22"/>
        <v>0</v>
      </c>
      <c r="AE228" s="125">
        <f t="shared" si="22"/>
        <v>0</v>
      </c>
      <c r="AF228" s="125">
        <f t="shared" si="22"/>
        <v>0</v>
      </c>
      <c r="AG228" s="134">
        <f t="shared" si="22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1574.74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30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str">
        <f ca="1">"Pie Chart of Daily Peak Demand(Inclusive of Export) of Nepal ("&amp;A4&amp;" "&amp;B4&amp;")"</f>
        <v>Pie Chart of Daily Peak Demand(Inclusive of Export) of Nepal (Nepali Date: 2079/09/30)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2079/09/30)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3">B85</f>
        <v>1168.6399999999999</v>
      </c>
      <c r="U242" s="159">
        <f t="shared" si="23"/>
        <v>1145.1399999999999</v>
      </c>
      <c r="V242" s="159">
        <f t="shared" si="23"/>
        <v>1095.44</v>
      </c>
      <c r="W242" s="159">
        <f t="shared" si="23"/>
        <v>1068.8399999999999</v>
      </c>
      <c r="X242" s="159">
        <f t="shared" si="23"/>
        <v>1086.8399999999999</v>
      </c>
      <c r="Y242" s="159">
        <f t="shared" si="23"/>
        <v>1114.6399999999999</v>
      </c>
      <c r="Z242" s="159">
        <f t="shared" si="23"/>
        <v>1167.2399999999998</v>
      </c>
      <c r="AA242" s="159">
        <f t="shared" si="23"/>
        <v>1191.6399999999999</v>
      </c>
      <c r="AB242" s="159">
        <f t="shared" si="23"/>
        <v>1268.54</v>
      </c>
      <c r="AC242" s="159">
        <f t="shared" si="23"/>
        <v>1280.04</v>
      </c>
      <c r="AD242" s="159">
        <f t="shared" si="23"/>
        <v>1514.54</v>
      </c>
      <c r="AE242" s="159">
        <f t="shared" si="23"/>
        <v>1574.74</v>
      </c>
      <c r="AF242" s="159">
        <f t="shared" si="23"/>
        <v>1537.6399999999999</v>
      </c>
      <c r="AG242" s="159">
        <f t="shared" si="23"/>
        <v>1371.14</v>
      </c>
      <c r="AH242" s="159">
        <f t="shared" si="23"/>
        <v>1303.8399999999999</v>
      </c>
      <c r="AI242" s="159">
        <f t="shared" si="23"/>
        <v>1235.44</v>
      </c>
      <c r="AJ242" s="159">
        <f t="shared" si="23"/>
        <v>1218.24</v>
      </c>
      <c r="AK242" s="159">
        <f t="shared" si="23"/>
        <v>1222.1400000000001</v>
      </c>
      <c r="AL242" s="159">
        <f t="shared" si="23"/>
        <v>1208.94</v>
      </c>
      <c r="AM242" s="159">
        <f t="shared" si="23"/>
        <v>1167.1400000000001</v>
      </c>
      <c r="AN242" s="159">
        <f t="shared" si="23"/>
        <v>1238.3399999999999</v>
      </c>
      <c r="AO242" s="159">
        <f t="shared" si="23"/>
        <v>1344.94</v>
      </c>
      <c r="AP242" s="159">
        <f t="shared" si="23"/>
        <v>1496.04</v>
      </c>
      <c r="AQ242" s="159">
        <f t="shared" si="23"/>
        <v>1548.1399999999999</v>
      </c>
      <c r="AR242" s="159">
        <f t="shared" si="23"/>
        <v>1536.34</v>
      </c>
      <c r="AS242" s="159">
        <f t="shared" si="23"/>
        <v>1423.1399999999999</v>
      </c>
      <c r="AT242" s="159">
        <f t="shared" si="23"/>
        <v>1510.54</v>
      </c>
      <c r="AU242" s="159">
        <f t="shared" si="23"/>
        <v>1470.54</v>
      </c>
      <c r="AV242" s="159">
        <f t="shared" si="23"/>
        <v>1388.84</v>
      </c>
      <c r="AW242" s="159">
        <f t="shared" si="23"/>
        <v>1240.6399999999999</v>
      </c>
      <c r="AX242" s="159">
        <f t="shared" si="23"/>
        <v>1129.94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4">C227</f>
        <v>0.64</v>
      </c>
      <c r="C263" s="162">
        <f t="shared" si="24"/>
        <v>0.64</v>
      </c>
      <c r="D263" s="162">
        <f t="shared" si="24"/>
        <v>0.64</v>
      </c>
      <c r="E263" s="162">
        <f t="shared" si="24"/>
        <v>0.64</v>
      </c>
      <c r="F263" s="162">
        <f t="shared" si="24"/>
        <v>0.64</v>
      </c>
      <c r="G263" s="162">
        <f t="shared" si="24"/>
        <v>0.64</v>
      </c>
      <c r="H263" s="162">
        <f t="shared" si="24"/>
        <v>0.64</v>
      </c>
      <c r="I263" s="162">
        <f t="shared" si="24"/>
        <v>0.64</v>
      </c>
      <c r="J263" s="162">
        <f t="shared" si="24"/>
        <v>0.64</v>
      </c>
      <c r="K263" s="162">
        <f t="shared" si="24"/>
        <v>0.64</v>
      </c>
      <c r="L263" s="162">
        <f t="shared" si="24"/>
        <v>0.64</v>
      </c>
      <c r="M263" s="162">
        <f t="shared" si="24"/>
        <v>0.64</v>
      </c>
      <c r="N263" s="162">
        <f t="shared" si="24"/>
        <v>0.64</v>
      </c>
      <c r="O263" s="162">
        <f t="shared" si="24"/>
        <v>0.64</v>
      </c>
      <c r="P263" s="162">
        <f t="shared" si="24"/>
        <v>0</v>
      </c>
      <c r="Q263" s="162">
        <f t="shared" si="24"/>
        <v>0</v>
      </c>
      <c r="R263" s="162">
        <f t="shared" si="24"/>
        <v>0</v>
      </c>
      <c r="S263" s="162">
        <f t="shared" si="24"/>
        <v>0</v>
      </c>
      <c r="T263" s="162">
        <f t="shared" si="24"/>
        <v>0</v>
      </c>
      <c r="U263" s="162">
        <f t="shared" si="24"/>
        <v>0</v>
      </c>
      <c r="V263" s="162">
        <f t="shared" si="24"/>
        <v>0</v>
      </c>
      <c r="W263" s="162">
        <f t="shared" si="24"/>
        <v>0</v>
      </c>
      <c r="X263" s="162">
        <f t="shared" si="24"/>
        <v>0</v>
      </c>
      <c r="Y263" s="162">
        <f t="shared" si="24"/>
        <v>0</v>
      </c>
      <c r="Z263" s="162">
        <f t="shared" si="24"/>
        <v>0</v>
      </c>
      <c r="AA263" s="162">
        <f t="shared" si="24"/>
        <v>0</v>
      </c>
      <c r="AB263" s="162">
        <f t="shared" si="24"/>
        <v>0</v>
      </c>
      <c r="AC263" s="162">
        <f t="shared" si="24"/>
        <v>0</v>
      </c>
      <c r="AD263" s="162">
        <f t="shared" si="24"/>
        <v>0</v>
      </c>
      <c r="AE263" s="162">
        <f t="shared" si="24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5">IF(B231&lt;100,"",B231-520)</f>
        <v/>
      </c>
      <c r="C264" s="163" t="str">
        <f t="shared" si="25"/>
        <v/>
      </c>
      <c r="D264" s="163" t="str">
        <f t="shared" si="25"/>
        <v/>
      </c>
      <c r="E264" s="163" t="str">
        <f t="shared" si="25"/>
        <v/>
      </c>
      <c r="F264" s="163" t="str">
        <f t="shared" si="25"/>
        <v/>
      </c>
      <c r="G264" s="163" t="str">
        <f t="shared" si="25"/>
        <v/>
      </c>
      <c r="H264" s="163" t="str">
        <f t="shared" si="25"/>
        <v/>
      </c>
      <c r="I264" s="163" t="str">
        <f t="shared" si="25"/>
        <v/>
      </c>
      <c r="J264" s="163" t="str">
        <f t="shared" si="25"/>
        <v/>
      </c>
      <c r="K264" s="163" t="str">
        <f t="shared" si="25"/>
        <v/>
      </c>
      <c r="L264" s="163" t="str">
        <f t="shared" si="25"/>
        <v/>
      </c>
      <c r="M264" s="163" t="str">
        <f t="shared" si="25"/>
        <v/>
      </c>
      <c r="N264" s="163" t="str">
        <f t="shared" si="25"/>
        <v/>
      </c>
      <c r="O264" s="163" t="str">
        <f t="shared" si="25"/>
        <v/>
      </c>
      <c r="P264" s="163" t="str">
        <f t="shared" si="25"/>
        <v/>
      </c>
      <c r="Q264" s="163" t="str">
        <f t="shared" si="25"/>
        <v/>
      </c>
      <c r="R264" s="163" t="str">
        <f t="shared" si="25"/>
        <v/>
      </c>
      <c r="S264" s="163" t="str">
        <f t="shared" si="25"/>
        <v/>
      </c>
      <c r="T264" s="163" t="str">
        <f t="shared" si="25"/>
        <v/>
      </c>
      <c r="U264" s="163" t="str">
        <f t="shared" si="25"/>
        <v/>
      </c>
      <c r="V264" s="163" t="str">
        <f t="shared" si="25"/>
        <v/>
      </c>
      <c r="W264" s="163" t="str">
        <f t="shared" si="25"/>
        <v/>
      </c>
      <c r="X264" s="163" t="str">
        <f t="shared" si="25"/>
        <v/>
      </c>
      <c r="Y264" s="163" t="str">
        <f t="shared" si="25"/>
        <v/>
      </c>
      <c r="Z264" s="163" t="str">
        <f t="shared" si="25"/>
        <v/>
      </c>
      <c r="AA264" s="163" t="str">
        <f t="shared" si="25"/>
        <v/>
      </c>
      <c r="AB264" s="163" t="str">
        <f t="shared" si="25"/>
        <v/>
      </c>
      <c r="AC264" s="163" t="str">
        <f t="shared" si="25"/>
        <v/>
      </c>
      <c r="AD264" s="163" t="str">
        <f t="shared" si="25"/>
        <v/>
      </c>
      <c r="AE264" s="163" t="str">
        <f t="shared" si="25"/>
        <v/>
      </c>
      <c r="AF264" s="163" t="str">
        <f t="shared" si="25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6">IF(B232&lt;100,"",B232-620)</f>
        <v/>
      </c>
      <c r="C265" s="163" t="str">
        <f t="shared" si="26"/>
        <v/>
      </c>
      <c r="D265" s="163" t="str">
        <f t="shared" si="26"/>
        <v/>
      </c>
      <c r="E265" s="163" t="str">
        <f t="shared" si="26"/>
        <v/>
      </c>
      <c r="F265" s="163" t="str">
        <f t="shared" si="26"/>
        <v/>
      </c>
      <c r="G265" s="163" t="str">
        <f t="shared" si="26"/>
        <v/>
      </c>
      <c r="H265" s="163" t="str">
        <f t="shared" si="26"/>
        <v/>
      </c>
      <c r="I265" s="163" t="str">
        <f t="shared" si="26"/>
        <v/>
      </c>
      <c r="J265" s="163" t="str">
        <f t="shared" si="26"/>
        <v/>
      </c>
      <c r="K265" s="163" t="str">
        <f t="shared" si="26"/>
        <v/>
      </c>
      <c r="L265" s="163" t="str">
        <f t="shared" si="26"/>
        <v/>
      </c>
      <c r="M265" s="163" t="str">
        <f t="shared" si="26"/>
        <v/>
      </c>
      <c r="N265" s="163" t="str">
        <f t="shared" si="26"/>
        <v/>
      </c>
      <c r="O265" s="163" t="str">
        <f t="shared" si="26"/>
        <v/>
      </c>
      <c r="P265" s="163" t="str">
        <f t="shared" si="26"/>
        <v/>
      </c>
      <c r="Q265" s="163" t="str">
        <f t="shared" si="26"/>
        <v/>
      </c>
      <c r="R265" s="163" t="str">
        <f t="shared" si="26"/>
        <v/>
      </c>
      <c r="S265" s="163" t="str">
        <f t="shared" si="26"/>
        <v/>
      </c>
      <c r="T265" s="163" t="str">
        <f t="shared" si="26"/>
        <v/>
      </c>
      <c r="U265" s="163" t="str">
        <f t="shared" si="26"/>
        <v/>
      </c>
      <c r="V265" s="163" t="str">
        <f t="shared" si="26"/>
        <v/>
      </c>
      <c r="W265" s="163" t="str">
        <f t="shared" si="26"/>
        <v/>
      </c>
      <c r="X265" s="163" t="str">
        <f t="shared" si="26"/>
        <v/>
      </c>
      <c r="Y265" s="163" t="str">
        <f t="shared" si="26"/>
        <v/>
      </c>
      <c r="Z265" s="163" t="str">
        <f t="shared" si="26"/>
        <v/>
      </c>
      <c r="AA265" s="163" t="str">
        <f t="shared" si="26"/>
        <v/>
      </c>
      <c r="AB265" s="163" t="str">
        <f t="shared" si="26"/>
        <v/>
      </c>
      <c r="AC265" s="163" t="str">
        <f t="shared" si="26"/>
        <v/>
      </c>
      <c r="AD265" s="163" t="str">
        <f t="shared" si="26"/>
        <v/>
      </c>
      <c r="AE265" s="163" t="str">
        <f t="shared" si="26"/>
        <v/>
      </c>
      <c r="AF265" s="163" t="str">
        <f t="shared" si="26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27">IF(B233&lt;100,"",B233-330)</f>
        <v/>
      </c>
      <c r="C266" s="163" t="str">
        <f t="shared" si="27"/>
        <v/>
      </c>
      <c r="D266" s="163" t="str">
        <f t="shared" si="27"/>
        <v/>
      </c>
      <c r="E266" s="163" t="str">
        <f t="shared" si="27"/>
        <v/>
      </c>
      <c r="F266" s="163" t="str">
        <f t="shared" si="27"/>
        <v/>
      </c>
      <c r="G266" s="163" t="str">
        <f t="shared" si="27"/>
        <v/>
      </c>
      <c r="H266" s="163" t="str">
        <f t="shared" si="27"/>
        <v/>
      </c>
      <c r="I266" s="163" t="str">
        <f t="shared" si="27"/>
        <v/>
      </c>
      <c r="J266" s="163" t="str">
        <f t="shared" si="27"/>
        <v/>
      </c>
      <c r="K266" s="163" t="str">
        <f t="shared" si="27"/>
        <v/>
      </c>
      <c r="L266" s="163" t="str">
        <f t="shared" si="27"/>
        <v/>
      </c>
      <c r="M266" s="163" t="str">
        <f t="shared" si="27"/>
        <v/>
      </c>
      <c r="N266" s="163" t="str">
        <f t="shared" si="27"/>
        <v/>
      </c>
      <c r="O266" s="163" t="str">
        <f t="shared" si="27"/>
        <v/>
      </c>
      <c r="P266" s="163" t="str">
        <f t="shared" si="27"/>
        <v/>
      </c>
      <c r="Q266" s="163" t="str">
        <f t="shared" si="27"/>
        <v/>
      </c>
      <c r="R266" s="163" t="str">
        <f t="shared" si="27"/>
        <v/>
      </c>
      <c r="S266" s="163" t="str">
        <f t="shared" si="27"/>
        <v/>
      </c>
      <c r="T266" s="163" t="str">
        <f t="shared" si="27"/>
        <v/>
      </c>
      <c r="U266" s="163" t="str">
        <f t="shared" si="27"/>
        <v/>
      </c>
      <c r="V266" s="163" t="str">
        <f t="shared" si="27"/>
        <v/>
      </c>
      <c r="W266" s="163" t="str">
        <f t="shared" si="27"/>
        <v/>
      </c>
      <c r="X266" s="163" t="str">
        <f t="shared" si="27"/>
        <v/>
      </c>
      <c r="Y266" s="163" t="str">
        <f t="shared" si="27"/>
        <v/>
      </c>
      <c r="Z266" s="163" t="str">
        <f t="shared" si="27"/>
        <v/>
      </c>
      <c r="AA266" s="163" t="str">
        <f t="shared" si="27"/>
        <v/>
      </c>
      <c r="AB266" s="163" t="str">
        <f t="shared" si="27"/>
        <v/>
      </c>
      <c r="AC266" s="163" t="str">
        <f t="shared" si="27"/>
        <v/>
      </c>
      <c r="AD266" s="163" t="str">
        <f t="shared" si="27"/>
        <v/>
      </c>
      <c r="AE266" s="163" t="str">
        <f t="shared" si="27"/>
        <v/>
      </c>
      <c r="AF266" s="163" t="str">
        <f t="shared" si="27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28">IF(B234&lt;100,"",B234-1500)</f>
        <v/>
      </c>
      <c r="C267" s="163" t="str">
        <f t="shared" si="28"/>
        <v/>
      </c>
      <c r="D267" s="163" t="str">
        <f t="shared" si="28"/>
        <v/>
      </c>
      <c r="E267" s="163" t="str">
        <f t="shared" si="28"/>
        <v/>
      </c>
      <c r="F267" s="163" t="str">
        <f t="shared" si="28"/>
        <v/>
      </c>
      <c r="G267" s="163" t="str">
        <f t="shared" si="28"/>
        <v/>
      </c>
      <c r="H267" s="163" t="str">
        <f t="shared" si="28"/>
        <v/>
      </c>
      <c r="I267" s="163" t="str">
        <f t="shared" si="28"/>
        <v/>
      </c>
      <c r="J267" s="163" t="str">
        <f t="shared" si="28"/>
        <v/>
      </c>
      <c r="K267" s="163" t="str">
        <f t="shared" si="28"/>
        <v/>
      </c>
      <c r="L267" s="163" t="str">
        <f t="shared" si="28"/>
        <v/>
      </c>
      <c r="M267" s="163" t="str">
        <f t="shared" si="28"/>
        <v/>
      </c>
      <c r="N267" s="163" t="str">
        <f t="shared" si="28"/>
        <v/>
      </c>
      <c r="O267" s="163" t="str">
        <f t="shared" si="28"/>
        <v/>
      </c>
      <c r="P267" s="163" t="str">
        <f t="shared" si="28"/>
        <v/>
      </c>
      <c r="Q267" s="163" t="str">
        <f t="shared" si="28"/>
        <v/>
      </c>
      <c r="R267" s="163" t="str">
        <f t="shared" si="28"/>
        <v/>
      </c>
      <c r="S267" s="163" t="str">
        <f t="shared" si="28"/>
        <v/>
      </c>
      <c r="T267" s="163" t="str">
        <f t="shared" si="28"/>
        <v/>
      </c>
      <c r="U267" s="163" t="str">
        <f t="shared" si="28"/>
        <v/>
      </c>
      <c r="V267" s="163" t="str">
        <f t="shared" si="28"/>
        <v/>
      </c>
      <c r="W267" s="163" t="str">
        <f t="shared" si="28"/>
        <v/>
      </c>
      <c r="X267" s="163" t="str">
        <f t="shared" si="28"/>
        <v/>
      </c>
      <c r="Y267" s="163" t="str">
        <f t="shared" si="28"/>
        <v/>
      </c>
      <c r="Z267" s="163" t="str">
        <f t="shared" si="28"/>
        <v/>
      </c>
      <c r="AA267" s="163" t="str">
        <f t="shared" si="28"/>
        <v/>
      </c>
      <c r="AB267" s="163" t="str">
        <f t="shared" si="28"/>
        <v/>
      </c>
      <c r="AC267" s="163" t="str">
        <f t="shared" si="28"/>
        <v/>
      </c>
      <c r="AD267" s="163" t="str">
        <f t="shared" si="28"/>
        <v/>
      </c>
      <c r="AE267" s="163" t="str">
        <f t="shared" si="28"/>
        <v/>
      </c>
      <c r="AF267" s="163" t="str">
        <f t="shared" si="28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X11:AF41">
    <cfRule type="expression" dxfId="2955" priority="234">
      <formula>B$9&gt;=20/24</formula>
    </cfRule>
    <cfRule type="expression" dxfId="2954" priority="235">
      <formula>AND(B$9&gt;=14/24,B$9&lt;20/24)</formula>
    </cfRule>
    <cfRule type="expression" dxfId="2953" priority="236">
      <formula>AND(B$9&gt;=8/24,B$9&lt;14/24)</formula>
    </cfRule>
    <cfRule type="expression" dxfId="2952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X11:AF41">
    <cfRule type="expression" dxfId="2951" priority="232">
      <formula>X11&gt;$AG11</formula>
    </cfRule>
  </conditionalFormatting>
  <conditionalFormatting sqref="A95:A105 A55:A82 A91:A93 A198:A228 A42:A53 A114:A185 A38:A39 A87:A89 A84:A85 A107:A109 A35:A36 A17:A18 A11:A15 A20:A33">
    <cfRule type="expression" dxfId="2950" priority="231">
      <formula>$AH11=0</formula>
    </cfRule>
  </conditionalFormatting>
  <conditionalFormatting sqref="A110">
    <cfRule type="expression" dxfId="2949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2948" priority="228">
      <formula>$AH41=0</formula>
    </cfRule>
  </conditionalFormatting>
  <conditionalFormatting sqref="A94">
    <cfRule type="expression" dxfId="2947" priority="227">
      <formula>$AH94=0</formula>
    </cfRule>
  </conditionalFormatting>
  <conditionalFormatting sqref="A16">
    <cfRule type="expression" dxfId="2946" priority="226">
      <formula>$AH16=0</formula>
    </cfRule>
  </conditionalFormatting>
  <conditionalFormatting sqref="A192:A197">
    <cfRule type="expression" dxfId="2945" priority="225">
      <formula>$AH192=0</formula>
    </cfRule>
  </conditionalFormatting>
  <conditionalFormatting sqref="A186:A191">
    <cfRule type="expression" dxfId="2944" priority="224">
      <formula>$AH186=0</formula>
    </cfRule>
  </conditionalFormatting>
  <conditionalFormatting sqref="A54">
    <cfRule type="expression" dxfId="2943" priority="223">
      <formula>$AH54=0</formula>
    </cfRule>
  </conditionalFormatting>
  <conditionalFormatting sqref="A90">
    <cfRule type="expression" dxfId="2942" priority="222">
      <formula>$AH90=0</formula>
    </cfRule>
  </conditionalFormatting>
  <conditionalFormatting sqref="AD95:AF95 E95:X95">
    <cfRule type="expression" dxfId="2941" priority="218">
      <formula>E$9&gt;=20/24</formula>
    </cfRule>
    <cfRule type="expression" dxfId="2940" priority="219">
      <formula>AND(E$9&gt;=14/24,E$9&lt;20/24)</formula>
    </cfRule>
    <cfRule type="expression" dxfId="2939" priority="220">
      <formula>AND(E$9&gt;=8/24,E$9&lt;14/24)</formula>
    </cfRule>
    <cfRule type="expression" dxfId="2938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937" priority="240">
      <formula>C$9&gt;=20/24</formula>
    </cfRule>
    <cfRule type="expression" dxfId="2936" priority="241">
      <formula>AND(C$9&gt;=14/24,C$9&lt;20/24)</formula>
    </cfRule>
    <cfRule type="expression" dxfId="2935" priority="242">
      <formula>AND(C$9&gt;=8/24,C$9&lt;14/24)</formula>
    </cfRule>
    <cfRule type="expression" dxfId="2934" priority="243">
      <formula>C$9&lt;8/24</formula>
    </cfRule>
  </conditionalFormatting>
  <conditionalFormatting sqref="A229">
    <cfRule type="expression" dxfId="2933" priority="244">
      <formula>$AH229=0</formula>
    </cfRule>
  </conditionalFormatting>
  <conditionalFormatting sqref="AG241">
    <cfRule type="expression" dxfId="2932" priority="245">
      <formula>B$9&gt;=20/24</formula>
    </cfRule>
    <cfRule type="expression" dxfId="2931" priority="246">
      <formula>AND(B$9&gt;=14/24,B$9&lt;20/24)</formula>
    </cfRule>
    <cfRule type="expression" dxfId="2930" priority="247">
      <formula>AND(B$9&gt;=8/24,B$9&lt;14/24)</formula>
    </cfRule>
    <cfRule type="expression" dxfId="2929" priority="248">
      <formula>B$9&lt;8/24</formula>
    </cfRule>
  </conditionalFormatting>
  <conditionalFormatting sqref="S8">
    <cfRule type="expression" dxfId="2928" priority="213">
      <formula>U$9&gt;=20/24</formula>
    </cfRule>
    <cfRule type="expression" dxfId="2927" priority="214">
      <formula>AND(U$9&gt;=14/24,U$9&lt;20/24)</formula>
    </cfRule>
    <cfRule type="expression" dxfId="2926" priority="215">
      <formula>AND(U$9&gt;=8/24,U$9&lt;14/24)</formula>
    </cfRule>
    <cfRule type="expression" dxfId="2925" priority="216">
      <formula>U$9&lt;8/24</formula>
    </cfRule>
  </conditionalFormatting>
  <conditionalFormatting sqref="AB8">
    <cfRule type="expression" dxfId="2924" priority="209">
      <formula>AD$9&gt;=20/24</formula>
    </cfRule>
    <cfRule type="expression" dxfId="2923" priority="210">
      <formula>AND(AD$9&gt;=14/24,AD$9&lt;20/24)</formula>
    </cfRule>
    <cfRule type="expression" dxfId="2922" priority="211">
      <formula>AND(AD$9&gt;=8/24,AD$9&lt;14/24)</formula>
    </cfRule>
    <cfRule type="expression" dxfId="2921" priority="212">
      <formula>AD$9&lt;8/24</formula>
    </cfRule>
  </conditionalFormatting>
  <conditionalFormatting sqref="AH241:AX241">
    <cfRule type="expression" dxfId="2920" priority="249">
      <formula>AG$9&gt;=20/24</formula>
    </cfRule>
    <cfRule type="expression" dxfId="2919" priority="250">
      <formula>AND(AG$9&gt;=14/24,AG$9&lt;20/24)</formula>
    </cfRule>
    <cfRule type="expression" dxfId="2918" priority="251">
      <formula>AND(AG$9&gt;=8/24,AG$9&lt;14/24)</formula>
    </cfRule>
    <cfRule type="expression" dxfId="2917" priority="252">
      <formula>AG$9&lt;8/24</formula>
    </cfRule>
  </conditionalFormatting>
  <conditionalFormatting sqref="T241">
    <cfRule type="expression" dxfId="2916" priority="253">
      <formula>AX$9&gt;=20/24</formula>
    </cfRule>
    <cfRule type="expression" dxfId="2915" priority="254">
      <formula>AND(AX$9&gt;=14/24,AX$9&lt;20/24)</formula>
    </cfRule>
    <cfRule type="expression" dxfId="2914" priority="255">
      <formula>AND(AX$9&gt;=8/24,AX$9&lt;14/24)</formula>
    </cfRule>
    <cfRule type="expression" dxfId="2913" priority="256">
      <formula>AX$9&lt;8/24</formula>
    </cfRule>
  </conditionalFormatting>
  <conditionalFormatting sqref="A111:A112">
    <cfRule type="expression" dxfId="2912" priority="208">
      <formula>$AH111=0</formula>
    </cfRule>
  </conditionalFormatting>
  <conditionalFormatting sqref="M50:Q56 AF50:AF51 E67:AF67 W52:AF53">
    <cfRule type="expression" dxfId="2911" priority="204">
      <formula>E$9&gt;=20/24</formula>
    </cfRule>
    <cfRule type="expression" dxfId="2910" priority="205">
      <formula>AND(E$9&gt;=14/24,E$9&lt;20/24)</formula>
    </cfRule>
    <cfRule type="expression" dxfId="2909" priority="206">
      <formula>AND(E$9&gt;=8/24,E$9&lt;14/24)</formula>
    </cfRule>
    <cfRule type="expression" dxfId="2908" priority="207">
      <formula>E$9&lt;8/24</formula>
    </cfRule>
  </conditionalFormatting>
  <conditionalFormatting sqref="AF49 M49:Q49">
    <cfRule type="expression" dxfId="2907" priority="200">
      <formula>M$9&gt;=20/24</formula>
    </cfRule>
    <cfRule type="expression" dxfId="2906" priority="201">
      <formula>AND(M$9&gt;=14/24,M$9&lt;20/24)</formula>
    </cfRule>
    <cfRule type="expression" dxfId="2905" priority="202">
      <formula>AND(M$9&gt;=8/24,M$9&lt;14/24)</formula>
    </cfRule>
    <cfRule type="expression" dxfId="2904" priority="203">
      <formula>M$9&lt;8/24</formula>
    </cfRule>
  </conditionalFormatting>
  <conditionalFormatting sqref="M49:Q56 AF49:AF51 W52:AF53">
    <cfRule type="expression" dxfId="2903" priority="199">
      <formula>M49&gt;$AG49</formula>
    </cfRule>
  </conditionalFormatting>
  <conditionalFormatting sqref="D82:AF82 M96:X102 X43:AF43 X92:AF92 AE96:AF102 E68:W69 X68:AF70 X63:AF65">
    <cfRule type="expression" dxfId="2902" priority="195">
      <formula>D$9&gt;=20/24</formula>
    </cfRule>
    <cfRule type="expression" dxfId="2901" priority="196">
      <formula>AND(D$9&gt;=14/24,D$9&lt;20/24)</formula>
    </cfRule>
    <cfRule type="expression" dxfId="2900" priority="197">
      <formula>AND(D$9&gt;=8/24,D$9&lt;14/24)</formula>
    </cfRule>
    <cfRule type="expression" dxfId="2899" priority="198">
      <formula>D$9&lt;8/24</formula>
    </cfRule>
  </conditionalFormatting>
  <conditionalFormatting sqref="X43:AF43 X63:AF65">
    <cfRule type="expression" dxfId="2898" priority="194">
      <formula>X43&gt;$AG43</formula>
    </cfRule>
  </conditionalFormatting>
  <conditionalFormatting sqref="R49:U53 V52:V53 R54:V56 W55:W56 V49:AE51">
    <cfRule type="expression" dxfId="2897" priority="190">
      <formula>R$9&gt;=20/24</formula>
    </cfRule>
    <cfRule type="expression" dxfId="2896" priority="191">
      <formula>AND(R$9&gt;=14/24,R$9&lt;20/24)</formula>
    </cfRule>
    <cfRule type="expression" dxfId="2895" priority="192">
      <formula>AND(R$9&gt;=8/24,R$9&lt;14/24)</formula>
    </cfRule>
    <cfRule type="expression" dxfId="2894" priority="193">
      <formula>R$9&lt;8/24</formula>
    </cfRule>
  </conditionalFormatting>
  <conditionalFormatting sqref="R49:U53 V52:V53 R54:V56 W55:W56 V49:AE51">
    <cfRule type="expression" dxfId="2893" priority="189">
      <formula>R49&gt;$AG49</formula>
    </cfRule>
  </conditionalFormatting>
  <conditionalFormatting sqref="C93:AF93 C84:AF84">
    <cfRule type="expression" dxfId="2892" priority="185">
      <formula>C$9&gt;=20/24</formula>
    </cfRule>
    <cfRule type="expression" dxfId="2891" priority="186">
      <formula>AND(C$9&gt;=14/24,C$9&lt;20/24)</formula>
    </cfRule>
    <cfRule type="expression" dxfId="2890" priority="187">
      <formula>AND(C$9&gt;=8/24,C$9&lt;14/24)</formula>
    </cfRule>
    <cfRule type="expression" dxfId="2889" priority="188">
      <formula>C$9&lt;8/24</formula>
    </cfRule>
  </conditionalFormatting>
  <conditionalFormatting sqref="T43:W43">
    <cfRule type="expression" dxfId="2888" priority="181">
      <formula>T$9&gt;=20/24</formula>
    </cfRule>
    <cfRule type="expression" dxfId="2887" priority="182">
      <formula>AND(T$9&gt;=14/24,T$9&lt;20/24)</formula>
    </cfRule>
    <cfRule type="expression" dxfId="2886" priority="183">
      <formula>AND(T$9&gt;=8/24,T$9&lt;14/24)</formula>
    </cfRule>
    <cfRule type="expression" dxfId="2885" priority="184">
      <formula>T$9&lt;8/24</formula>
    </cfRule>
  </conditionalFormatting>
  <conditionalFormatting sqref="T43:W43">
    <cfRule type="expression" dxfId="2884" priority="180">
      <formula>T43&gt;$AG43</formula>
    </cfRule>
  </conditionalFormatting>
  <conditionalFormatting sqref="E50:L51 X42:AF42">
    <cfRule type="expression" dxfId="2883" priority="176">
      <formula>E$9&gt;=20/24</formula>
    </cfRule>
    <cfRule type="expression" dxfId="2882" priority="177">
      <formula>AND(E$9&gt;=14/24,E$9&lt;20/24)</formula>
    </cfRule>
    <cfRule type="expression" dxfId="2881" priority="178">
      <formula>AND(E$9&gt;=8/24,E$9&lt;14/24)</formula>
    </cfRule>
    <cfRule type="expression" dxfId="2880" priority="179">
      <formula>E$9&lt;8/24</formula>
    </cfRule>
  </conditionalFormatting>
  <conditionalFormatting sqref="E49:L49">
    <cfRule type="expression" dxfId="2879" priority="172">
      <formula>E$9&gt;=20/24</formula>
    </cfRule>
    <cfRule type="expression" dxfId="2878" priority="173">
      <formula>AND(E$9&gt;=14/24,E$9&lt;20/24)</formula>
    </cfRule>
    <cfRule type="expression" dxfId="2877" priority="174">
      <formula>AND(E$9&gt;=8/24,E$9&lt;14/24)</formula>
    </cfRule>
    <cfRule type="expression" dxfId="2876" priority="175">
      <formula>E$9&lt;8/24</formula>
    </cfRule>
  </conditionalFormatting>
  <conditionalFormatting sqref="E49:L51 X42:AF42">
    <cfRule type="expression" dxfId="2875" priority="171">
      <formula>E42&gt;$AG42</formula>
    </cfRule>
  </conditionalFormatting>
  <conditionalFormatting sqref="AG66 AG83 E96:L102 R63:W65">
    <cfRule type="expression" dxfId="2874" priority="167">
      <formula>E$9&gt;=20/24</formula>
    </cfRule>
    <cfRule type="expression" dxfId="2873" priority="168">
      <formula>AND(E$9&gt;=14/24,E$9&lt;20/24)</formula>
    </cfRule>
    <cfRule type="expression" dxfId="2872" priority="169">
      <formula>AND(E$9&gt;=8/24,E$9&lt;14/24)</formula>
    </cfRule>
    <cfRule type="expression" dxfId="2871" priority="170">
      <formula>E$9&lt;8/24</formula>
    </cfRule>
  </conditionalFormatting>
  <conditionalFormatting sqref="AG44 AG62 AG66 R63:W65">
    <cfRule type="expression" dxfId="2870" priority="166">
      <formula>R44&gt;$AG44</formula>
    </cfRule>
  </conditionalFormatting>
  <conditionalFormatting sqref="X54:AF54">
    <cfRule type="expression" dxfId="2869" priority="162">
      <formula>X$9&gt;=20/24</formula>
    </cfRule>
    <cfRule type="expression" dxfId="2868" priority="163">
      <formula>AND(X$9&gt;=14/24,X$9&lt;20/24)</formula>
    </cfRule>
    <cfRule type="expression" dxfId="2867" priority="164">
      <formula>AND(X$9&gt;=8/24,X$9&lt;14/24)</formula>
    </cfRule>
    <cfRule type="expression" dxfId="2866" priority="165">
      <formula>X$9&lt;8/24</formula>
    </cfRule>
  </conditionalFormatting>
  <conditionalFormatting sqref="X54:AF54">
    <cfRule type="expression" dxfId="2865" priority="161">
      <formula>X54&gt;$AG54</formula>
    </cfRule>
  </conditionalFormatting>
  <conditionalFormatting sqref="A40">
    <cfRule type="expression" dxfId="2864" priority="160">
      <formula>$AH40=0</formula>
    </cfRule>
  </conditionalFormatting>
  <conditionalFormatting sqref="X87:AF91">
    <cfRule type="expression" dxfId="2863" priority="156">
      <formula>X$9&gt;=20/24</formula>
    </cfRule>
    <cfRule type="expression" dxfId="2862" priority="157">
      <formula>AND(X$9&gt;=14/24,X$9&lt;20/24)</formula>
    </cfRule>
    <cfRule type="expression" dxfId="2861" priority="158">
      <formula>AND(X$9&gt;=8/24,X$9&lt;14/24)</formula>
    </cfRule>
    <cfRule type="expression" dxfId="2860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2859" priority="152">
      <formula>E$9&gt;=20/24</formula>
    </cfRule>
    <cfRule type="expression" dxfId="2858" priority="153">
      <formula>AND(E$9&gt;=14/24,E$9&lt;20/24)</formula>
    </cfRule>
    <cfRule type="expression" dxfId="2857" priority="154">
      <formula>AND(E$9&gt;=8/24,E$9&lt;14/24)</formula>
    </cfRule>
    <cfRule type="expression" dxfId="2856" priority="155">
      <formula>E$9&lt;8/24</formula>
    </cfRule>
  </conditionalFormatting>
  <conditionalFormatting sqref="E45:AF47">
    <cfRule type="expression" dxfId="2855" priority="151">
      <formula>E45&gt;$AG45</formula>
    </cfRule>
  </conditionalFormatting>
  <conditionalFormatting sqref="AG48">
    <cfRule type="expression" dxfId="2854" priority="147">
      <formula>AG$9&gt;=20/24</formula>
    </cfRule>
    <cfRule type="expression" dxfId="2853" priority="148">
      <formula>AND(AG$9&gt;=14/24,AG$9&lt;20/24)</formula>
    </cfRule>
    <cfRule type="expression" dxfId="2852" priority="149">
      <formula>AND(AG$9&gt;=8/24,AG$9&lt;14/24)</formula>
    </cfRule>
    <cfRule type="expression" dxfId="2851" priority="150">
      <formula>AG$9&lt;8/24</formula>
    </cfRule>
  </conditionalFormatting>
  <conditionalFormatting sqref="AG48">
    <cfRule type="expression" dxfId="2850" priority="146">
      <formula>AG48&gt;$AG48</formula>
    </cfRule>
  </conditionalFormatting>
  <conditionalFormatting sqref="C103:AF103">
    <cfRule type="expression" dxfId="2849" priority="142">
      <formula>C$9&gt;=20/24</formula>
    </cfRule>
    <cfRule type="expression" dxfId="2848" priority="143">
      <formula>AND(C$9&gt;=14/24,C$9&lt;20/24)</formula>
    </cfRule>
    <cfRule type="expression" dxfId="2847" priority="144">
      <formula>AND(C$9&gt;=8/24,C$9&lt;14/24)</formula>
    </cfRule>
    <cfRule type="expression" dxfId="2846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845" priority="140">
      <formula>$AH37=0</formula>
    </cfRule>
  </conditionalFormatting>
  <conditionalFormatting sqref="A86">
    <cfRule type="expression" dxfId="2844" priority="138">
      <formula>$AH86=0</formula>
    </cfRule>
  </conditionalFormatting>
  <conditionalFormatting sqref="A83">
    <cfRule type="expression" dxfId="2843" priority="139">
      <formula>$AH83=0</formula>
    </cfRule>
  </conditionalFormatting>
  <conditionalFormatting sqref="A113">
    <cfRule type="expression" dxfId="2842" priority="129">
      <formula>$AH113=0</formula>
    </cfRule>
  </conditionalFormatting>
  <conditionalFormatting sqref="D106:AF106">
    <cfRule type="expression" dxfId="2841" priority="125">
      <formula>D$9&gt;=20/24</formula>
    </cfRule>
    <cfRule type="expression" dxfId="2840" priority="126">
      <formula>AND(D$9&gt;=14/24,D$9&lt;20/24)</formula>
    </cfRule>
    <cfRule type="expression" dxfId="2839" priority="127">
      <formula>AND(D$9&gt;=8/24,D$9&lt;14/24)</formula>
    </cfRule>
    <cfRule type="expression" dxfId="2838" priority="128">
      <formula>D$9&lt;8/24</formula>
    </cfRule>
  </conditionalFormatting>
  <conditionalFormatting sqref="A106">
    <cfRule type="expression" dxfId="2837" priority="124">
      <formula>$AH106=0</formula>
    </cfRule>
  </conditionalFormatting>
  <conditionalFormatting sqref="A19">
    <cfRule type="expression" dxfId="2836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835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2834" priority="116">
      <formula>Y$9&gt;=20/24</formula>
    </cfRule>
    <cfRule type="expression" dxfId="2833" priority="117">
      <formula>AND(Y$9&gt;=14/24,Y$9&lt;20/24)</formula>
    </cfRule>
    <cfRule type="expression" dxfId="2832" priority="118">
      <formula>AND(Y$9&gt;=8/24,Y$9&lt;14/24)</formula>
    </cfRule>
    <cfRule type="expression" dxfId="2831" priority="119">
      <formula>Y$9&lt;8/24</formula>
    </cfRule>
  </conditionalFormatting>
  <conditionalFormatting sqref="Y96:AD102">
    <cfRule type="expression" dxfId="2830" priority="112">
      <formula>Y$9&gt;=20/24</formula>
    </cfRule>
    <cfRule type="expression" dxfId="2829" priority="113">
      <formula>AND(Y$9&gt;=14/24,Y$9&lt;20/24)</formula>
    </cfRule>
    <cfRule type="expression" dxfId="2828" priority="114">
      <formula>AND(Y$9&gt;=8/24,Y$9&lt;14/24)</formula>
    </cfRule>
    <cfRule type="expression" dxfId="2827" priority="115">
      <formula>Y$9&lt;8/24</formula>
    </cfRule>
  </conditionalFormatting>
  <conditionalFormatting sqref="B105:C105 B107:C112 B15:W40">
    <cfRule type="expression" dxfId="2826" priority="108">
      <formula>B$9&gt;=20/24</formula>
    </cfRule>
    <cfRule type="expression" dxfId="2825" priority="109">
      <formula>AND(B$9&gt;=14/24,B$9&lt;20/24)</formula>
    </cfRule>
    <cfRule type="expression" dxfId="2824" priority="110">
      <formula>AND(B$9&gt;=8/24,B$9&lt;14/24)</formula>
    </cfRule>
    <cfRule type="expression" dxfId="2823" priority="111">
      <formula>B$9&lt;8/24</formula>
    </cfRule>
  </conditionalFormatting>
  <conditionalFormatting sqref="B43:S43">
    <cfRule type="expression" dxfId="2822" priority="104">
      <formula>B$9&gt;=20/24</formula>
    </cfRule>
    <cfRule type="expression" dxfId="2821" priority="105">
      <formula>AND(B$9&gt;=14/24,B$9&lt;20/24)</formula>
    </cfRule>
    <cfRule type="expression" dxfId="2820" priority="106">
      <formula>AND(B$9&gt;=8/24,B$9&lt;14/24)</formula>
    </cfRule>
    <cfRule type="expression" dxfId="2819" priority="107">
      <formula>B$9&lt;8/24</formula>
    </cfRule>
  </conditionalFormatting>
  <conditionalFormatting sqref="B43:S43 B15:W40">
    <cfRule type="expression" dxfId="2818" priority="103">
      <formula>B15&gt;$AG15</formula>
    </cfRule>
  </conditionalFormatting>
  <conditionalFormatting sqref="B95:D95">
    <cfRule type="expression" dxfId="2817" priority="99">
      <formula>B$9&gt;=20/24</formula>
    </cfRule>
    <cfRule type="expression" dxfId="2816" priority="100">
      <formula>AND(B$9&gt;=14/24,B$9&lt;20/24)</formula>
    </cfRule>
    <cfRule type="expression" dxfId="2815" priority="101">
      <formula>AND(B$9&gt;=8/24,B$9&lt;14/24)</formula>
    </cfRule>
    <cfRule type="expression" dxfId="2814" priority="102">
      <formula>B$9&lt;8/24</formula>
    </cfRule>
  </conditionalFormatting>
  <conditionalFormatting sqref="B50:D51 B67:D67">
    <cfRule type="expression" dxfId="2813" priority="95">
      <formula>B$9&gt;=20/24</formula>
    </cfRule>
    <cfRule type="expression" dxfId="2812" priority="96">
      <formula>AND(B$9&gt;=14/24,B$9&lt;20/24)</formula>
    </cfRule>
    <cfRule type="expression" dxfId="2811" priority="97">
      <formula>AND(B$9&gt;=8/24,B$9&lt;14/24)</formula>
    </cfRule>
    <cfRule type="expression" dxfId="2810" priority="98">
      <formula>B$9&lt;8/24</formula>
    </cfRule>
  </conditionalFormatting>
  <conditionalFormatting sqref="B49:D49">
    <cfRule type="expression" dxfId="2809" priority="91">
      <formula>B$9&gt;=20/24</formula>
    </cfRule>
    <cfRule type="expression" dxfId="2808" priority="92">
      <formula>AND(B$9&gt;=14/24,B$9&lt;20/24)</formula>
    </cfRule>
    <cfRule type="expression" dxfId="2807" priority="93">
      <formula>AND(B$9&gt;=8/24,B$9&lt;14/24)</formula>
    </cfRule>
    <cfRule type="expression" dxfId="2806" priority="94">
      <formula>B$9&lt;8/24</formula>
    </cfRule>
  </conditionalFormatting>
  <conditionalFormatting sqref="B49:D51">
    <cfRule type="expression" dxfId="2805" priority="90">
      <formula>B49&gt;$AG49</formula>
    </cfRule>
  </conditionalFormatting>
  <conditionalFormatting sqref="B82:C82 E70:I70 B92:W92 B79:AF81 B68:D70 B71:I72 B96:D102 B63:Q65 J70:W72 X71:AF72">
    <cfRule type="expression" dxfId="2804" priority="86">
      <formula>B$9&gt;=20/24</formula>
    </cfRule>
    <cfRule type="expression" dxfId="2803" priority="87">
      <formula>AND(B$9&gt;=14/24,B$9&lt;20/24)</formula>
    </cfRule>
    <cfRule type="expression" dxfId="2802" priority="88">
      <formula>AND(B$9&gt;=8/24,B$9&lt;14/24)</formula>
    </cfRule>
    <cfRule type="expression" dxfId="2801" priority="89">
      <formula>B$9&lt;8/24</formula>
    </cfRule>
  </conditionalFormatting>
  <conditionalFormatting sqref="B52:L53 B63:Q65">
    <cfRule type="expression" dxfId="2800" priority="85">
      <formula>B52&gt;$AG52</formula>
    </cfRule>
  </conditionalFormatting>
  <conditionalFormatting sqref="W54 B54:L54">
    <cfRule type="expression" dxfId="2799" priority="81">
      <formula>B$9&gt;=20/24</formula>
    </cfRule>
    <cfRule type="expression" dxfId="2798" priority="82">
      <formula>AND(B$9&gt;=14/24,B$9&lt;20/24)</formula>
    </cfRule>
    <cfRule type="expression" dxfId="2797" priority="83">
      <formula>AND(B$9&gt;=8/24,B$9&lt;14/24)</formula>
    </cfRule>
    <cfRule type="expression" dxfId="2796" priority="84">
      <formula>B$9&lt;8/24</formula>
    </cfRule>
  </conditionalFormatting>
  <conditionalFormatting sqref="W54 B54:L54">
    <cfRule type="expression" dxfId="2795" priority="80">
      <formula>B54&gt;$AG54</formula>
    </cfRule>
  </conditionalFormatting>
  <conditionalFormatting sqref="B84 B93">
    <cfRule type="expression" dxfId="2794" priority="76">
      <formula>B$9&gt;=20/24</formula>
    </cfRule>
    <cfRule type="expression" dxfId="2793" priority="77">
      <formula>AND(B$9&gt;=14/24,B$9&lt;20/24)</formula>
    </cfRule>
    <cfRule type="expression" dxfId="2792" priority="78">
      <formula>AND(B$9&gt;=8/24,B$9&lt;14/24)</formula>
    </cfRule>
    <cfRule type="expression" dxfId="2791" priority="79">
      <formula>B$9&lt;8/24</formula>
    </cfRule>
  </conditionalFormatting>
  <conditionalFormatting sqref="B42:W42">
    <cfRule type="expression" dxfId="2790" priority="72">
      <formula>B$9&gt;=20/24</formula>
    </cfRule>
    <cfRule type="expression" dxfId="2789" priority="73">
      <formula>AND(B$9&gt;=14/24,B$9&lt;20/24)</formula>
    </cfRule>
    <cfRule type="expression" dxfId="2788" priority="74">
      <formula>AND(B$9&gt;=8/24,B$9&lt;14/24)</formula>
    </cfRule>
    <cfRule type="expression" dxfId="2787" priority="75">
      <formula>B$9&lt;8/24</formula>
    </cfRule>
  </conditionalFormatting>
  <conditionalFormatting sqref="B42:W42">
    <cfRule type="expression" dxfId="2786" priority="71">
      <formula>B42&gt;$AG42</formula>
    </cfRule>
  </conditionalFormatting>
  <conditionalFormatting sqref="B94:AF94 B66:AF66 B83:AF83 B85:AF85">
    <cfRule type="expression" dxfId="2785" priority="67">
      <formula>B$9&gt;=20/24</formula>
    </cfRule>
    <cfRule type="expression" dxfId="2784" priority="68">
      <formula>AND(B$9&gt;=14/24,B$9&lt;20/24)</formula>
    </cfRule>
    <cfRule type="expression" dxfId="2783" priority="69">
      <formula>AND(B$9&gt;=8/24,B$9&lt;14/24)</formula>
    </cfRule>
    <cfRule type="expression" dxfId="2782" priority="70">
      <formula>B$9&lt;8/24</formula>
    </cfRule>
  </conditionalFormatting>
  <conditionalFormatting sqref="B61:AF62 B66:AF66 B44:AF44">
    <cfRule type="expression" dxfId="2781" priority="66">
      <formula>B44&gt;$AG44</formula>
    </cfRule>
  </conditionalFormatting>
  <conditionalFormatting sqref="B78:AF78">
    <cfRule type="expression" dxfId="2780" priority="62">
      <formula>B$9&gt;=20/24</formula>
    </cfRule>
    <cfRule type="expression" dxfId="2779" priority="63">
      <formula>AND(B$9&gt;=14/24,B$9&lt;20/24)</formula>
    </cfRule>
    <cfRule type="expression" dxfId="2778" priority="64">
      <formula>AND(B$9&gt;=8/24,B$9&lt;14/24)</formula>
    </cfRule>
    <cfRule type="expression" dxfId="2777" priority="65">
      <formula>B$9&lt;8/24</formula>
    </cfRule>
  </conditionalFormatting>
  <conditionalFormatting sqref="B87:W91">
    <cfRule type="expression" dxfId="2776" priority="58">
      <formula>B$9&gt;=20/24</formula>
    </cfRule>
    <cfRule type="expression" dxfId="2775" priority="59">
      <formula>AND(B$9&gt;=14/24,B$9&lt;20/24)</formula>
    </cfRule>
    <cfRule type="expression" dxfId="2774" priority="60">
      <formula>AND(B$9&gt;=8/24,B$9&lt;14/24)</formula>
    </cfRule>
    <cfRule type="expression" dxfId="2773" priority="61">
      <formula>B$9&lt;8/24</formula>
    </cfRule>
  </conditionalFormatting>
  <conditionalFormatting sqref="B45:D47">
    <cfRule type="expression" dxfId="2772" priority="54">
      <formula>B$9&gt;=20/24</formula>
    </cfRule>
    <cfRule type="expression" dxfId="2771" priority="55">
      <formula>AND(B$9&gt;=14/24,B$9&lt;20/24)</formula>
    </cfRule>
    <cfRule type="expression" dxfId="2770" priority="56">
      <formula>AND(B$9&gt;=8/24,B$9&lt;14/24)</formula>
    </cfRule>
    <cfRule type="expression" dxfId="2769" priority="57">
      <formula>B$9&lt;8/24</formula>
    </cfRule>
  </conditionalFormatting>
  <conditionalFormatting sqref="B45:D47">
    <cfRule type="expression" dxfId="2768" priority="53">
      <formula>B45&gt;$AG45</formula>
    </cfRule>
  </conditionalFormatting>
  <conditionalFormatting sqref="B48:AF48">
    <cfRule type="expression" dxfId="2767" priority="49">
      <formula>B$9&gt;=20/24</formula>
    </cfRule>
    <cfRule type="expression" dxfId="2766" priority="50">
      <formula>AND(B$9&gt;=14/24,B$9&lt;20/24)</formula>
    </cfRule>
    <cfRule type="expression" dxfId="2765" priority="51">
      <formula>AND(B$9&gt;=8/24,B$9&lt;14/24)</formula>
    </cfRule>
    <cfRule type="expression" dxfId="2764" priority="52">
      <formula>B$9&lt;8/24</formula>
    </cfRule>
  </conditionalFormatting>
  <conditionalFormatting sqref="B48:AF48">
    <cfRule type="expression" dxfId="2763" priority="48">
      <formula>B48&gt;$AG48</formula>
    </cfRule>
  </conditionalFormatting>
  <conditionalFormatting sqref="B103">
    <cfRule type="expression" dxfId="2762" priority="44">
      <formula>B$9&gt;=20/24</formula>
    </cfRule>
    <cfRule type="expression" dxfId="2761" priority="45">
      <formula>AND(B$9&gt;=14/24,B$9&lt;20/24)</formula>
    </cfRule>
    <cfRule type="expression" dxfId="2760" priority="46">
      <formula>AND(B$9&gt;=8/24,B$9&lt;14/24)</formula>
    </cfRule>
    <cfRule type="expression" dxfId="2759" priority="47">
      <formula>B$9&lt;8/24</formula>
    </cfRule>
  </conditionalFormatting>
  <conditionalFormatting sqref="B106:C106">
    <cfRule type="expression" dxfId="2758" priority="32">
      <formula>B$9&gt;=20/24</formula>
    </cfRule>
    <cfRule type="expression" dxfId="2757" priority="33">
      <formula>AND(B$9&gt;=14/24,B$9&lt;20/24)</formula>
    </cfRule>
    <cfRule type="expression" dxfId="2756" priority="34">
      <formula>AND(B$9&gt;=8/24,B$9&lt;14/24)</formula>
    </cfRule>
    <cfRule type="expression" dxfId="2755" priority="35">
      <formula>B$9&lt;8/24</formula>
    </cfRule>
  </conditionalFormatting>
  <conditionalFormatting sqref="B55:L60 M57:W60 X55:AF60">
    <cfRule type="expression" dxfId="2754" priority="28">
      <formula>B$9&gt;=20/24</formula>
    </cfRule>
    <cfRule type="expression" dxfId="2753" priority="29">
      <formula>AND(B$9&gt;=14/24,B$9&lt;20/24)</formula>
    </cfRule>
    <cfRule type="expression" dxfId="2752" priority="30">
      <formula>AND(B$9&gt;=8/24,B$9&lt;14/24)</formula>
    </cfRule>
    <cfRule type="expression" dxfId="2751" priority="31">
      <formula>B$9&lt;8/24</formula>
    </cfRule>
  </conditionalFormatting>
  <conditionalFormatting sqref="B55:L60 M57:W60 X55:AF60">
    <cfRule type="expression" dxfId="2750" priority="27">
      <formula>B55&gt;$AG55</formula>
    </cfRule>
  </conditionalFormatting>
  <conditionalFormatting sqref="B12:W14 B41:W41">
    <cfRule type="expression" dxfId="2749" priority="26">
      <formula>B12&gt;$AG12</formula>
    </cfRule>
  </conditionalFormatting>
  <conditionalFormatting sqref="B11:W11">
    <cfRule type="expression" dxfId="2748" priority="22">
      <formula>B$9&gt;=20/24</formula>
    </cfRule>
    <cfRule type="expression" dxfId="2747" priority="23">
      <formula>AND(B$9&gt;=14/24,B$9&lt;20/24)</formula>
    </cfRule>
    <cfRule type="expression" dxfId="2746" priority="24">
      <formula>AND(B$9&gt;=8/24,B$9&lt;14/24)</formula>
    </cfRule>
    <cfRule type="expression" dxfId="2745" priority="25">
      <formula>B$9&lt;8/24</formula>
    </cfRule>
  </conditionalFormatting>
  <conditionalFormatting sqref="B11:W11">
    <cfRule type="expression" dxfId="2744" priority="21">
      <formula>B11&gt;$AG11</formula>
    </cfRule>
  </conditionalFormatting>
  <conditionalFormatting sqref="B12:W14">
    <cfRule type="expression" dxfId="2743" priority="17">
      <formula>B$9&gt;=20/24</formula>
    </cfRule>
    <cfRule type="expression" dxfId="2742" priority="18">
      <formula>AND(B$9&gt;=14/24,B$9&lt;20/24)</formula>
    </cfRule>
    <cfRule type="expression" dxfId="2741" priority="19">
      <formula>AND(B$9&gt;=8/24,B$9&lt;14/24)</formula>
    </cfRule>
    <cfRule type="expression" dxfId="2740" priority="20">
      <formula>B$9&lt;8/24</formula>
    </cfRule>
  </conditionalFormatting>
  <conditionalFormatting sqref="B41:W41">
    <cfRule type="expression" dxfId="2739" priority="13">
      <formula>B$9&gt;=20/24</formula>
    </cfRule>
    <cfRule type="expression" dxfId="2738" priority="14">
      <formula>AND(B$9&gt;=14/24,B$9&lt;20/24)</formula>
    </cfRule>
    <cfRule type="expression" dxfId="2737" priority="15">
      <formula>AND(B$9&gt;=8/24,B$9&lt;14/24)</formula>
    </cfRule>
    <cfRule type="expression" dxfId="2736" priority="16">
      <formula>B$9&lt;8/24</formula>
    </cfRule>
  </conditionalFormatting>
  <conditionalFormatting sqref="B73:AF77">
    <cfRule type="expression" dxfId="2735" priority="9">
      <formula>B$9&gt;=20/24</formula>
    </cfRule>
    <cfRule type="expression" dxfId="2734" priority="10">
      <formula>AND(B$9&gt;=14/24,B$9&lt;20/24)</formula>
    </cfRule>
    <cfRule type="expression" dxfId="2733" priority="11">
      <formula>AND(B$9&gt;=8/24,B$9&lt;14/24)</formula>
    </cfRule>
    <cfRule type="expression" dxfId="2732" priority="12">
      <formula>B$9&lt;8/24</formula>
    </cfRule>
  </conditionalFormatting>
  <conditionalFormatting sqref="AL74:AN74 AL80:AN80 AN75:AN76">
    <cfRule type="expression" dxfId="2731" priority="5">
      <formula>AL$9&gt;=20/24</formula>
    </cfRule>
    <cfRule type="expression" dxfId="2730" priority="6">
      <formula>AND(AL$9&gt;=14/24,AL$9&lt;20/24)</formula>
    </cfRule>
    <cfRule type="expression" dxfId="2729" priority="7">
      <formula>AND(AL$9&gt;=8/24,AL$9&lt;14/24)</formula>
    </cfRule>
    <cfRule type="expression" dxfId="2728" priority="8">
      <formula>AL$9&lt;8/24</formula>
    </cfRule>
  </conditionalFormatting>
  <conditionalFormatting sqref="AN77:AN78">
    <cfRule type="expression" dxfId="2727" priority="1">
      <formula>AN$9&gt;=20/24</formula>
    </cfRule>
    <cfRule type="expression" dxfId="2726" priority="2">
      <formula>AND(AN$9&gt;=14/24,AN$9&lt;20/24)</formula>
    </cfRule>
    <cfRule type="expression" dxfId="2725" priority="3">
      <formula>AND(AN$9&gt;=8/24,AN$9&lt;14/24)</formula>
    </cfRule>
    <cfRule type="expression" dxfId="2724" priority="4">
      <formula>AN$9&lt;8/24</formula>
    </cfRule>
  </conditionalFormatting>
  <conditionalFormatting sqref="AL75:AM79">
    <cfRule type="expression" dxfId="2723" priority="258">
      <formula>AJ$9&gt;=20/24</formula>
    </cfRule>
    <cfRule type="expression" dxfId="2722" priority="259">
      <formula>AND(AJ$9&gt;=14/24,AJ$9&lt;20/24)</formula>
    </cfRule>
    <cfRule type="expression" dxfId="2721" priority="260">
      <formula>AND(AJ$9&gt;=8/24,AJ$9&lt;14/24)</formula>
    </cfRule>
    <cfRule type="expression" dxfId="2720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7249EA09-E6EC-477C-B5DE-A7073FE04DF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A38A671A-0C0A-48DF-9994-37B83742B460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5080F2E0-D8F9-4435-B95A-9E771E2D885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BA885871-2B78-46ED-B233-1A95AFDC9E0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9903BAEA-8F55-4E0C-AAB6-6590EAEBD47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5CA5A99F-9DF7-41AF-BFA6-6D43F7B78AC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B9AF7D44-BB37-419D-8C18-64E8C278A1E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42105C4F-B54B-42AB-A7B7-5D14DABFCC9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92CF1E82-DBDA-471C-BA48-217779265FA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6F8E2DDB-5D86-4586-9B05-86D475DB85A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60D098B3-C49A-4DC6-B3E3-08889E702A5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61565853-C336-4708-8C06-CBDF92639A2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74BFC2E3-D4AB-4457-A7D0-E072D9FC66D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62D6BABA-6F1E-4FFC-BA02-BFC0A19E7A2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81E145FC-FEA5-47DA-BE46-4170170D972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16FE057D-EDF4-472C-A0AE-C64C23610E2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J274"/>
  <sheetViews>
    <sheetView workbookViewId="0">
      <pane ySplit="10" topLeftCell="A11" activePane="bottomLeft" state="frozen"/>
      <selection pane="bottomLeft" activeCell="Q114" sqref="Q11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e">
        <f ca="1">"2079/"&amp;"09/"&amp;INT(MID(CELL("filename",D6),FIND("]",CELL("filename",D6))+1,200))</f>
        <v>#VALUE!</v>
      </c>
      <c r="C4" s="197"/>
      <c r="D4" s="197"/>
      <c r="E4" s="198" t="e">
        <f ca="1">"2079/"&amp;"09/"&amp;INT(MID(CELL("filename",G6),FIND("]",CELL("filename",G6))+1,200))</f>
        <v>#VALUE!</v>
      </c>
      <c r="F4" s="198"/>
      <c r="G4" s="198"/>
      <c r="H4" s="198" t="e">
        <f ca="1">TEXT(E4,"dddd")</f>
        <v>#VALUE!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398</v>
      </c>
      <c r="C5" s="30">
        <f t="shared" si="0"/>
        <v>396</v>
      </c>
      <c r="D5" s="30">
        <f t="shared" si="0"/>
        <v>380.8</v>
      </c>
      <c r="E5" s="30">
        <f t="shared" si="0"/>
        <v>380.8</v>
      </c>
      <c r="F5" s="30">
        <f t="shared" si="0"/>
        <v>423.2</v>
      </c>
      <c r="G5" s="30">
        <f t="shared" si="0"/>
        <v>449</v>
      </c>
      <c r="H5" s="30">
        <f t="shared" si="0"/>
        <v>458</v>
      </c>
      <c r="I5" s="30">
        <f t="shared" si="0"/>
        <v>450.4</v>
      </c>
      <c r="J5" s="30">
        <f t="shared" si="0"/>
        <v>424</v>
      </c>
      <c r="K5" s="30">
        <f t="shared" si="0"/>
        <v>413.6</v>
      </c>
      <c r="L5" s="30">
        <f t="shared" si="0"/>
        <v>365.7</v>
      </c>
      <c r="M5" s="30">
        <f t="shared" si="0"/>
        <v>343.7</v>
      </c>
      <c r="N5" s="30">
        <f t="shared" si="0"/>
        <v>426.3</v>
      </c>
      <c r="O5" s="30">
        <f t="shared" si="0"/>
        <v>418.1</v>
      </c>
      <c r="P5" s="30">
        <f t="shared" si="0"/>
        <v>422.5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151.6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B78</f>
        <v>372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1492MW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B85</f>
        <v>1070.54</v>
      </c>
      <c r="C7" s="35">
        <f t="shared" si="1"/>
        <v>1023.54</v>
      </c>
      <c r="D7" s="35">
        <f t="shared" si="1"/>
        <v>1022.44</v>
      </c>
      <c r="E7" s="35">
        <f t="shared" si="1"/>
        <v>1001.94</v>
      </c>
      <c r="F7" s="35">
        <f t="shared" si="1"/>
        <v>1001.94</v>
      </c>
      <c r="G7" s="35">
        <f t="shared" si="1"/>
        <v>1044.3399999999999</v>
      </c>
      <c r="H7" s="35">
        <f t="shared" si="1"/>
        <v>1162.6399999999999</v>
      </c>
      <c r="I7" s="35">
        <f t="shared" si="1"/>
        <v>1261.54</v>
      </c>
      <c r="J7" s="35">
        <f t="shared" si="1"/>
        <v>1313.7399999999998</v>
      </c>
      <c r="K7" s="35">
        <f t="shared" si="1"/>
        <v>1448.34</v>
      </c>
      <c r="L7" s="35">
        <f t="shared" si="1"/>
        <v>1456.3400000000001</v>
      </c>
      <c r="M7" s="35">
        <f t="shared" si="1"/>
        <v>1394.44</v>
      </c>
      <c r="N7" s="35">
        <f>N85</f>
        <v>1492.14</v>
      </c>
      <c r="O7" s="35">
        <f t="shared" si="1"/>
        <v>1433.2399999999998</v>
      </c>
      <c r="P7" s="35">
        <f t="shared" si="1"/>
        <v>1375.44</v>
      </c>
      <c r="Q7" s="35">
        <f t="shared" si="1"/>
        <v>1263.1399999999999</v>
      </c>
      <c r="R7" s="35">
        <f t="shared" si="1"/>
        <v>3.54</v>
      </c>
      <c r="S7" s="35">
        <f t="shared" si="1"/>
        <v>3.54</v>
      </c>
      <c r="T7" s="35">
        <f t="shared" si="1"/>
        <v>3.54</v>
      </c>
      <c r="U7" s="35">
        <f t="shared" si="1"/>
        <v>3.54</v>
      </c>
      <c r="V7" s="35">
        <f t="shared" si="1"/>
        <v>3.54</v>
      </c>
      <c r="W7" s="35">
        <f t="shared" si="1"/>
        <v>3.54</v>
      </c>
      <c r="X7" s="35">
        <f t="shared" si="1"/>
        <v>1704.6399999999999</v>
      </c>
      <c r="Y7" s="35">
        <f t="shared" si="1"/>
        <v>3.54</v>
      </c>
      <c r="Z7" s="35">
        <f t="shared" si="1"/>
        <v>3.54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20.3</v>
      </c>
      <c r="C11" s="45">
        <v>20.3</v>
      </c>
      <c r="D11" s="45">
        <v>21.2</v>
      </c>
      <c r="E11" s="45">
        <v>21.2</v>
      </c>
      <c r="F11" s="45">
        <v>21.2</v>
      </c>
      <c r="G11" s="45">
        <v>21.2</v>
      </c>
      <c r="H11" s="45">
        <v>21.2</v>
      </c>
      <c r="I11" s="45">
        <v>21.2</v>
      </c>
      <c r="J11" s="45">
        <v>21.2</v>
      </c>
      <c r="K11" s="45">
        <v>21.2</v>
      </c>
      <c r="L11" s="45">
        <v>21.2</v>
      </c>
      <c r="M11" s="45">
        <v>21.2</v>
      </c>
      <c r="N11" s="45">
        <v>21.2</v>
      </c>
      <c r="O11" s="45">
        <v>21.2</v>
      </c>
      <c r="P11" s="45">
        <v>21.2</v>
      </c>
      <c r="Q11" s="45">
        <v>21.2</v>
      </c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7">
        <v>52.4</v>
      </c>
      <c r="AH11" s="48">
        <f t="shared" ref="AH11:AH74" si="2">MAX(B11:AF11)</f>
        <v>21.2</v>
      </c>
      <c r="AI11" s="49">
        <f t="shared" ref="AI11:AI74" si="3">MIN(B11:AF11)</f>
        <v>20.3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38</v>
      </c>
      <c r="C12" s="45">
        <v>38</v>
      </c>
      <c r="D12" s="45">
        <v>38</v>
      </c>
      <c r="E12" s="45">
        <v>37.799999999999997</v>
      </c>
      <c r="F12" s="45">
        <v>37.799999999999997</v>
      </c>
      <c r="G12" s="45">
        <v>37.799999999999997</v>
      </c>
      <c r="H12" s="45">
        <v>37.799999999999997</v>
      </c>
      <c r="I12" s="45">
        <v>37.799999999999997</v>
      </c>
      <c r="J12" s="45">
        <v>37.799999999999997</v>
      </c>
      <c r="K12" s="45">
        <v>37.799999999999997</v>
      </c>
      <c r="L12" s="45">
        <v>37.799999999999997</v>
      </c>
      <c r="M12" s="45">
        <v>37.799999999999997</v>
      </c>
      <c r="N12" s="45">
        <v>37.799999999999997</v>
      </c>
      <c r="O12" s="45">
        <v>37.799999999999997</v>
      </c>
      <c r="P12" s="45">
        <v>37.799999999999997</v>
      </c>
      <c r="Q12" s="45">
        <v>37.799999999999997</v>
      </c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51">
        <v>50</v>
      </c>
      <c r="AH12" s="48">
        <f t="shared" si="2"/>
        <v>38</v>
      </c>
      <c r="AI12" s="49">
        <f t="shared" si="3"/>
        <v>37.799999999999997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21</v>
      </c>
      <c r="C13" s="45">
        <v>21</v>
      </c>
      <c r="D13" s="45">
        <v>21</v>
      </c>
      <c r="E13" s="45">
        <v>20.100000000000001</v>
      </c>
      <c r="F13" s="45">
        <v>20.100000000000001</v>
      </c>
      <c r="G13" s="45">
        <v>20.100000000000001</v>
      </c>
      <c r="H13" s="45">
        <v>20.100000000000001</v>
      </c>
      <c r="I13" s="45">
        <v>20.100000000000001</v>
      </c>
      <c r="J13" s="45">
        <v>20.100000000000001</v>
      </c>
      <c r="K13" s="45">
        <v>20.100000000000001</v>
      </c>
      <c r="L13" s="45">
        <v>20.100000000000001</v>
      </c>
      <c r="M13" s="45">
        <v>20.100000000000001</v>
      </c>
      <c r="N13" s="45">
        <v>20.100000000000001</v>
      </c>
      <c r="O13" s="45">
        <v>20.100000000000001</v>
      </c>
      <c r="P13" s="45">
        <v>20.100000000000001</v>
      </c>
      <c r="Q13" s="45">
        <v>20.100000000000001</v>
      </c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51">
        <v>45</v>
      </c>
      <c r="AH13" s="48">
        <f t="shared" si="2"/>
        <v>21</v>
      </c>
      <c r="AI13" s="49">
        <f t="shared" si="3"/>
        <v>20.100000000000001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11</v>
      </c>
      <c r="C14" s="45">
        <v>11</v>
      </c>
      <c r="D14" s="45">
        <v>11</v>
      </c>
      <c r="E14" s="45">
        <v>11</v>
      </c>
      <c r="F14" s="45">
        <v>11</v>
      </c>
      <c r="G14" s="45">
        <v>11</v>
      </c>
      <c r="H14" s="45">
        <v>11</v>
      </c>
      <c r="I14" s="45">
        <v>11</v>
      </c>
      <c r="J14" s="45">
        <v>11</v>
      </c>
      <c r="K14" s="45">
        <v>11</v>
      </c>
      <c r="L14" s="45">
        <v>11</v>
      </c>
      <c r="M14" s="45">
        <v>11</v>
      </c>
      <c r="N14" s="45">
        <v>11</v>
      </c>
      <c r="O14" s="45">
        <v>11</v>
      </c>
      <c r="P14" s="45">
        <v>11</v>
      </c>
      <c r="Q14" s="45">
        <v>11</v>
      </c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51">
        <v>42</v>
      </c>
      <c r="AH14" s="48">
        <f t="shared" si="2"/>
        <v>11</v>
      </c>
      <c r="AI14" s="49">
        <f t="shared" si="3"/>
        <v>11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</v>
      </c>
      <c r="C15" s="45">
        <v>17</v>
      </c>
      <c r="D15" s="45">
        <v>17</v>
      </c>
      <c r="E15" s="45">
        <v>17</v>
      </c>
      <c r="F15" s="45">
        <v>17</v>
      </c>
      <c r="G15" s="45">
        <v>17</v>
      </c>
      <c r="H15" s="45">
        <v>17</v>
      </c>
      <c r="I15" s="45">
        <v>17</v>
      </c>
      <c r="J15" s="45">
        <v>17</v>
      </c>
      <c r="K15" s="45">
        <v>17</v>
      </c>
      <c r="L15" s="45">
        <v>17</v>
      </c>
      <c r="M15" s="45">
        <v>17</v>
      </c>
      <c r="N15" s="45">
        <v>17</v>
      </c>
      <c r="O15" s="45">
        <v>17</v>
      </c>
      <c r="P15" s="45">
        <v>17</v>
      </c>
      <c r="Q15" s="45">
        <v>17</v>
      </c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51">
        <v>36</v>
      </c>
      <c r="AH15" s="48">
        <f t="shared" si="2"/>
        <v>17</v>
      </c>
      <c r="AI15" s="49">
        <f t="shared" si="3"/>
        <v>17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9.1</v>
      </c>
      <c r="C16" s="45">
        <v>9.1</v>
      </c>
      <c r="D16" s="45">
        <v>9.1</v>
      </c>
      <c r="E16" s="45">
        <v>8.9</v>
      </c>
      <c r="F16" s="45">
        <v>8.9</v>
      </c>
      <c r="G16" s="45">
        <v>8.9</v>
      </c>
      <c r="H16" s="45">
        <v>8.9</v>
      </c>
      <c r="I16" s="45">
        <v>8.9</v>
      </c>
      <c r="J16" s="45">
        <v>8.9</v>
      </c>
      <c r="K16" s="45">
        <v>8.9</v>
      </c>
      <c r="L16" s="45">
        <v>8.9</v>
      </c>
      <c r="M16" s="45">
        <v>8.9</v>
      </c>
      <c r="N16" s="45">
        <v>8.9</v>
      </c>
      <c r="O16" s="45">
        <v>8.9</v>
      </c>
      <c r="P16" s="45">
        <v>8.9</v>
      </c>
      <c r="Q16" s="45">
        <v>8.9</v>
      </c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52">
        <v>30</v>
      </c>
      <c r="AH16" s="48">
        <f t="shared" si="2"/>
        <v>9.1</v>
      </c>
      <c r="AI16" s="49">
        <f t="shared" si="3"/>
        <v>8.9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9.3000000000000007</v>
      </c>
      <c r="C17" s="45">
        <v>9.3000000000000007</v>
      </c>
      <c r="D17" s="45">
        <v>9.3000000000000007</v>
      </c>
      <c r="E17" s="45">
        <v>9.1</v>
      </c>
      <c r="F17" s="45">
        <v>9.1</v>
      </c>
      <c r="G17" s="45">
        <v>9.1</v>
      </c>
      <c r="H17" s="45">
        <v>9.1</v>
      </c>
      <c r="I17" s="45">
        <v>9.1</v>
      </c>
      <c r="J17" s="45">
        <v>9.1</v>
      </c>
      <c r="K17" s="45">
        <v>9.1</v>
      </c>
      <c r="L17" s="45">
        <v>9.1</v>
      </c>
      <c r="M17" s="45">
        <v>9.1</v>
      </c>
      <c r="N17" s="45">
        <v>9.1</v>
      </c>
      <c r="O17" s="45">
        <v>9.1</v>
      </c>
      <c r="P17" s="45">
        <v>9.1</v>
      </c>
      <c r="Q17" s="45">
        <v>9.1</v>
      </c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51">
        <v>24.2</v>
      </c>
      <c r="AH17" s="48">
        <f t="shared" si="2"/>
        <v>9.3000000000000007</v>
      </c>
      <c r="AI17" s="49">
        <f t="shared" si="3"/>
        <v>9.1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51">
        <v>28</v>
      </c>
      <c r="AH18" s="48">
        <f t="shared" si="2"/>
        <v>13</v>
      </c>
      <c r="AI18" s="49">
        <f t="shared" si="3"/>
        <v>13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52">
        <v>30</v>
      </c>
      <c r="AH19" s="48">
        <f t="shared" si="2"/>
        <v>13</v>
      </c>
      <c r="AI19" s="49">
        <f t="shared" si="3"/>
        <v>13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51">
        <v>25</v>
      </c>
      <c r="AH20" s="48">
        <f t="shared" si="2"/>
        <v>10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51">
        <v>25</v>
      </c>
      <c r="AH21" s="48">
        <f t="shared" si="2"/>
        <v>10</v>
      </c>
      <c r="AI21" s="49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9</v>
      </c>
      <c r="C24" s="45">
        <v>9</v>
      </c>
      <c r="D24" s="45">
        <v>9</v>
      </c>
      <c r="E24" s="45">
        <v>9</v>
      </c>
      <c r="F24" s="45">
        <v>9</v>
      </c>
      <c r="G24" s="45">
        <v>9</v>
      </c>
      <c r="H24" s="45">
        <v>9</v>
      </c>
      <c r="I24" s="45">
        <v>9</v>
      </c>
      <c r="J24" s="45">
        <v>9</v>
      </c>
      <c r="K24" s="45">
        <v>9</v>
      </c>
      <c r="L24" s="45">
        <v>9</v>
      </c>
      <c r="M24" s="45">
        <v>9</v>
      </c>
      <c r="N24" s="45">
        <v>9</v>
      </c>
      <c r="O24" s="45">
        <v>9</v>
      </c>
      <c r="P24" s="45">
        <v>9</v>
      </c>
      <c r="Q24" s="45">
        <v>9</v>
      </c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51">
        <v>23.5</v>
      </c>
      <c r="AH24" s="48">
        <f t="shared" si="2"/>
        <v>9</v>
      </c>
      <c r="AI24" s="49">
        <f t="shared" si="3"/>
        <v>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51">
        <v>22.2</v>
      </c>
      <c r="AH25" s="48">
        <f t="shared" si="2"/>
        <v>7</v>
      </c>
      <c r="AI25" s="49">
        <f t="shared" si="3"/>
        <v>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51">
        <v>22.1</v>
      </c>
      <c r="AH26" s="48">
        <f t="shared" si="2"/>
        <v>7</v>
      </c>
      <c r="AI26" s="49">
        <f t="shared" si="3"/>
        <v>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9.4</v>
      </c>
      <c r="C28" s="45">
        <v>9.4</v>
      </c>
      <c r="D28" s="45">
        <v>9.4</v>
      </c>
      <c r="E28" s="45">
        <v>9.4</v>
      </c>
      <c r="F28" s="45">
        <v>9.4</v>
      </c>
      <c r="G28" s="45">
        <v>9.4</v>
      </c>
      <c r="H28" s="45">
        <v>9.4</v>
      </c>
      <c r="I28" s="45">
        <v>9.4</v>
      </c>
      <c r="J28" s="45">
        <v>9.4</v>
      </c>
      <c r="K28" s="45">
        <v>9.4</v>
      </c>
      <c r="L28" s="45">
        <v>9.4</v>
      </c>
      <c r="M28" s="45">
        <v>9.4</v>
      </c>
      <c r="N28" s="45">
        <v>9.4</v>
      </c>
      <c r="O28" s="45">
        <v>9.4</v>
      </c>
      <c r="P28" s="45">
        <v>9.4</v>
      </c>
      <c r="Q28" s="45">
        <v>9.4</v>
      </c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51">
        <v>22</v>
      </c>
      <c r="AH28" s="48">
        <f t="shared" si="2"/>
        <v>9.4</v>
      </c>
      <c r="AI28" s="49">
        <f t="shared" si="3"/>
        <v>9.4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51">
        <v>20</v>
      </c>
      <c r="AH29" s="48">
        <f t="shared" si="2"/>
        <v>7</v>
      </c>
      <c r="AI29" s="49">
        <f t="shared" si="3"/>
        <v>7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51">
        <v>13.6</v>
      </c>
      <c r="AH32" s="48">
        <f t="shared" si="2"/>
        <v>1.2</v>
      </c>
      <c r="AI32" s="49">
        <f t="shared" si="3"/>
        <v>1.2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55">
        <v>10</v>
      </c>
      <c r="AH40" s="48">
        <f t="shared" si="2"/>
        <v>4</v>
      </c>
      <c r="AI40" s="49">
        <f t="shared" si="3"/>
        <v>4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>
        <v>150</v>
      </c>
      <c r="C42" s="57">
        <v>150</v>
      </c>
      <c r="D42" s="57">
        <v>150</v>
      </c>
      <c r="E42" s="57">
        <v>150</v>
      </c>
      <c r="F42" s="57">
        <v>150</v>
      </c>
      <c r="G42" s="57">
        <v>150</v>
      </c>
      <c r="H42" s="57">
        <v>150</v>
      </c>
      <c r="I42" s="57">
        <v>150</v>
      </c>
      <c r="J42" s="57">
        <v>150</v>
      </c>
      <c r="K42" s="57">
        <v>150</v>
      </c>
      <c r="L42" s="57">
        <v>150</v>
      </c>
      <c r="M42" s="57">
        <v>150</v>
      </c>
      <c r="N42" s="57">
        <v>150</v>
      </c>
      <c r="O42" s="57">
        <v>150</v>
      </c>
      <c r="P42" s="57">
        <v>150</v>
      </c>
      <c r="Q42" s="57">
        <v>150</v>
      </c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5">
        <v>85</v>
      </c>
      <c r="AH42" s="48">
        <f t="shared" si="2"/>
        <v>150</v>
      </c>
      <c r="AI42" s="49">
        <f t="shared" si="3"/>
        <v>150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462.9</v>
      </c>
      <c r="C44" s="61">
        <f t="shared" si="4"/>
        <v>462.9</v>
      </c>
      <c r="D44" s="61">
        <f t="shared" si="4"/>
        <v>463.79999999999995</v>
      </c>
      <c r="E44" s="61">
        <f t="shared" si="4"/>
        <v>462.29999999999995</v>
      </c>
      <c r="F44" s="61">
        <f t="shared" si="4"/>
        <v>462.29999999999995</v>
      </c>
      <c r="G44" s="61">
        <f t="shared" si="4"/>
        <v>462.29999999999995</v>
      </c>
      <c r="H44" s="61">
        <f t="shared" si="4"/>
        <v>462.29999999999995</v>
      </c>
      <c r="I44" s="61">
        <f t="shared" si="4"/>
        <v>462.29999999999995</v>
      </c>
      <c r="J44" s="61">
        <f t="shared" si="4"/>
        <v>462.29999999999995</v>
      </c>
      <c r="K44" s="61">
        <f t="shared" si="4"/>
        <v>462.29999999999995</v>
      </c>
      <c r="L44" s="61">
        <f t="shared" ref="L44" si="5">SUM(L11:L42)</f>
        <v>462.29999999999995</v>
      </c>
      <c r="M44" s="61">
        <f t="shared" si="4"/>
        <v>462.29999999999995</v>
      </c>
      <c r="N44" s="61">
        <f t="shared" si="4"/>
        <v>462.29999999999995</v>
      </c>
      <c r="O44" s="61">
        <f t="shared" si="4"/>
        <v>462.29999999999995</v>
      </c>
      <c r="P44" s="61">
        <f t="shared" si="4"/>
        <v>462.29999999999995</v>
      </c>
      <c r="Q44" s="61">
        <f t="shared" si="4"/>
        <v>462.29999999999995</v>
      </c>
      <c r="R44" s="61">
        <f t="shared" si="4"/>
        <v>0</v>
      </c>
      <c r="S44" s="61">
        <f t="shared" si="4"/>
        <v>0</v>
      </c>
      <c r="T44" s="61">
        <f t="shared" si="4"/>
        <v>0</v>
      </c>
      <c r="U44" s="61">
        <f t="shared" si="4"/>
        <v>0</v>
      </c>
      <c r="V44" s="61">
        <f t="shared" si="4"/>
        <v>0</v>
      </c>
      <c r="W44" s="61">
        <f t="shared" si="4"/>
        <v>0</v>
      </c>
      <c r="X44" s="61">
        <v>554.29999999999995</v>
      </c>
      <c r="Y44" s="61">
        <f t="shared" si="4"/>
        <v>0</v>
      </c>
      <c r="Z44" s="61">
        <f t="shared" si="4"/>
        <v>0</v>
      </c>
      <c r="AA44" s="61">
        <f t="shared" si="4"/>
        <v>0</v>
      </c>
      <c r="AB44" s="61">
        <f t="shared" si="4"/>
        <v>0</v>
      </c>
      <c r="AC44" s="61">
        <f t="shared" si="4"/>
        <v>0</v>
      </c>
      <c r="AD44" s="61">
        <f t="shared" si="4"/>
        <v>0</v>
      </c>
      <c r="AE44" s="61">
        <f t="shared" si="4"/>
        <v>0</v>
      </c>
      <c r="AF44" s="61">
        <f t="shared" si="4"/>
        <v>0</v>
      </c>
      <c r="AG44" s="62">
        <f t="shared" si="4"/>
        <v>814.78000000000009</v>
      </c>
      <c r="AH44" s="48">
        <f t="shared" si="2"/>
        <v>554.29999999999995</v>
      </c>
      <c r="AI44" s="49">
        <f t="shared" si="3"/>
        <v>0</v>
      </c>
      <c r="AK44" s="50"/>
    </row>
    <row r="45" spans="1:88" x14ac:dyDescent="0.25">
      <c r="A45" s="63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15</v>
      </c>
      <c r="I45" s="45">
        <v>50</v>
      </c>
      <c r="J45" s="45">
        <v>40</v>
      </c>
      <c r="K45" s="45">
        <v>80</v>
      </c>
      <c r="L45" s="45">
        <v>100</v>
      </c>
      <c r="M45" s="45">
        <v>100</v>
      </c>
      <c r="N45" s="164">
        <v>240</v>
      </c>
      <c r="O45" s="45">
        <v>160</v>
      </c>
      <c r="P45" s="45">
        <v>120</v>
      </c>
      <c r="Q45" s="45">
        <v>90</v>
      </c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52">
        <v>456</v>
      </c>
      <c r="AH45" s="48">
        <f t="shared" si="2"/>
        <v>240</v>
      </c>
      <c r="AI45" s="49">
        <f t="shared" si="3"/>
        <v>0</v>
      </c>
      <c r="AK45" s="50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35</v>
      </c>
      <c r="N46" s="65">
        <v>35</v>
      </c>
      <c r="O46" s="65">
        <v>35</v>
      </c>
      <c r="P46" s="65">
        <v>35</v>
      </c>
      <c r="Q46" s="65">
        <v>35</v>
      </c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55">
        <v>60</v>
      </c>
      <c r="AH46" s="48">
        <f t="shared" si="2"/>
        <v>41</v>
      </c>
      <c r="AI46" s="49">
        <f t="shared" si="3"/>
        <v>35</v>
      </c>
      <c r="AK46" s="50"/>
    </row>
    <row r="47" spans="1:88" ht="15.75" thickBot="1" x14ac:dyDescent="0.3">
      <c r="A47" s="66" t="s">
        <v>55</v>
      </c>
      <c r="B47" s="67">
        <v>19.100000000000001</v>
      </c>
      <c r="C47" s="67">
        <v>19.100000000000001</v>
      </c>
      <c r="D47" s="67">
        <v>19.100000000000001</v>
      </c>
      <c r="E47" s="67">
        <v>19.100000000000001</v>
      </c>
      <c r="F47" s="67">
        <v>19.100000000000001</v>
      </c>
      <c r="G47" s="67">
        <v>19.100000000000001</v>
      </c>
      <c r="H47" s="67">
        <v>19.100000000000001</v>
      </c>
      <c r="I47" s="67">
        <v>19.100000000000001</v>
      </c>
      <c r="J47" s="67">
        <v>19.100000000000001</v>
      </c>
      <c r="K47" s="67">
        <v>12.5</v>
      </c>
      <c r="L47" s="67">
        <v>12.5</v>
      </c>
      <c r="M47" s="67">
        <v>12.5</v>
      </c>
      <c r="N47" s="67">
        <v>12.5</v>
      </c>
      <c r="O47" s="67">
        <v>12.4</v>
      </c>
      <c r="P47" s="67">
        <v>12.4</v>
      </c>
      <c r="Q47" s="67">
        <v>11.1</v>
      </c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8">
        <v>22.1</v>
      </c>
      <c r="AH47" s="48">
        <f t="shared" si="2"/>
        <v>19.100000000000001</v>
      </c>
      <c r="AI47" s="49">
        <f t="shared" si="3"/>
        <v>11.1</v>
      </c>
      <c r="AK47" s="50"/>
    </row>
    <row r="48" spans="1:88" ht="15.75" thickBot="1" x14ac:dyDescent="0.3">
      <c r="A48" s="69" t="s">
        <v>56</v>
      </c>
      <c r="B48" s="61">
        <f t="shared" ref="B48:AG48" si="6">SUM(B45:B47)</f>
        <v>60.1</v>
      </c>
      <c r="C48" s="61">
        <f t="shared" si="6"/>
        <v>60.1</v>
      </c>
      <c r="D48" s="61">
        <f t="shared" si="6"/>
        <v>60.1</v>
      </c>
      <c r="E48" s="61">
        <f t="shared" si="6"/>
        <v>60.1</v>
      </c>
      <c r="F48" s="61">
        <f t="shared" si="6"/>
        <v>60.1</v>
      </c>
      <c r="G48" s="61">
        <f t="shared" si="6"/>
        <v>60.1</v>
      </c>
      <c r="H48" s="61">
        <f t="shared" si="6"/>
        <v>75.099999999999994</v>
      </c>
      <c r="I48" s="61">
        <f t="shared" si="6"/>
        <v>110.1</v>
      </c>
      <c r="J48" s="61">
        <f t="shared" si="6"/>
        <v>100.1</v>
      </c>
      <c r="K48" s="61">
        <f t="shared" si="6"/>
        <v>133.5</v>
      </c>
      <c r="L48" s="61">
        <f t="shared" ref="L48" si="7">SUM(L45:L47)</f>
        <v>153.5</v>
      </c>
      <c r="M48" s="61">
        <f t="shared" si="6"/>
        <v>147.5</v>
      </c>
      <c r="N48" s="61">
        <f t="shared" si="6"/>
        <v>287.5</v>
      </c>
      <c r="O48" s="61">
        <f t="shared" si="6"/>
        <v>207.4</v>
      </c>
      <c r="P48" s="61">
        <f t="shared" si="6"/>
        <v>167.4</v>
      </c>
      <c r="Q48" s="61">
        <f t="shared" si="6"/>
        <v>136.1</v>
      </c>
      <c r="R48" s="61">
        <f t="shared" si="6"/>
        <v>0</v>
      </c>
      <c r="S48" s="61">
        <f t="shared" si="6"/>
        <v>0</v>
      </c>
      <c r="T48" s="61">
        <f t="shared" si="6"/>
        <v>0</v>
      </c>
      <c r="U48" s="61">
        <f t="shared" si="6"/>
        <v>0</v>
      </c>
      <c r="V48" s="61">
        <f t="shared" si="6"/>
        <v>0</v>
      </c>
      <c r="W48" s="61">
        <f t="shared" si="6"/>
        <v>0</v>
      </c>
      <c r="X48" s="61">
        <v>515.70000000000005</v>
      </c>
      <c r="Y48" s="61">
        <f t="shared" si="6"/>
        <v>0</v>
      </c>
      <c r="Z48" s="61">
        <f t="shared" si="6"/>
        <v>0</v>
      </c>
      <c r="AA48" s="61">
        <f t="shared" si="6"/>
        <v>0</v>
      </c>
      <c r="AB48" s="61">
        <f t="shared" si="6"/>
        <v>0</v>
      </c>
      <c r="AC48" s="61">
        <f t="shared" si="6"/>
        <v>0</v>
      </c>
      <c r="AD48" s="61">
        <f t="shared" si="6"/>
        <v>0</v>
      </c>
      <c r="AE48" s="61">
        <f t="shared" si="6"/>
        <v>0</v>
      </c>
      <c r="AF48" s="61">
        <f t="shared" si="6"/>
        <v>0</v>
      </c>
      <c r="AG48" s="62">
        <f t="shared" si="6"/>
        <v>538.1</v>
      </c>
      <c r="AH48" s="48">
        <f t="shared" si="2"/>
        <v>515.70000000000005</v>
      </c>
      <c r="AI48" s="49">
        <f t="shared" si="3"/>
        <v>0</v>
      </c>
      <c r="AK48" s="50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24</v>
      </c>
      <c r="I49" s="45">
        <v>61.3</v>
      </c>
      <c r="J49" s="45">
        <v>100</v>
      </c>
      <c r="K49" s="45">
        <v>140</v>
      </c>
      <c r="L49" s="45">
        <v>140</v>
      </c>
      <c r="M49" s="45">
        <v>140</v>
      </c>
      <c r="N49" s="45">
        <v>140.80000000000001</v>
      </c>
      <c r="O49" s="45">
        <v>132.19999999999999</v>
      </c>
      <c r="P49" s="45">
        <v>110</v>
      </c>
      <c r="Q49" s="45">
        <v>60.5</v>
      </c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52">
        <v>144</v>
      </c>
      <c r="AH49" s="48">
        <f t="shared" si="2"/>
        <v>140.80000000000001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22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22</v>
      </c>
      <c r="I50" s="65">
        <v>34.700000000000003</v>
      </c>
      <c r="J50" s="65">
        <v>36</v>
      </c>
      <c r="K50" s="65">
        <v>57</v>
      </c>
      <c r="L50" s="65">
        <v>60.4</v>
      </c>
      <c r="M50" s="65">
        <v>60.4</v>
      </c>
      <c r="N50" s="65">
        <v>67.5</v>
      </c>
      <c r="O50" s="65">
        <v>49.3</v>
      </c>
      <c r="P50" s="65">
        <v>46.5</v>
      </c>
      <c r="Q50" s="65">
        <v>20</v>
      </c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65"/>
      <c r="AC50" s="65"/>
      <c r="AD50" s="65"/>
      <c r="AE50" s="65"/>
      <c r="AF50" s="65"/>
      <c r="AG50" s="55">
        <v>70</v>
      </c>
      <c r="AH50" s="48">
        <f t="shared" si="2"/>
        <v>67.5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45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23</v>
      </c>
      <c r="I51" s="65">
        <v>21.3</v>
      </c>
      <c r="J51" s="65">
        <v>47</v>
      </c>
      <c r="K51" s="65">
        <v>53.9</v>
      </c>
      <c r="L51" s="65">
        <v>68.900000000000006</v>
      </c>
      <c r="M51" s="65">
        <v>68.900000000000006</v>
      </c>
      <c r="N51" s="65">
        <v>68.8</v>
      </c>
      <c r="O51" s="65">
        <v>52.7</v>
      </c>
      <c r="P51" s="65">
        <v>66.099999999999994</v>
      </c>
      <c r="Q51" s="65">
        <v>56.2</v>
      </c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65"/>
      <c r="AC51" s="65"/>
      <c r="AD51" s="65"/>
      <c r="AE51" s="65"/>
      <c r="AF51" s="65"/>
      <c r="AG51" s="55">
        <v>69</v>
      </c>
      <c r="AH51" s="48">
        <f t="shared" si="2"/>
        <v>68.900000000000006</v>
      </c>
      <c r="AI51" s="49">
        <f t="shared" si="3"/>
        <v>0</v>
      </c>
      <c r="AK51" s="50"/>
    </row>
    <row r="52" spans="1:41" x14ac:dyDescent="0.25">
      <c r="A52" s="54" t="s">
        <v>60</v>
      </c>
      <c r="B52" s="57">
        <v>54.9</v>
      </c>
      <c r="C52" s="57">
        <v>54.9</v>
      </c>
      <c r="D52" s="57">
        <v>54.9</v>
      </c>
      <c r="E52" s="57">
        <v>51.1</v>
      </c>
      <c r="F52" s="57">
        <v>51.1</v>
      </c>
      <c r="G52" s="57">
        <v>51.1</v>
      </c>
      <c r="H52" s="57">
        <v>51.1</v>
      </c>
      <c r="I52" s="57">
        <v>51.1</v>
      </c>
      <c r="J52" s="57">
        <v>55.2</v>
      </c>
      <c r="K52" s="57">
        <v>55.2</v>
      </c>
      <c r="L52" s="57">
        <v>55.2</v>
      </c>
      <c r="M52" s="65">
        <v>55.2</v>
      </c>
      <c r="N52" s="65">
        <v>55.2</v>
      </c>
      <c r="O52" s="65">
        <v>51.4</v>
      </c>
      <c r="P52" s="65">
        <v>51.4</v>
      </c>
      <c r="Q52" s="65">
        <v>51.9</v>
      </c>
      <c r="R52" s="45"/>
      <c r="S52" s="45"/>
      <c r="T52" s="45"/>
      <c r="U52" s="45"/>
      <c r="V52" s="4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55">
        <v>60</v>
      </c>
      <c r="AH52" s="48">
        <f t="shared" si="2"/>
        <v>55.2</v>
      </c>
      <c r="AI52" s="49">
        <f t="shared" si="3"/>
        <v>51.1</v>
      </c>
      <c r="AK52" s="50"/>
    </row>
    <row r="53" spans="1:41" x14ac:dyDescent="0.25">
      <c r="A53" s="54" t="s">
        <v>61</v>
      </c>
      <c r="B53" s="57">
        <v>6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8.5</v>
      </c>
      <c r="I53" s="57">
        <v>15.1</v>
      </c>
      <c r="J53" s="57">
        <v>15.1</v>
      </c>
      <c r="K53" s="57">
        <v>24.8</v>
      </c>
      <c r="L53" s="57">
        <v>24.8</v>
      </c>
      <c r="M53" s="65">
        <v>24.8</v>
      </c>
      <c r="N53" s="65">
        <v>14.7</v>
      </c>
      <c r="O53" s="65">
        <v>0</v>
      </c>
      <c r="P53" s="65">
        <v>0</v>
      </c>
      <c r="Q53" s="65">
        <v>0</v>
      </c>
      <c r="R53" s="45"/>
      <c r="S53" s="45"/>
      <c r="T53" s="45"/>
      <c r="U53" s="45"/>
      <c r="V53" s="4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55">
        <v>30</v>
      </c>
      <c r="AH53" s="48">
        <f t="shared" si="2"/>
        <v>24.8</v>
      </c>
      <c r="AI53" s="49">
        <f t="shared" si="3"/>
        <v>0</v>
      </c>
      <c r="AK53" s="50"/>
    </row>
    <row r="54" spans="1:41" x14ac:dyDescent="0.25">
      <c r="A54" s="54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2</v>
      </c>
      <c r="N54" s="45">
        <v>4</v>
      </c>
      <c r="O54" s="65">
        <v>4</v>
      </c>
      <c r="P54" s="65">
        <v>6</v>
      </c>
      <c r="Q54" s="65">
        <v>6</v>
      </c>
      <c r="R54" s="45"/>
      <c r="S54" s="45"/>
      <c r="T54" s="45"/>
      <c r="U54" s="45"/>
      <c r="V54" s="45"/>
      <c r="W54" s="45"/>
      <c r="X54" s="65"/>
      <c r="Y54" s="65"/>
      <c r="Z54" s="65"/>
      <c r="AA54" s="65"/>
      <c r="AB54" s="65"/>
      <c r="AC54" s="65"/>
      <c r="AD54" s="65"/>
      <c r="AE54" s="65"/>
      <c r="AF54" s="65"/>
      <c r="AG54" s="55">
        <v>25</v>
      </c>
      <c r="AH54" s="48">
        <f t="shared" si="2"/>
        <v>6</v>
      </c>
      <c r="AI54" s="49">
        <f t="shared" si="3"/>
        <v>0</v>
      </c>
      <c r="AK54" s="50"/>
    </row>
    <row r="55" spans="1:41" x14ac:dyDescent="0.25">
      <c r="A55" s="54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45"/>
      <c r="S55" s="45"/>
      <c r="T55" s="45"/>
      <c r="U55" s="45"/>
      <c r="V55" s="4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55">
        <v>24</v>
      </c>
      <c r="AH55" s="48">
        <f t="shared" si="2"/>
        <v>17</v>
      </c>
      <c r="AI55" s="49">
        <f t="shared" si="3"/>
        <v>17</v>
      </c>
      <c r="AK55" s="50"/>
    </row>
    <row r="56" spans="1:41" x14ac:dyDescent="0.25">
      <c r="A56" s="54" t="s">
        <v>64</v>
      </c>
      <c r="B56" s="65">
        <v>2.5</v>
      </c>
      <c r="C56" s="65">
        <v>2.5</v>
      </c>
      <c r="D56" s="65">
        <v>2.5</v>
      </c>
      <c r="E56" s="65">
        <v>2.5</v>
      </c>
      <c r="F56" s="65">
        <v>2.5</v>
      </c>
      <c r="G56" s="65">
        <v>2.5</v>
      </c>
      <c r="H56" s="65">
        <v>2.5</v>
      </c>
      <c r="I56" s="65">
        <v>2.5</v>
      </c>
      <c r="J56" s="65">
        <v>2.5</v>
      </c>
      <c r="K56" s="65">
        <v>2.5</v>
      </c>
      <c r="L56" s="65">
        <v>2.5</v>
      </c>
      <c r="M56" s="65">
        <v>2.5</v>
      </c>
      <c r="N56" s="65">
        <v>2.5</v>
      </c>
      <c r="O56" s="65">
        <v>2.5</v>
      </c>
      <c r="P56" s="65">
        <v>2.5</v>
      </c>
      <c r="Q56" s="65">
        <v>2.5</v>
      </c>
      <c r="R56" s="45"/>
      <c r="S56" s="45"/>
      <c r="T56" s="45"/>
      <c r="U56" s="45"/>
      <c r="V56" s="4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55">
        <v>15</v>
      </c>
      <c r="AH56" s="48">
        <f t="shared" si="2"/>
        <v>2.5</v>
      </c>
      <c r="AI56" s="49">
        <f t="shared" si="3"/>
        <v>2.5</v>
      </c>
      <c r="AK56" s="50"/>
      <c r="AL56" s="70"/>
      <c r="AO56" s="70"/>
    </row>
    <row r="57" spans="1:41" s="70" customFormat="1" x14ac:dyDescent="0.25">
      <c r="A57" s="54" t="s">
        <v>65</v>
      </c>
      <c r="B57" s="65">
        <v>12.3</v>
      </c>
      <c r="C57" s="65">
        <v>12.3</v>
      </c>
      <c r="D57" s="65">
        <v>12.3</v>
      </c>
      <c r="E57" s="65">
        <v>12.3</v>
      </c>
      <c r="F57" s="65">
        <v>12.3</v>
      </c>
      <c r="G57" s="65">
        <v>12.3</v>
      </c>
      <c r="H57" s="65">
        <v>12.3</v>
      </c>
      <c r="I57" s="65">
        <v>12.3</v>
      </c>
      <c r="J57" s="65">
        <v>12.3</v>
      </c>
      <c r="K57" s="65">
        <v>12.3</v>
      </c>
      <c r="L57" s="65">
        <v>12.3</v>
      </c>
      <c r="M57" s="65">
        <v>12.3</v>
      </c>
      <c r="N57" s="65">
        <v>12.3</v>
      </c>
      <c r="O57" s="65">
        <v>12.3</v>
      </c>
      <c r="P57" s="65">
        <v>12.3</v>
      </c>
      <c r="Q57" s="65">
        <v>12.3</v>
      </c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55">
        <v>14.1</v>
      </c>
      <c r="AH57" s="48">
        <f t="shared" si="2"/>
        <v>12.3</v>
      </c>
      <c r="AI57" s="49">
        <f t="shared" si="3"/>
        <v>12.3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>
        <v>3.9</v>
      </c>
      <c r="C58" s="65">
        <v>3.9</v>
      </c>
      <c r="D58" s="65">
        <v>3.9</v>
      </c>
      <c r="E58" s="65">
        <v>3.9</v>
      </c>
      <c r="F58" s="65">
        <v>3.9</v>
      </c>
      <c r="G58" s="65">
        <v>3.9</v>
      </c>
      <c r="H58" s="65">
        <v>3.9</v>
      </c>
      <c r="I58" s="65">
        <v>3.9</v>
      </c>
      <c r="J58" s="65">
        <v>3.9</v>
      </c>
      <c r="K58" s="65">
        <v>3.9</v>
      </c>
      <c r="L58" s="65">
        <v>3.9</v>
      </c>
      <c r="M58" s="65">
        <v>3.9</v>
      </c>
      <c r="N58" s="65">
        <v>3.9</v>
      </c>
      <c r="O58" s="65">
        <v>3.9</v>
      </c>
      <c r="P58" s="65">
        <v>3.9</v>
      </c>
      <c r="Q58" s="65">
        <v>3.9</v>
      </c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55">
        <v>14</v>
      </c>
      <c r="AH58" s="48">
        <f t="shared" si="2"/>
        <v>3.9</v>
      </c>
      <c r="AI58" s="49">
        <f t="shared" si="3"/>
        <v>3.9</v>
      </c>
      <c r="AK58" s="50"/>
    </row>
    <row r="59" spans="1:41" x14ac:dyDescent="0.25">
      <c r="A59" s="54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55">
        <v>10.050000000000001</v>
      </c>
      <c r="AH59" s="48">
        <f t="shared" si="2"/>
        <v>5.2</v>
      </c>
      <c r="AI59" s="49">
        <f t="shared" si="3"/>
        <v>5.2</v>
      </c>
      <c r="AK59" s="50"/>
    </row>
    <row r="60" spans="1:41" x14ac:dyDescent="0.25">
      <c r="A60" s="54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6.2</v>
      </c>
      <c r="AH60" s="48">
        <f t="shared" si="2"/>
        <v>3.2</v>
      </c>
      <c r="AI60" s="49">
        <f t="shared" si="3"/>
        <v>3.2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8">SUM(B49:B61)</f>
        <v>175.54</v>
      </c>
      <c r="C62" s="61">
        <f t="shared" si="8"/>
        <v>102.54000000000002</v>
      </c>
      <c r="D62" s="61">
        <f t="shared" si="8"/>
        <v>102.54000000000002</v>
      </c>
      <c r="E62" s="61">
        <f t="shared" si="8"/>
        <v>98.740000000000009</v>
      </c>
      <c r="F62" s="61">
        <f t="shared" si="8"/>
        <v>98.740000000000009</v>
      </c>
      <c r="G62" s="61">
        <f t="shared" si="8"/>
        <v>98.740000000000009</v>
      </c>
      <c r="H62" s="61">
        <f t="shared" si="8"/>
        <v>176.23999999999998</v>
      </c>
      <c r="I62" s="61">
        <f t="shared" si="8"/>
        <v>231.14</v>
      </c>
      <c r="J62" s="61">
        <f t="shared" si="8"/>
        <v>300.93999999999994</v>
      </c>
      <c r="K62" s="61">
        <f t="shared" si="8"/>
        <v>378.54</v>
      </c>
      <c r="L62" s="61">
        <f t="shared" ref="L62" si="9">SUM(L49:L61)</f>
        <v>396.94</v>
      </c>
      <c r="M62" s="61">
        <f t="shared" si="8"/>
        <v>398.94</v>
      </c>
      <c r="N62" s="61">
        <f t="shared" si="8"/>
        <v>398.64</v>
      </c>
      <c r="O62" s="61">
        <f t="shared" si="8"/>
        <v>337.23999999999995</v>
      </c>
      <c r="P62" s="61">
        <f t="shared" si="8"/>
        <v>327.64</v>
      </c>
      <c r="Q62" s="61">
        <f t="shared" si="8"/>
        <v>242.23999999999998</v>
      </c>
      <c r="R62" s="61">
        <f t="shared" si="8"/>
        <v>3.54</v>
      </c>
      <c r="S62" s="61">
        <f t="shared" si="8"/>
        <v>3.54</v>
      </c>
      <c r="T62" s="61">
        <f t="shared" si="8"/>
        <v>3.54</v>
      </c>
      <c r="U62" s="61">
        <f t="shared" si="8"/>
        <v>3.54</v>
      </c>
      <c r="V62" s="61">
        <f t="shared" si="8"/>
        <v>3.54</v>
      </c>
      <c r="W62" s="61">
        <f t="shared" si="8"/>
        <v>3.54</v>
      </c>
      <c r="X62" s="61">
        <v>388.24000000000007</v>
      </c>
      <c r="Y62" s="61">
        <f t="shared" si="8"/>
        <v>3.54</v>
      </c>
      <c r="Z62" s="61">
        <f t="shared" si="8"/>
        <v>3.54</v>
      </c>
      <c r="AA62" s="61">
        <f t="shared" si="8"/>
        <v>3.54</v>
      </c>
      <c r="AB62" s="61">
        <f t="shared" si="8"/>
        <v>3.54</v>
      </c>
      <c r="AC62" s="61">
        <f t="shared" si="8"/>
        <v>3.54</v>
      </c>
      <c r="AD62" s="61">
        <f t="shared" si="8"/>
        <v>3.54</v>
      </c>
      <c r="AE62" s="61">
        <f t="shared" si="8"/>
        <v>3.54</v>
      </c>
      <c r="AF62" s="61">
        <f t="shared" si="8"/>
        <v>3.54</v>
      </c>
      <c r="AG62" s="62">
        <f t="shared" si="8"/>
        <v>489.91</v>
      </c>
      <c r="AH62" s="48">
        <f t="shared" si="2"/>
        <v>398.94</v>
      </c>
      <c r="AI62" s="49">
        <f t="shared" si="3"/>
        <v>3.54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52">
        <v>60</v>
      </c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45"/>
      <c r="AG64" s="55">
        <v>32</v>
      </c>
      <c r="AH64" s="48">
        <f t="shared" si="2"/>
        <v>0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67">
        <v>0</v>
      </c>
      <c r="R65" s="67">
        <v>0</v>
      </c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45"/>
      <c r="AG65" s="68">
        <v>14</v>
      </c>
      <c r="AH65" s="48">
        <f t="shared" si="2"/>
        <v>0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v>0</v>
      </c>
      <c r="M66" s="61">
        <f t="shared" ref="M66:AF66" si="10">M63+M64+M65</f>
        <v>0</v>
      </c>
      <c r="N66" s="61">
        <f t="shared" si="10"/>
        <v>0</v>
      </c>
      <c r="O66" s="61">
        <f t="shared" si="10"/>
        <v>0</v>
      </c>
      <c r="P66" s="61">
        <f t="shared" si="10"/>
        <v>0</v>
      </c>
      <c r="Q66" s="61">
        <f t="shared" si="10"/>
        <v>0</v>
      </c>
      <c r="R66" s="61">
        <f t="shared" si="10"/>
        <v>0</v>
      </c>
      <c r="S66" s="61">
        <f t="shared" si="10"/>
        <v>0</v>
      </c>
      <c r="T66" s="61">
        <f t="shared" si="10"/>
        <v>0</v>
      </c>
      <c r="U66" s="61">
        <f t="shared" si="10"/>
        <v>0</v>
      </c>
      <c r="V66" s="61">
        <f t="shared" si="10"/>
        <v>0</v>
      </c>
      <c r="W66" s="61">
        <f t="shared" si="10"/>
        <v>0</v>
      </c>
      <c r="X66" s="61">
        <v>94.8</v>
      </c>
      <c r="Y66" s="61">
        <f t="shared" si="10"/>
        <v>0</v>
      </c>
      <c r="Z66" s="61">
        <f t="shared" si="10"/>
        <v>0</v>
      </c>
      <c r="AA66" s="61">
        <f t="shared" si="10"/>
        <v>0</v>
      </c>
      <c r="AB66" s="61">
        <f t="shared" si="10"/>
        <v>0</v>
      </c>
      <c r="AC66" s="61">
        <f t="shared" si="10"/>
        <v>0</v>
      </c>
      <c r="AD66" s="61">
        <f t="shared" si="10"/>
        <v>0</v>
      </c>
      <c r="AE66" s="61">
        <f t="shared" si="10"/>
        <v>0</v>
      </c>
      <c r="AF66" s="61">
        <f t="shared" si="10"/>
        <v>0</v>
      </c>
      <c r="AG66" s="62">
        <f t="shared" ref="AG66" si="11">SUM(AG63:AG65)</f>
        <v>106</v>
      </c>
      <c r="AH66" s="48">
        <f t="shared" si="2"/>
        <v>94.8</v>
      </c>
      <c r="AI66" s="49">
        <f t="shared" si="3"/>
        <v>0</v>
      </c>
      <c r="AK66" s="50"/>
    </row>
    <row r="67" spans="1:40" x14ac:dyDescent="0.25">
      <c r="A67" s="44" t="s">
        <v>75</v>
      </c>
      <c r="B67" s="45">
        <v>63</v>
      </c>
      <c r="C67" s="45">
        <v>61</v>
      </c>
      <c r="D67" s="45">
        <v>67</v>
      </c>
      <c r="E67" s="45">
        <v>73.2</v>
      </c>
      <c r="F67" s="45">
        <v>73.2</v>
      </c>
      <c r="G67" s="45">
        <v>73.2</v>
      </c>
      <c r="H67" s="45">
        <v>65</v>
      </c>
      <c r="I67" s="45">
        <v>74</v>
      </c>
      <c r="J67" s="45">
        <v>76.400000000000006</v>
      </c>
      <c r="K67" s="45">
        <v>50</v>
      </c>
      <c r="L67" s="45">
        <v>50</v>
      </c>
      <c r="M67" s="45">
        <v>64.900000000000006</v>
      </c>
      <c r="N67" s="45">
        <v>55.7</v>
      </c>
      <c r="O67" s="45">
        <v>65.7</v>
      </c>
      <c r="P67" s="45">
        <v>62.6</v>
      </c>
      <c r="Q67" s="45">
        <v>63.4</v>
      </c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52"/>
      <c r="AH67" s="48">
        <f t="shared" si="2"/>
        <v>76.400000000000006</v>
      </c>
      <c r="AI67" s="49">
        <f t="shared" si="3"/>
        <v>50</v>
      </c>
      <c r="AK67" s="50"/>
    </row>
    <row r="68" spans="1:40" x14ac:dyDescent="0.25">
      <c r="A68" s="54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>
        <v>230</v>
      </c>
      <c r="C69" s="65">
        <v>247</v>
      </c>
      <c r="D69" s="65">
        <v>248</v>
      </c>
      <c r="E69" s="65">
        <v>230</v>
      </c>
      <c r="F69" s="65">
        <v>230</v>
      </c>
      <c r="G69" s="65">
        <v>270</v>
      </c>
      <c r="H69" s="65">
        <v>300</v>
      </c>
      <c r="I69" s="65">
        <v>300</v>
      </c>
      <c r="J69" s="65">
        <v>290</v>
      </c>
      <c r="K69" s="65">
        <v>290</v>
      </c>
      <c r="L69" s="65">
        <v>275</v>
      </c>
      <c r="M69" s="65">
        <v>215</v>
      </c>
      <c r="N69" s="65">
        <v>205</v>
      </c>
      <c r="O69" s="65">
        <v>270.60000000000002</v>
      </c>
      <c r="P69" s="65">
        <v>263.10000000000002</v>
      </c>
      <c r="Q69" s="65">
        <v>265.5</v>
      </c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75"/>
      <c r="AH69" s="48">
        <f t="shared" si="2"/>
        <v>300</v>
      </c>
      <c r="AI69" s="49">
        <f t="shared" si="3"/>
        <v>205</v>
      </c>
      <c r="AK69" s="50"/>
    </row>
    <row r="70" spans="1:40" x14ac:dyDescent="0.25">
      <c r="A70" s="54" t="s">
        <v>78</v>
      </c>
      <c r="B70" s="76">
        <v>45</v>
      </c>
      <c r="C70" s="76">
        <v>56</v>
      </c>
      <c r="D70" s="76">
        <v>57</v>
      </c>
      <c r="E70" s="76">
        <v>53.6</v>
      </c>
      <c r="F70" s="76">
        <v>53.6</v>
      </c>
      <c r="G70" s="76">
        <v>56</v>
      </c>
      <c r="H70" s="76">
        <v>60</v>
      </c>
      <c r="I70" s="76">
        <v>60</v>
      </c>
      <c r="J70" s="76">
        <v>60</v>
      </c>
      <c r="K70" s="76">
        <v>60</v>
      </c>
      <c r="L70" s="76">
        <v>64.599999999999994</v>
      </c>
      <c r="M70" s="76">
        <v>61.8</v>
      </c>
      <c r="N70" s="76">
        <v>58</v>
      </c>
      <c r="O70" s="76">
        <v>61</v>
      </c>
      <c r="P70" s="76">
        <v>63.4</v>
      </c>
      <c r="Q70" s="76">
        <v>61.6</v>
      </c>
      <c r="R70" s="76"/>
      <c r="S70" s="76"/>
      <c r="T70" s="76"/>
      <c r="U70" s="76"/>
      <c r="V70" s="76"/>
      <c r="W70" s="76"/>
      <c r="X70" s="65"/>
      <c r="Y70" s="65"/>
      <c r="Z70" s="65"/>
      <c r="AA70" s="65"/>
      <c r="AB70" s="65"/>
      <c r="AC70" s="65"/>
      <c r="AD70" s="65"/>
      <c r="AE70" s="65"/>
      <c r="AF70" s="65"/>
      <c r="AG70" s="75"/>
      <c r="AH70" s="48">
        <f t="shared" si="2"/>
        <v>64.599999999999994</v>
      </c>
      <c r="AI70" s="49">
        <f t="shared" si="3"/>
        <v>45</v>
      </c>
      <c r="AK70" s="50"/>
    </row>
    <row r="71" spans="1:40" x14ac:dyDescent="0.25">
      <c r="A71" s="54" t="s">
        <v>79</v>
      </c>
      <c r="B71" s="45">
        <v>24</v>
      </c>
      <c r="C71" s="45">
        <v>24</v>
      </c>
      <c r="D71" s="45">
        <v>24</v>
      </c>
      <c r="E71" s="45">
        <v>24</v>
      </c>
      <c r="F71" s="45">
        <v>24</v>
      </c>
      <c r="G71" s="45">
        <v>24</v>
      </c>
      <c r="H71" s="45">
        <v>24</v>
      </c>
      <c r="I71" s="45">
        <v>24</v>
      </c>
      <c r="J71" s="45">
        <v>24</v>
      </c>
      <c r="K71" s="45">
        <v>24</v>
      </c>
      <c r="L71" s="45">
        <v>24</v>
      </c>
      <c r="M71" s="45">
        <v>24</v>
      </c>
      <c r="N71" s="45">
        <v>25</v>
      </c>
      <c r="O71" s="45">
        <v>24</v>
      </c>
      <c r="P71" s="45">
        <v>24</v>
      </c>
      <c r="Q71" s="45">
        <v>27</v>
      </c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75"/>
      <c r="AH71" s="48">
        <f t="shared" si="2"/>
        <v>27</v>
      </c>
      <c r="AI71" s="49">
        <f t="shared" si="3"/>
        <v>24</v>
      </c>
      <c r="AK71" s="50"/>
    </row>
    <row r="72" spans="1:40" x14ac:dyDescent="0.25">
      <c r="A72" s="54" t="s">
        <v>80</v>
      </c>
      <c r="B72" s="77">
        <v>5</v>
      </c>
      <c r="C72" s="77">
        <v>5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5</v>
      </c>
      <c r="P72" s="77">
        <v>5</v>
      </c>
      <c r="Q72" s="77">
        <v>5</v>
      </c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5"/>
      <c r="AH72" s="48">
        <f t="shared" si="2"/>
        <v>5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>
        <v>5</v>
      </c>
      <c r="C74" s="77">
        <v>5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5"/>
      <c r="AH74" s="48">
        <f t="shared" si="2"/>
        <v>5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5"/>
      <c r="AH75" s="48">
        <f t="shared" ref="AH75:AH113" si="12">MAX(B75:AF75)</f>
        <v>0</v>
      </c>
      <c r="AI75" s="49">
        <f t="shared" ref="AI75:AI113" si="13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80"/>
      <c r="AH76" s="48">
        <f t="shared" si="12"/>
        <v>0</v>
      </c>
      <c r="AI76" s="49">
        <f t="shared" si="13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80"/>
      <c r="AH77" s="48">
        <f t="shared" si="12"/>
        <v>0</v>
      </c>
      <c r="AI77" s="49">
        <f t="shared" si="13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4">SUMIF(B67:B77,"&gt;0")</f>
        <v>372</v>
      </c>
      <c r="C78" s="61">
        <f t="shared" si="14"/>
        <v>398</v>
      </c>
      <c r="D78" s="61">
        <f t="shared" si="14"/>
        <v>396</v>
      </c>
      <c r="E78" s="61">
        <f t="shared" si="14"/>
        <v>380.8</v>
      </c>
      <c r="F78" s="61">
        <f t="shared" si="14"/>
        <v>380.8</v>
      </c>
      <c r="G78" s="61">
        <f t="shared" si="14"/>
        <v>423.2</v>
      </c>
      <c r="H78" s="61">
        <f t="shared" si="14"/>
        <v>449</v>
      </c>
      <c r="I78" s="61">
        <f t="shared" si="14"/>
        <v>458</v>
      </c>
      <c r="J78" s="61">
        <f t="shared" si="14"/>
        <v>450.4</v>
      </c>
      <c r="K78" s="61">
        <f t="shared" si="14"/>
        <v>424</v>
      </c>
      <c r="L78" s="61">
        <f t="shared" ref="L78" si="15">SUMIF(L67:L77,"&gt;0")</f>
        <v>413.6</v>
      </c>
      <c r="M78" s="61">
        <f t="shared" si="14"/>
        <v>365.7</v>
      </c>
      <c r="N78" s="61">
        <f t="shared" si="14"/>
        <v>343.7</v>
      </c>
      <c r="O78" s="61">
        <f t="shared" si="14"/>
        <v>426.3</v>
      </c>
      <c r="P78" s="61">
        <f t="shared" si="14"/>
        <v>418.1</v>
      </c>
      <c r="Q78" s="61">
        <f t="shared" si="14"/>
        <v>422.5</v>
      </c>
      <c r="R78" s="61">
        <f t="shared" si="14"/>
        <v>0</v>
      </c>
      <c r="S78" s="61">
        <f t="shared" si="14"/>
        <v>0</v>
      </c>
      <c r="T78" s="61">
        <f t="shared" si="14"/>
        <v>0</v>
      </c>
      <c r="U78" s="61">
        <f t="shared" si="14"/>
        <v>0</v>
      </c>
      <c r="V78" s="61">
        <f t="shared" si="14"/>
        <v>0</v>
      </c>
      <c r="W78" s="61">
        <f t="shared" si="14"/>
        <v>0</v>
      </c>
      <c r="X78" s="61">
        <v>151.6</v>
      </c>
      <c r="Y78" s="61">
        <f t="shared" si="14"/>
        <v>0</v>
      </c>
      <c r="Z78" s="61">
        <f t="shared" si="14"/>
        <v>0</v>
      </c>
      <c r="AA78" s="61">
        <f t="shared" si="14"/>
        <v>0</v>
      </c>
      <c r="AB78" s="61">
        <f t="shared" si="14"/>
        <v>0</v>
      </c>
      <c r="AC78" s="61">
        <f t="shared" si="14"/>
        <v>0</v>
      </c>
      <c r="AD78" s="61">
        <f t="shared" si="14"/>
        <v>0</v>
      </c>
      <c r="AE78" s="61">
        <f t="shared" si="14"/>
        <v>0</v>
      </c>
      <c r="AF78" s="61">
        <f t="shared" si="14"/>
        <v>0</v>
      </c>
      <c r="AG78" s="81">
        <f>SUM(AG67:AG77)</f>
        <v>0</v>
      </c>
      <c r="AH78" s="48">
        <f t="shared" si="12"/>
        <v>458</v>
      </c>
      <c r="AI78" s="49">
        <f t="shared" si="13"/>
        <v>0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12"/>
        <v>0</v>
      </c>
      <c r="AI79" s="49">
        <f t="shared" si="13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12"/>
        <v>0</v>
      </c>
      <c r="AI80" s="49">
        <f t="shared" si="13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2"/>
        <v>0</v>
      </c>
      <c r="AI81" s="49">
        <f t="shared" si="13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12"/>
        <v>0</v>
      </c>
      <c r="AI82" s="49">
        <f t="shared" si="13"/>
        <v>0</v>
      </c>
    </row>
    <row r="83" spans="1:37" ht="15.75" thickBot="1" x14ac:dyDescent="0.3">
      <c r="A83" s="74" t="s">
        <v>91</v>
      </c>
      <c r="B83" s="83">
        <f>B44+B48+B66+B62+B78+B82</f>
        <v>1070.54</v>
      </c>
      <c r="C83" s="83">
        <f t="shared" ref="C83:AG83" si="16">C44+C48+C66+C62+C78+C82</f>
        <v>1023.54</v>
      </c>
      <c r="D83" s="83">
        <f t="shared" si="16"/>
        <v>1022.44</v>
      </c>
      <c r="E83" s="83">
        <f t="shared" si="16"/>
        <v>1001.94</v>
      </c>
      <c r="F83" s="83">
        <f t="shared" si="16"/>
        <v>1001.94</v>
      </c>
      <c r="G83" s="83">
        <f t="shared" si="16"/>
        <v>1044.3399999999999</v>
      </c>
      <c r="H83" s="83">
        <f t="shared" si="16"/>
        <v>1162.6399999999999</v>
      </c>
      <c r="I83" s="83">
        <f t="shared" si="16"/>
        <v>1261.54</v>
      </c>
      <c r="J83" s="83">
        <f t="shared" si="16"/>
        <v>1313.7399999999998</v>
      </c>
      <c r="K83" s="83">
        <f t="shared" si="16"/>
        <v>1398.34</v>
      </c>
      <c r="L83" s="83">
        <f t="shared" ref="L83" si="17">L44+L48+L66+L62+L78+L82</f>
        <v>1426.3400000000001</v>
      </c>
      <c r="M83" s="83">
        <f t="shared" si="16"/>
        <v>1374.44</v>
      </c>
      <c r="N83" s="83">
        <f t="shared" si="16"/>
        <v>1492.14</v>
      </c>
      <c r="O83" s="83">
        <f t="shared" si="16"/>
        <v>1433.2399999999998</v>
      </c>
      <c r="P83" s="83">
        <f t="shared" si="16"/>
        <v>1375.44</v>
      </c>
      <c r="Q83" s="83">
        <f t="shared" si="16"/>
        <v>1263.1399999999999</v>
      </c>
      <c r="R83" s="83">
        <f t="shared" si="16"/>
        <v>3.54</v>
      </c>
      <c r="S83" s="83">
        <f t="shared" si="16"/>
        <v>3.54</v>
      </c>
      <c r="T83" s="83">
        <f t="shared" si="16"/>
        <v>3.54</v>
      </c>
      <c r="U83" s="83">
        <f t="shared" si="16"/>
        <v>3.54</v>
      </c>
      <c r="V83" s="83">
        <f t="shared" si="16"/>
        <v>3.54</v>
      </c>
      <c r="W83" s="83">
        <f t="shared" si="16"/>
        <v>3.54</v>
      </c>
      <c r="X83" s="83">
        <v>1704.6399999999999</v>
      </c>
      <c r="Y83" s="83">
        <f t="shared" si="16"/>
        <v>3.54</v>
      </c>
      <c r="Z83" s="83">
        <f t="shared" si="16"/>
        <v>3.54</v>
      </c>
      <c r="AA83" s="83">
        <f t="shared" si="16"/>
        <v>3.54</v>
      </c>
      <c r="AB83" s="83">
        <f t="shared" si="16"/>
        <v>3.54</v>
      </c>
      <c r="AC83" s="83">
        <f t="shared" si="16"/>
        <v>3.54</v>
      </c>
      <c r="AD83" s="83">
        <f t="shared" si="16"/>
        <v>3.54</v>
      </c>
      <c r="AE83" s="83">
        <f t="shared" si="16"/>
        <v>3.54</v>
      </c>
      <c r="AF83" s="83">
        <f t="shared" si="16"/>
        <v>3.54</v>
      </c>
      <c r="AG83" s="62">
        <f t="shared" si="16"/>
        <v>2004.1900000000003</v>
      </c>
      <c r="AH83" s="48">
        <f>MAX(B83:AF83)</f>
        <v>1704.6399999999999</v>
      </c>
      <c r="AI83" s="49">
        <f>MIN(B83:AF83)</f>
        <v>3.54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>
        <v>50</v>
      </c>
      <c r="L84" s="85">
        <v>30</v>
      </c>
      <c r="M84" s="85">
        <v>20</v>
      </c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12"/>
        <v>50</v>
      </c>
      <c r="AI84" s="49">
        <f t="shared" si="13"/>
        <v>20</v>
      </c>
    </row>
    <row r="85" spans="1:37" ht="15.75" thickBot="1" x14ac:dyDescent="0.3">
      <c r="A85" s="74" t="s">
        <v>93</v>
      </c>
      <c r="B85" s="83">
        <f>B83+B84</f>
        <v>1070.54</v>
      </c>
      <c r="C85" s="83">
        <f t="shared" ref="C85:AF85" si="18">C83+C84</f>
        <v>1023.54</v>
      </c>
      <c r="D85" s="83">
        <f t="shared" si="18"/>
        <v>1022.44</v>
      </c>
      <c r="E85" s="83">
        <f t="shared" si="18"/>
        <v>1001.94</v>
      </c>
      <c r="F85" s="83">
        <f t="shared" si="18"/>
        <v>1001.94</v>
      </c>
      <c r="G85" s="83">
        <f t="shared" si="18"/>
        <v>1044.3399999999999</v>
      </c>
      <c r="H85" s="83">
        <f t="shared" si="18"/>
        <v>1162.6399999999999</v>
      </c>
      <c r="I85" s="83">
        <f t="shared" si="18"/>
        <v>1261.54</v>
      </c>
      <c r="J85" s="83">
        <f t="shared" si="18"/>
        <v>1313.7399999999998</v>
      </c>
      <c r="K85" s="83">
        <f t="shared" si="18"/>
        <v>1448.34</v>
      </c>
      <c r="L85" s="83">
        <f t="shared" ref="L85" si="19">L83+L84</f>
        <v>1456.3400000000001</v>
      </c>
      <c r="M85" s="83">
        <f t="shared" si="18"/>
        <v>1394.44</v>
      </c>
      <c r="N85" s="83">
        <f t="shared" si="18"/>
        <v>1492.14</v>
      </c>
      <c r="O85" s="83">
        <f t="shared" si="18"/>
        <v>1433.2399999999998</v>
      </c>
      <c r="P85" s="83">
        <f t="shared" si="18"/>
        <v>1375.44</v>
      </c>
      <c r="Q85" s="83">
        <f t="shared" si="18"/>
        <v>1263.1399999999999</v>
      </c>
      <c r="R85" s="83">
        <f t="shared" si="18"/>
        <v>3.54</v>
      </c>
      <c r="S85" s="83">
        <f t="shared" si="18"/>
        <v>3.54</v>
      </c>
      <c r="T85" s="83">
        <f t="shared" si="18"/>
        <v>3.54</v>
      </c>
      <c r="U85" s="83">
        <f t="shared" si="18"/>
        <v>3.54</v>
      </c>
      <c r="V85" s="83">
        <f t="shared" si="18"/>
        <v>3.54</v>
      </c>
      <c r="W85" s="83">
        <f t="shared" si="18"/>
        <v>3.54</v>
      </c>
      <c r="X85" s="83">
        <v>1704.6399999999999</v>
      </c>
      <c r="Y85" s="83">
        <f t="shared" si="18"/>
        <v>3.54</v>
      </c>
      <c r="Z85" s="83">
        <f t="shared" si="18"/>
        <v>3.54</v>
      </c>
      <c r="AA85" s="83">
        <f t="shared" si="18"/>
        <v>3.54</v>
      </c>
      <c r="AB85" s="83">
        <f t="shared" si="18"/>
        <v>3.54</v>
      </c>
      <c r="AC85" s="83">
        <f t="shared" si="18"/>
        <v>3.54</v>
      </c>
      <c r="AD85" s="83">
        <f t="shared" si="18"/>
        <v>3.54</v>
      </c>
      <c r="AE85" s="83">
        <f t="shared" si="18"/>
        <v>3.54</v>
      </c>
      <c r="AF85" s="83">
        <f t="shared" si="18"/>
        <v>3.54</v>
      </c>
      <c r="AG85" s="81">
        <f>AG82+AG78+AG66+AG62+AG44+AG84</f>
        <v>1466.0900000000001</v>
      </c>
      <c r="AH85" s="48">
        <f t="shared" si="12"/>
        <v>1704.6399999999999</v>
      </c>
      <c r="AI85" s="49">
        <f t="shared" si="13"/>
        <v>3.54</v>
      </c>
    </row>
    <row r="86" spans="1:37" ht="15.75" thickBot="1" x14ac:dyDescent="0.3">
      <c r="A86" s="74" t="s">
        <v>94</v>
      </c>
      <c r="B86" s="83">
        <f t="shared" ref="B86:AF86" si="20">B85-B93</f>
        <v>1070.54</v>
      </c>
      <c r="C86" s="83">
        <f t="shared" si="20"/>
        <v>1023.54</v>
      </c>
      <c r="D86" s="83">
        <f t="shared" si="20"/>
        <v>1022.44</v>
      </c>
      <c r="E86" s="83">
        <f t="shared" si="20"/>
        <v>1001.94</v>
      </c>
      <c r="F86" s="83">
        <f t="shared" si="20"/>
        <v>1001.94</v>
      </c>
      <c r="G86" s="83">
        <f t="shared" si="20"/>
        <v>1044.3399999999999</v>
      </c>
      <c r="H86" s="83">
        <f t="shared" si="20"/>
        <v>1162.6399999999999</v>
      </c>
      <c r="I86" s="83">
        <f t="shared" si="20"/>
        <v>1261.54</v>
      </c>
      <c r="J86" s="83">
        <f t="shared" si="20"/>
        <v>1313.7399999999998</v>
      </c>
      <c r="K86" s="83">
        <f t="shared" si="20"/>
        <v>1448.34</v>
      </c>
      <c r="L86" s="83">
        <f t="shared" ref="L86" si="21">L85-L93</f>
        <v>1456.3400000000001</v>
      </c>
      <c r="M86" s="83">
        <f t="shared" si="20"/>
        <v>1394.44</v>
      </c>
      <c r="N86" s="83">
        <f t="shared" si="20"/>
        <v>1492.14</v>
      </c>
      <c r="O86" s="83">
        <f t="shared" si="20"/>
        <v>1433.2399999999998</v>
      </c>
      <c r="P86" s="83">
        <f t="shared" si="20"/>
        <v>1375.44</v>
      </c>
      <c r="Q86" s="83">
        <f t="shared" si="20"/>
        <v>1263.1399999999999</v>
      </c>
      <c r="R86" s="83">
        <f t="shared" si="20"/>
        <v>3.54</v>
      </c>
      <c r="S86" s="83">
        <f t="shared" si="20"/>
        <v>3.54</v>
      </c>
      <c r="T86" s="83">
        <f t="shared" si="20"/>
        <v>3.54</v>
      </c>
      <c r="U86" s="83">
        <f t="shared" si="20"/>
        <v>3.54</v>
      </c>
      <c r="V86" s="83">
        <f t="shared" si="20"/>
        <v>3.54</v>
      </c>
      <c r="W86" s="83">
        <f t="shared" si="20"/>
        <v>3.54</v>
      </c>
      <c r="X86" s="83">
        <v>1704.6399999999999</v>
      </c>
      <c r="Y86" s="83">
        <f t="shared" si="20"/>
        <v>-46.46</v>
      </c>
      <c r="Z86" s="83">
        <f t="shared" si="20"/>
        <v>3.54</v>
      </c>
      <c r="AA86" s="83">
        <f t="shared" si="20"/>
        <v>3.54</v>
      </c>
      <c r="AB86" s="83">
        <f t="shared" si="20"/>
        <v>3.54</v>
      </c>
      <c r="AC86" s="83">
        <f t="shared" si="20"/>
        <v>3.54</v>
      </c>
      <c r="AD86" s="83">
        <f t="shared" si="20"/>
        <v>3.54</v>
      </c>
      <c r="AE86" s="83">
        <f t="shared" si="20"/>
        <v>3.54</v>
      </c>
      <c r="AF86" s="83">
        <f t="shared" si="20"/>
        <v>3.54</v>
      </c>
      <c r="AG86" s="81"/>
      <c r="AH86" s="48">
        <f t="shared" si="12"/>
        <v>1704.6399999999999</v>
      </c>
      <c r="AI86" s="49">
        <f t="shared" si="13"/>
        <v>-46.46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12"/>
        <v>0</v>
      </c>
      <c r="AI87" s="49">
        <f t="shared" si="13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12"/>
        <v>0</v>
      </c>
      <c r="AI88" s="49">
        <f t="shared" si="13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12"/>
        <v>0</v>
      </c>
      <c r="AI89" s="49">
        <f t="shared" si="13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12"/>
        <v>0</v>
      </c>
      <c r="AI90" s="49">
        <f t="shared" si="13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12"/>
        <v>0</v>
      </c>
      <c r="AI91" s="49">
        <f t="shared" si="13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12"/>
        <v>0</v>
      </c>
      <c r="AI92" s="49">
        <f t="shared" si="13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>
        <v>50</v>
      </c>
      <c r="Z93" s="61"/>
      <c r="AA93" s="61"/>
      <c r="AB93" s="61"/>
      <c r="AC93" s="61"/>
      <c r="AD93" s="61"/>
      <c r="AE93" s="61"/>
      <c r="AF93" s="61"/>
      <c r="AG93" s="81"/>
      <c r="AH93" s="48">
        <f t="shared" si="12"/>
        <v>50</v>
      </c>
      <c r="AI93" s="49">
        <f t="shared" si="13"/>
        <v>0</v>
      </c>
      <c r="AK93" s="50"/>
    </row>
    <row r="94" spans="1:37" ht="15.75" thickBot="1" x14ac:dyDescent="0.3">
      <c r="A94" s="74" t="s">
        <v>99</v>
      </c>
      <c r="B94" s="61">
        <f t="shared" ref="B94:AF94" si="22">B78-B93</f>
        <v>372</v>
      </c>
      <c r="C94" s="61">
        <f t="shared" si="22"/>
        <v>398</v>
      </c>
      <c r="D94" s="61">
        <f t="shared" si="22"/>
        <v>396</v>
      </c>
      <c r="E94" s="61">
        <f t="shared" si="22"/>
        <v>380.8</v>
      </c>
      <c r="F94" s="61">
        <f t="shared" si="22"/>
        <v>380.8</v>
      </c>
      <c r="G94" s="61">
        <f t="shared" si="22"/>
        <v>423.2</v>
      </c>
      <c r="H94" s="61">
        <f t="shared" si="22"/>
        <v>449</v>
      </c>
      <c r="I94" s="61">
        <f t="shared" si="22"/>
        <v>458</v>
      </c>
      <c r="J94" s="61">
        <f t="shared" si="22"/>
        <v>450.4</v>
      </c>
      <c r="K94" s="61">
        <f t="shared" si="22"/>
        <v>424</v>
      </c>
      <c r="L94" s="61">
        <f t="shared" ref="L94" si="23">L78-L93</f>
        <v>413.6</v>
      </c>
      <c r="M94" s="61">
        <f t="shared" si="22"/>
        <v>365.7</v>
      </c>
      <c r="N94" s="61">
        <f t="shared" si="22"/>
        <v>343.7</v>
      </c>
      <c r="O94" s="61">
        <f t="shared" si="22"/>
        <v>426.3</v>
      </c>
      <c r="P94" s="61">
        <f t="shared" si="22"/>
        <v>418.1</v>
      </c>
      <c r="Q94" s="61">
        <f t="shared" si="22"/>
        <v>422.5</v>
      </c>
      <c r="R94" s="61">
        <f t="shared" si="22"/>
        <v>0</v>
      </c>
      <c r="S94" s="61">
        <f t="shared" si="22"/>
        <v>0</v>
      </c>
      <c r="T94" s="61">
        <f t="shared" si="22"/>
        <v>0</v>
      </c>
      <c r="U94" s="61">
        <f t="shared" si="22"/>
        <v>0</v>
      </c>
      <c r="V94" s="61">
        <f t="shared" si="22"/>
        <v>0</v>
      </c>
      <c r="W94" s="61">
        <f t="shared" si="22"/>
        <v>0</v>
      </c>
      <c r="X94" s="61">
        <v>151.6</v>
      </c>
      <c r="Y94" s="61">
        <f t="shared" si="22"/>
        <v>-50</v>
      </c>
      <c r="Z94" s="61">
        <f t="shared" si="22"/>
        <v>0</v>
      </c>
      <c r="AA94" s="61">
        <f t="shared" si="22"/>
        <v>0</v>
      </c>
      <c r="AB94" s="61">
        <f t="shared" si="22"/>
        <v>0</v>
      </c>
      <c r="AC94" s="61">
        <f t="shared" si="22"/>
        <v>0</v>
      </c>
      <c r="AD94" s="61">
        <f t="shared" si="22"/>
        <v>0</v>
      </c>
      <c r="AE94" s="61">
        <f t="shared" si="22"/>
        <v>0</v>
      </c>
      <c r="AF94" s="61">
        <f t="shared" si="22"/>
        <v>0</v>
      </c>
      <c r="AG94" s="81"/>
      <c r="AH94" s="48">
        <f t="shared" si="12"/>
        <v>458</v>
      </c>
      <c r="AI94" s="49">
        <f t="shared" si="13"/>
        <v>-50</v>
      </c>
    </row>
    <row r="95" spans="1:37" x14ac:dyDescent="0.25">
      <c r="A95" s="88" t="s">
        <v>100</v>
      </c>
      <c r="B95" s="89">
        <v>49.96</v>
      </c>
      <c r="C95" s="89">
        <v>49.954999999999998</v>
      </c>
      <c r="D95" s="89">
        <v>50</v>
      </c>
      <c r="E95" s="89">
        <v>49.95</v>
      </c>
      <c r="F95" s="89">
        <v>49.95</v>
      </c>
      <c r="G95" s="89">
        <v>50.1</v>
      </c>
      <c r="H95" s="89">
        <v>50.1</v>
      </c>
      <c r="I95" s="89">
        <v>49.95</v>
      </c>
      <c r="J95" s="89">
        <v>49.91</v>
      </c>
      <c r="K95" s="89">
        <v>50.04</v>
      </c>
      <c r="L95" s="89">
        <v>49.92</v>
      </c>
      <c r="M95" s="89">
        <v>49.991999999999997</v>
      </c>
      <c r="N95" s="89">
        <v>50.258000000000003</v>
      </c>
      <c r="O95" s="89">
        <v>50.109000000000002</v>
      </c>
      <c r="P95" s="89">
        <v>50.1</v>
      </c>
      <c r="Q95" s="89">
        <v>50.07</v>
      </c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90"/>
      <c r="AH95" s="48">
        <f t="shared" si="12"/>
        <v>50.258000000000003</v>
      </c>
      <c r="AI95" s="49">
        <f t="shared" si="13"/>
        <v>49.91</v>
      </c>
    </row>
    <row r="96" spans="1:37" x14ac:dyDescent="0.25">
      <c r="A96" s="91" t="s">
        <v>101</v>
      </c>
      <c r="B96" s="65">
        <v>130</v>
      </c>
      <c r="C96" s="65">
        <v>130</v>
      </c>
      <c r="D96" s="65">
        <v>130</v>
      </c>
      <c r="E96" s="65">
        <v>131</v>
      </c>
      <c r="F96" s="65">
        <v>131</v>
      </c>
      <c r="G96" s="65">
        <v>129.6</v>
      </c>
      <c r="H96" s="65">
        <v>127.8</v>
      </c>
      <c r="I96" s="65">
        <v>126.7</v>
      </c>
      <c r="J96" s="65">
        <v>127.3</v>
      </c>
      <c r="K96" s="65">
        <v>127.1</v>
      </c>
      <c r="L96" s="65">
        <v>125.8</v>
      </c>
      <c r="M96" s="65">
        <v>124.9</v>
      </c>
      <c r="N96" s="65">
        <v>125.8</v>
      </c>
      <c r="O96" s="65">
        <v>124.9</v>
      </c>
      <c r="P96" s="65">
        <v>126.6</v>
      </c>
      <c r="Q96" s="65">
        <v>127</v>
      </c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92"/>
      <c r="AH96" s="48">
        <f t="shared" si="12"/>
        <v>131</v>
      </c>
      <c r="AI96" s="49">
        <f t="shared" si="13"/>
        <v>124.9</v>
      </c>
    </row>
    <row r="97" spans="1:35" x14ac:dyDescent="0.25">
      <c r="A97" s="91" t="s">
        <v>102</v>
      </c>
      <c r="B97" s="65">
        <v>133</v>
      </c>
      <c r="C97" s="65">
        <v>133.69999999999999</v>
      </c>
      <c r="D97" s="65">
        <v>133.69999999999999</v>
      </c>
      <c r="E97" s="65">
        <v>134.80000000000001</v>
      </c>
      <c r="F97" s="65">
        <v>134.80000000000001</v>
      </c>
      <c r="G97" s="65">
        <v>133</v>
      </c>
      <c r="H97" s="65">
        <v>131.6</v>
      </c>
      <c r="I97" s="65">
        <v>130.19999999999999</v>
      </c>
      <c r="J97" s="65">
        <v>129.9</v>
      </c>
      <c r="K97" s="65">
        <v>129.69999999999999</v>
      </c>
      <c r="L97" s="65">
        <v>128</v>
      </c>
      <c r="M97" s="65">
        <v>127.7</v>
      </c>
      <c r="N97" s="65">
        <v>128.6</v>
      </c>
      <c r="O97" s="65">
        <v>128.30000000000001</v>
      </c>
      <c r="P97" s="65">
        <v>129.9</v>
      </c>
      <c r="Q97" s="65">
        <v>130</v>
      </c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92"/>
      <c r="AH97" s="48">
        <f t="shared" si="12"/>
        <v>134.80000000000001</v>
      </c>
      <c r="AI97" s="49">
        <f t="shared" si="13"/>
        <v>127.7</v>
      </c>
    </row>
    <row r="98" spans="1:35" x14ac:dyDescent="0.25">
      <c r="A98" s="91" t="s">
        <v>103</v>
      </c>
      <c r="B98" s="65">
        <v>130</v>
      </c>
      <c r="C98" s="65">
        <v>132</v>
      </c>
      <c r="D98" s="65">
        <v>132</v>
      </c>
      <c r="E98" s="65">
        <v>131.69999999999999</v>
      </c>
      <c r="F98" s="65">
        <v>131.69999999999999</v>
      </c>
      <c r="G98" s="65">
        <v>131.6</v>
      </c>
      <c r="H98" s="65">
        <v>131.69999999999999</v>
      </c>
      <c r="I98" s="65">
        <v>133.1</v>
      </c>
      <c r="J98" s="65">
        <v>131.69999999999999</v>
      </c>
      <c r="K98" s="65">
        <v>131.4</v>
      </c>
      <c r="L98" s="65">
        <v>130</v>
      </c>
      <c r="M98" s="65">
        <v>130.5</v>
      </c>
      <c r="N98" s="65">
        <v>129.9</v>
      </c>
      <c r="O98" s="65">
        <v>130.1</v>
      </c>
      <c r="P98" s="65">
        <v>129.19999999999999</v>
      </c>
      <c r="Q98" s="65">
        <v>132.4</v>
      </c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92"/>
      <c r="AH98" s="48">
        <f t="shared" si="12"/>
        <v>133.1</v>
      </c>
      <c r="AI98" s="49">
        <f t="shared" si="13"/>
        <v>129.19999999999999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2"/>
        <v>0</v>
      </c>
      <c r="AI99" s="49">
        <f t="shared" si="13"/>
        <v>0</v>
      </c>
    </row>
    <row r="100" spans="1:35" x14ac:dyDescent="0.25">
      <c r="A100" s="93" t="s">
        <v>105</v>
      </c>
      <c r="B100" s="94">
        <v>134</v>
      </c>
      <c r="C100" s="94">
        <v>133</v>
      </c>
      <c r="D100" s="94">
        <v>133</v>
      </c>
      <c r="E100" s="94">
        <v>135.9</v>
      </c>
      <c r="F100" s="94">
        <v>135.9</v>
      </c>
      <c r="G100" s="94">
        <v>134</v>
      </c>
      <c r="H100" s="94">
        <v>135.30000000000001</v>
      </c>
      <c r="I100" s="94">
        <v>133.69999999999999</v>
      </c>
      <c r="J100" s="94">
        <v>133.9</v>
      </c>
      <c r="K100" s="94">
        <v>134.4</v>
      </c>
      <c r="L100" s="94">
        <v>134.1</v>
      </c>
      <c r="M100" s="94">
        <v>134</v>
      </c>
      <c r="N100" s="94">
        <v>133.1</v>
      </c>
      <c r="O100" s="94">
        <v>133.1</v>
      </c>
      <c r="P100" s="94">
        <v>133.80000000000001</v>
      </c>
      <c r="Q100" s="94">
        <v>132.19999999999999</v>
      </c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5"/>
      <c r="AH100" s="48">
        <f t="shared" si="12"/>
        <v>135.9</v>
      </c>
      <c r="AI100" s="49">
        <f t="shared" si="13"/>
        <v>132.19999999999999</v>
      </c>
    </row>
    <row r="101" spans="1:35" x14ac:dyDescent="0.25">
      <c r="A101" s="91" t="s">
        <v>106</v>
      </c>
      <c r="B101" s="65">
        <v>128</v>
      </c>
      <c r="C101" s="65">
        <v>132</v>
      </c>
      <c r="D101" s="65">
        <v>132</v>
      </c>
      <c r="E101" s="65">
        <v>133.4</v>
      </c>
      <c r="F101" s="65">
        <v>133.4</v>
      </c>
      <c r="G101" s="65">
        <v>130.69999999999999</v>
      </c>
      <c r="H101" s="65">
        <v>133.5</v>
      </c>
      <c r="I101" s="65">
        <v>132.5</v>
      </c>
      <c r="J101" s="65">
        <v>136.5</v>
      </c>
      <c r="K101" s="65">
        <v>132.6</v>
      </c>
      <c r="L101" s="65">
        <v>132.6</v>
      </c>
      <c r="M101" s="65">
        <v>131.5</v>
      </c>
      <c r="N101" s="65">
        <v>134.5</v>
      </c>
      <c r="O101" s="65">
        <v>130.6</v>
      </c>
      <c r="P101" s="65">
        <v>132.1</v>
      </c>
      <c r="Q101" s="65">
        <v>127.3</v>
      </c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92"/>
      <c r="AH101" s="48">
        <f t="shared" si="12"/>
        <v>136.5</v>
      </c>
      <c r="AI101" s="49">
        <f t="shared" si="13"/>
        <v>127.3</v>
      </c>
    </row>
    <row r="102" spans="1:35" ht="15.75" thickBot="1" x14ac:dyDescent="0.3">
      <c r="A102" s="91" t="s">
        <v>107</v>
      </c>
      <c r="B102" s="96">
        <v>66.900000000000006</v>
      </c>
      <c r="C102" s="96">
        <v>67</v>
      </c>
      <c r="D102" s="96">
        <v>67</v>
      </c>
      <c r="E102" s="96">
        <v>67.7</v>
      </c>
      <c r="F102" s="96">
        <v>67.7</v>
      </c>
      <c r="G102" s="96">
        <v>66.8</v>
      </c>
      <c r="H102" s="96">
        <v>66</v>
      </c>
      <c r="I102" s="96">
        <v>65.3</v>
      </c>
      <c r="J102" s="96">
        <v>64.8</v>
      </c>
      <c r="K102" s="96">
        <v>64.7</v>
      </c>
      <c r="L102" s="96">
        <v>64.7</v>
      </c>
      <c r="M102" s="96">
        <v>63.9</v>
      </c>
      <c r="N102" s="96">
        <v>64.5</v>
      </c>
      <c r="O102" s="96">
        <v>64.7</v>
      </c>
      <c r="P102" s="96">
        <v>65.3</v>
      </c>
      <c r="Q102" s="96">
        <v>65.5</v>
      </c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12"/>
        <v>67.7</v>
      </c>
      <c r="AI102" s="49">
        <f t="shared" si="13"/>
        <v>63.9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2"/>
        <v>0</v>
      </c>
      <c r="AI103" s="49">
        <f t="shared" si="13"/>
        <v>0</v>
      </c>
    </row>
    <row r="104" spans="1:35" ht="15.75" thickBot="1" x14ac:dyDescent="0.3">
      <c r="A104" s="99" t="s">
        <v>108</v>
      </c>
      <c r="B104" s="100">
        <f t="shared" ref="B104:AF104" si="24">SUM(B16,B22,B25:B26,B52,B54:B55,B57,B59,B105:B109,B131,B137,B143,B152,B154,B166,B173,B176:B177,B184,B186,B188,B192:B194,B196:B198,B203,B209:B210,B212:B214,B222,B227)</f>
        <v>138.5</v>
      </c>
      <c r="C104" s="100">
        <f t="shared" si="24"/>
        <v>124.44</v>
      </c>
      <c r="D104" s="100">
        <f t="shared" si="24"/>
        <v>119.94</v>
      </c>
      <c r="E104" s="100">
        <f t="shared" si="24"/>
        <v>107.94</v>
      </c>
      <c r="F104" s="100">
        <f t="shared" si="24"/>
        <v>107.94</v>
      </c>
      <c r="G104" s="100">
        <f t="shared" si="24"/>
        <v>157.04</v>
      </c>
      <c r="H104" s="100">
        <f t="shared" si="24"/>
        <v>204.23999999999998</v>
      </c>
      <c r="I104" s="100">
        <f t="shared" si="24"/>
        <v>223.14</v>
      </c>
      <c r="J104" s="100">
        <f t="shared" si="24"/>
        <v>303.53999999999996</v>
      </c>
      <c r="K104" s="100">
        <f t="shared" si="24"/>
        <v>342.34</v>
      </c>
      <c r="L104" s="100">
        <f t="shared" ref="L104" si="25">SUM(L16,L22,L25:L26,L52,L54:L55,L57,L59,L105:L109,L131,L137,L143,L152,L154,L166,L173,L176:L177,L184,L186,L188,L192:L194,L196:L198,L203,L209:L210,L212:L214,L222,L227)</f>
        <v>368.94</v>
      </c>
      <c r="M104" s="100">
        <f t="shared" si="24"/>
        <v>368.14000000000004</v>
      </c>
      <c r="N104" s="100">
        <f t="shared" si="24"/>
        <v>364.54</v>
      </c>
      <c r="O104" s="100">
        <f t="shared" si="24"/>
        <v>320.44</v>
      </c>
      <c r="P104" s="100">
        <v>42</v>
      </c>
      <c r="Q104" s="100">
        <f t="shared" si="24"/>
        <v>257.59999999999997</v>
      </c>
      <c r="R104" s="100">
        <f t="shared" si="24"/>
        <v>0</v>
      </c>
      <c r="S104" s="100">
        <f t="shared" si="24"/>
        <v>0</v>
      </c>
      <c r="T104" s="100">
        <f t="shared" si="24"/>
        <v>0</v>
      </c>
      <c r="U104" s="100">
        <f t="shared" si="24"/>
        <v>0</v>
      </c>
      <c r="V104" s="100">
        <f t="shared" si="24"/>
        <v>0</v>
      </c>
      <c r="W104" s="100">
        <f t="shared" si="24"/>
        <v>0</v>
      </c>
      <c r="X104" s="100">
        <v>390.59708333333339</v>
      </c>
      <c r="Y104" s="100">
        <f t="shared" si="24"/>
        <v>0</v>
      </c>
      <c r="Z104" s="100">
        <f t="shared" si="24"/>
        <v>0</v>
      </c>
      <c r="AA104" s="100">
        <f t="shared" si="24"/>
        <v>0</v>
      </c>
      <c r="AB104" s="100">
        <f t="shared" si="24"/>
        <v>0</v>
      </c>
      <c r="AC104" s="100">
        <f t="shared" si="24"/>
        <v>0</v>
      </c>
      <c r="AD104" s="100">
        <f t="shared" si="24"/>
        <v>0</v>
      </c>
      <c r="AE104" s="100">
        <f t="shared" si="24"/>
        <v>0</v>
      </c>
      <c r="AF104" s="100">
        <f t="shared" si="24"/>
        <v>0</v>
      </c>
      <c r="AG104" s="101"/>
      <c r="AH104" s="48">
        <f t="shared" si="12"/>
        <v>390.59708333333339</v>
      </c>
      <c r="AI104" s="49">
        <f t="shared" si="13"/>
        <v>0</v>
      </c>
    </row>
    <row r="105" spans="1:35" x14ac:dyDescent="0.25">
      <c r="A105" s="88" t="s">
        <v>109</v>
      </c>
      <c r="B105" s="102">
        <v>11</v>
      </c>
      <c r="C105" s="102">
        <v>-7</v>
      </c>
      <c r="D105" s="102">
        <v>-8</v>
      </c>
      <c r="E105" s="102">
        <v>-7.2</v>
      </c>
      <c r="F105" s="102">
        <v>-7.2</v>
      </c>
      <c r="G105" s="102">
        <v>-9.6999999999999993</v>
      </c>
      <c r="H105" s="102">
        <v>7.3</v>
      </c>
      <c r="I105" s="102">
        <v>11</v>
      </c>
      <c r="J105" s="102">
        <v>36.799999999999997</v>
      </c>
      <c r="K105" s="102">
        <v>36.9</v>
      </c>
      <c r="L105" s="102">
        <v>43.6</v>
      </c>
      <c r="M105" s="102">
        <v>43.7</v>
      </c>
      <c r="N105" s="102">
        <v>43.1</v>
      </c>
      <c r="O105" s="102">
        <v>38.299999999999997</v>
      </c>
      <c r="P105" s="102">
        <v>40.299999999999997</v>
      </c>
      <c r="Q105" s="102">
        <v>23.9</v>
      </c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3">
        <v>75</v>
      </c>
      <c r="AH105" s="48">
        <f t="shared" si="12"/>
        <v>43.7</v>
      </c>
      <c r="AI105" s="49">
        <f t="shared" si="13"/>
        <v>-9.6999999999999993</v>
      </c>
    </row>
    <row r="106" spans="1:35" x14ac:dyDescent="0.25">
      <c r="A106" s="91" t="s">
        <v>110</v>
      </c>
      <c r="B106" s="104">
        <v>15</v>
      </c>
      <c r="C106" s="104">
        <v>-7</v>
      </c>
      <c r="D106" s="104">
        <v>-8</v>
      </c>
      <c r="E106" s="104">
        <v>-8.6</v>
      </c>
      <c r="F106" s="104">
        <v>-8.6</v>
      </c>
      <c r="G106" s="104">
        <v>-12.5</v>
      </c>
      <c r="H106" s="104">
        <v>11.8</v>
      </c>
      <c r="I106" s="104">
        <v>14.6</v>
      </c>
      <c r="J106" s="104">
        <v>49.9</v>
      </c>
      <c r="K106" s="104">
        <v>50.3</v>
      </c>
      <c r="L106" s="104">
        <v>59.4</v>
      </c>
      <c r="M106" s="104">
        <v>58.8</v>
      </c>
      <c r="N106" s="104">
        <v>59.3</v>
      </c>
      <c r="O106" s="104">
        <v>53.5</v>
      </c>
      <c r="P106" s="104">
        <v>54.3</v>
      </c>
      <c r="Q106" s="104">
        <v>31.1</v>
      </c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3">
        <v>240</v>
      </c>
      <c r="AH106" s="48">
        <f t="shared" si="12"/>
        <v>59.4</v>
      </c>
      <c r="AI106" s="49">
        <f t="shared" si="13"/>
        <v>-12.5</v>
      </c>
    </row>
    <row r="107" spans="1:35" x14ac:dyDescent="0.25">
      <c r="A107" s="91" t="s">
        <v>111</v>
      </c>
      <c r="B107" s="104">
        <v>-62</v>
      </c>
      <c r="C107" s="104">
        <v>-46</v>
      </c>
      <c r="D107" s="104">
        <v>-48</v>
      </c>
      <c r="E107" s="104">
        <f>-22.4-23.8</f>
        <v>-46.2</v>
      </c>
      <c r="F107" s="104">
        <f t="shared" ref="F107" si="26">-22.4-23.8</f>
        <v>-46.2</v>
      </c>
      <c r="G107" s="104">
        <f>-12.7-13.6</f>
        <v>-26.299999999999997</v>
      </c>
      <c r="H107" s="104">
        <f>-12.6-13.4</f>
        <v>-26</v>
      </c>
      <c r="I107" s="104">
        <f>-10.5-11.7</f>
        <v>-22.2</v>
      </c>
      <c r="J107" s="104">
        <f>-5.7-5.6</f>
        <v>-11.3</v>
      </c>
      <c r="K107" s="104">
        <f>0.7+3.4</f>
        <v>4.0999999999999996</v>
      </c>
      <c r="L107" s="104">
        <f>2.3+2.4</f>
        <v>4.6999999999999993</v>
      </c>
      <c r="M107" s="104">
        <f>2.8</f>
        <v>2.8</v>
      </c>
      <c r="N107" s="104">
        <v>-6.2</v>
      </c>
      <c r="O107" s="104">
        <v>-17</v>
      </c>
      <c r="P107" s="104">
        <v>-27.9</v>
      </c>
      <c r="Q107" s="104">
        <f>-11.9-13.3</f>
        <v>-25.200000000000003</v>
      </c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3">
        <v>240</v>
      </c>
      <c r="AH107" s="48">
        <f t="shared" si="12"/>
        <v>4.6999999999999993</v>
      </c>
      <c r="AI107" s="49">
        <f t="shared" si="13"/>
        <v>-62</v>
      </c>
    </row>
    <row r="108" spans="1:35" x14ac:dyDescent="0.25">
      <c r="A108" s="91" t="s">
        <v>112</v>
      </c>
      <c r="B108" s="104">
        <v>-1</v>
      </c>
      <c r="C108" s="104">
        <v>-1</v>
      </c>
      <c r="D108" s="104">
        <v>-2.5</v>
      </c>
      <c r="E108" s="104">
        <v>-1.6</v>
      </c>
      <c r="F108" s="104">
        <v>-1.6</v>
      </c>
      <c r="G108" s="104">
        <v>1.5</v>
      </c>
      <c r="H108" s="104">
        <v>2.6</v>
      </c>
      <c r="I108" s="104">
        <v>5.2</v>
      </c>
      <c r="J108" s="104">
        <v>9.8000000000000007</v>
      </c>
      <c r="K108" s="104">
        <v>15.1</v>
      </c>
      <c r="L108" s="104">
        <v>15.1</v>
      </c>
      <c r="M108" s="104">
        <v>14.8</v>
      </c>
      <c r="N108" s="104">
        <v>20.8</v>
      </c>
      <c r="O108" s="104">
        <v>12</v>
      </c>
      <c r="P108" s="104">
        <v>11.3</v>
      </c>
      <c r="Q108" s="104">
        <v>8.1999999999999993</v>
      </c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3">
        <v>60</v>
      </c>
      <c r="AH108" s="48">
        <f t="shared" si="12"/>
        <v>20.8</v>
      </c>
      <c r="AI108" s="49">
        <f t="shared" si="13"/>
        <v>-2.5</v>
      </c>
    </row>
    <row r="109" spans="1:35" x14ac:dyDescent="0.25">
      <c r="A109" s="105" t="s">
        <v>113</v>
      </c>
      <c r="B109" s="106">
        <v>52</v>
      </c>
      <c r="C109" s="106">
        <v>61</v>
      </c>
      <c r="D109" s="106">
        <v>62</v>
      </c>
      <c r="E109" s="106">
        <v>51.1</v>
      </c>
      <c r="F109" s="106">
        <v>51.1</v>
      </c>
      <c r="G109" s="106">
        <v>83.6</v>
      </c>
      <c r="H109" s="106">
        <v>88.1</v>
      </c>
      <c r="I109" s="106">
        <v>94.1</v>
      </c>
      <c r="J109" s="106">
        <v>93.8</v>
      </c>
      <c r="K109" s="106">
        <v>111.4</v>
      </c>
      <c r="L109" s="106">
        <v>121.6</v>
      </c>
      <c r="M109" s="106">
        <v>121.5</v>
      </c>
      <c r="N109" s="106">
        <v>119</v>
      </c>
      <c r="O109" s="106">
        <v>108.9</v>
      </c>
      <c r="P109" s="106">
        <v>85.8</v>
      </c>
      <c r="Q109" s="106">
        <v>93.3</v>
      </c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7">
        <v>120</v>
      </c>
      <c r="AH109" s="48">
        <f t="shared" si="12"/>
        <v>121.6</v>
      </c>
      <c r="AI109" s="49">
        <f t="shared" si="13"/>
        <v>51.1</v>
      </c>
    </row>
    <row r="110" spans="1:35" x14ac:dyDescent="0.25">
      <c r="A110" s="105" t="s">
        <v>115</v>
      </c>
      <c r="B110" s="106">
        <v>61</v>
      </c>
      <c r="C110" s="106">
        <v>70</v>
      </c>
      <c r="D110" s="106">
        <v>68</v>
      </c>
      <c r="E110" s="106">
        <v>61.5</v>
      </c>
      <c r="F110" s="106">
        <v>61.5</v>
      </c>
      <c r="G110" s="106">
        <v>84</v>
      </c>
      <c r="H110" s="106">
        <v>86.2</v>
      </c>
      <c r="I110" s="106">
        <v>84.9</v>
      </c>
      <c r="J110" s="106">
        <v>70.5</v>
      </c>
      <c r="K110" s="106">
        <v>72</v>
      </c>
      <c r="L110" s="106">
        <v>82.6</v>
      </c>
      <c r="M110" s="106">
        <v>82.2</v>
      </c>
      <c r="N110" s="106">
        <v>104</v>
      </c>
      <c r="O110" s="106">
        <v>104.5</v>
      </c>
      <c r="P110" s="106">
        <v>98</v>
      </c>
      <c r="Q110" s="106">
        <v>87.5</v>
      </c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7"/>
      <c r="AH110" s="48">
        <f t="shared" si="12"/>
        <v>104.5</v>
      </c>
      <c r="AI110" s="49">
        <f t="shared" si="13"/>
        <v>61</v>
      </c>
    </row>
    <row r="111" spans="1:35" x14ac:dyDescent="0.25">
      <c r="A111" s="105" t="s">
        <v>116</v>
      </c>
      <c r="B111" s="106">
        <v>34</v>
      </c>
      <c r="C111" s="106">
        <v>33</v>
      </c>
      <c r="D111" s="106">
        <v>32</v>
      </c>
      <c r="E111" s="106">
        <v>30.4</v>
      </c>
      <c r="F111" s="106">
        <v>30.4</v>
      </c>
      <c r="G111" s="106">
        <v>36</v>
      </c>
      <c r="H111" s="106">
        <v>25</v>
      </c>
      <c r="I111" s="106">
        <v>21.1</v>
      </c>
      <c r="J111" s="106">
        <v>4.7</v>
      </c>
      <c r="K111" s="106">
        <v>7.6</v>
      </c>
      <c r="L111" s="106">
        <v>7.6</v>
      </c>
      <c r="M111" s="106">
        <v>4.9000000000000004</v>
      </c>
      <c r="N111" s="106">
        <v>9</v>
      </c>
      <c r="O111" s="106">
        <v>7.2</v>
      </c>
      <c r="P111" s="106">
        <v>12.1</v>
      </c>
      <c r="Q111" s="106">
        <v>21.6</v>
      </c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8"/>
      <c r="AH111" s="48">
        <f t="shared" si="12"/>
        <v>36</v>
      </c>
      <c r="AI111" s="49">
        <f t="shared" si="13"/>
        <v>4.7</v>
      </c>
    </row>
    <row r="112" spans="1:35" x14ac:dyDescent="0.25">
      <c r="A112" s="109" t="s">
        <v>117</v>
      </c>
      <c r="B112" s="94">
        <v>39</v>
      </c>
      <c r="C112" s="94">
        <v>396</v>
      </c>
      <c r="D112" s="94">
        <v>43</v>
      </c>
      <c r="E112" s="94">
        <v>41.7</v>
      </c>
      <c r="F112" s="94">
        <v>41.7</v>
      </c>
      <c r="G112" s="94">
        <v>35.6</v>
      </c>
      <c r="H112" s="94">
        <v>19.3</v>
      </c>
      <c r="I112" s="94">
        <v>9.4</v>
      </c>
      <c r="J112" s="94">
        <v>-4.9000000000000004</v>
      </c>
      <c r="K112" s="94">
        <v>-7.1</v>
      </c>
      <c r="L112" s="94">
        <v>-7.1</v>
      </c>
      <c r="M112" s="94">
        <v>-7.8</v>
      </c>
      <c r="N112" s="94">
        <v>-6</v>
      </c>
      <c r="O112" s="94">
        <v>2.1</v>
      </c>
      <c r="P112" s="94">
        <v>13.7</v>
      </c>
      <c r="Q112" s="94">
        <v>18.100000000000001</v>
      </c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108"/>
      <c r="AH112" s="48">
        <f t="shared" si="12"/>
        <v>396</v>
      </c>
      <c r="AI112" s="49">
        <f t="shared" si="13"/>
        <v>-7.8</v>
      </c>
    </row>
    <row r="113" spans="1:37" ht="15.75" thickBot="1" x14ac:dyDescent="0.3">
      <c r="A113" s="109" t="s">
        <v>118</v>
      </c>
      <c r="B113" s="94">
        <v>33</v>
      </c>
      <c r="C113" s="94">
        <v>17</v>
      </c>
      <c r="D113" s="94">
        <v>19</v>
      </c>
      <c r="E113" s="94">
        <v>17.5</v>
      </c>
      <c r="F113" s="94">
        <v>17.5</v>
      </c>
      <c r="G113" s="94">
        <v>1.8</v>
      </c>
      <c r="H113" s="94">
        <v>8.1999999999999993</v>
      </c>
      <c r="I113" s="94">
        <v>9.6999999999999993</v>
      </c>
      <c r="J113" s="94">
        <v>5.3</v>
      </c>
      <c r="K113" s="94">
        <v>-4.5999999999999996</v>
      </c>
      <c r="L113" s="94">
        <v>-4.5999999999999996</v>
      </c>
      <c r="M113" s="94">
        <v>0</v>
      </c>
      <c r="N113" s="94">
        <v>9.1</v>
      </c>
      <c r="O113" s="94">
        <v>15.6</v>
      </c>
      <c r="P113" s="94">
        <v>24.3</v>
      </c>
      <c r="Q113" s="94">
        <v>18.2</v>
      </c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108"/>
      <c r="AH113" s="48">
        <f t="shared" si="12"/>
        <v>33</v>
      </c>
      <c r="AI113" s="49">
        <f t="shared" si="13"/>
        <v>-4.5999999999999996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27">SUM(B115:B219)</f>
        <v>0</v>
      </c>
      <c r="C220" s="125">
        <f t="shared" si="27"/>
        <v>0</v>
      </c>
      <c r="D220" s="125">
        <f t="shared" si="27"/>
        <v>0</v>
      </c>
      <c r="E220" s="125">
        <f t="shared" si="27"/>
        <v>0</v>
      </c>
      <c r="F220" s="125">
        <f t="shared" si="27"/>
        <v>0</v>
      </c>
      <c r="G220" s="125">
        <f t="shared" si="27"/>
        <v>0</v>
      </c>
      <c r="H220" s="125">
        <f t="shared" si="27"/>
        <v>0</v>
      </c>
      <c r="I220" s="125">
        <f t="shared" si="27"/>
        <v>0</v>
      </c>
      <c r="J220" s="125">
        <f t="shared" si="27"/>
        <v>0</v>
      </c>
      <c r="K220" s="125">
        <f t="shared" si="27"/>
        <v>0</v>
      </c>
      <c r="L220" s="125">
        <f t="shared" si="27"/>
        <v>0</v>
      </c>
      <c r="M220" s="125">
        <f t="shared" si="27"/>
        <v>0</v>
      </c>
      <c r="N220" s="125">
        <f t="shared" si="27"/>
        <v>0</v>
      </c>
      <c r="O220" s="125">
        <f t="shared" si="27"/>
        <v>0</v>
      </c>
      <c r="P220" s="125">
        <f t="shared" si="27"/>
        <v>0</v>
      </c>
      <c r="Q220" s="125">
        <f t="shared" si="27"/>
        <v>0</v>
      </c>
      <c r="R220" s="125">
        <f t="shared" si="27"/>
        <v>0</v>
      </c>
      <c r="S220" s="125">
        <f t="shared" si="27"/>
        <v>0</v>
      </c>
      <c r="T220" s="125">
        <f t="shared" si="27"/>
        <v>0</v>
      </c>
      <c r="U220" s="125">
        <f t="shared" si="27"/>
        <v>0</v>
      </c>
      <c r="V220" s="125">
        <f t="shared" si="27"/>
        <v>0</v>
      </c>
      <c r="W220" s="125">
        <f t="shared" si="27"/>
        <v>0</v>
      </c>
      <c r="X220" s="125">
        <f t="shared" si="27"/>
        <v>0</v>
      </c>
      <c r="Y220" s="125">
        <f t="shared" si="27"/>
        <v>0</v>
      </c>
      <c r="Z220" s="125">
        <f t="shared" si="27"/>
        <v>0</v>
      </c>
      <c r="AA220" s="125">
        <f t="shared" si="27"/>
        <v>0</v>
      </c>
      <c r="AB220" s="125">
        <f t="shared" si="27"/>
        <v>0</v>
      </c>
      <c r="AC220" s="125">
        <f t="shared" si="27"/>
        <v>0</v>
      </c>
      <c r="AD220" s="125">
        <f t="shared" si="27"/>
        <v>0</v>
      </c>
      <c r="AE220" s="125">
        <f t="shared" si="27"/>
        <v>0</v>
      </c>
      <c r="AF220" s="126">
        <f t="shared" si="27"/>
        <v>0</v>
      </c>
      <c r="AG220" s="127">
        <f t="shared" si="27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28">AF222</f>
        <v>0</v>
      </c>
      <c r="C222" s="129">
        <v>0.3</v>
      </c>
      <c r="D222" s="129">
        <f t="shared" ref="D222:P227" si="29">C222</f>
        <v>0.3</v>
      </c>
      <c r="E222" s="129">
        <f t="shared" si="29"/>
        <v>0.3</v>
      </c>
      <c r="F222" s="129">
        <f t="shared" si="29"/>
        <v>0.3</v>
      </c>
      <c r="G222" s="129">
        <f t="shared" si="29"/>
        <v>0.3</v>
      </c>
      <c r="H222" s="129">
        <f t="shared" si="29"/>
        <v>0.3</v>
      </c>
      <c r="I222" s="129">
        <f t="shared" si="29"/>
        <v>0.3</v>
      </c>
      <c r="J222" s="129">
        <f t="shared" si="29"/>
        <v>0.3</v>
      </c>
      <c r="K222" s="129">
        <f t="shared" si="29"/>
        <v>0.3</v>
      </c>
      <c r="L222" s="129">
        <f t="shared" si="29"/>
        <v>0.3</v>
      </c>
      <c r="M222" s="129">
        <f t="shared" si="29"/>
        <v>0.3</v>
      </c>
      <c r="N222" s="129">
        <f t="shared" si="29"/>
        <v>0.3</v>
      </c>
      <c r="O222" s="129">
        <f t="shared" si="29"/>
        <v>0.3</v>
      </c>
      <c r="P222" s="129">
        <f t="shared" si="29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28"/>
        <v>0</v>
      </c>
      <c r="C223" s="117">
        <v>0.4</v>
      </c>
      <c r="D223" s="117">
        <f t="shared" si="29"/>
        <v>0.4</v>
      </c>
      <c r="E223" s="117">
        <f t="shared" si="29"/>
        <v>0.4</v>
      </c>
      <c r="F223" s="117">
        <f t="shared" si="29"/>
        <v>0.4</v>
      </c>
      <c r="G223" s="117">
        <f t="shared" si="29"/>
        <v>0.4</v>
      </c>
      <c r="H223" s="117">
        <f t="shared" si="29"/>
        <v>0.4</v>
      </c>
      <c r="I223" s="117">
        <f t="shared" si="29"/>
        <v>0.4</v>
      </c>
      <c r="J223" s="117">
        <f t="shared" si="29"/>
        <v>0.4</v>
      </c>
      <c r="K223" s="117">
        <f t="shared" si="29"/>
        <v>0.4</v>
      </c>
      <c r="L223" s="117">
        <f t="shared" si="29"/>
        <v>0.4</v>
      </c>
      <c r="M223" s="117">
        <f t="shared" si="29"/>
        <v>0.4</v>
      </c>
      <c r="N223" s="117">
        <f t="shared" si="29"/>
        <v>0.4</v>
      </c>
      <c r="O223" s="117">
        <f t="shared" si="29"/>
        <v>0.4</v>
      </c>
      <c r="P223" s="117">
        <f t="shared" si="29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28"/>
        <v>0</v>
      </c>
      <c r="C224" s="117">
        <v>1.5</v>
      </c>
      <c r="D224" s="117">
        <f t="shared" si="29"/>
        <v>1.5</v>
      </c>
      <c r="E224" s="117">
        <f t="shared" si="29"/>
        <v>1.5</v>
      </c>
      <c r="F224" s="117">
        <f t="shared" si="29"/>
        <v>1.5</v>
      </c>
      <c r="G224" s="117">
        <f t="shared" si="29"/>
        <v>1.5</v>
      </c>
      <c r="H224" s="117">
        <f t="shared" si="29"/>
        <v>1.5</v>
      </c>
      <c r="I224" s="100">
        <f t="shared" ref="I224" ca="1" si="30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29"/>
        <v>1.5</v>
      </c>
      <c r="K224" s="117">
        <f t="shared" ca="1" si="29"/>
        <v>1.5</v>
      </c>
      <c r="L224" s="117">
        <f t="shared" ca="1" si="29"/>
        <v>1.5</v>
      </c>
      <c r="M224" s="117">
        <f t="shared" ca="1" si="29"/>
        <v>1.5</v>
      </c>
      <c r="N224" s="117">
        <f t="shared" ca="1" si="29"/>
        <v>1.5</v>
      </c>
      <c r="O224" s="117">
        <f t="shared" ca="1" si="29"/>
        <v>1.5</v>
      </c>
      <c r="P224" s="117">
        <f t="shared" ca="1" si="29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28"/>
        <v>0</v>
      </c>
      <c r="C225" s="117">
        <v>0.3</v>
      </c>
      <c r="D225" s="117">
        <f t="shared" si="29"/>
        <v>0.3</v>
      </c>
      <c r="E225" s="117">
        <f t="shared" si="29"/>
        <v>0.3</v>
      </c>
      <c r="F225" s="117">
        <f t="shared" si="29"/>
        <v>0.3</v>
      </c>
      <c r="G225" s="117">
        <f t="shared" si="29"/>
        <v>0.3</v>
      </c>
      <c r="H225" s="117">
        <f t="shared" si="29"/>
        <v>0.3</v>
      </c>
      <c r="I225" s="117">
        <f t="shared" si="29"/>
        <v>0.3</v>
      </c>
      <c r="J225" s="117">
        <f t="shared" si="29"/>
        <v>0.3</v>
      </c>
      <c r="K225" s="117">
        <f t="shared" si="29"/>
        <v>0.3</v>
      </c>
      <c r="L225" s="117">
        <f t="shared" si="29"/>
        <v>0.3</v>
      </c>
      <c r="M225" s="117">
        <f t="shared" si="29"/>
        <v>0.3</v>
      </c>
      <c r="N225" s="117">
        <f t="shared" si="29"/>
        <v>0.3</v>
      </c>
      <c r="O225" s="117">
        <f t="shared" si="29"/>
        <v>0.3</v>
      </c>
      <c r="P225" s="117">
        <f t="shared" si="29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28"/>
        <v>0</v>
      </c>
      <c r="C226" s="117">
        <v>0.4</v>
      </c>
      <c r="D226" s="117">
        <f t="shared" si="29"/>
        <v>0.4</v>
      </c>
      <c r="E226" s="117">
        <f t="shared" si="29"/>
        <v>0.4</v>
      </c>
      <c r="F226" s="117">
        <f t="shared" si="29"/>
        <v>0.4</v>
      </c>
      <c r="G226" s="117">
        <f t="shared" si="29"/>
        <v>0.4</v>
      </c>
      <c r="H226" s="117">
        <f t="shared" si="29"/>
        <v>0.4</v>
      </c>
      <c r="I226" s="117">
        <f t="shared" si="29"/>
        <v>0.4</v>
      </c>
      <c r="J226" s="117">
        <f t="shared" si="29"/>
        <v>0.4</v>
      </c>
      <c r="K226" s="117">
        <f t="shared" si="29"/>
        <v>0.4</v>
      </c>
      <c r="L226" s="117">
        <f t="shared" si="29"/>
        <v>0.4</v>
      </c>
      <c r="M226" s="117">
        <f t="shared" si="29"/>
        <v>0.4</v>
      </c>
      <c r="N226" s="117">
        <f t="shared" si="29"/>
        <v>0.4</v>
      </c>
      <c r="O226" s="117">
        <f t="shared" si="29"/>
        <v>0.4</v>
      </c>
      <c r="P226" s="117">
        <f t="shared" si="29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28"/>
        <v>0</v>
      </c>
      <c r="C227" s="121">
        <v>0.64</v>
      </c>
      <c r="D227" s="121">
        <f t="shared" si="29"/>
        <v>0.64</v>
      </c>
      <c r="E227" s="121">
        <f t="shared" si="29"/>
        <v>0.64</v>
      </c>
      <c r="F227" s="121">
        <f t="shared" si="29"/>
        <v>0.64</v>
      </c>
      <c r="G227" s="121">
        <f t="shared" si="29"/>
        <v>0.64</v>
      </c>
      <c r="H227" s="121">
        <f t="shared" si="29"/>
        <v>0.64</v>
      </c>
      <c r="I227" s="121">
        <f t="shared" si="29"/>
        <v>0.64</v>
      </c>
      <c r="J227" s="121">
        <f t="shared" si="29"/>
        <v>0.64</v>
      </c>
      <c r="K227" s="121">
        <f t="shared" si="29"/>
        <v>0.64</v>
      </c>
      <c r="L227" s="121">
        <f t="shared" si="29"/>
        <v>0.64</v>
      </c>
      <c r="M227" s="121">
        <f t="shared" si="29"/>
        <v>0.64</v>
      </c>
      <c r="N227" s="121">
        <f t="shared" si="29"/>
        <v>0.64</v>
      </c>
      <c r="O227" s="121">
        <f t="shared" si="29"/>
        <v>0.64</v>
      </c>
      <c r="P227" s="121">
        <f t="shared" si="29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31">SUM(B222:B227)</f>
        <v>0</v>
      </c>
      <c r="C228" s="125">
        <f t="shared" si="31"/>
        <v>3.54</v>
      </c>
      <c r="D228" s="125">
        <f t="shared" si="31"/>
        <v>3.54</v>
      </c>
      <c r="E228" s="125">
        <f t="shared" si="31"/>
        <v>3.54</v>
      </c>
      <c r="F228" s="125">
        <f t="shared" si="31"/>
        <v>3.54</v>
      </c>
      <c r="G228" s="125">
        <f t="shared" si="31"/>
        <v>3.54</v>
      </c>
      <c r="H228" s="125">
        <f t="shared" si="31"/>
        <v>3.54</v>
      </c>
      <c r="I228" s="125">
        <f t="shared" ca="1" si="31"/>
        <v>3.54</v>
      </c>
      <c r="J228" s="125">
        <f t="shared" ca="1" si="31"/>
        <v>3.54</v>
      </c>
      <c r="K228" s="125">
        <f t="shared" ca="1" si="31"/>
        <v>3.54</v>
      </c>
      <c r="L228" s="125">
        <f t="shared" ca="1" si="31"/>
        <v>3.54</v>
      </c>
      <c r="M228" s="125">
        <f t="shared" ca="1" si="31"/>
        <v>3.54</v>
      </c>
      <c r="N228" s="125">
        <f t="shared" ca="1" si="31"/>
        <v>3.54</v>
      </c>
      <c r="O228" s="125">
        <f t="shared" ca="1" si="31"/>
        <v>3.54</v>
      </c>
      <c r="P228" s="125">
        <f t="shared" ca="1" si="31"/>
        <v>3.54</v>
      </c>
      <c r="Q228" s="125">
        <f t="shared" si="31"/>
        <v>0</v>
      </c>
      <c r="R228" s="125">
        <f t="shared" si="31"/>
        <v>0</v>
      </c>
      <c r="S228" s="125">
        <f t="shared" si="31"/>
        <v>0</v>
      </c>
      <c r="T228" s="125">
        <f t="shared" si="31"/>
        <v>0</v>
      </c>
      <c r="U228" s="125">
        <f t="shared" si="31"/>
        <v>0</v>
      </c>
      <c r="V228" s="125">
        <f t="shared" si="31"/>
        <v>0</v>
      </c>
      <c r="W228" s="125">
        <f t="shared" si="31"/>
        <v>0</v>
      </c>
      <c r="X228" s="125">
        <f t="shared" si="31"/>
        <v>0</v>
      </c>
      <c r="Y228" s="125">
        <f t="shared" si="31"/>
        <v>0</v>
      </c>
      <c r="Z228" s="125">
        <f t="shared" si="31"/>
        <v>0</v>
      </c>
      <c r="AA228" s="125">
        <f t="shared" si="31"/>
        <v>0</v>
      </c>
      <c r="AB228" s="125">
        <f t="shared" si="31"/>
        <v>0</v>
      </c>
      <c r="AC228" s="125">
        <f t="shared" si="31"/>
        <v>0</v>
      </c>
      <c r="AD228" s="125">
        <f t="shared" si="31"/>
        <v>0</v>
      </c>
      <c r="AE228" s="125">
        <f t="shared" si="31"/>
        <v>0</v>
      </c>
      <c r="AF228" s="125">
        <f t="shared" si="31"/>
        <v>0</v>
      </c>
      <c r="AG228" s="134">
        <f t="shared" si="31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1492.14</v>
      </c>
      <c r="C237" s="150">
        <f>INDEX(G9:N9,1,MATCH(MAX(G85:N85),G85:N85,0))</f>
        <v>0.375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magh1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e">
        <f ca="1">"Pie Chart of Daily Peak Demand(Inclusive of Export) of Nepal ("&amp;A4&amp;" "&amp;B4&amp;")"</f>
        <v>#VALUE!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e">
        <f ca="1">"Daily Load Curve(Excluding of Export) of Nepal ("&amp;A4&amp;" "&amp;B4&amp;")"</f>
        <v>#VALUE!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32">B85</f>
        <v>1070.54</v>
      </c>
      <c r="U242" s="159">
        <f t="shared" si="32"/>
        <v>1023.54</v>
      </c>
      <c r="V242" s="159">
        <f t="shared" si="32"/>
        <v>1022.44</v>
      </c>
      <c r="W242" s="159">
        <f t="shared" si="32"/>
        <v>1001.94</v>
      </c>
      <c r="X242" s="159">
        <f t="shared" si="32"/>
        <v>1001.94</v>
      </c>
      <c r="Y242" s="159">
        <f t="shared" si="32"/>
        <v>1044.3399999999999</v>
      </c>
      <c r="Z242" s="159">
        <f t="shared" si="32"/>
        <v>1162.6399999999999</v>
      </c>
      <c r="AA242" s="159">
        <f t="shared" si="32"/>
        <v>1261.54</v>
      </c>
      <c r="AB242" s="159">
        <f t="shared" si="32"/>
        <v>1313.7399999999998</v>
      </c>
      <c r="AC242" s="159">
        <f t="shared" si="32"/>
        <v>1448.34</v>
      </c>
      <c r="AD242" s="159">
        <f t="shared" si="32"/>
        <v>1456.3400000000001</v>
      </c>
      <c r="AE242" s="159">
        <f t="shared" si="32"/>
        <v>1394.44</v>
      </c>
      <c r="AF242" s="159">
        <f t="shared" si="32"/>
        <v>1492.14</v>
      </c>
      <c r="AG242" s="159">
        <f t="shared" si="32"/>
        <v>1433.2399999999998</v>
      </c>
      <c r="AH242" s="159">
        <f t="shared" si="32"/>
        <v>1375.44</v>
      </c>
      <c r="AI242" s="159">
        <f t="shared" si="32"/>
        <v>1263.1399999999999</v>
      </c>
      <c r="AJ242" s="159">
        <f t="shared" si="32"/>
        <v>3.54</v>
      </c>
      <c r="AK242" s="159">
        <f t="shared" si="32"/>
        <v>3.54</v>
      </c>
      <c r="AL242" s="159">
        <f t="shared" si="32"/>
        <v>3.54</v>
      </c>
      <c r="AM242" s="159">
        <f t="shared" si="32"/>
        <v>3.54</v>
      </c>
      <c r="AN242" s="159">
        <f t="shared" si="32"/>
        <v>3.54</v>
      </c>
      <c r="AO242" s="159">
        <f t="shared" si="32"/>
        <v>3.54</v>
      </c>
      <c r="AP242" s="159">
        <f t="shared" si="32"/>
        <v>1704.6399999999999</v>
      </c>
      <c r="AQ242" s="159">
        <f t="shared" si="32"/>
        <v>3.54</v>
      </c>
      <c r="AR242" s="159">
        <f t="shared" si="32"/>
        <v>3.54</v>
      </c>
      <c r="AS242" s="159">
        <f t="shared" si="32"/>
        <v>3.54</v>
      </c>
      <c r="AT242" s="159">
        <f t="shared" si="32"/>
        <v>3.54</v>
      </c>
      <c r="AU242" s="159">
        <f t="shared" si="32"/>
        <v>3.54</v>
      </c>
      <c r="AV242" s="159">
        <f t="shared" si="32"/>
        <v>3.54</v>
      </c>
      <c r="AW242" s="159">
        <f t="shared" si="32"/>
        <v>3.54</v>
      </c>
      <c r="AX242" s="159">
        <f t="shared" si="32"/>
        <v>3.54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33">C227</f>
        <v>0.64</v>
      </c>
      <c r="C263" s="162">
        <f t="shared" si="33"/>
        <v>0.64</v>
      </c>
      <c r="D263" s="162">
        <f t="shared" si="33"/>
        <v>0.64</v>
      </c>
      <c r="E263" s="162">
        <f t="shared" si="33"/>
        <v>0.64</v>
      </c>
      <c r="F263" s="162">
        <f t="shared" si="33"/>
        <v>0.64</v>
      </c>
      <c r="G263" s="162">
        <f t="shared" si="33"/>
        <v>0.64</v>
      </c>
      <c r="H263" s="162">
        <f t="shared" si="33"/>
        <v>0.64</v>
      </c>
      <c r="I263" s="162">
        <f t="shared" si="33"/>
        <v>0.64</v>
      </c>
      <c r="J263" s="162">
        <f t="shared" si="33"/>
        <v>0.64</v>
      </c>
      <c r="K263" s="162">
        <f t="shared" si="33"/>
        <v>0.64</v>
      </c>
      <c r="L263" s="162">
        <f t="shared" si="33"/>
        <v>0.64</v>
      </c>
      <c r="M263" s="162">
        <f t="shared" si="33"/>
        <v>0.64</v>
      </c>
      <c r="N263" s="162">
        <f t="shared" si="33"/>
        <v>0.64</v>
      </c>
      <c r="O263" s="162">
        <f t="shared" si="33"/>
        <v>0.64</v>
      </c>
      <c r="P263" s="162">
        <f t="shared" si="33"/>
        <v>0</v>
      </c>
      <c r="Q263" s="162">
        <f t="shared" si="33"/>
        <v>0</v>
      </c>
      <c r="R263" s="162">
        <f t="shared" si="33"/>
        <v>0</v>
      </c>
      <c r="S263" s="162">
        <f t="shared" si="33"/>
        <v>0</v>
      </c>
      <c r="T263" s="162">
        <f t="shared" si="33"/>
        <v>0</v>
      </c>
      <c r="U263" s="162">
        <f t="shared" si="33"/>
        <v>0</v>
      </c>
      <c r="V263" s="162">
        <f t="shared" si="33"/>
        <v>0</v>
      </c>
      <c r="W263" s="162">
        <f t="shared" si="33"/>
        <v>0</v>
      </c>
      <c r="X263" s="162">
        <f t="shared" si="33"/>
        <v>0</v>
      </c>
      <c r="Y263" s="162">
        <f t="shared" si="33"/>
        <v>0</v>
      </c>
      <c r="Z263" s="162">
        <f t="shared" si="33"/>
        <v>0</v>
      </c>
      <c r="AA263" s="162">
        <f t="shared" si="33"/>
        <v>0</v>
      </c>
      <c r="AB263" s="162">
        <f t="shared" si="33"/>
        <v>0</v>
      </c>
      <c r="AC263" s="162">
        <f t="shared" si="33"/>
        <v>0</v>
      </c>
      <c r="AD263" s="162">
        <f t="shared" si="33"/>
        <v>0</v>
      </c>
      <c r="AE263" s="162">
        <f t="shared" si="33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34">IF(B231&lt;100,"",B231-520)</f>
        <v/>
      </c>
      <c r="C264" s="163" t="str">
        <f t="shared" si="34"/>
        <v/>
      </c>
      <c r="D264" s="163" t="str">
        <f t="shared" si="34"/>
        <v/>
      </c>
      <c r="E264" s="163" t="str">
        <f t="shared" si="34"/>
        <v/>
      </c>
      <c r="F264" s="163" t="str">
        <f t="shared" si="34"/>
        <v/>
      </c>
      <c r="G264" s="163" t="str">
        <f t="shared" si="34"/>
        <v/>
      </c>
      <c r="H264" s="163" t="str">
        <f t="shared" si="34"/>
        <v/>
      </c>
      <c r="I264" s="163" t="str">
        <f t="shared" si="34"/>
        <v/>
      </c>
      <c r="J264" s="163" t="str">
        <f t="shared" si="34"/>
        <v/>
      </c>
      <c r="K264" s="163" t="str">
        <f t="shared" si="34"/>
        <v/>
      </c>
      <c r="L264" s="163" t="str">
        <f t="shared" si="34"/>
        <v/>
      </c>
      <c r="M264" s="163" t="str">
        <f t="shared" si="34"/>
        <v/>
      </c>
      <c r="N264" s="163" t="str">
        <f t="shared" si="34"/>
        <v/>
      </c>
      <c r="O264" s="163" t="str">
        <f t="shared" si="34"/>
        <v/>
      </c>
      <c r="P264" s="163" t="str">
        <f t="shared" si="34"/>
        <v/>
      </c>
      <c r="Q264" s="163" t="str">
        <f t="shared" si="34"/>
        <v/>
      </c>
      <c r="R264" s="163" t="str">
        <f t="shared" si="34"/>
        <v/>
      </c>
      <c r="S264" s="163" t="str">
        <f t="shared" si="34"/>
        <v/>
      </c>
      <c r="T264" s="163" t="str">
        <f t="shared" si="34"/>
        <v/>
      </c>
      <c r="U264" s="163" t="str">
        <f t="shared" si="34"/>
        <v/>
      </c>
      <c r="V264" s="163" t="str">
        <f t="shared" si="34"/>
        <v/>
      </c>
      <c r="W264" s="163" t="str">
        <f t="shared" si="34"/>
        <v/>
      </c>
      <c r="X264" s="163" t="str">
        <f t="shared" si="34"/>
        <v/>
      </c>
      <c r="Y264" s="163" t="str">
        <f t="shared" si="34"/>
        <v/>
      </c>
      <c r="Z264" s="163" t="str">
        <f t="shared" si="34"/>
        <v/>
      </c>
      <c r="AA264" s="163" t="str">
        <f t="shared" si="34"/>
        <v/>
      </c>
      <c r="AB264" s="163" t="str">
        <f t="shared" si="34"/>
        <v/>
      </c>
      <c r="AC264" s="163" t="str">
        <f t="shared" si="34"/>
        <v/>
      </c>
      <c r="AD264" s="163" t="str">
        <f t="shared" si="34"/>
        <v/>
      </c>
      <c r="AE264" s="163" t="str">
        <f t="shared" si="34"/>
        <v/>
      </c>
      <c r="AF264" s="163" t="str">
        <f t="shared" si="34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5">IF(B232&lt;100,"",B232-620)</f>
        <v/>
      </c>
      <c r="C265" s="163" t="str">
        <f t="shared" si="35"/>
        <v/>
      </c>
      <c r="D265" s="163" t="str">
        <f t="shared" si="35"/>
        <v/>
      </c>
      <c r="E265" s="163" t="str">
        <f t="shared" si="35"/>
        <v/>
      </c>
      <c r="F265" s="163" t="str">
        <f t="shared" si="35"/>
        <v/>
      </c>
      <c r="G265" s="163" t="str">
        <f t="shared" si="35"/>
        <v/>
      </c>
      <c r="H265" s="163" t="str">
        <f t="shared" si="35"/>
        <v/>
      </c>
      <c r="I265" s="163" t="str">
        <f t="shared" si="35"/>
        <v/>
      </c>
      <c r="J265" s="163" t="str">
        <f t="shared" si="35"/>
        <v/>
      </c>
      <c r="K265" s="163" t="str">
        <f t="shared" si="35"/>
        <v/>
      </c>
      <c r="L265" s="163" t="str">
        <f t="shared" si="35"/>
        <v/>
      </c>
      <c r="M265" s="163" t="str">
        <f t="shared" si="35"/>
        <v/>
      </c>
      <c r="N265" s="163" t="str">
        <f t="shared" si="35"/>
        <v/>
      </c>
      <c r="O265" s="163" t="str">
        <f t="shared" si="35"/>
        <v/>
      </c>
      <c r="P265" s="163" t="str">
        <f t="shared" si="35"/>
        <v/>
      </c>
      <c r="Q265" s="163" t="str">
        <f t="shared" si="35"/>
        <v/>
      </c>
      <c r="R265" s="163" t="str">
        <f t="shared" si="35"/>
        <v/>
      </c>
      <c r="S265" s="163" t="str">
        <f t="shared" si="35"/>
        <v/>
      </c>
      <c r="T265" s="163" t="str">
        <f t="shared" si="35"/>
        <v/>
      </c>
      <c r="U265" s="163" t="str">
        <f t="shared" si="35"/>
        <v/>
      </c>
      <c r="V265" s="163" t="str">
        <f t="shared" si="35"/>
        <v/>
      </c>
      <c r="W265" s="163" t="str">
        <f t="shared" si="35"/>
        <v/>
      </c>
      <c r="X265" s="163" t="str">
        <f t="shared" si="35"/>
        <v/>
      </c>
      <c r="Y265" s="163" t="str">
        <f t="shared" si="35"/>
        <v/>
      </c>
      <c r="Z265" s="163" t="str">
        <f t="shared" si="35"/>
        <v/>
      </c>
      <c r="AA265" s="163" t="str">
        <f t="shared" si="35"/>
        <v/>
      </c>
      <c r="AB265" s="163" t="str">
        <f t="shared" si="35"/>
        <v/>
      </c>
      <c r="AC265" s="163" t="str">
        <f t="shared" si="35"/>
        <v/>
      </c>
      <c r="AD265" s="163" t="str">
        <f t="shared" si="35"/>
        <v/>
      </c>
      <c r="AE265" s="163" t="str">
        <f t="shared" si="35"/>
        <v/>
      </c>
      <c r="AF265" s="163" t="str">
        <f t="shared" si="35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6">IF(B233&lt;100,"",B233-330)</f>
        <v/>
      </c>
      <c r="C266" s="163" t="str">
        <f t="shared" si="36"/>
        <v/>
      </c>
      <c r="D266" s="163" t="str">
        <f t="shared" si="36"/>
        <v/>
      </c>
      <c r="E266" s="163" t="str">
        <f t="shared" si="36"/>
        <v/>
      </c>
      <c r="F266" s="163" t="str">
        <f t="shared" si="36"/>
        <v/>
      </c>
      <c r="G266" s="163" t="str">
        <f t="shared" si="36"/>
        <v/>
      </c>
      <c r="H266" s="163" t="str">
        <f t="shared" si="36"/>
        <v/>
      </c>
      <c r="I266" s="163" t="str">
        <f t="shared" si="36"/>
        <v/>
      </c>
      <c r="J266" s="163" t="str">
        <f t="shared" si="36"/>
        <v/>
      </c>
      <c r="K266" s="163" t="str">
        <f t="shared" si="36"/>
        <v/>
      </c>
      <c r="L266" s="163" t="str">
        <f t="shared" si="36"/>
        <v/>
      </c>
      <c r="M266" s="163" t="str">
        <f t="shared" si="36"/>
        <v/>
      </c>
      <c r="N266" s="163" t="str">
        <f t="shared" si="36"/>
        <v/>
      </c>
      <c r="O266" s="163" t="str">
        <f t="shared" si="36"/>
        <v/>
      </c>
      <c r="P266" s="163" t="str">
        <f t="shared" si="36"/>
        <v/>
      </c>
      <c r="Q266" s="163" t="str">
        <f t="shared" si="36"/>
        <v/>
      </c>
      <c r="R266" s="163" t="str">
        <f t="shared" si="36"/>
        <v/>
      </c>
      <c r="S266" s="163" t="str">
        <f t="shared" si="36"/>
        <v/>
      </c>
      <c r="T266" s="163" t="str">
        <f t="shared" si="36"/>
        <v/>
      </c>
      <c r="U266" s="163" t="str">
        <f t="shared" si="36"/>
        <v/>
      </c>
      <c r="V266" s="163" t="str">
        <f t="shared" si="36"/>
        <v/>
      </c>
      <c r="W266" s="163" t="str">
        <f t="shared" si="36"/>
        <v/>
      </c>
      <c r="X266" s="163" t="str">
        <f t="shared" si="36"/>
        <v/>
      </c>
      <c r="Y266" s="163" t="str">
        <f t="shared" si="36"/>
        <v/>
      </c>
      <c r="Z266" s="163" t="str">
        <f t="shared" si="36"/>
        <v/>
      </c>
      <c r="AA266" s="163" t="str">
        <f t="shared" si="36"/>
        <v/>
      </c>
      <c r="AB266" s="163" t="str">
        <f t="shared" si="36"/>
        <v/>
      </c>
      <c r="AC266" s="163" t="str">
        <f t="shared" si="36"/>
        <v/>
      </c>
      <c r="AD266" s="163" t="str">
        <f t="shared" si="36"/>
        <v/>
      </c>
      <c r="AE266" s="163" t="str">
        <f t="shared" si="36"/>
        <v/>
      </c>
      <c r="AF266" s="163" t="str">
        <f t="shared" si="36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7">IF(B234&lt;100,"",B234-1500)</f>
        <v/>
      </c>
      <c r="C267" s="163" t="str">
        <f t="shared" si="37"/>
        <v/>
      </c>
      <c r="D267" s="163" t="str">
        <f t="shared" si="37"/>
        <v/>
      </c>
      <c r="E267" s="163" t="str">
        <f t="shared" si="37"/>
        <v/>
      </c>
      <c r="F267" s="163" t="str">
        <f t="shared" si="37"/>
        <v/>
      </c>
      <c r="G267" s="163" t="str">
        <f t="shared" si="37"/>
        <v/>
      </c>
      <c r="H267" s="163" t="str">
        <f t="shared" si="37"/>
        <v/>
      </c>
      <c r="I267" s="163" t="str">
        <f t="shared" si="37"/>
        <v/>
      </c>
      <c r="J267" s="163" t="str">
        <f t="shared" si="37"/>
        <v/>
      </c>
      <c r="K267" s="163" t="str">
        <f t="shared" si="37"/>
        <v/>
      </c>
      <c r="L267" s="163" t="str">
        <f t="shared" si="37"/>
        <v/>
      </c>
      <c r="M267" s="163" t="str">
        <f t="shared" si="37"/>
        <v/>
      </c>
      <c r="N267" s="163" t="str">
        <f t="shared" si="37"/>
        <v/>
      </c>
      <c r="O267" s="163" t="str">
        <f t="shared" si="37"/>
        <v/>
      </c>
      <c r="P267" s="163" t="str">
        <f t="shared" si="37"/>
        <v/>
      </c>
      <c r="Q267" s="163" t="str">
        <f t="shared" si="37"/>
        <v/>
      </c>
      <c r="R267" s="163" t="str">
        <f t="shared" si="37"/>
        <v/>
      </c>
      <c r="S267" s="163" t="str">
        <f t="shared" si="37"/>
        <v/>
      </c>
      <c r="T267" s="163" t="str">
        <f t="shared" si="37"/>
        <v/>
      </c>
      <c r="U267" s="163" t="str">
        <f t="shared" si="37"/>
        <v/>
      </c>
      <c r="V267" s="163" t="str">
        <f t="shared" si="37"/>
        <v/>
      </c>
      <c r="W267" s="163" t="str">
        <f t="shared" si="37"/>
        <v/>
      </c>
      <c r="X267" s="163" t="str">
        <f t="shared" si="37"/>
        <v/>
      </c>
      <c r="Y267" s="163" t="str">
        <f t="shared" si="37"/>
        <v/>
      </c>
      <c r="Z267" s="163" t="str">
        <f t="shared" si="37"/>
        <v/>
      </c>
      <c r="AA267" s="163" t="str">
        <f t="shared" si="37"/>
        <v/>
      </c>
      <c r="AB267" s="163" t="str">
        <f t="shared" si="37"/>
        <v/>
      </c>
      <c r="AC267" s="163" t="str">
        <f t="shared" si="37"/>
        <v/>
      </c>
      <c r="AD267" s="163" t="str">
        <f t="shared" si="37"/>
        <v/>
      </c>
      <c r="AE267" s="163" t="str">
        <f t="shared" si="37"/>
        <v/>
      </c>
      <c r="AF267" s="163" t="str">
        <f t="shared" si="37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X11:AF41 D105:AF105 D107:AF112">
    <cfRule type="expression" dxfId="2703" priority="239">
      <formula>B$9&gt;=20/24</formula>
    </cfRule>
    <cfRule type="expression" dxfId="2702" priority="240">
      <formula>AND(B$9&gt;=14/24,B$9&lt;20/24)</formula>
    </cfRule>
    <cfRule type="expression" dxfId="2701" priority="241">
      <formula>AND(B$9&gt;=8/24,B$9&lt;14/24)</formula>
    </cfRule>
    <cfRule type="expression" dxfId="2700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AG61 X11:AF41">
    <cfRule type="expression" dxfId="2699" priority="237">
      <formula>X11&gt;$AG11</formula>
    </cfRule>
  </conditionalFormatting>
  <conditionalFormatting sqref="A95:A105 A55:A82 A91:A93 A198:A228 A42:A53 A114:A185 A38:A39 A87:A89 A84:A85 A107:A109 A35:A36 A17:A18 A11:A15 A20:A33">
    <cfRule type="expression" dxfId="2698" priority="236">
      <formula>$AH11=0</formula>
    </cfRule>
  </conditionalFormatting>
  <conditionalFormatting sqref="A110">
    <cfRule type="expression" dxfId="2697" priority="235">
      <formula>$AH110=0</formula>
    </cfRule>
  </conditionalFormatting>
  <conditionalFormatting sqref="AL39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2696" priority="233">
      <formula>$AH41=0</formula>
    </cfRule>
  </conditionalFormatting>
  <conditionalFormatting sqref="A94">
    <cfRule type="expression" dxfId="2695" priority="232">
      <formula>$AH94=0</formula>
    </cfRule>
  </conditionalFormatting>
  <conditionalFormatting sqref="A16">
    <cfRule type="expression" dxfId="2694" priority="231">
      <formula>$AH16=0</formula>
    </cfRule>
  </conditionalFormatting>
  <conditionalFormatting sqref="A192:A197">
    <cfRule type="expression" dxfId="2693" priority="230">
      <formula>$AH192=0</formula>
    </cfRule>
  </conditionalFormatting>
  <conditionalFormatting sqref="A186:A191">
    <cfRule type="expression" dxfId="2692" priority="229">
      <formula>$AH186=0</formula>
    </cfRule>
  </conditionalFormatting>
  <conditionalFormatting sqref="A54">
    <cfRule type="expression" dxfId="2691" priority="228">
      <formula>$AH54=0</formula>
    </cfRule>
  </conditionalFormatting>
  <conditionalFormatting sqref="A90">
    <cfRule type="expression" dxfId="2690" priority="227">
      <formula>$AH90=0</formula>
    </cfRule>
  </conditionalFormatting>
  <conditionalFormatting sqref="AD95:AF95 E95:X95">
    <cfRule type="expression" dxfId="2689" priority="223">
      <formula>E$9&gt;=20/24</formula>
    </cfRule>
    <cfRule type="expression" dxfId="2688" priority="224">
      <formula>AND(E$9&gt;=14/24,E$9&lt;20/24)</formula>
    </cfRule>
    <cfRule type="expression" dxfId="2687" priority="225">
      <formula>AND(E$9&gt;=8/24,E$9&lt;14/24)</formula>
    </cfRule>
    <cfRule type="expression" dxfId="2686" priority="226">
      <formula>E$9&lt;8/24</formula>
    </cfRule>
  </conditionalFormatting>
  <conditionalFormatting sqref="AL40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685" priority="245">
      <formula>C$9&gt;=20/24</formula>
    </cfRule>
    <cfRule type="expression" dxfId="2684" priority="246">
      <formula>AND(C$9&gt;=14/24,C$9&lt;20/24)</formula>
    </cfRule>
    <cfRule type="expression" dxfId="2683" priority="247">
      <formula>AND(C$9&gt;=8/24,C$9&lt;14/24)</formula>
    </cfRule>
    <cfRule type="expression" dxfId="2682" priority="248">
      <formula>C$9&lt;8/24</formula>
    </cfRule>
  </conditionalFormatting>
  <conditionalFormatting sqref="A229">
    <cfRule type="expression" dxfId="2681" priority="249">
      <formula>$AH229=0</formula>
    </cfRule>
  </conditionalFormatting>
  <conditionalFormatting sqref="AG241">
    <cfRule type="expression" dxfId="2680" priority="250">
      <formula>B$9&gt;=20/24</formula>
    </cfRule>
    <cfRule type="expression" dxfId="2679" priority="251">
      <formula>AND(B$9&gt;=14/24,B$9&lt;20/24)</formula>
    </cfRule>
    <cfRule type="expression" dxfId="2678" priority="252">
      <formula>AND(B$9&gt;=8/24,B$9&lt;14/24)</formula>
    </cfRule>
    <cfRule type="expression" dxfId="2677" priority="253">
      <formula>B$9&lt;8/24</formula>
    </cfRule>
  </conditionalFormatting>
  <conditionalFormatting sqref="S8">
    <cfRule type="expression" dxfId="2676" priority="218">
      <formula>U$9&gt;=20/24</formula>
    </cfRule>
    <cfRule type="expression" dxfId="2675" priority="219">
      <formula>AND(U$9&gt;=14/24,U$9&lt;20/24)</formula>
    </cfRule>
    <cfRule type="expression" dxfId="2674" priority="220">
      <formula>AND(U$9&gt;=8/24,U$9&lt;14/24)</formula>
    </cfRule>
    <cfRule type="expression" dxfId="2673" priority="221">
      <formula>U$9&lt;8/24</formula>
    </cfRule>
  </conditionalFormatting>
  <conditionalFormatting sqref="AB8">
    <cfRule type="expression" dxfId="2672" priority="214">
      <formula>AD$9&gt;=20/24</formula>
    </cfRule>
    <cfRule type="expression" dxfId="2671" priority="215">
      <formula>AND(AD$9&gt;=14/24,AD$9&lt;20/24)</formula>
    </cfRule>
    <cfRule type="expression" dxfId="2670" priority="216">
      <formula>AND(AD$9&gt;=8/24,AD$9&lt;14/24)</formula>
    </cfRule>
    <cfRule type="expression" dxfId="2669" priority="217">
      <formula>AD$9&lt;8/24</formula>
    </cfRule>
  </conditionalFormatting>
  <conditionalFormatting sqref="AH241:AX241">
    <cfRule type="expression" dxfId="2668" priority="254">
      <formula>AG$9&gt;=20/24</formula>
    </cfRule>
    <cfRule type="expression" dxfId="2667" priority="255">
      <formula>AND(AG$9&gt;=14/24,AG$9&lt;20/24)</formula>
    </cfRule>
    <cfRule type="expression" dxfId="2666" priority="256">
      <formula>AND(AG$9&gt;=8/24,AG$9&lt;14/24)</formula>
    </cfRule>
    <cfRule type="expression" dxfId="2665" priority="257">
      <formula>AG$9&lt;8/24</formula>
    </cfRule>
  </conditionalFormatting>
  <conditionalFormatting sqref="T241">
    <cfRule type="expression" dxfId="2664" priority="258">
      <formula>AX$9&gt;=20/24</formula>
    </cfRule>
    <cfRule type="expression" dxfId="2663" priority="259">
      <formula>AND(AX$9&gt;=14/24,AX$9&lt;20/24)</formula>
    </cfRule>
    <cfRule type="expression" dxfId="2662" priority="260">
      <formula>AND(AX$9&gt;=8/24,AX$9&lt;14/24)</formula>
    </cfRule>
    <cfRule type="expression" dxfId="2661" priority="261">
      <formula>AX$9&lt;8/24</formula>
    </cfRule>
  </conditionalFormatting>
  <conditionalFormatting sqref="A111:A112">
    <cfRule type="expression" dxfId="2660" priority="213">
      <formula>$AH111=0</formula>
    </cfRule>
  </conditionalFormatting>
  <conditionalFormatting sqref="AB50:AE51 W52:AE53 AF50:AF53 E67:AF67 O50:Q54">
    <cfRule type="expression" dxfId="2659" priority="209">
      <formula>E$9&gt;=20/24</formula>
    </cfRule>
    <cfRule type="expression" dxfId="2658" priority="210">
      <formula>AND(E$9&gt;=14/24,E$9&lt;20/24)</formula>
    </cfRule>
    <cfRule type="expression" dxfId="2657" priority="211">
      <formula>AND(E$9&gt;=8/24,E$9&lt;14/24)</formula>
    </cfRule>
    <cfRule type="expression" dxfId="2656" priority="212">
      <formula>E$9&lt;8/24</formula>
    </cfRule>
  </conditionalFormatting>
  <conditionalFormatting sqref="AB49:AF49 O49:Q49">
    <cfRule type="expression" dxfId="2655" priority="205">
      <formula>O$9&gt;=20/24</formula>
    </cfRule>
    <cfRule type="expression" dxfId="2654" priority="206">
      <formula>AND(O$9&gt;=14/24,O$9&lt;20/24)</formula>
    </cfRule>
    <cfRule type="expression" dxfId="2653" priority="207">
      <formula>AND(O$9&gt;=8/24,O$9&lt;14/24)</formula>
    </cfRule>
    <cfRule type="expression" dxfId="2652" priority="208">
      <formula>O$9&lt;8/24</formula>
    </cfRule>
  </conditionalFormatting>
  <conditionalFormatting sqref="AB49:AE51 W52:AE53 AF49:AF53 O49:Q54">
    <cfRule type="expression" dxfId="2651" priority="204">
      <formula>O49&gt;$AG49</formula>
    </cfRule>
  </conditionalFormatting>
  <conditionalFormatting sqref="M96:X102 X70:AE70 X43:AF43 X63:AF65 AF68:AF70 X92:AF92 AD96:AF102 D82:AF82 E68:AE69">
    <cfRule type="expression" dxfId="2650" priority="200">
      <formula>D$9&gt;=20/24</formula>
    </cfRule>
    <cfRule type="expression" dxfId="2649" priority="201">
      <formula>AND(D$9&gt;=14/24,D$9&lt;20/24)</formula>
    </cfRule>
    <cfRule type="expression" dxfId="2648" priority="202">
      <formula>AND(D$9&gt;=8/24,D$9&lt;14/24)</formula>
    </cfRule>
    <cfRule type="expression" dxfId="2647" priority="203">
      <formula>D$9&lt;8/24</formula>
    </cfRule>
  </conditionalFormatting>
  <conditionalFormatting sqref="X43:AF43 X63:AF65">
    <cfRule type="expression" dxfId="2646" priority="199">
      <formula>X43&gt;$AG43</formula>
    </cfRule>
  </conditionalFormatting>
  <conditionalFormatting sqref="R49:AA51 R52:V56">
    <cfRule type="expression" dxfId="2645" priority="195">
      <formula>R$9&gt;=20/24</formula>
    </cfRule>
    <cfRule type="expression" dxfId="2644" priority="196">
      <formula>AND(R$9&gt;=14/24,R$9&lt;20/24)</formula>
    </cfRule>
    <cfRule type="expression" dxfId="2643" priority="197">
      <formula>AND(R$9&gt;=8/24,R$9&lt;14/24)</formula>
    </cfRule>
    <cfRule type="expression" dxfId="2642" priority="198">
      <formula>R$9&lt;8/24</formula>
    </cfRule>
  </conditionalFormatting>
  <conditionalFormatting sqref="R49:AA51 R52:V56">
    <cfRule type="expression" dxfId="2641" priority="194">
      <formula>R49&gt;$AG49</formula>
    </cfRule>
  </conditionalFormatting>
  <conditionalFormatting sqref="C84:AF84 C93:AF93">
    <cfRule type="expression" dxfId="2640" priority="190">
      <formula>C$9&gt;=20/24</formula>
    </cfRule>
    <cfRule type="expression" dxfId="2639" priority="191">
      <formula>AND(C$9&gt;=14/24,C$9&lt;20/24)</formula>
    </cfRule>
    <cfRule type="expression" dxfId="2638" priority="192">
      <formula>AND(C$9&gt;=8/24,C$9&lt;14/24)</formula>
    </cfRule>
    <cfRule type="expression" dxfId="2637" priority="193">
      <formula>C$9&lt;8/24</formula>
    </cfRule>
  </conditionalFormatting>
  <conditionalFormatting sqref="T43:W43">
    <cfRule type="expression" dxfId="2636" priority="186">
      <formula>T$9&gt;=20/24</formula>
    </cfRule>
    <cfRule type="expression" dxfId="2635" priority="187">
      <formula>AND(T$9&gt;=14/24,T$9&lt;20/24)</formula>
    </cfRule>
    <cfRule type="expression" dxfId="2634" priority="188">
      <formula>AND(T$9&gt;=8/24,T$9&lt;14/24)</formula>
    </cfRule>
    <cfRule type="expression" dxfId="2633" priority="189">
      <formula>T$9&lt;8/24</formula>
    </cfRule>
  </conditionalFormatting>
  <conditionalFormatting sqref="T43:W43">
    <cfRule type="expression" dxfId="2632" priority="185">
      <formula>T43&gt;$AG43</formula>
    </cfRule>
  </conditionalFormatting>
  <conditionalFormatting sqref="X42:AF42 K50:N51">
    <cfRule type="expression" dxfId="2631" priority="181">
      <formula>K$9&gt;=20/24</formula>
    </cfRule>
    <cfRule type="expression" dxfId="2630" priority="182">
      <formula>AND(K$9&gt;=14/24,K$9&lt;20/24)</formula>
    </cfRule>
    <cfRule type="expression" dxfId="2629" priority="183">
      <formula>AND(K$9&gt;=8/24,K$9&lt;14/24)</formula>
    </cfRule>
    <cfRule type="expression" dxfId="2628" priority="184">
      <formula>K$9&lt;8/24</formula>
    </cfRule>
  </conditionalFormatting>
  <conditionalFormatting sqref="K49:N49">
    <cfRule type="expression" dxfId="2627" priority="177">
      <formula>K$9&gt;=20/24</formula>
    </cfRule>
    <cfRule type="expression" dxfId="2626" priority="178">
      <formula>AND(K$9&gt;=14/24,K$9&lt;20/24)</formula>
    </cfRule>
    <cfRule type="expression" dxfId="2625" priority="179">
      <formula>AND(K$9&gt;=8/24,K$9&lt;14/24)</formula>
    </cfRule>
    <cfRule type="expression" dxfId="2624" priority="180">
      <formula>K$9&lt;8/24</formula>
    </cfRule>
  </conditionalFormatting>
  <conditionalFormatting sqref="X42:AF42 K49:N51">
    <cfRule type="expression" dxfId="2623" priority="176">
      <formula>K42&gt;$AG42</formula>
    </cfRule>
  </conditionalFormatting>
  <conditionalFormatting sqref="AG66 AG83 S63:W65 E96:L102">
    <cfRule type="expression" dxfId="2622" priority="172">
      <formula>E$9&gt;=20/24</formula>
    </cfRule>
    <cfRule type="expression" dxfId="2621" priority="173">
      <formula>AND(E$9&gt;=14/24,E$9&lt;20/24)</formula>
    </cfRule>
    <cfRule type="expression" dxfId="2620" priority="174">
      <formula>AND(E$9&gt;=8/24,E$9&lt;14/24)</formula>
    </cfRule>
    <cfRule type="expression" dxfId="2619" priority="175">
      <formula>E$9&lt;8/24</formula>
    </cfRule>
  </conditionalFormatting>
  <conditionalFormatting sqref="AG44 AG62 AG66 S63:W65">
    <cfRule type="expression" dxfId="2618" priority="171">
      <formula>S44&gt;$AG44</formula>
    </cfRule>
  </conditionalFormatting>
  <conditionalFormatting sqref="X54:AF54">
    <cfRule type="expression" dxfId="2617" priority="167">
      <formula>X$9&gt;=20/24</formula>
    </cfRule>
    <cfRule type="expression" dxfId="2616" priority="168">
      <formula>AND(X$9&gt;=14/24,X$9&lt;20/24)</formula>
    </cfRule>
    <cfRule type="expression" dxfId="2615" priority="169">
      <formula>AND(X$9&gt;=8/24,X$9&lt;14/24)</formula>
    </cfRule>
    <cfRule type="expression" dxfId="2614" priority="170">
      <formula>X$9&lt;8/24</formula>
    </cfRule>
  </conditionalFormatting>
  <conditionalFormatting sqref="X54:AF54">
    <cfRule type="expression" dxfId="2613" priority="166">
      <formula>X54&gt;$AG54</formula>
    </cfRule>
  </conditionalFormatting>
  <conditionalFormatting sqref="A40">
    <cfRule type="expression" dxfId="2612" priority="165">
      <formula>$AH40=0</formula>
    </cfRule>
  </conditionalFormatting>
  <conditionalFormatting sqref="X87:AF91">
    <cfRule type="expression" dxfId="2611" priority="161">
      <formula>X$9&gt;=20/24</formula>
    </cfRule>
    <cfRule type="expression" dxfId="2610" priority="162">
      <formula>AND(X$9&gt;=14/24,X$9&lt;20/24)</formula>
    </cfRule>
    <cfRule type="expression" dxfId="2609" priority="163">
      <formula>AND(X$9&gt;=8/24,X$9&lt;14/24)</formula>
    </cfRule>
    <cfRule type="expression" dxfId="2608" priority="164">
      <formula>X$9&lt;8/24</formula>
    </cfRule>
  </conditionalFormatting>
  <conditionalFormatting sqref="AL41 AL38 AL20:AL33 AL35:AL36 AL7:AL18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2607" priority="157">
      <formula>E$9&gt;=20/24</formula>
    </cfRule>
    <cfRule type="expression" dxfId="2606" priority="158">
      <formula>AND(E$9&gt;=14/24,E$9&lt;20/24)</formula>
    </cfRule>
    <cfRule type="expression" dxfId="2605" priority="159">
      <formula>AND(E$9&gt;=8/24,E$9&lt;14/24)</formula>
    </cfRule>
    <cfRule type="expression" dxfId="2604" priority="160">
      <formula>E$9&lt;8/24</formula>
    </cfRule>
  </conditionalFormatting>
  <conditionalFormatting sqref="E45:AF47">
    <cfRule type="expression" dxfId="2603" priority="156">
      <formula>E45&gt;$AG45</formula>
    </cfRule>
  </conditionalFormatting>
  <conditionalFormatting sqref="AG48">
    <cfRule type="expression" dxfId="2602" priority="152">
      <formula>AG$9&gt;=20/24</formula>
    </cfRule>
    <cfRule type="expression" dxfId="2601" priority="153">
      <formula>AND(AG$9&gt;=14/24,AG$9&lt;20/24)</formula>
    </cfRule>
    <cfRule type="expression" dxfId="2600" priority="154">
      <formula>AND(AG$9&gt;=8/24,AG$9&lt;14/24)</formula>
    </cfRule>
    <cfRule type="expression" dxfId="2599" priority="155">
      <formula>AG$9&lt;8/24</formula>
    </cfRule>
  </conditionalFormatting>
  <conditionalFormatting sqref="AG48">
    <cfRule type="expression" dxfId="2598" priority="151">
      <formula>AG48&gt;$AG48</formula>
    </cfRule>
  </conditionalFormatting>
  <conditionalFormatting sqref="C103:AF103">
    <cfRule type="expression" dxfId="2597" priority="147">
      <formula>C$9&gt;=20/24</formula>
    </cfRule>
    <cfRule type="expression" dxfId="2596" priority="148">
      <formula>AND(C$9&gt;=14/24,C$9&lt;20/24)</formula>
    </cfRule>
    <cfRule type="expression" dxfId="2595" priority="149">
      <formula>AND(C$9&gt;=8/24,C$9&lt;14/24)</formula>
    </cfRule>
    <cfRule type="expression" dxfId="2594" priority="150">
      <formula>C$9&lt;8/24</formula>
    </cfRule>
  </conditionalFormatting>
  <conditionalFormatting sqref="AL37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593" priority="145">
      <formula>$AH37=0</formula>
    </cfRule>
  </conditionalFormatting>
  <conditionalFormatting sqref="A86">
    <cfRule type="expression" dxfId="2592" priority="143">
      <formula>$AH86=0</formula>
    </cfRule>
  </conditionalFormatting>
  <conditionalFormatting sqref="A83">
    <cfRule type="expression" dxfId="2591" priority="144">
      <formula>$AH83=0</formula>
    </cfRule>
  </conditionalFormatting>
  <conditionalFormatting sqref="A113">
    <cfRule type="expression" dxfId="2590" priority="134">
      <formula>$AH113=0</formula>
    </cfRule>
  </conditionalFormatting>
  <conditionalFormatting sqref="D106:AF106">
    <cfRule type="expression" dxfId="2589" priority="130">
      <formula>D$9&gt;=20/24</formula>
    </cfRule>
    <cfRule type="expression" dxfId="2588" priority="131">
      <formula>AND(D$9&gt;=14/24,D$9&lt;20/24)</formula>
    </cfRule>
    <cfRule type="expression" dxfId="2587" priority="132">
      <formula>AND(D$9&gt;=8/24,D$9&lt;14/24)</formula>
    </cfRule>
    <cfRule type="expression" dxfId="2586" priority="133">
      <formula>D$9&lt;8/24</formula>
    </cfRule>
  </conditionalFormatting>
  <conditionalFormatting sqref="A106">
    <cfRule type="expression" dxfId="2585" priority="129">
      <formula>$AH106=0</formula>
    </cfRule>
  </conditionalFormatting>
  <conditionalFormatting sqref="A19">
    <cfRule type="expression" dxfId="2584" priority="127">
      <formula>$AH19=0</formula>
    </cfRule>
  </conditionalFormatting>
  <conditionalFormatting sqref="AL19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583" priority="125">
      <formula>$AH34=0</formula>
    </cfRule>
  </conditionalFormatting>
  <conditionalFormatting sqref="AL34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2582" priority="121">
      <formula>Y$9&gt;=20/24</formula>
    </cfRule>
    <cfRule type="expression" dxfId="2581" priority="122">
      <formula>AND(Y$9&gt;=14/24,Y$9&lt;20/24)</formula>
    </cfRule>
    <cfRule type="expression" dxfId="2580" priority="123">
      <formula>AND(Y$9&gt;=8/24,Y$9&lt;14/24)</formula>
    </cfRule>
    <cfRule type="expression" dxfId="2579" priority="124">
      <formula>Y$9&lt;8/24</formula>
    </cfRule>
  </conditionalFormatting>
  <conditionalFormatting sqref="Y96:AC102">
    <cfRule type="expression" dxfId="2578" priority="117">
      <formula>Y$9&gt;=20/24</formula>
    </cfRule>
    <cfRule type="expression" dxfId="2577" priority="118">
      <formula>AND(Y$9&gt;=14/24,Y$9&lt;20/24)</formula>
    </cfRule>
    <cfRule type="expression" dxfId="2576" priority="119">
      <formula>AND(Y$9&gt;=8/24,Y$9&lt;14/24)</formula>
    </cfRule>
    <cfRule type="expression" dxfId="2575" priority="120">
      <formula>Y$9&lt;8/24</formula>
    </cfRule>
  </conditionalFormatting>
  <conditionalFormatting sqref="B105:C105 B107:C112 B15:W40">
    <cfRule type="expression" dxfId="2574" priority="113">
      <formula>B$9&gt;=20/24</formula>
    </cfRule>
    <cfRule type="expression" dxfId="2573" priority="114">
      <formula>AND(B$9&gt;=14/24,B$9&lt;20/24)</formula>
    </cfRule>
    <cfRule type="expression" dxfId="2572" priority="115">
      <formula>AND(B$9&gt;=8/24,B$9&lt;14/24)</formula>
    </cfRule>
    <cfRule type="expression" dxfId="2571" priority="116">
      <formula>B$9&lt;8/24</formula>
    </cfRule>
  </conditionalFormatting>
  <conditionalFormatting sqref="B43:S43">
    <cfRule type="expression" dxfId="2570" priority="109">
      <formula>B$9&gt;=20/24</formula>
    </cfRule>
    <cfRule type="expression" dxfId="2569" priority="110">
      <formula>AND(B$9&gt;=14/24,B$9&lt;20/24)</formula>
    </cfRule>
    <cfRule type="expression" dxfId="2568" priority="111">
      <formula>AND(B$9&gt;=8/24,B$9&lt;14/24)</formula>
    </cfRule>
    <cfRule type="expression" dxfId="2567" priority="112">
      <formula>B$9&lt;8/24</formula>
    </cfRule>
  </conditionalFormatting>
  <conditionalFormatting sqref="B43:S43 B15:W40">
    <cfRule type="expression" dxfId="2566" priority="108">
      <formula>B15&gt;$AG15</formula>
    </cfRule>
  </conditionalFormatting>
  <conditionalFormatting sqref="B95:D95">
    <cfRule type="expression" dxfId="2565" priority="104">
      <formula>B$9&gt;=20/24</formula>
    </cfRule>
    <cfRule type="expression" dxfId="2564" priority="105">
      <formula>AND(B$9&gt;=14/24,B$9&lt;20/24)</formula>
    </cfRule>
    <cfRule type="expression" dxfId="2563" priority="106">
      <formula>AND(B$9&gt;=8/24,B$9&lt;14/24)</formula>
    </cfRule>
    <cfRule type="expression" dxfId="2562" priority="107">
      <formula>B$9&lt;8/24</formula>
    </cfRule>
  </conditionalFormatting>
  <conditionalFormatting sqref="B67:D67 B50:J51">
    <cfRule type="expression" dxfId="2561" priority="100">
      <formula>B$9&gt;=20/24</formula>
    </cfRule>
    <cfRule type="expression" dxfId="2560" priority="101">
      <formula>AND(B$9&gt;=14/24,B$9&lt;20/24)</formula>
    </cfRule>
    <cfRule type="expression" dxfId="2559" priority="102">
      <formula>AND(B$9&gt;=8/24,B$9&lt;14/24)</formula>
    </cfRule>
    <cfRule type="expression" dxfId="2558" priority="103">
      <formula>B$9&lt;8/24</formula>
    </cfRule>
  </conditionalFormatting>
  <conditionalFormatting sqref="B49:J49">
    <cfRule type="expression" dxfId="2557" priority="96">
      <formula>B$9&gt;=20/24</formula>
    </cfRule>
    <cfRule type="expression" dxfId="2556" priority="97">
      <formula>AND(B$9&gt;=14/24,B$9&lt;20/24)</formula>
    </cfRule>
    <cfRule type="expression" dxfId="2555" priority="98">
      <formula>AND(B$9&gt;=8/24,B$9&lt;14/24)</formula>
    </cfRule>
    <cfRule type="expression" dxfId="2554" priority="99">
      <formula>B$9&lt;8/24</formula>
    </cfRule>
  </conditionalFormatting>
  <conditionalFormatting sqref="B49:J51">
    <cfRule type="expression" dxfId="2553" priority="95">
      <formula>B49&gt;$AG49</formula>
    </cfRule>
  </conditionalFormatting>
  <conditionalFormatting sqref="B82:C82 X71:AF72 B68:D72 B96:D102 B92:W92 B79:AF81 B63:R65 E70:W72">
    <cfRule type="expression" dxfId="2552" priority="91">
      <formula>B$9&gt;=20/24</formula>
    </cfRule>
    <cfRule type="expression" dxfId="2551" priority="92">
      <formula>AND(B$9&gt;=14/24,B$9&lt;20/24)</formula>
    </cfRule>
    <cfRule type="expression" dxfId="2550" priority="93">
      <formula>AND(B$9&gt;=8/24,B$9&lt;14/24)</formula>
    </cfRule>
    <cfRule type="expression" dxfId="2549" priority="94">
      <formula>B$9&lt;8/24</formula>
    </cfRule>
  </conditionalFormatting>
  <conditionalFormatting sqref="B52:L53 B63:R65">
    <cfRule type="expression" dxfId="2548" priority="90">
      <formula>B52&gt;$AG52</formula>
    </cfRule>
  </conditionalFormatting>
  <conditionalFormatting sqref="W54 B54:N54">
    <cfRule type="expression" dxfId="2547" priority="86">
      <formula>B$9&gt;=20/24</formula>
    </cfRule>
    <cfRule type="expression" dxfId="2546" priority="87">
      <formula>AND(B$9&gt;=14/24,B$9&lt;20/24)</formula>
    </cfRule>
    <cfRule type="expression" dxfId="2545" priority="88">
      <formula>AND(B$9&gt;=8/24,B$9&lt;14/24)</formula>
    </cfRule>
    <cfRule type="expression" dxfId="2544" priority="89">
      <formula>B$9&lt;8/24</formula>
    </cfRule>
  </conditionalFormatting>
  <conditionalFormatting sqref="W54 B54:N54">
    <cfRule type="expression" dxfId="2543" priority="85">
      <formula>B54&gt;$AG54</formula>
    </cfRule>
  </conditionalFormatting>
  <conditionalFormatting sqref="B84 B93">
    <cfRule type="expression" dxfId="2542" priority="81">
      <formula>B$9&gt;=20/24</formula>
    </cfRule>
    <cfRule type="expression" dxfId="2541" priority="82">
      <formula>AND(B$9&gt;=14/24,B$9&lt;20/24)</formula>
    </cfRule>
    <cfRule type="expression" dxfId="2540" priority="83">
      <formula>AND(B$9&gt;=8/24,B$9&lt;14/24)</formula>
    </cfRule>
    <cfRule type="expression" dxfId="2539" priority="84">
      <formula>B$9&lt;8/24</formula>
    </cfRule>
  </conditionalFormatting>
  <conditionalFormatting sqref="B42:W42">
    <cfRule type="expression" dxfId="2538" priority="77">
      <formula>B$9&gt;=20/24</formula>
    </cfRule>
    <cfRule type="expression" dxfId="2537" priority="78">
      <formula>AND(B$9&gt;=14/24,B$9&lt;20/24)</formula>
    </cfRule>
    <cfRule type="expression" dxfId="2536" priority="79">
      <formula>AND(B$9&gt;=8/24,B$9&lt;14/24)</formula>
    </cfRule>
    <cfRule type="expression" dxfId="2535" priority="80">
      <formula>B$9&lt;8/24</formula>
    </cfRule>
  </conditionalFormatting>
  <conditionalFormatting sqref="B42:W42">
    <cfRule type="expression" dxfId="2534" priority="76">
      <formula>B42&gt;$AG42</formula>
    </cfRule>
  </conditionalFormatting>
  <conditionalFormatting sqref="B85:AF85 B94:AF94 B83:AF83 B66:AF66">
    <cfRule type="expression" dxfId="2533" priority="72">
      <formula>B$9&gt;=20/24</formula>
    </cfRule>
    <cfRule type="expression" dxfId="2532" priority="73">
      <formula>AND(B$9&gt;=14/24,B$9&lt;20/24)</formula>
    </cfRule>
    <cfRule type="expression" dxfId="2531" priority="74">
      <formula>AND(B$9&gt;=8/24,B$9&lt;14/24)</formula>
    </cfRule>
    <cfRule type="expression" dxfId="2530" priority="75">
      <formula>B$9&lt;8/24</formula>
    </cfRule>
  </conditionalFormatting>
  <conditionalFormatting sqref="B61:AF62 B66:AF66 B44:AF44">
    <cfRule type="expression" dxfId="2529" priority="71">
      <formula>B44&gt;$AG44</formula>
    </cfRule>
  </conditionalFormatting>
  <conditionalFormatting sqref="B78:AF78">
    <cfRule type="expression" dxfId="2528" priority="67">
      <formula>B$9&gt;=20/24</formula>
    </cfRule>
    <cfRule type="expression" dxfId="2527" priority="68">
      <formula>AND(B$9&gt;=14/24,B$9&lt;20/24)</formula>
    </cfRule>
    <cfRule type="expression" dxfId="2526" priority="69">
      <formula>AND(B$9&gt;=8/24,B$9&lt;14/24)</formula>
    </cfRule>
    <cfRule type="expression" dxfId="2525" priority="70">
      <formula>B$9&lt;8/24</formula>
    </cfRule>
  </conditionalFormatting>
  <conditionalFormatting sqref="B87:W91">
    <cfRule type="expression" dxfId="2524" priority="63">
      <formula>B$9&gt;=20/24</formula>
    </cfRule>
    <cfRule type="expression" dxfId="2523" priority="64">
      <formula>AND(B$9&gt;=14/24,B$9&lt;20/24)</formula>
    </cfRule>
    <cfRule type="expression" dxfId="2522" priority="65">
      <formula>AND(B$9&gt;=8/24,B$9&lt;14/24)</formula>
    </cfRule>
    <cfRule type="expression" dxfId="2521" priority="66">
      <formula>B$9&lt;8/24</formula>
    </cfRule>
  </conditionalFormatting>
  <conditionalFormatting sqref="B45:D47">
    <cfRule type="expression" dxfId="2520" priority="59">
      <formula>B$9&gt;=20/24</formula>
    </cfRule>
    <cfRule type="expression" dxfId="2519" priority="60">
      <formula>AND(B$9&gt;=14/24,B$9&lt;20/24)</formula>
    </cfRule>
    <cfRule type="expression" dxfId="2518" priority="61">
      <formula>AND(B$9&gt;=8/24,B$9&lt;14/24)</formula>
    </cfRule>
    <cfRule type="expression" dxfId="2517" priority="62">
      <formula>B$9&lt;8/24</formula>
    </cfRule>
  </conditionalFormatting>
  <conditionalFormatting sqref="B45:D47">
    <cfRule type="expression" dxfId="2516" priority="58">
      <formula>B45&gt;$AG45</formula>
    </cfRule>
  </conditionalFormatting>
  <conditionalFormatting sqref="B48:AF48">
    <cfRule type="expression" dxfId="2515" priority="54">
      <formula>B$9&gt;=20/24</formula>
    </cfRule>
    <cfRule type="expression" dxfId="2514" priority="55">
      <formula>AND(B$9&gt;=14/24,B$9&lt;20/24)</formula>
    </cfRule>
    <cfRule type="expression" dxfId="2513" priority="56">
      <formula>AND(B$9&gt;=8/24,B$9&lt;14/24)</formula>
    </cfRule>
    <cfRule type="expression" dxfId="2512" priority="57">
      <formula>B$9&lt;8/24</formula>
    </cfRule>
  </conditionalFormatting>
  <conditionalFormatting sqref="B48:AF48">
    <cfRule type="expression" dxfId="2511" priority="53">
      <formula>B48&gt;$AG48</formula>
    </cfRule>
  </conditionalFormatting>
  <conditionalFormatting sqref="B103">
    <cfRule type="expression" dxfId="2510" priority="49">
      <formula>B$9&gt;=20/24</formula>
    </cfRule>
    <cfRule type="expression" dxfId="2509" priority="50">
      <formula>AND(B$9&gt;=14/24,B$9&lt;20/24)</formula>
    </cfRule>
    <cfRule type="expression" dxfId="2508" priority="51">
      <formula>AND(B$9&gt;=8/24,B$9&lt;14/24)</formula>
    </cfRule>
    <cfRule type="expression" dxfId="2507" priority="52">
      <formula>B$9&lt;8/24</formula>
    </cfRule>
  </conditionalFormatting>
  <conditionalFormatting sqref="B106:C106">
    <cfRule type="expression" dxfId="2506" priority="37">
      <formula>B$9&gt;=20/24</formula>
    </cfRule>
    <cfRule type="expression" dxfId="2505" priority="38">
      <formula>AND(B$9&gt;=14/24,B$9&lt;20/24)</formula>
    </cfRule>
    <cfRule type="expression" dxfId="2504" priority="39">
      <formula>AND(B$9&gt;=8/24,B$9&lt;14/24)</formula>
    </cfRule>
    <cfRule type="expression" dxfId="2503" priority="40">
      <formula>B$9&lt;8/24</formula>
    </cfRule>
  </conditionalFormatting>
  <conditionalFormatting sqref="W55:AF56 R57:AF60 B55:Q60">
    <cfRule type="expression" dxfId="2502" priority="33">
      <formula>B$9&gt;=20/24</formula>
    </cfRule>
    <cfRule type="expression" dxfId="2501" priority="34">
      <formula>AND(B$9&gt;=14/24,B$9&lt;20/24)</formula>
    </cfRule>
    <cfRule type="expression" dxfId="2500" priority="35">
      <formula>AND(B$9&gt;=8/24,B$9&lt;14/24)</formula>
    </cfRule>
    <cfRule type="expression" dxfId="2499" priority="36">
      <formula>B$9&lt;8/24</formula>
    </cfRule>
  </conditionalFormatting>
  <conditionalFormatting sqref="W55:AF56 R57:AF60 B55:Q60">
    <cfRule type="expression" dxfId="2498" priority="32">
      <formula>B55&gt;$AG55</formula>
    </cfRule>
  </conditionalFormatting>
  <conditionalFormatting sqref="B12:W14 B41:W41">
    <cfRule type="expression" dxfId="2497" priority="31">
      <formula>B12&gt;$AG12</formula>
    </cfRule>
  </conditionalFormatting>
  <conditionalFormatting sqref="B11:W11">
    <cfRule type="expression" dxfId="2496" priority="27">
      <formula>B$9&gt;=20/24</formula>
    </cfRule>
    <cfRule type="expression" dxfId="2495" priority="28">
      <formula>AND(B$9&gt;=14/24,B$9&lt;20/24)</formula>
    </cfRule>
    <cfRule type="expression" dxfId="2494" priority="29">
      <formula>AND(B$9&gt;=8/24,B$9&lt;14/24)</formula>
    </cfRule>
    <cfRule type="expression" dxfId="2493" priority="30">
      <formula>B$9&lt;8/24</formula>
    </cfRule>
  </conditionalFormatting>
  <conditionalFormatting sqref="B11:W11">
    <cfRule type="expression" dxfId="2492" priority="26">
      <formula>B11&gt;$AG11</formula>
    </cfRule>
  </conditionalFormatting>
  <conditionalFormatting sqref="B12:W14">
    <cfRule type="expression" dxfId="2491" priority="22">
      <formula>B$9&gt;=20/24</formula>
    </cfRule>
    <cfRule type="expression" dxfId="2490" priority="23">
      <formula>AND(B$9&gt;=14/24,B$9&lt;20/24)</formula>
    </cfRule>
    <cfRule type="expression" dxfId="2489" priority="24">
      <formula>AND(B$9&gt;=8/24,B$9&lt;14/24)</formula>
    </cfRule>
    <cfRule type="expression" dxfId="2488" priority="25">
      <formula>B$9&lt;8/24</formula>
    </cfRule>
  </conditionalFormatting>
  <conditionalFormatting sqref="B41:W41">
    <cfRule type="expression" dxfId="2487" priority="18">
      <formula>B$9&gt;=20/24</formula>
    </cfRule>
    <cfRule type="expression" dxfId="2486" priority="19">
      <formula>AND(B$9&gt;=14/24,B$9&lt;20/24)</formula>
    </cfRule>
    <cfRule type="expression" dxfId="2485" priority="20">
      <formula>AND(B$9&gt;=8/24,B$9&lt;14/24)</formula>
    </cfRule>
    <cfRule type="expression" dxfId="2484" priority="21">
      <formula>B$9&lt;8/24</formula>
    </cfRule>
  </conditionalFormatting>
  <conditionalFormatting sqref="B73:AF77">
    <cfRule type="expression" dxfId="2483" priority="14">
      <formula>B$9&gt;=20/24</formula>
    </cfRule>
    <cfRule type="expression" dxfId="2482" priority="15">
      <formula>AND(B$9&gt;=14/24,B$9&lt;20/24)</formula>
    </cfRule>
    <cfRule type="expression" dxfId="2481" priority="16">
      <formula>AND(B$9&gt;=8/24,B$9&lt;14/24)</formula>
    </cfRule>
    <cfRule type="expression" dxfId="2480" priority="17">
      <formula>B$9&lt;8/24</formula>
    </cfRule>
  </conditionalFormatting>
  <conditionalFormatting sqref="AL74:AN74 AL80:AN80 AN75:AN76">
    <cfRule type="expression" dxfId="2479" priority="10">
      <formula>AL$9&gt;=20/24</formula>
    </cfRule>
    <cfRule type="expression" dxfId="2478" priority="11">
      <formula>AND(AL$9&gt;=14/24,AL$9&lt;20/24)</formula>
    </cfRule>
    <cfRule type="expression" dxfId="2477" priority="12">
      <formula>AND(AL$9&gt;=8/24,AL$9&lt;14/24)</formula>
    </cfRule>
    <cfRule type="expression" dxfId="2476" priority="13">
      <formula>AL$9&lt;8/24</formula>
    </cfRule>
  </conditionalFormatting>
  <conditionalFormatting sqref="AN77:AN78">
    <cfRule type="expression" dxfId="2475" priority="6">
      <formula>AN$9&gt;=20/24</formula>
    </cfRule>
    <cfRule type="expression" dxfId="2474" priority="7">
      <formula>AND(AN$9&gt;=14/24,AN$9&lt;20/24)</formula>
    </cfRule>
    <cfRule type="expression" dxfId="2473" priority="8">
      <formula>AND(AN$9&gt;=8/24,AN$9&lt;14/24)</formula>
    </cfRule>
    <cfRule type="expression" dxfId="2472" priority="9">
      <formula>AN$9&lt;8/24</formula>
    </cfRule>
  </conditionalFormatting>
  <conditionalFormatting sqref="AL75:AM79">
    <cfRule type="expression" dxfId="2471" priority="263">
      <formula>AJ$9&gt;=20/24</formula>
    </cfRule>
    <cfRule type="expression" dxfId="2470" priority="264">
      <formula>AND(AJ$9&gt;=14/24,AJ$9&lt;20/24)</formula>
    </cfRule>
    <cfRule type="expression" dxfId="2469" priority="265">
      <formula>AND(AJ$9&gt;=8/24,AJ$9&lt;14/24)</formula>
    </cfRule>
    <cfRule type="expression" dxfId="2468" priority="266">
      <formula>AJ$9&lt;8/24</formula>
    </cfRule>
  </conditionalFormatting>
  <conditionalFormatting sqref="M52:N53">
    <cfRule type="expression" dxfId="2467" priority="2">
      <formula>M$9&gt;=20/24</formula>
    </cfRule>
    <cfRule type="expression" dxfId="2466" priority="3">
      <formula>AND(M$9&gt;=14/24,M$9&lt;20/24)</formula>
    </cfRule>
    <cfRule type="expression" dxfId="2465" priority="4">
      <formula>AND(M$9&gt;=8/24,M$9&lt;14/24)</formula>
    </cfRule>
    <cfRule type="expression" dxfId="2464" priority="5">
      <formula>M$9&lt;8/24</formula>
    </cfRule>
  </conditionalFormatting>
  <conditionalFormatting sqref="M52:N53">
    <cfRule type="expression" dxfId="2463" priority="1">
      <formula>M52&gt;$AG52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9" id="{4A68DB1F-FFEF-4F66-ABBF-C8F767562CB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0" id="{591CE229-D597-4AF1-AAAE-3C71867A6F5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1" id="{1B8FB6A6-1E36-4054-BB76-0DB37EC4B9A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2" id="{FF66A18F-45CE-45C8-B0EA-BF22DAF6068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5" id="{11FE97CE-A315-4E75-B064-27537E2F103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6" id="{CC498382-8C1A-4DF5-9B95-77573030312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7" id="{0C2690A8-AC05-4C19-8199-EF9C05D9335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8" id="{F6A18E90-C30E-4CB5-9A59-77DE7AE2DB1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5" id="{C602664D-AFD9-4F36-9159-99E92277B6E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6" id="{DE4B5019-864E-446C-9CBA-A8ADD0332A3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7" id="{F934785D-23EC-41EC-8B0D-A53DD316B11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8" id="{A30E9E0B-40D0-44DA-AD02-9730A0CF07F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41" id="{F66C9362-1183-4877-B4A7-EF22B3DA7E5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129F8624-E437-4C89-871E-7BFB81CAD2C0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" id="{E78C3CFD-166A-4D48-A6AE-E1EE227D7F6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" id="{C9D05A7D-8714-44E7-9034-35B4F5E64C0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J274"/>
  <sheetViews>
    <sheetView workbookViewId="0">
      <pane ySplit="10" topLeftCell="A11" activePane="bottomLeft" state="frozen"/>
      <selection activeCell="U80" sqref="U80"/>
      <selection pane="bottomLeft" activeCell="U80" sqref="U8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 t="s">
        <v>1</v>
      </c>
      <c r="AH1" s="191"/>
      <c r="AI1" s="191"/>
      <c r="AL1" s="2"/>
    </row>
    <row r="2" spans="1:88" ht="20.25" x14ac:dyDescent="0.25">
      <c r="A2" s="3"/>
      <c r="B2" s="192" t="s">
        <v>2</v>
      </c>
      <c r="C2" s="4"/>
      <c r="D2" s="194" t="s">
        <v>3</v>
      </c>
      <c r="E2" s="4"/>
      <c r="F2" s="194" t="s">
        <v>4</v>
      </c>
      <c r="G2" s="4"/>
      <c r="H2" s="194" t="s">
        <v>5</v>
      </c>
      <c r="I2" s="5"/>
      <c r="J2" s="19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3"/>
      <c r="C3" s="16"/>
      <c r="D3" s="195"/>
      <c r="E3" s="16"/>
      <c r="F3" s="195"/>
      <c r="G3" s="16"/>
      <c r="H3" s="195"/>
      <c r="I3" s="17"/>
      <c r="J3" s="19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97" t="e">
        <f ca="1">"2079/"&amp;"09/"&amp;INT(MID(CELL("filename",D6),FIND("]",CELL("filename",D6))+1,200))</f>
        <v>#VALUE!</v>
      </c>
      <c r="C4" s="197"/>
      <c r="D4" s="197"/>
      <c r="E4" s="198" t="e">
        <f ca="1">"2079/"&amp;"09/"&amp;INT(MID(CELL("filename",G6),FIND("]",CELL("filename",G6))+1,200))</f>
        <v>#VALUE!</v>
      </c>
      <c r="F4" s="198"/>
      <c r="G4" s="198"/>
      <c r="H4" s="198" t="e">
        <f ca="1">TEXT(E4,"dddd")</f>
        <v>#VALUE!</v>
      </c>
      <c r="I4" s="198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151.6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B85</f>
        <v>3.54</v>
      </c>
      <c r="C7" s="35">
        <f t="shared" si="1"/>
        <v>3.54</v>
      </c>
      <c r="D7" s="35">
        <f t="shared" si="1"/>
        <v>3.54</v>
      </c>
      <c r="E7" s="35">
        <f t="shared" si="1"/>
        <v>3.54</v>
      </c>
      <c r="F7" s="35">
        <f t="shared" si="1"/>
        <v>3.54</v>
      </c>
      <c r="G7" s="35">
        <f t="shared" si="1"/>
        <v>3.54</v>
      </c>
      <c r="H7" s="35">
        <f t="shared" si="1"/>
        <v>3.54</v>
      </c>
      <c r="I7" s="35">
        <f t="shared" si="1"/>
        <v>3.54</v>
      </c>
      <c r="J7" s="35">
        <f t="shared" si="1"/>
        <v>3.54</v>
      </c>
      <c r="K7" s="35">
        <f t="shared" si="1"/>
        <v>3.54</v>
      </c>
      <c r="L7" s="35">
        <f t="shared" si="1"/>
        <v>3.54</v>
      </c>
      <c r="M7" s="35">
        <f t="shared" si="1"/>
        <v>3.54</v>
      </c>
      <c r="N7" s="35">
        <f>N85</f>
        <v>3.54</v>
      </c>
      <c r="O7" s="35">
        <f t="shared" si="1"/>
        <v>3.54</v>
      </c>
      <c r="P7" s="35">
        <f t="shared" si="1"/>
        <v>3.54</v>
      </c>
      <c r="Q7" s="35">
        <f t="shared" si="1"/>
        <v>3.54</v>
      </c>
      <c r="R7" s="35">
        <f t="shared" si="1"/>
        <v>3.54</v>
      </c>
      <c r="S7" s="35">
        <f t="shared" si="1"/>
        <v>3.54</v>
      </c>
      <c r="T7" s="35">
        <f t="shared" si="1"/>
        <v>3.54</v>
      </c>
      <c r="U7" s="35">
        <f t="shared" si="1"/>
        <v>3.54</v>
      </c>
      <c r="V7" s="35">
        <f t="shared" si="1"/>
        <v>3.54</v>
      </c>
      <c r="W7" s="35">
        <f t="shared" si="1"/>
        <v>3.54</v>
      </c>
      <c r="X7" s="35">
        <f t="shared" si="1"/>
        <v>1704.6399999999999</v>
      </c>
      <c r="Y7" s="35">
        <f t="shared" si="1"/>
        <v>3.54</v>
      </c>
      <c r="Z7" s="35">
        <f t="shared" si="1"/>
        <v>3.54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99" t="s">
        <v>14</v>
      </c>
      <c r="C8" s="200"/>
      <c r="D8" s="200"/>
      <c r="E8" s="200"/>
      <c r="F8" s="200"/>
      <c r="G8" s="200"/>
      <c r="H8" s="200"/>
      <c r="I8" s="200"/>
      <c r="J8" s="200"/>
      <c r="K8" s="200"/>
      <c r="L8" s="201"/>
      <c r="M8" s="202" t="s">
        <v>15</v>
      </c>
      <c r="N8" s="203"/>
      <c r="O8" s="203"/>
      <c r="P8" s="203"/>
      <c r="Q8" s="203"/>
      <c r="R8" s="204"/>
      <c r="S8" s="202" t="s">
        <v>16</v>
      </c>
      <c r="T8" s="203"/>
      <c r="U8" s="203"/>
      <c r="V8" s="203"/>
      <c r="W8" s="203"/>
      <c r="X8" s="203"/>
      <c r="Y8" s="203"/>
      <c r="Z8" s="203"/>
      <c r="AA8" s="204"/>
      <c r="AB8" s="202" t="s">
        <v>17</v>
      </c>
      <c r="AC8" s="203"/>
      <c r="AD8" s="203"/>
      <c r="AE8" s="203"/>
      <c r="AF8" s="20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07" t="s">
        <v>18</v>
      </c>
      <c r="B9" s="209">
        <v>0</v>
      </c>
      <c r="C9" s="209">
        <v>4.1666666666666664E-2</v>
      </c>
      <c r="D9" s="209">
        <v>8.3333333333333301E-2</v>
      </c>
      <c r="E9" s="209">
        <v>0.125</v>
      </c>
      <c r="F9" s="209">
        <v>0.16666666666666699</v>
      </c>
      <c r="G9" s="209">
        <v>0.20833333333333301</v>
      </c>
      <c r="H9" s="209">
        <v>0.22916666666666666</v>
      </c>
      <c r="I9" s="209">
        <v>0.25</v>
      </c>
      <c r="J9" s="209">
        <v>0.27083333333333331</v>
      </c>
      <c r="K9" s="209">
        <v>0.29166666666666669</v>
      </c>
      <c r="L9" s="209">
        <v>0.3125</v>
      </c>
      <c r="M9" s="205">
        <v>0.33333333333333331</v>
      </c>
      <c r="N9" s="205">
        <v>0.375</v>
      </c>
      <c r="O9" s="205">
        <v>0.41666666666666702</v>
      </c>
      <c r="P9" s="205">
        <v>0.45833333333333298</v>
      </c>
      <c r="Q9" s="205">
        <v>0.5</v>
      </c>
      <c r="R9" s="205">
        <v>0.54166666666666696</v>
      </c>
      <c r="S9" s="211">
        <v>0.58333333333333304</v>
      </c>
      <c r="T9" s="211">
        <v>0.625</v>
      </c>
      <c r="U9" s="211">
        <v>0.66666666666666696</v>
      </c>
      <c r="V9" s="211">
        <v>0.70833333333333304</v>
      </c>
      <c r="W9" s="211">
        <v>0.72916666666666663</v>
      </c>
      <c r="X9" s="211">
        <v>0.75</v>
      </c>
      <c r="Y9" s="211">
        <v>0.77083333333333337</v>
      </c>
      <c r="Z9" s="211">
        <v>0.79166666666666663</v>
      </c>
      <c r="AA9" s="211">
        <v>0.8125</v>
      </c>
      <c r="AB9" s="211">
        <v>0.83333333333333337</v>
      </c>
      <c r="AC9" s="211">
        <v>0.85416666666666663</v>
      </c>
      <c r="AD9" s="211">
        <v>0.875</v>
      </c>
      <c r="AE9" s="211">
        <v>0.91666666666666696</v>
      </c>
      <c r="AF9" s="211">
        <v>0.95833333333333304</v>
      </c>
      <c r="AG9" s="21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08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06"/>
      <c r="N10" s="206"/>
      <c r="O10" s="206"/>
      <c r="P10" s="206"/>
      <c r="Q10" s="206"/>
      <c r="R10" s="206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7">
        <v>52.4</v>
      </c>
      <c r="AH11" s="48">
        <f t="shared" ref="AH11:AH74" si="2">MAX(B11:AF11)</f>
        <v>0</v>
      </c>
      <c r="AI11" s="49">
        <f t="shared" ref="AI11:AI74" si="3">MIN(B11:AF11)</f>
        <v>0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51">
        <v>50</v>
      </c>
      <c r="AH12" s="48">
        <f t="shared" si="2"/>
        <v>0</v>
      </c>
      <c r="AI12" s="49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51">
        <v>45</v>
      </c>
      <c r="AH13" s="48">
        <f t="shared" si="2"/>
        <v>0</v>
      </c>
      <c r="AI13" s="49">
        <f t="shared" si="3"/>
        <v>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51">
        <v>42</v>
      </c>
      <c r="AH14" s="48">
        <f t="shared" si="2"/>
        <v>0</v>
      </c>
      <c r="AI14" s="49">
        <f t="shared" si="3"/>
        <v>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51">
        <v>36</v>
      </c>
      <c r="AH15" s="48">
        <f t="shared" si="2"/>
        <v>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52">
        <v>30</v>
      </c>
      <c r="AH16" s="48">
        <f t="shared" si="2"/>
        <v>0</v>
      </c>
      <c r="AI16" s="49">
        <f t="shared" si="3"/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51">
        <v>24.2</v>
      </c>
      <c r="AH17" s="48">
        <f t="shared" si="2"/>
        <v>0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51">
        <v>28</v>
      </c>
      <c r="AH18" s="48">
        <f t="shared" si="2"/>
        <v>0</v>
      </c>
      <c r="AI18" s="49">
        <f t="shared" si="3"/>
        <v>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52">
        <v>30</v>
      </c>
      <c r="AH19" s="48">
        <f t="shared" si="2"/>
        <v>0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51">
        <v>25</v>
      </c>
      <c r="AH20" s="48">
        <f t="shared" si="2"/>
        <v>0</v>
      </c>
      <c r="AI20" s="49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51">
        <v>25</v>
      </c>
      <c r="AH21" s="48">
        <f t="shared" si="2"/>
        <v>0</v>
      </c>
      <c r="AI21" s="49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51">
        <v>25</v>
      </c>
      <c r="AH22" s="48">
        <f t="shared" si="2"/>
        <v>0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51">
        <v>25</v>
      </c>
      <c r="AH23" s="48">
        <f t="shared" si="2"/>
        <v>0</v>
      </c>
      <c r="AI23" s="49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51">
        <v>23.5</v>
      </c>
      <c r="AH24" s="48">
        <f t="shared" si="2"/>
        <v>0</v>
      </c>
      <c r="AI24" s="49">
        <f t="shared" si="3"/>
        <v>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51">
        <v>22.2</v>
      </c>
      <c r="AH25" s="48">
        <f t="shared" si="2"/>
        <v>0</v>
      </c>
      <c r="AI25" s="49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51">
        <v>22.1</v>
      </c>
      <c r="AH26" s="48">
        <f t="shared" si="2"/>
        <v>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51">
        <v>22</v>
      </c>
      <c r="AH27" s="48">
        <f t="shared" si="2"/>
        <v>0</v>
      </c>
      <c r="AI27" s="49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51">
        <v>22</v>
      </c>
      <c r="AH28" s="48">
        <f t="shared" si="2"/>
        <v>0</v>
      </c>
      <c r="AI28" s="49">
        <f t="shared" si="3"/>
        <v>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51">
        <v>20</v>
      </c>
      <c r="AH29" s="48">
        <f t="shared" si="2"/>
        <v>0</v>
      </c>
      <c r="AI29" s="49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51">
        <v>18</v>
      </c>
      <c r="AH30" s="48">
        <f t="shared" si="2"/>
        <v>0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51">
        <v>14.9</v>
      </c>
      <c r="AH31" s="48">
        <f t="shared" si="2"/>
        <v>0</v>
      </c>
      <c r="AI31" s="49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51">
        <v>13.6</v>
      </c>
      <c r="AH32" s="48">
        <f t="shared" si="2"/>
        <v>0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51">
        <v>13</v>
      </c>
      <c r="AH33" s="48">
        <f t="shared" si="2"/>
        <v>0</v>
      </c>
      <c r="AI33" s="49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51">
        <v>12</v>
      </c>
      <c r="AH34" s="48">
        <f t="shared" si="2"/>
        <v>0</v>
      </c>
      <c r="AI34" s="49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51">
        <v>12</v>
      </c>
      <c r="AH35" s="48">
        <f t="shared" si="2"/>
        <v>0</v>
      </c>
      <c r="AI35" s="49">
        <f t="shared" si="3"/>
        <v>0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51">
        <v>12</v>
      </c>
      <c r="AH36" s="48">
        <f t="shared" si="2"/>
        <v>0</v>
      </c>
      <c r="AI36" s="49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53">
        <v>22</v>
      </c>
      <c r="AH37" s="48">
        <f t="shared" si="2"/>
        <v>0</v>
      </c>
      <c r="AI37" s="49">
        <f t="shared" si="3"/>
        <v>0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52">
        <v>11.88</v>
      </c>
      <c r="AH38" s="48">
        <f t="shared" si="2"/>
        <v>0</v>
      </c>
      <c r="AI38" s="49">
        <f t="shared" si="3"/>
        <v>0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47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55">
        <v>11</v>
      </c>
      <c r="AH39" s="48">
        <f t="shared" si="2"/>
        <v>0</v>
      </c>
      <c r="AI39" s="49">
        <f t="shared" si="3"/>
        <v>0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48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55">
        <v>10</v>
      </c>
      <c r="AH40" s="48">
        <f t="shared" si="2"/>
        <v>0</v>
      </c>
      <c r="AI40" s="49">
        <f t="shared" si="3"/>
        <v>0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49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50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5">
        <v>85</v>
      </c>
      <c r="AH42" s="48">
        <f t="shared" si="2"/>
        <v>0</v>
      </c>
      <c r="AI42" s="49">
        <f t="shared" si="3"/>
        <v>0</v>
      </c>
      <c r="AK42" s="50"/>
    </row>
    <row r="43" spans="1:88" ht="15.75" thickBot="1" x14ac:dyDescent="0.3">
      <c r="A43" s="58" t="s">
        <v>51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52</v>
      </c>
      <c r="B44" s="61">
        <f t="shared" ref="B44:AG44" si="4">SUM(B11:B42)</f>
        <v>0</v>
      </c>
      <c r="C44" s="61">
        <f t="shared" si="4"/>
        <v>0</v>
      </c>
      <c r="D44" s="61">
        <f t="shared" si="4"/>
        <v>0</v>
      </c>
      <c r="E44" s="61">
        <f t="shared" si="4"/>
        <v>0</v>
      </c>
      <c r="F44" s="61">
        <f t="shared" si="4"/>
        <v>0</v>
      </c>
      <c r="G44" s="61">
        <f t="shared" si="4"/>
        <v>0</v>
      </c>
      <c r="H44" s="61">
        <f t="shared" si="4"/>
        <v>0</v>
      </c>
      <c r="I44" s="61">
        <f t="shared" si="4"/>
        <v>0</v>
      </c>
      <c r="J44" s="61">
        <f t="shared" si="4"/>
        <v>0</v>
      </c>
      <c r="K44" s="61">
        <f t="shared" si="4"/>
        <v>0</v>
      </c>
      <c r="L44" s="61">
        <f t="shared" si="4"/>
        <v>0</v>
      </c>
      <c r="M44" s="61">
        <f t="shared" si="4"/>
        <v>0</v>
      </c>
      <c r="N44" s="61">
        <f t="shared" si="4"/>
        <v>0</v>
      </c>
      <c r="O44" s="61">
        <f t="shared" si="4"/>
        <v>0</v>
      </c>
      <c r="P44" s="61">
        <f t="shared" si="4"/>
        <v>0</v>
      </c>
      <c r="Q44" s="61">
        <f t="shared" si="4"/>
        <v>0</v>
      </c>
      <c r="R44" s="61">
        <f t="shared" si="4"/>
        <v>0</v>
      </c>
      <c r="S44" s="61">
        <f t="shared" si="4"/>
        <v>0</v>
      </c>
      <c r="T44" s="61">
        <f t="shared" si="4"/>
        <v>0</v>
      </c>
      <c r="U44" s="61">
        <f t="shared" si="4"/>
        <v>0</v>
      </c>
      <c r="V44" s="61">
        <f t="shared" si="4"/>
        <v>0</v>
      </c>
      <c r="W44" s="61">
        <f t="shared" si="4"/>
        <v>0</v>
      </c>
      <c r="X44" s="61">
        <v>554.29999999999995</v>
      </c>
      <c r="Y44" s="61">
        <f t="shared" si="4"/>
        <v>0</v>
      </c>
      <c r="Z44" s="61">
        <f t="shared" si="4"/>
        <v>0</v>
      </c>
      <c r="AA44" s="61">
        <f t="shared" si="4"/>
        <v>0</v>
      </c>
      <c r="AB44" s="61">
        <f t="shared" si="4"/>
        <v>0</v>
      </c>
      <c r="AC44" s="61">
        <f t="shared" si="4"/>
        <v>0</v>
      </c>
      <c r="AD44" s="61">
        <f t="shared" si="4"/>
        <v>0</v>
      </c>
      <c r="AE44" s="61">
        <f t="shared" si="4"/>
        <v>0</v>
      </c>
      <c r="AF44" s="61">
        <f t="shared" si="4"/>
        <v>0</v>
      </c>
      <c r="AG44" s="62">
        <f t="shared" si="4"/>
        <v>814.78000000000009</v>
      </c>
      <c r="AH44" s="48">
        <f t="shared" si="2"/>
        <v>554.29999999999995</v>
      </c>
      <c r="AI44" s="49">
        <f t="shared" si="3"/>
        <v>0</v>
      </c>
      <c r="AK44" s="50"/>
    </row>
    <row r="45" spans="1:88" x14ac:dyDescent="0.25">
      <c r="A45" s="63" t="s">
        <v>53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164"/>
      <c r="N45" s="164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52">
        <v>456</v>
      </c>
      <c r="AH45" s="48">
        <f t="shared" si="2"/>
        <v>0</v>
      </c>
      <c r="AI45" s="49">
        <f t="shared" si="3"/>
        <v>0</v>
      </c>
      <c r="AK45" s="50"/>
    </row>
    <row r="46" spans="1:88" x14ac:dyDescent="0.25">
      <c r="A46" s="64" t="s">
        <v>54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55">
        <v>60</v>
      </c>
      <c r="AH46" s="48">
        <f t="shared" si="2"/>
        <v>0</v>
      </c>
      <c r="AI46" s="49">
        <f t="shared" si="3"/>
        <v>0</v>
      </c>
      <c r="AK46" s="50"/>
    </row>
    <row r="47" spans="1:88" ht="15.75" thickBot="1" x14ac:dyDescent="0.3">
      <c r="A47" s="66" t="s">
        <v>55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8">
        <v>22.1</v>
      </c>
      <c r="AH47" s="48">
        <f t="shared" si="2"/>
        <v>0</v>
      </c>
      <c r="AI47" s="49">
        <f t="shared" si="3"/>
        <v>0</v>
      </c>
      <c r="AK47" s="50"/>
    </row>
    <row r="48" spans="1:88" ht="15.75" thickBot="1" x14ac:dyDescent="0.3">
      <c r="A48" s="69" t="s">
        <v>56</v>
      </c>
      <c r="B48" s="61">
        <f t="shared" ref="B48:AG48" si="5">SUM(B45:B47)</f>
        <v>0</v>
      </c>
      <c r="C48" s="61">
        <f t="shared" si="5"/>
        <v>0</v>
      </c>
      <c r="D48" s="61">
        <f t="shared" si="5"/>
        <v>0</v>
      </c>
      <c r="E48" s="61">
        <f t="shared" si="5"/>
        <v>0</v>
      </c>
      <c r="F48" s="61">
        <f t="shared" si="5"/>
        <v>0</v>
      </c>
      <c r="G48" s="61">
        <f t="shared" si="5"/>
        <v>0</v>
      </c>
      <c r="H48" s="61">
        <f t="shared" si="5"/>
        <v>0</v>
      </c>
      <c r="I48" s="61">
        <f t="shared" si="5"/>
        <v>0</v>
      </c>
      <c r="J48" s="61">
        <f t="shared" si="5"/>
        <v>0</v>
      </c>
      <c r="K48" s="61">
        <f t="shared" si="5"/>
        <v>0</v>
      </c>
      <c r="L48" s="61">
        <f t="shared" si="5"/>
        <v>0</v>
      </c>
      <c r="M48" s="61">
        <f t="shared" si="5"/>
        <v>0</v>
      </c>
      <c r="N48" s="61">
        <f t="shared" si="5"/>
        <v>0</v>
      </c>
      <c r="O48" s="61">
        <f t="shared" si="5"/>
        <v>0</v>
      </c>
      <c r="P48" s="61">
        <f t="shared" si="5"/>
        <v>0</v>
      </c>
      <c r="Q48" s="61">
        <f t="shared" si="5"/>
        <v>0</v>
      </c>
      <c r="R48" s="61">
        <f t="shared" si="5"/>
        <v>0</v>
      </c>
      <c r="S48" s="61">
        <f t="shared" si="5"/>
        <v>0</v>
      </c>
      <c r="T48" s="61">
        <f t="shared" si="5"/>
        <v>0</v>
      </c>
      <c r="U48" s="61">
        <f t="shared" si="5"/>
        <v>0</v>
      </c>
      <c r="V48" s="61">
        <f t="shared" si="5"/>
        <v>0</v>
      </c>
      <c r="W48" s="61">
        <f t="shared" si="5"/>
        <v>0</v>
      </c>
      <c r="X48" s="61">
        <v>515.70000000000005</v>
      </c>
      <c r="Y48" s="61">
        <f t="shared" si="5"/>
        <v>0</v>
      </c>
      <c r="Z48" s="61">
        <f t="shared" si="5"/>
        <v>0</v>
      </c>
      <c r="AA48" s="61">
        <f t="shared" si="5"/>
        <v>0</v>
      </c>
      <c r="AB48" s="61">
        <f t="shared" si="5"/>
        <v>0</v>
      </c>
      <c r="AC48" s="61">
        <f t="shared" si="5"/>
        <v>0</v>
      </c>
      <c r="AD48" s="61">
        <f t="shared" si="5"/>
        <v>0</v>
      </c>
      <c r="AE48" s="61">
        <f t="shared" si="5"/>
        <v>0</v>
      </c>
      <c r="AF48" s="61">
        <f t="shared" si="5"/>
        <v>0</v>
      </c>
      <c r="AG48" s="62">
        <f t="shared" si="5"/>
        <v>538.1</v>
      </c>
      <c r="AH48" s="48">
        <f t="shared" si="2"/>
        <v>515.70000000000005</v>
      </c>
      <c r="AI48" s="49">
        <f t="shared" si="3"/>
        <v>0</v>
      </c>
      <c r="AK48" s="50"/>
    </row>
    <row r="49" spans="1:41" x14ac:dyDescent="0.25">
      <c r="A49" s="44" t="s">
        <v>57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52">
        <v>144</v>
      </c>
      <c r="AH49" s="48">
        <f t="shared" si="2"/>
        <v>0</v>
      </c>
      <c r="AI49" s="49">
        <f t="shared" si="3"/>
        <v>0</v>
      </c>
      <c r="AK49" s="50"/>
    </row>
    <row r="50" spans="1:41" x14ac:dyDescent="0.25">
      <c r="A50" s="54" t="s">
        <v>58</v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65"/>
      <c r="AC50" s="65"/>
      <c r="AD50" s="65"/>
      <c r="AE50" s="65"/>
      <c r="AF50" s="65"/>
      <c r="AG50" s="55">
        <v>70</v>
      </c>
      <c r="AH50" s="48">
        <f t="shared" si="2"/>
        <v>0</v>
      </c>
      <c r="AI50" s="49">
        <f t="shared" si="3"/>
        <v>0</v>
      </c>
      <c r="AK50" s="50"/>
    </row>
    <row r="51" spans="1:41" x14ac:dyDescent="0.25">
      <c r="A51" s="54" t="s">
        <v>59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65"/>
      <c r="AC51" s="65"/>
      <c r="AD51" s="65"/>
      <c r="AE51" s="65"/>
      <c r="AF51" s="65"/>
      <c r="AG51" s="55">
        <v>69</v>
      </c>
      <c r="AH51" s="48">
        <f t="shared" si="2"/>
        <v>0</v>
      </c>
      <c r="AI51" s="49">
        <f t="shared" si="3"/>
        <v>0</v>
      </c>
      <c r="AK51" s="50"/>
    </row>
    <row r="52" spans="1:41" x14ac:dyDescent="0.25">
      <c r="A52" s="54" t="s">
        <v>60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65"/>
      <c r="N52" s="65"/>
      <c r="O52" s="65"/>
      <c r="P52" s="65"/>
      <c r="Q52" s="65"/>
      <c r="R52" s="45"/>
      <c r="S52" s="45"/>
      <c r="T52" s="45"/>
      <c r="U52" s="45"/>
      <c r="V52" s="4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55">
        <v>60</v>
      </c>
      <c r="AH52" s="48">
        <f t="shared" si="2"/>
        <v>0</v>
      </c>
      <c r="AI52" s="49">
        <f t="shared" si="3"/>
        <v>0</v>
      </c>
      <c r="AK52" s="50"/>
    </row>
    <row r="53" spans="1:41" x14ac:dyDescent="0.25">
      <c r="A53" s="54" t="s">
        <v>61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65"/>
      <c r="N53" s="65"/>
      <c r="O53" s="65"/>
      <c r="P53" s="65"/>
      <c r="Q53" s="65"/>
      <c r="R53" s="45"/>
      <c r="S53" s="45"/>
      <c r="T53" s="45"/>
      <c r="U53" s="45"/>
      <c r="V53" s="4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55">
        <v>30</v>
      </c>
      <c r="AH53" s="48">
        <f t="shared" si="2"/>
        <v>0</v>
      </c>
      <c r="AI53" s="49">
        <f t="shared" si="3"/>
        <v>0</v>
      </c>
      <c r="AK53" s="50"/>
    </row>
    <row r="54" spans="1:41" x14ac:dyDescent="0.25">
      <c r="A54" s="54" t="s">
        <v>62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65"/>
      <c r="N54" s="65"/>
      <c r="O54" s="65"/>
      <c r="P54" s="65"/>
      <c r="Q54" s="65"/>
      <c r="R54" s="45"/>
      <c r="S54" s="45"/>
      <c r="T54" s="45"/>
      <c r="U54" s="45"/>
      <c r="V54" s="45"/>
      <c r="W54" s="45"/>
      <c r="X54" s="65"/>
      <c r="Y54" s="65"/>
      <c r="Z54" s="65"/>
      <c r="AA54" s="65"/>
      <c r="AB54" s="65"/>
      <c r="AC54" s="65"/>
      <c r="AD54" s="65"/>
      <c r="AE54" s="65"/>
      <c r="AF54" s="65"/>
      <c r="AG54" s="55">
        <v>25</v>
      </c>
      <c r="AH54" s="48">
        <f t="shared" si="2"/>
        <v>0</v>
      </c>
      <c r="AI54" s="49">
        <f t="shared" si="3"/>
        <v>0</v>
      </c>
      <c r="AK54" s="50"/>
    </row>
    <row r="55" spans="1:41" x14ac:dyDescent="0.25">
      <c r="A55" s="54" t="s">
        <v>63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45"/>
      <c r="S55" s="45"/>
      <c r="T55" s="45"/>
      <c r="U55" s="45"/>
      <c r="V55" s="4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55">
        <v>24</v>
      </c>
      <c r="AH55" s="48">
        <f t="shared" si="2"/>
        <v>0</v>
      </c>
      <c r="AI55" s="49">
        <f t="shared" si="3"/>
        <v>0</v>
      </c>
      <c r="AK55" s="50"/>
    </row>
    <row r="56" spans="1:41" x14ac:dyDescent="0.25">
      <c r="A56" s="54" t="s">
        <v>64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45"/>
      <c r="S56" s="45"/>
      <c r="T56" s="45"/>
      <c r="U56" s="45"/>
      <c r="V56" s="4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65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55">
        <v>14.1</v>
      </c>
      <c r="AH57" s="48">
        <f t="shared" si="2"/>
        <v>0</v>
      </c>
      <c r="AI57" s="49">
        <f t="shared" si="3"/>
        <v>0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66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55">
        <v>14</v>
      </c>
      <c r="AH58" s="48">
        <f t="shared" si="2"/>
        <v>0</v>
      </c>
      <c r="AI58" s="49">
        <f t="shared" si="3"/>
        <v>0</v>
      </c>
      <c r="AK58" s="50"/>
    </row>
    <row r="59" spans="1:41" x14ac:dyDescent="0.25">
      <c r="A59" s="54" t="s">
        <v>67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55">
        <v>10.050000000000001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6.2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56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70</v>
      </c>
      <c r="B62" s="61">
        <f t="shared" ref="B62:AG62" si="6">SUM(B49:B61)</f>
        <v>3.54</v>
      </c>
      <c r="C62" s="61">
        <f t="shared" si="6"/>
        <v>3.54</v>
      </c>
      <c r="D62" s="61">
        <f t="shared" si="6"/>
        <v>3.54</v>
      </c>
      <c r="E62" s="61">
        <f t="shared" si="6"/>
        <v>3.54</v>
      </c>
      <c r="F62" s="61">
        <f t="shared" si="6"/>
        <v>3.54</v>
      </c>
      <c r="G62" s="61">
        <f t="shared" si="6"/>
        <v>3.54</v>
      </c>
      <c r="H62" s="61">
        <f t="shared" si="6"/>
        <v>3.54</v>
      </c>
      <c r="I62" s="61">
        <f t="shared" si="6"/>
        <v>3.54</v>
      </c>
      <c r="J62" s="61">
        <f t="shared" si="6"/>
        <v>3.54</v>
      </c>
      <c r="K62" s="61">
        <f t="shared" si="6"/>
        <v>3.54</v>
      </c>
      <c r="L62" s="61">
        <f t="shared" si="6"/>
        <v>3.54</v>
      </c>
      <c r="M62" s="61">
        <f t="shared" si="6"/>
        <v>3.54</v>
      </c>
      <c r="N62" s="61">
        <f t="shared" si="6"/>
        <v>3.54</v>
      </c>
      <c r="O62" s="61">
        <f t="shared" si="6"/>
        <v>3.54</v>
      </c>
      <c r="P62" s="61">
        <f t="shared" si="6"/>
        <v>3.54</v>
      </c>
      <c r="Q62" s="61">
        <f t="shared" si="6"/>
        <v>3.54</v>
      </c>
      <c r="R62" s="61">
        <f t="shared" si="6"/>
        <v>3.54</v>
      </c>
      <c r="S62" s="61">
        <f t="shared" si="6"/>
        <v>3.54</v>
      </c>
      <c r="T62" s="61">
        <f t="shared" si="6"/>
        <v>3.54</v>
      </c>
      <c r="U62" s="61">
        <f t="shared" si="6"/>
        <v>3.54</v>
      </c>
      <c r="V62" s="61">
        <f t="shared" si="6"/>
        <v>3.54</v>
      </c>
      <c r="W62" s="61">
        <f t="shared" si="6"/>
        <v>3.54</v>
      </c>
      <c r="X62" s="61">
        <v>388.24000000000007</v>
      </c>
      <c r="Y62" s="61">
        <f t="shared" si="6"/>
        <v>3.54</v>
      </c>
      <c r="Z62" s="61">
        <f t="shared" si="6"/>
        <v>3.54</v>
      </c>
      <c r="AA62" s="61">
        <f t="shared" si="6"/>
        <v>3.54</v>
      </c>
      <c r="AB62" s="61">
        <f t="shared" si="6"/>
        <v>3.54</v>
      </c>
      <c r="AC62" s="61">
        <f t="shared" si="6"/>
        <v>3.54</v>
      </c>
      <c r="AD62" s="61">
        <f t="shared" si="6"/>
        <v>3.54</v>
      </c>
      <c r="AE62" s="61">
        <f t="shared" si="6"/>
        <v>3.54</v>
      </c>
      <c r="AF62" s="61">
        <f t="shared" si="6"/>
        <v>3.54</v>
      </c>
      <c r="AG62" s="62">
        <f t="shared" si="6"/>
        <v>489.91</v>
      </c>
      <c r="AH62" s="48">
        <f t="shared" si="2"/>
        <v>388.24000000000007</v>
      </c>
      <c r="AI62" s="49">
        <f t="shared" si="3"/>
        <v>3.54</v>
      </c>
      <c r="AK62" s="50"/>
    </row>
    <row r="63" spans="1:41" x14ac:dyDescent="0.25">
      <c r="A63" s="44" t="s">
        <v>71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52">
        <v>60</v>
      </c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45"/>
      <c r="R64" s="4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45"/>
      <c r="AG64" s="55">
        <v>32</v>
      </c>
      <c r="AH64" s="48">
        <f t="shared" si="2"/>
        <v>0</v>
      </c>
      <c r="AI64" s="49">
        <f t="shared" si="3"/>
        <v>0</v>
      </c>
      <c r="AK64" s="50"/>
    </row>
    <row r="65" spans="1:40" ht="15.75" thickBot="1" x14ac:dyDescent="0.3">
      <c r="A65" s="71" t="s">
        <v>73</v>
      </c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45"/>
      <c r="R65" s="45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45"/>
      <c r="AG65" s="68">
        <v>14</v>
      </c>
      <c r="AH65" s="48">
        <f t="shared" si="2"/>
        <v>0</v>
      </c>
      <c r="AI65" s="49">
        <f t="shared" si="3"/>
        <v>0</v>
      </c>
      <c r="AK65" s="50"/>
    </row>
    <row r="66" spans="1:40" ht="15.75" thickBot="1" x14ac:dyDescent="0.3">
      <c r="A66" s="74" t="s">
        <v>74</v>
      </c>
      <c r="B66" s="61">
        <v>0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f>L63+L64+L65</f>
        <v>0</v>
      </c>
      <c r="M66" s="61">
        <f t="shared" ref="M66:AF66" si="7">M63+M64+M65</f>
        <v>0</v>
      </c>
      <c r="N66" s="61">
        <f t="shared" si="7"/>
        <v>0</v>
      </c>
      <c r="O66" s="61">
        <f t="shared" si="7"/>
        <v>0</v>
      </c>
      <c r="P66" s="61">
        <f t="shared" si="7"/>
        <v>0</v>
      </c>
      <c r="Q66" s="61">
        <f t="shared" si="7"/>
        <v>0</v>
      </c>
      <c r="R66" s="61">
        <f t="shared" si="7"/>
        <v>0</v>
      </c>
      <c r="S66" s="61">
        <f t="shared" si="7"/>
        <v>0</v>
      </c>
      <c r="T66" s="61">
        <f t="shared" si="7"/>
        <v>0</v>
      </c>
      <c r="U66" s="61">
        <f t="shared" si="7"/>
        <v>0</v>
      </c>
      <c r="V66" s="61">
        <f t="shared" si="7"/>
        <v>0</v>
      </c>
      <c r="W66" s="61">
        <f t="shared" si="7"/>
        <v>0</v>
      </c>
      <c r="X66" s="61">
        <v>94.8</v>
      </c>
      <c r="Y66" s="61">
        <f t="shared" si="7"/>
        <v>0</v>
      </c>
      <c r="Z66" s="61">
        <f t="shared" si="7"/>
        <v>0</v>
      </c>
      <c r="AA66" s="61">
        <f t="shared" si="7"/>
        <v>0</v>
      </c>
      <c r="AB66" s="61">
        <f t="shared" si="7"/>
        <v>0</v>
      </c>
      <c r="AC66" s="61">
        <f t="shared" si="7"/>
        <v>0</v>
      </c>
      <c r="AD66" s="61">
        <f t="shared" si="7"/>
        <v>0</v>
      </c>
      <c r="AE66" s="61">
        <f t="shared" si="7"/>
        <v>0</v>
      </c>
      <c r="AF66" s="61">
        <f t="shared" si="7"/>
        <v>0</v>
      </c>
      <c r="AG66" s="62">
        <f t="shared" ref="AG66" si="8">SUM(AG63:AG65)</f>
        <v>106</v>
      </c>
      <c r="AH66" s="48">
        <f t="shared" si="2"/>
        <v>94.8</v>
      </c>
      <c r="AI66" s="49">
        <f t="shared" si="3"/>
        <v>0</v>
      </c>
      <c r="AK66" s="50"/>
    </row>
    <row r="67" spans="1:40" x14ac:dyDescent="0.25">
      <c r="A67" s="44" t="s">
        <v>75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52"/>
      <c r="AH67" s="48">
        <f t="shared" si="2"/>
        <v>0</v>
      </c>
      <c r="AI67" s="49">
        <f t="shared" si="3"/>
        <v>0</v>
      </c>
      <c r="AK67" s="50"/>
    </row>
    <row r="68" spans="1:40" x14ac:dyDescent="0.25">
      <c r="A68" s="54" t="s">
        <v>76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55"/>
      <c r="AH68" s="48">
        <f t="shared" si="2"/>
        <v>0</v>
      </c>
      <c r="AI68" s="49">
        <f t="shared" si="3"/>
        <v>0</v>
      </c>
      <c r="AK68" s="50"/>
    </row>
    <row r="69" spans="1:40" x14ac:dyDescent="0.25">
      <c r="A69" s="54" t="s">
        <v>77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75"/>
      <c r="AH69" s="48">
        <f t="shared" si="2"/>
        <v>0</v>
      </c>
      <c r="AI69" s="49">
        <f t="shared" si="3"/>
        <v>0</v>
      </c>
      <c r="AK69" s="50"/>
    </row>
    <row r="70" spans="1:40" x14ac:dyDescent="0.25">
      <c r="A70" s="54" t="s">
        <v>78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65"/>
      <c r="Y70" s="65"/>
      <c r="Z70" s="65"/>
      <c r="AA70" s="65"/>
      <c r="AB70" s="65"/>
      <c r="AC70" s="65"/>
      <c r="AD70" s="65"/>
      <c r="AE70" s="65"/>
      <c r="AF70" s="65"/>
      <c r="AG70" s="75"/>
      <c r="AH70" s="48">
        <f t="shared" si="2"/>
        <v>0</v>
      </c>
      <c r="AI70" s="49">
        <f t="shared" si="3"/>
        <v>0</v>
      </c>
      <c r="AK70" s="50"/>
    </row>
    <row r="71" spans="1:40" x14ac:dyDescent="0.25">
      <c r="A71" s="54" t="s">
        <v>79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75"/>
      <c r="AH71" s="48">
        <f t="shared" si="2"/>
        <v>0</v>
      </c>
      <c r="AI71" s="49">
        <f t="shared" si="3"/>
        <v>0</v>
      </c>
      <c r="AK71" s="50"/>
    </row>
    <row r="72" spans="1:40" x14ac:dyDescent="0.25">
      <c r="A72" s="54" t="s">
        <v>80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5"/>
      <c r="AH72" s="48">
        <f t="shared" si="2"/>
        <v>0</v>
      </c>
      <c r="AI72" s="49">
        <f t="shared" si="3"/>
        <v>0</v>
      </c>
      <c r="AK72" s="50"/>
    </row>
    <row r="73" spans="1:40" ht="15.75" thickBot="1" x14ac:dyDescent="0.3">
      <c r="A73" s="54" t="s">
        <v>81</v>
      </c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5"/>
      <c r="AH73" s="48">
        <f t="shared" si="2"/>
        <v>0</v>
      </c>
      <c r="AI73" s="49">
        <f t="shared" si="3"/>
        <v>0</v>
      </c>
      <c r="AK73" s="50"/>
      <c r="AL73" s="175" t="s">
        <v>255</v>
      </c>
      <c r="AM73" s="175"/>
    </row>
    <row r="74" spans="1:40" x14ac:dyDescent="0.25">
      <c r="A74" s="54" t="s">
        <v>82</v>
      </c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5"/>
      <c r="AH74" s="48">
        <f t="shared" si="2"/>
        <v>0</v>
      </c>
      <c r="AI74" s="49">
        <f t="shared" si="3"/>
        <v>0</v>
      </c>
      <c r="AK74" s="167"/>
      <c r="AL74" s="168">
        <v>14</v>
      </c>
      <c r="AM74" s="168">
        <v>10</v>
      </c>
      <c r="AN74" s="169"/>
    </row>
    <row r="75" spans="1:40" x14ac:dyDescent="0.25">
      <c r="A75" s="54" t="s">
        <v>83</v>
      </c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5"/>
      <c r="AH75" s="48">
        <f t="shared" ref="AH75:AH113" si="9">MAX(B75:AF75)</f>
        <v>0</v>
      </c>
      <c r="AI75" s="49">
        <f t="shared" ref="AI75:AI113" si="10">MIN(B75:AF75)</f>
        <v>0</v>
      </c>
      <c r="AK75" s="170" t="s">
        <v>253</v>
      </c>
      <c r="AL75" s="65">
        <v>533554.48</v>
      </c>
      <c r="AM75" s="76">
        <v>533330.87</v>
      </c>
      <c r="AN75" s="171">
        <f>AL75-AM75</f>
        <v>223.60999999998603</v>
      </c>
    </row>
    <row r="76" spans="1:40" x14ac:dyDescent="0.25">
      <c r="A76" s="78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80"/>
      <c r="AH76" s="48">
        <f t="shared" si="9"/>
        <v>0</v>
      </c>
      <c r="AI76" s="49">
        <f t="shared" si="10"/>
        <v>0</v>
      </c>
      <c r="AK76" s="170" t="s">
        <v>254</v>
      </c>
      <c r="AL76" s="76">
        <v>377068.94</v>
      </c>
      <c r="AM76" s="76">
        <v>376844.36</v>
      </c>
      <c r="AN76" s="171">
        <f>AL76-AM76</f>
        <v>224.5800000000163</v>
      </c>
    </row>
    <row r="77" spans="1:40" ht="15.75" thickBot="1" x14ac:dyDescent="0.3">
      <c r="A77" s="78" t="s">
        <v>85</v>
      </c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80"/>
      <c r="AH77" s="48">
        <f t="shared" si="9"/>
        <v>0</v>
      </c>
      <c r="AI77" s="49">
        <f t="shared" si="10"/>
        <v>0</v>
      </c>
      <c r="AK77" s="172"/>
      <c r="AL77" s="45"/>
      <c r="AM77" s="45"/>
      <c r="AN77" s="177">
        <f>AN75+AN76</f>
        <v>448.19000000000233</v>
      </c>
    </row>
    <row r="78" spans="1:40" ht="15.75" thickBot="1" x14ac:dyDescent="0.3">
      <c r="A78" s="74" t="s">
        <v>86</v>
      </c>
      <c r="B78" s="61">
        <f t="shared" ref="B78:AF78" si="11">SUMIF(B67:B77,"&gt;0")</f>
        <v>0</v>
      </c>
      <c r="C78" s="61">
        <f t="shared" si="11"/>
        <v>0</v>
      </c>
      <c r="D78" s="61">
        <f t="shared" si="11"/>
        <v>0</v>
      </c>
      <c r="E78" s="61">
        <f t="shared" si="11"/>
        <v>0</v>
      </c>
      <c r="F78" s="61">
        <f t="shared" si="11"/>
        <v>0</v>
      </c>
      <c r="G78" s="61">
        <f t="shared" si="11"/>
        <v>0</v>
      </c>
      <c r="H78" s="61">
        <f t="shared" si="11"/>
        <v>0</v>
      </c>
      <c r="I78" s="61">
        <f t="shared" si="11"/>
        <v>0</v>
      </c>
      <c r="J78" s="61">
        <f t="shared" si="11"/>
        <v>0</v>
      </c>
      <c r="K78" s="61">
        <f t="shared" si="11"/>
        <v>0</v>
      </c>
      <c r="L78" s="61">
        <f t="shared" si="11"/>
        <v>0</v>
      </c>
      <c r="M78" s="61">
        <f t="shared" si="11"/>
        <v>0</v>
      </c>
      <c r="N78" s="61">
        <f t="shared" si="11"/>
        <v>0</v>
      </c>
      <c r="O78" s="61">
        <f t="shared" si="11"/>
        <v>0</v>
      </c>
      <c r="P78" s="61">
        <f t="shared" si="11"/>
        <v>0</v>
      </c>
      <c r="Q78" s="61">
        <f t="shared" si="11"/>
        <v>0</v>
      </c>
      <c r="R78" s="61">
        <f t="shared" si="11"/>
        <v>0</v>
      </c>
      <c r="S78" s="61">
        <f t="shared" si="11"/>
        <v>0</v>
      </c>
      <c r="T78" s="61">
        <f t="shared" si="11"/>
        <v>0</v>
      </c>
      <c r="U78" s="61">
        <f t="shared" si="11"/>
        <v>0</v>
      </c>
      <c r="V78" s="61">
        <f t="shared" si="11"/>
        <v>0</v>
      </c>
      <c r="W78" s="61">
        <f t="shared" si="11"/>
        <v>0</v>
      </c>
      <c r="X78" s="61">
        <v>151.6</v>
      </c>
      <c r="Y78" s="61">
        <f t="shared" si="11"/>
        <v>0</v>
      </c>
      <c r="Z78" s="61">
        <f t="shared" si="11"/>
        <v>0</v>
      </c>
      <c r="AA78" s="61">
        <f t="shared" si="11"/>
        <v>0</v>
      </c>
      <c r="AB78" s="61">
        <f t="shared" si="11"/>
        <v>0</v>
      </c>
      <c r="AC78" s="61">
        <f t="shared" si="11"/>
        <v>0</v>
      </c>
      <c r="AD78" s="61">
        <f t="shared" si="11"/>
        <v>0</v>
      </c>
      <c r="AE78" s="61">
        <f t="shared" si="11"/>
        <v>0</v>
      </c>
      <c r="AF78" s="61">
        <f t="shared" si="11"/>
        <v>0</v>
      </c>
      <c r="AG78" s="81">
        <f>SUM(AG67:AG77)</f>
        <v>0</v>
      </c>
      <c r="AH78" s="48">
        <f t="shared" si="9"/>
        <v>151.6</v>
      </c>
      <c r="AI78" s="49">
        <f t="shared" si="10"/>
        <v>0</v>
      </c>
      <c r="AK78" s="172"/>
      <c r="AL78" s="77"/>
      <c r="AM78" s="176"/>
      <c r="AN78" s="215">
        <f>448.2/4</f>
        <v>112.05</v>
      </c>
    </row>
    <row r="79" spans="1:40" x14ac:dyDescent="0.25">
      <c r="A79" s="44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9"/>
        <v>0</v>
      </c>
      <c r="AI79" s="49">
        <f t="shared" si="10"/>
        <v>0</v>
      </c>
      <c r="AK79" s="172"/>
      <c r="AL79" s="77"/>
      <c r="AM79" s="77"/>
      <c r="AN79" s="216"/>
    </row>
    <row r="80" spans="1:40" ht="15.75" thickBot="1" x14ac:dyDescent="0.3">
      <c r="A80" s="54" t="s">
        <v>88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si="9"/>
        <v>0</v>
      </c>
      <c r="AI80" s="49">
        <f t="shared" si="10"/>
        <v>0</v>
      </c>
      <c r="AK80" s="173"/>
      <c r="AL80" s="96"/>
      <c r="AM80" s="96"/>
      <c r="AN80" s="174"/>
    </row>
    <row r="81" spans="1:37" ht="15.75" thickBot="1" x14ac:dyDescent="0.3">
      <c r="A81" s="78" t="s">
        <v>89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9"/>
        <v>0</v>
      </c>
      <c r="AI81" s="49">
        <f t="shared" si="10"/>
        <v>0</v>
      </c>
    </row>
    <row r="82" spans="1:37" ht="15.75" thickBot="1" x14ac:dyDescent="0.3">
      <c r="A82" s="74" t="s">
        <v>90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>
        <v>0</v>
      </c>
      <c r="Y82" s="61"/>
      <c r="Z82" s="61"/>
      <c r="AA82" s="61"/>
      <c r="AB82" s="61"/>
      <c r="AC82" s="61"/>
      <c r="AD82" s="61"/>
      <c r="AE82" s="61"/>
      <c r="AF82" s="61"/>
      <c r="AG82" s="81">
        <f>SUM(AG79:AG81)</f>
        <v>55.4</v>
      </c>
      <c r="AH82" s="48">
        <f t="shared" si="9"/>
        <v>0</v>
      </c>
      <c r="AI82" s="49">
        <f t="shared" si="10"/>
        <v>0</v>
      </c>
    </row>
    <row r="83" spans="1:37" ht="15.75" thickBot="1" x14ac:dyDescent="0.3">
      <c r="A83" s="74" t="s">
        <v>91</v>
      </c>
      <c r="B83" s="83">
        <f>B44+B48+B66+B62+B78+B82</f>
        <v>3.54</v>
      </c>
      <c r="C83" s="83">
        <f t="shared" ref="C83:AG83" si="12">C44+C48+C66+C62+C78+C82</f>
        <v>3.54</v>
      </c>
      <c r="D83" s="83">
        <f t="shared" si="12"/>
        <v>3.54</v>
      </c>
      <c r="E83" s="83">
        <f t="shared" si="12"/>
        <v>3.54</v>
      </c>
      <c r="F83" s="83">
        <f t="shared" si="12"/>
        <v>3.54</v>
      </c>
      <c r="G83" s="83">
        <f t="shared" si="12"/>
        <v>3.54</v>
      </c>
      <c r="H83" s="83">
        <f t="shared" si="12"/>
        <v>3.54</v>
      </c>
      <c r="I83" s="83">
        <f t="shared" si="12"/>
        <v>3.54</v>
      </c>
      <c r="J83" s="83">
        <f t="shared" si="12"/>
        <v>3.54</v>
      </c>
      <c r="K83" s="83">
        <f t="shared" si="12"/>
        <v>3.54</v>
      </c>
      <c r="L83" s="83">
        <f t="shared" si="12"/>
        <v>3.54</v>
      </c>
      <c r="M83" s="83">
        <f t="shared" si="12"/>
        <v>3.54</v>
      </c>
      <c r="N83" s="83">
        <f t="shared" si="12"/>
        <v>3.54</v>
      </c>
      <c r="O83" s="83">
        <f t="shared" si="12"/>
        <v>3.54</v>
      </c>
      <c r="P83" s="83">
        <f t="shared" si="12"/>
        <v>3.54</v>
      </c>
      <c r="Q83" s="83">
        <f t="shared" si="12"/>
        <v>3.54</v>
      </c>
      <c r="R83" s="83">
        <f t="shared" si="12"/>
        <v>3.54</v>
      </c>
      <c r="S83" s="83">
        <f t="shared" si="12"/>
        <v>3.54</v>
      </c>
      <c r="T83" s="83">
        <f t="shared" si="12"/>
        <v>3.54</v>
      </c>
      <c r="U83" s="83">
        <f t="shared" si="12"/>
        <v>3.54</v>
      </c>
      <c r="V83" s="83">
        <f t="shared" si="12"/>
        <v>3.54</v>
      </c>
      <c r="W83" s="83">
        <f t="shared" si="12"/>
        <v>3.54</v>
      </c>
      <c r="X83" s="83">
        <v>1704.6399999999999</v>
      </c>
      <c r="Y83" s="83">
        <f t="shared" si="12"/>
        <v>3.54</v>
      </c>
      <c r="Z83" s="83">
        <f t="shared" si="12"/>
        <v>3.54</v>
      </c>
      <c r="AA83" s="83">
        <f t="shared" si="12"/>
        <v>3.54</v>
      </c>
      <c r="AB83" s="83">
        <f t="shared" si="12"/>
        <v>3.54</v>
      </c>
      <c r="AC83" s="83">
        <f t="shared" si="12"/>
        <v>3.54</v>
      </c>
      <c r="AD83" s="83">
        <f t="shared" si="12"/>
        <v>3.54</v>
      </c>
      <c r="AE83" s="83">
        <f t="shared" si="12"/>
        <v>3.54</v>
      </c>
      <c r="AF83" s="83">
        <f t="shared" si="12"/>
        <v>3.54</v>
      </c>
      <c r="AG83" s="62">
        <f t="shared" si="12"/>
        <v>2004.1900000000003</v>
      </c>
      <c r="AH83" s="48">
        <f>MAX(B83:AF83)</f>
        <v>1704.6399999999999</v>
      </c>
      <c r="AI83" s="49">
        <f>MIN(B83:AF83)</f>
        <v>3.54</v>
      </c>
    </row>
    <row r="84" spans="1:37" ht="15.75" thickBot="1" x14ac:dyDescent="0.3">
      <c r="A84" s="84" t="s">
        <v>92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9"/>
        <v>0</v>
      </c>
      <c r="AI84" s="49">
        <f t="shared" si="10"/>
        <v>0</v>
      </c>
    </row>
    <row r="85" spans="1:37" ht="15.75" thickBot="1" x14ac:dyDescent="0.3">
      <c r="A85" s="74" t="s">
        <v>93</v>
      </c>
      <c r="B85" s="83">
        <f>B83+B84</f>
        <v>3.54</v>
      </c>
      <c r="C85" s="83">
        <f t="shared" ref="C85:AF85" si="13">C83+C84</f>
        <v>3.54</v>
      </c>
      <c r="D85" s="83">
        <f t="shared" si="13"/>
        <v>3.54</v>
      </c>
      <c r="E85" s="83">
        <f t="shared" si="13"/>
        <v>3.54</v>
      </c>
      <c r="F85" s="83">
        <f t="shared" si="13"/>
        <v>3.54</v>
      </c>
      <c r="G85" s="83">
        <f t="shared" si="13"/>
        <v>3.54</v>
      </c>
      <c r="H85" s="83">
        <f t="shared" si="13"/>
        <v>3.54</v>
      </c>
      <c r="I85" s="83">
        <f t="shared" si="13"/>
        <v>3.54</v>
      </c>
      <c r="J85" s="83">
        <f t="shared" si="13"/>
        <v>3.54</v>
      </c>
      <c r="K85" s="83">
        <f t="shared" si="13"/>
        <v>3.54</v>
      </c>
      <c r="L85" s="83">
        <f t="shared" si="13"/>
        <v>3.54</v>
      </c>
      <c r="M85" s="83">
        <f t="shared" si="13"/>
        <v>3.54</v>
      </c>
      <c r="N85" s="83">
        <f t="shared" si="13"/>
        <v>3.54</v>
      </c>
      <c r="O85" s="83">
        <f t="shared" si="13"/>
        <v>3.54</v>
      </c>
      <c r="P85" s="83">
        <f t="shared" si="13"/>
        <v>3.54</v>
      </c>
      <c r="Q85" s="83">
        <f t="shared" si="13"/>
        <v>3.54</v>
      </c>
      <c r="R85" s="83">
        <f t="shared" si="13"/>
        <v>3.54</v>
      </c>
      <c r="S85" s="83">
        <f t="shared" si="13"/>
        <v>3.54</v>
      </c>
      <c r="T85" s="83">
        <f t="shared" si="13"/>
        <v>3.54</v>
      </c>
      <c r="U85" s="83">
        <f t="shared" si="13"/>
        <v>3.54</v>
      </c>
      <c r="V85" s="83">
        <f t="shared" si="13"/>
        <v>3.54</v>
      </c>
      <c r="W85" s="83">
        <f t="shared" si="13"/>
        <v>3.54</v>
      </c>
      <c r="X85" s="83">
        <v>1704.6399999999999</v>
      </c>
      <c r="Y85" s="83">
        <f t="shared" si="13"/>
        <v>3.54</v>
      </c>
      <c r="Z85" s="83">
        <f t="shared" si="13"/>
        <v>3.54</v>
      </c>
      <c r="AA85" s="83">
        <f t="shared" si="13"/>
        <v>3.54</v>
      </c>
      <c r="AB85" s="83">
        <f t="shared" si="13"/>
        <v>3.54</v>
      </c>
      <c r="AC85" s="83">
        <f t="shared" si="13"/>
        <v>3.54</v>
      </c>
      <c r="AD85" s="83">
        <f t="shared" si="13"/>
        <v>3.54</v>
      </c>
      <c r="AE85" s="83">
        <f t="shared" si="13"/>
        <v>3.54</v>
      </c>
      <c r="AF85" s="83">
        <f t="shared" si="13"/>
        <v>3.54</v>
      </c>
      <c r="AG85" s="81">
        <f>AG82+AG78+AG66+AG62+AG44+AG84</f>
        <v>1466.0900000000001</v>
      </c>
      <c r="AH85" s="48">
        <f t="shared" si="9"/>
        <v>1704.6399999999999</v>
      </c>
      <c r="AI85" s="49">
        <f t="shared" si="10"/>
        <v>3.54</v>
      </c>
    </row>
    <row r="86" spans="1:37" ht="15.75" thickBot="1" x14ac:dyDescent="0.3">
      <c r="A86" s="74" t="s">
        <v>94</v>
      </c>
      <c r="B86" s="83">
        <f t="shared" ref="B86:AF86" si="14">B85-B93</f>
        <v>3.54</v>
      </c>
      <c r="C86" s="83">
        <f t="shared" si="14"/>
        <v>3.54</v>
      </c>
      <c r="D86" s="83">
        <f t="shared" si="14"/>
        <v>3.54</v>
      </c>
      <c r="E86" s="83">
        <f t="shared" si="14"/>
        <v>3.54</v>
      </c>
      <c r="F86" s="83">
        <f t="shared" si="14"/>
        <v>3.54</v>
      </c>
      <c r="G86" s="83">
        <f t="shared" si="14"/>
        <v>3.54</v>
      </c>
      <c r="H86" s="83">
        <f t="shared" si="14"/>
        <v>3.54</v>
      </c>
      <c r="I86" s="83">
        <f t="shared" si="14"/>
        <v>3.54</v>
      </c>
      <c r="J86" s="83">
        <f t="shared" si="14"/>
        <v>3.54</v>
      </c>
      <c r="K86" s="83">
        <f t="shared" si="14"/>
        <v>3.54</v>
      </c>
      <c r="L86" s="83">
        <f t="shared" si="14"/>
        <v>3.54</v>
      </c>
      <c r="M86" s="83">
        <f t="shared" si="14"/>
        <v>3.54</v>
      </c>
      <c r="N86" s="83">
        <f t="shared" si="14"/>
        <v>3.54</v>
      </c>
      <c r="O86" s="83">
        <f t="shared" si="14"/>
        <v>3.54</v>
      </c>
      <c r="P86" s="83">
        <f t="shared" si="14"/>
        <v>3.54</v>
      </c>
      <c r="Q86" s="83">
        <f t="shared" si="14"/>
        <v>3.54</v>
      </c>
      <c r="R86" s="83">
        <f t="shared" si="14"/>
        <v>3.54</v>
      </c>
      <c r="S86" s="83">
        <f t="shared" si="14"/>
        <v>3.54</v>
      </c>
      <c r="T86" s="83">
        <f t="shared" si="14"/>
        <v>3.54</v>
      </c>
      <c r="U86" s="83">
        <f t="shared" si="14"/>
        <v>3.54</v>
      </c>
      <c r="V86" s="83">
        <f t="shared" si="14"/>
        <v>3.54</v>
      </c>
      <c r="W86" s="83">
        <f t="shared" si="14"/>
        <v>3.54</v>
      </c>
      <c r="X86" s="83">
        <v>1704.6399999999999</v>
      </c>
      <c r="Y86" s="83">
        <f t="shared" si="14"/>
        <v>-46.46</v>
      </c>
      <c r="Z86" s="83">
        <f t="shared" si="14"/>
        <v>3.54</v>
      </c>
      <c r="AA86" s="83">
        <f t="shared" si="14"/>
        <v>3.54</v>
      </c>
      <c r="AB86" s="83">
        <f t="shared" si="14"/>
        <v>3.54</v>
      </c>
      <c r="AC86" s="83">
        <f t="shared" si="14"/>
        <v>3.54</v>
      </c>
      <c r="AD86" s="83">
        <f t="shared" si="14"/>
        <v>3.54</v>
      </c>
      <c r="AE86" s="83">
        <f t="shared" si="14"/>
        <v>3.54</v>
      </c>
      <c r="AF86" s="83">
        <f t="shared" si="14"/>
        <v>3.54</v>
      </c>
      <c r="AG86" s="81"/>
      <c r="AH86" s="48">
        <f t="shared" si="9"/>
        <v>1704.6399999999999</v>
      </c>
      <c r="AI86" s="49">
        <f t="shared" si="10"/>
        <v>-46.46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2"/>
      <c r="AH87" s="48">
        <f t="shared" si="9"/>
        <v>0</v>
      </c>
      <c r="AI87" s="49">
        <f t="shared" si="10"/>
        <v>0</v>
      </c>
    </row>
    <row r="88" spans="1:37" x14ac:dyDescent="0.25">
      <c r="A88" s="54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5"/>
      <c r="AH88" s="48">
        <f t="shared" si="9"/>
        <v>0</v>
      </c>
      <c r="AI88" s="49">
        <f t="shared" si="10"/>
        <v>0</v>
      </c>
    </row>
    <row r="89" spans="1:37" x14ac:dyDescent="0.25">
      <c r="A89" s="78" t="s">
        <v>95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86"/>
      <c r="AH89" s="48">
        <f t="shared" si="9"/>
        <v>0</v>
      </c>
      <c r="AI89" s="49">
        <f t="shared" si="10"/>
        <v>0</v>
      </c>
    </row>
    <row r="90" spans="1:37" x14ac:dyDescent="0.25">
      <c r="A90" s="78" t="s">
        <v>96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86"/>
      <c r="AH90" s="48">
        <f t="shared" si="9"/>
        <v>0</v>
      </c>
      <c r="AI90" s="49">
        <f t="shared" si="10"/>
        <v>0</v>
      </c>
    </row>
    <row r="91" spans="1:37" x14ac:dyDescent="0.25">
      <c r="A91" s="78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86"/>
      <c r="AH91" s="48">
        <f t="shared" si="9"/>
        <v>0</v>
      </c>
      <c r="AI91" s="49">
        <f t="shared" si="10"/>
        <v>0</v>
      </c>
    </row>
    <row r="92" spans="1:37" ht="15.75" thickBot="1" x14ac:dyDescent="0.3">
      <c r="A92" s="78" t="s">
        <v>97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0</v>
      </c>
      <c r="AA92" s="79">
        <v>0</v>
      </c>
      <c r="AB92" s="79">
        <v>0</v>
      </c>
      <c r="AC92" s="79">
        <v>0</v>
      </c>
      <c r="AD92" s="79">
        <v>0</v>
      </c>
      <c r="AE92" s="79">
        <v>0</v>
      </c>
      <c r="AF92" s="79">
        <v>0</v>
      </c>
      <c r="AG92" s="80"/>
      <c r="AH92" s="48">
        <f t="shared" si="9"/>
        <v>0</v>
      </c>
      <c r="AI92" s="49">
        <f t="shared" si="10"/>
        <v>0</v>
      </c>
    </row>
    <row r="93" spans="1:37" ht="15.75" thickBot="1" x14ac:dyDescent="0.3">
      <c r="A93" s="87" t="s">
        <v>98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>
        <v>0</v>
      </c>
      <c r="Y93" s="61">
        <v>50</v>
      </c>
      <c r="Z93" s="61"/>
      <c r="AA93" s="61"/>
      <c r="AB93" s="61"/>
      <c r="AC93" s="61"/>
      <c r="AD93" s="61"/>
      <c r="AE93" s="61"/>
      <c r="AF93" s="61"/>
      <c r="AG93" s="81"/>
      <c r="AH93" s="48">
        <f t="shared" si="9"/>
        <v>50</v>
      </c>
      <c r="AI93" s="49">
        <f t="shared" si="10"/>
        <v>0</v>
      </c>
      <c r="AK93" s="50"/>
    </row>
    <row r="94" spans="1:37" ht="15.75" thickBot="1" x14ac:dyDescent="0.3">
      <c r="A94" s="74" t="s">
        <v>99</v>
      </c>
      <c r="B94" s="61">
        <f t="shared" ref="B94:AF94" si="15">B78-B93</f>
        <v>0</v>
      </c>
      <c r="C94" s="61">
        <f t="shared" si="15"/>
        <v>0</v>
      </c>
      <c r="D94" s="61">
        <f t="shared" si="15"/>
        <v>0</v>
      </c>
      <c r="E94" s="61">
        <f t="shared" si="15"/>
        <v>0</v>
      </c>
      <c r="F94" s="61">
        <f t="shared" si="15"/>
        <v>0</v>
      </c>
      <c r="G94" s="61">
        <f t="shared" si="15"/>
        <v>0</v>
      </c>
      <c r="H94" s="61">
        <f t="shared" si="15"/>
        <v>0</v>
      </c>
      <c r="I94" s="61">
        <f t="shared" si="15"/>
        <v>0</v>
      </c>
      <c r="J94" s="61">
        <f t="shared" si="15"/>
        <v>0</v>
      </c>
      <c r="K94" s="61">
        <f t="shared" si="15"/>
        <v>0</v>
      </c>
      <c r="L94" s="61">
        <f t="shared" si="15"/>
        <v>0</v>
      </c>
      <c r="M94" s="61">
        <f t="shared" si="15"/>
        <v>0</v>
      </c>
      <c r="N94" s="61">
        <f t="shared" si="15"/>
        <v>0</v>
      </c>
      <c r="O94" s="61">
        <f t="shared" si="15"/>
        <v>0</v>
      </c>
      <c r="P94" s="61">
        <f t="shared" si="15"/>
        <v>0</v>
      </c>
      <c r="Q94" s="61">
        <f t="shared" si="15"/>
        <v>0</v>
      </c>
      <c r="R94" s="61">
        <f t="shared" si="15"/>
        <v>0</v>
      </c>
      <c r="S94" s="61">
        <f t="shared" si="15"/>
        <v>0</v>
      </c>
      <c r="T94" s="61">
        <f t="shared" si="15"/>
        <v>0</v>
      </c>
      <c r="U94" s="61">
        <f t="shared" si="15"/>
        <v>0</v>
      </c>
      <c r="V94" s="61">
        <f t="shared" si="15"/>
        <v>0</v>
      </c>
      <c r="W94" s="61">
        <f t="shared" si="15"/>
        <v>0</v>
      </c>
      <c r="X94" s="61">
        <v>151.6</v>
      </c>
      <c r="Y94" s="61">
        <f t="shared" si="15"/>
        <v>-50</v>
      </c>
      <c r="Z94" s="61">
        <f t="shared" si="15"/>
        <v>0</v>
      </c>
      <c r="AA94" s="61">
        <f t="shared" si="15"/>
        <v>0</v>
      </c>
      <c r="AB94" s="61">
        <f t="shared" si="15"/>
        <v>0</v>
      </c>
      <c r="AC94" s="61">
        <f t="shared" si="15"/>
        <v>0</v>
      </c>
      <c r="AD94" s="61">
        <f t="shared" si="15"/>
        <v>0</v>
      </c>
      <c r="AE94" s="61">
        <f t="shared" si="15"/>
        <v>0</v>
      </c>
      <c r="AF94" s="61">
        <f t="shared" si="15"/>
        <v>0</v>
      </c>
      <c r="AG94" s="81"/>
      <c r="AH94" s="48">
        <f t="shared" si="9"/>
        <v>151.6</v>
      </c>
      <c r="AI94" s="49">
        <f t="shared" si="10"/>
        <v>-50</v>
      </c>
    </row>
    <row r="95" spans="1:37" x14ac:dyDescent="0.25">
      <c r="A95" s="88" t="s">
        <v>100</v>
      </c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90"/>
      <c r="AH95" s="48">
        <f t="shared" si="9"/>
        <v>0</v>
      </c>
      <c r="AI95" s="49">
        <f t="shared" si="10"/>
        <v>0</v>
      </c>
    </row>
    <row r="96" spans="1:37" x14ac:dyDescent="0.25">
      <c r="A96" s="91" t="s">
        <v>101</v>
      </c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92"/>
      <c r="AH96" s="48">
        <f t="shared" si="9"/>
        <v>0</v>
      </c>
      <c r="AI96" s="49">
        <f t="shared" si="10"/>
        <v>0</v>
      </c>
    </row>
    <row r="97" spans="1:35" x14ac:dyDescent="0.25">
      <c r="A97" s="91" t="s">
        <v>102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92"/>
      <c r="AH97" s="48">
        <f t="shared" si="9"/>
        <v>0</v>
      </c>
      <c r="AI97" s="49">
        <f t="shared" si="10"/>
        <v>0</v>
      </c>
    </row>
    <row r="98" spans="1:35" x14ac:dyDescent="0.25">
      <c r="A98" s="91" t="s">
        <v>103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92"/>
      <c r="AH98" s="48">
        <f t="shared" si="9"/>
        <v>0</v>
      </c>
      <c r="AI98" s="49">
        <f t="shared" si="10"/>
        <v>0</v>
      </c>
    </row>
    <row r="99" spans="1:35" x14ac:dyDescent="0.25">
      <c r="A99" s="93" t="s">
        <v>104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9"/>
        <v>0</v>
      </c>
      <c r="AI99" s="49">
        <f t="shared" si="10"/>
        <v>0</v>
      </c>
    </row>
    <row r="100" spans="1:35" x14ac:dyDescent="0.25">
      <c r="A100" s="93" t="s">
        <v>105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5"/>
      <c r="AH100" s="48">
        <f t="shared" si="9"/>
        <v>0</v>
      </c>
      <c r="AI100" s="49">
        <f t="shared" si="10"/>
        <v>0</v>
      </c>
    </row>
    <row r="101" spans="1:35" x14ac:dyDescent="0.25">
      <c r="A101" s="91" t="s">
        <v>106</v>
      </c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92"/>
      <c r="AH101" s="48">
        <f t="shared" si="9"/>
        <v>0</v>
      </c>
      <c r="AI101" s="49">
        <f t="shared" si="10"/>
        <v>0</v>
      </c>
    </row>
    <row r="102" spans="1:35" ht="15.75" thickBot="1" x14ac:dyDescent="0.3">
      <c r="A102" s="91" t="s">
        <v>107</v>
      </c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9"/>
        <v>0</v>
      </c>
      <c r="AI102" s="49">
        <f t="shared" si="10"/>
        <v>0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256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9"/>
        <v>0</v>
      </c>
      <c r="AI103" s="49">
        <f t="shared" si="10"/>
        <v>0</v>
      </c>
    </row>
    <row r="104" spans="1:35" ht="15.75" thickBot="1" x14ac:dyDescent="0.3">
      <c r="A104" s="99" t="s">
        <v>108</v>
      </c>
      <c r="B104" s="100">
        <f t="shared" ref="B104:AF104" si="16">SUM(B16,B22,B25:B26,B52,B54:B55,B57,B59,B105:B109,B131,B137,B143,B152,B154,B166,B173,B176:B177,B184,B186,B188,B192:B194,B196:B198,B203,B209:B210,B212:B214,B222,B227)</f>
        <v>0</v>
      </c>
      <c r="C104" s="100">
        <f t="shared" si="16"/>
        <v>0.94</v>
      </c>
      <c r="D104" s="100">
        <f t="shared" si="16"/>
        <v>0.94</v>
      </c>
      <c r="E104" s="100">
        <f t="shared" si="16"/>
        <v>0.94</v>
      </c>
      <c r="F104" s="100">
        <f t="shared" si="16"/>
        <v>0.94</v>
      </c>
      <c r="G104" s="100">
        <f t="shared" si="16"/>
        <v>0.94</v>
      </c>
      <c r="H104" s="100">
        <f t="shared" si="16"/>
        <v>0.94</v>
      </c>
      <c r="I104" s="100">
        <f t="shared" si="16"/>
        <v>0.94</v>
      </c>
      <c r="J104" s="100">
        <f t="shared" si="16"/>
        <v>0.94</v>
      </c>
      <c r="K104" s="100">
        <f t="shared" si="16"/>
        <v>0.94</v>
      </c>
      <c r="L104" s="100">
        <f t="shared" si="16"/>
        <v>0.94</v>
      </c>
      <c r="M104" s="100">
        <f t="shared" si="16"/>
        <v>0.94</v>
      </c>
      <c r="N104" s="100">
        <f t="shared" si="16"/>
        <v>0.94</v>
      </c>
      <c r="O104" s="100">
        <f t="shared" si="16"/>
        <v>0.94</v>
      </c>
      <c r="P104" s="100">
        <v>42</v>
      </c>
      <c r="Q104" s="100">
        <f t="shared" si="16"/>
        <v>0</v>
      </c>
      <c r="R104" s="100">
        <f t="shared" si="16"/>
        <v>0</v>
      </c>
      <c r="S104" s="100">
        <f t="shared" si="16"/>
        <v>0</v>
      </c>
      <c r="T104" s="100">
        <f t="shared" si="16"/>
        <v>0</v>
      </c>
      <c r="U104" s="100">
        <f t="shared" si="16"/>
        <v>0</v>
      </c>
      <c r="V104" s="100">
        <f t="shared" si="16"/>
        <v>0</v>
      </c>
      <c r="W104" s="100">
        <f t="shared" si="16"/>
        <v>0</v>
      </c>
      <c r="X104" s="100">
        <v>390.59708333333339</v>
      </c>
      <c r="Y104" s="100">
        <f t="shared" si="16"/>
        <v>0</v>
      </c>
      <c r="Z104" s="100">
        <f t="shared" si="16"/>
        <v>0</v>
      </c>
      <c r="AA104" s="100">
        <f t="shared" si="16"/>
        <v>0</v>
      </c>
      <c r="AB104" s="100">
        <f t="shared" si="16"/>
        <v>0</v>
      </c>
      <c r="AC104" s="100">
        <f t="shared" si="16"/>
        <v>0</v>
      </c>
      <c r="AD104" s="100">
        <f t="shared" si="16"/>
        <v>0</v>
      </c>
      <c r="AE104" s="100">
        <f t="shared" si="16"/>
        <v>0</v>
      </c>
      <c r="AF104" s="100">
        <f t="shared" si="16"/>
        <v>0</v>
      </c>
      <c r="AG104" s="101"/>
      <c r="AH104" s="48">
        <f t="shared" si="9"/>
        <v>390.59708333333339</v>
      </c>
      <c r="AI104" s="49">
        <f t="shared" si="10"/>
        <v>0</v>
      </c>
    </row>
    <row r="105" spans="1:35" x14ac:dyDescent="0.25">
      <c r="A105" s="88" t="s">
        <v>109</v>
      </c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3">
        <v>75</v>
      </c>
      <c r="AH105" s="48">
        <f t="shared" si="9"/>
        <v>0</v>
      </c>
      <c r="AI105" s="49">
        <f t="shared" si="10"/>
        <v>0</v>
      </c>
    </row>
    <row r="106" spans="1:35" x14ac:dyDescent="0.25">
      <c r="A106" s="91" t="s">
        <v>110</v>
      </c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3">
        <v>240</v>
      </c>
      <c r="AH106" s="48">
        <f t="shared" si="9"/>
        <v>0</v>
      </c>
      <c r="AI106" s="49">
        <f t="shared" si="10"/>
        <v>0</v>
      </c>
    </row>
    <row r="107" spans="1:35" x14ac:dyDescent="0.25">
      <c r="A107" s="91" t="s">
        <v>111</v>
      </c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3">
        <v>240</v>
      </c>
      <c r="AH107" s="48">
        <f t="shared" si="9"/>
        <v>0</v>
      </c>
      <c r="AI107" s="49">
        <f t="shared" si="10"/>
        <v>0</v>
      </c>
    </row>
    <row r="108" spans="1:35" x14ac:dyDescent="0.25">
      <c r="A108" s="91" t="s">
        <v>112</v>
      </c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3">
        <v>60</v>
      </c>
      <c r="AH108" s="48">
        <f t="shared" si="9"/>
        <v>0</v>
      </c>
      <c r="AI108" s="49">
        <f t="shared" si="10"/>
        <v>0</v>
      </c>
    </row>
    <row r="109" spans="1:35" x14ac:dyDescent="0.25">
      <c r="A109" s="105" t="s">
        <v>113</v>
      </c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7">
        <v>120</v>
      </c>
      <c r="AH109" s="48">
        <f t="shared" si="9"/>
        <v>0</v>
      </c>
      <c r="AI109" s="49">
        <f t="shared" si="10"/>
        <v>0</v>
      </c>
    </row>
    <row r="110" spans="1:35" x14ac:dyDescent="0.25">
      <c r="A110" s="105" t="s">
        <v>115</v>
      </c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7"/>
      <c r="AH110" s="48">
        <f t="shared" si="9"/>
        <v>0</v>
      </c>
      <c r="AI110" s="49">
        <f t="shared" si="10"/>
        <v>0</v>
      </c>
    </row>
    <row r="111" spans="1:35" x14ac:dyDescent="0.25">
      <c r="A111" s="105" t="s">
        <v>116</v>
      </c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8"/>
      <c r="AH111" s="48">
        <f t="shared" si="9"/>
        <v>0</v>
      </c>
      <c r="AI111" s="49">
        <f t="shared" si="10"/>
        <v>0</v>
      </c>
    </row>
    <row r="112" spans="1:35" x14ac:dyDescent="0.25">
      <c r="A112" s="109" t="s">
        <v>117</v>
      </c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108"/>
      <c r="AH112" s="48">
        <f t="shared" si="9"/>
        <v>0</v>
      </c>
      <c r="AI112" s="49">
        <f t="shared" si="10"/>
        <v>0</v>
      </c>
    </row>
    <row r="113" spans="1:37" ht="15.75" thickBot="1" x14ac:dyDescent="0.3">
      <c r="A113" s="109" t="s">
        <v>118</v>
      </c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108"/>
      <c r="AH113" s="48">
        <f t="shared" si="9"/>
        <v>0</v>
      </c>
      <c r="AI113" s="49">
        <f t="shared" si="10"/>
        <v>0</v>
      </c>
    </row>
    <row r="114" spans="1:37" ht="15.75" thickBot="1" x14ac:dyDescent="0.3">
      <c r="A114" s="110" t="s">
        <v>119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133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134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135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219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220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221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222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223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224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225</v>
      </c>
      <c r="B220" s="124">
        <f t="shared" ref="B220:AG220" si="17">SUM(B115:B219)</f>
        <v>0</v>
      </c>
      <c r="C220" s="125">
        <f t="shared" si="17"/>
        <v>0</v>
      </c>
      <c r="D220" s="125">
        <f t="shared" si="17"/>
        <v>0</v>
      </c>
      <c r="E220" s="125">
        <f t="shared" si="17"/>
        <v>0</v>
      </c>
      <c r="F220" s="125">
        <f t="shared" si="17"/>
        <v>0</v>
      </c>
      <c r="G220" s="125">
        <f t="shared" si="17"/>
        <v>0</v>
      </c>
      <c r="H220" s="125">
        <f t="shared" si="17"/>
        <v>0</v>
      </c>
      <c r="I220" s="125">
        <f t="shared" si="17"/>
        <v>0</v>
      </c>
      <c r="J220" s="125">
        <f t="shared" si="17"/>
        <v>0</v>
      </c>
      <c r="K220" s="125">
        <f t="shared" si="17"/>
        <v>0</v>
      </c>
      <c r="L220" s="125">
        <f t="shared" si="17"/>
        <v>0</v>
      </c>
      <c r="M220" s="125">
        <f t="shared" si="17"/>
        <v>0</v>
      </c>
      <c r="N220" s="125">
        <f t="shared" si="17"/>
        <v>0</v>
      </c>
      <c r="O220" s="125">
        <f t="shared" si="17"/>
        <v>0</v>
      </c>
      <c r="P220" s="125">
        <f t="shared" si="17"/>
        <v>0</v>
      </c>
      <c r="Q220" s="125">
        <f t="shared" si="17"/>
        <v>0</v>
      </c>
      <c r="R220" s="125">
        <f t="shared" si="17"/>
        <v>0</v>
      </c>
      <c r="S220" s="125">
        <f t="shared" si="17"/>
        <v>0</v>
      </c>
      <c r="T220" s="125">
        <f t="shared" si="17"/>
        <v>0</v>
      </c>
      <c r="U220" s="125">
        <f t="shared" si="17"/>
        <v>0</v>
      </c>
      <c r="V220" s="125">
        <f t="shared" si="17"/>
        <v>0</v>
      </c>
      <c r="W220" s="125">
        <f t="shared" si="17"/>
        <v>0</v>
      </c>
      <c r="X220" s="125">
        <f t="shared" si="17"/>
        <v>0</v>
      </c>
      <c r="Y220" s="125">
        <f t="shared" si="17"/>
        <v>0</v>
      </c>
      <c r="Z220" s="125">
        <f t="shared" si="17"/>
        <v>0</v>
      </c>
      <c r="AA220" s="125">
        <f t="shared" si="17"/>
        <v>0</v>
      </c>
      <c r="AB220" s="125">
        <f t="shared" si="17"/>
        <v>0</v>
      </c>
      <c r="AC220" s="125">
        <f t="shared" si="17"/>
        <v>0</v>
      </c>
      <c r="AD220" s="125">
        <f t="shared" si="17"/>
        <v>0</v>
      </c>
      <c r="AE220" s="125">
        <f t="shared" si="17"/>
        <v>0</v>
      </c>
      <c r="AF220" s="126">
        <f t="shared" si="17"/>
        <v>0</v>
      </c>
      <c r="AG220" s="127">
        <f t="shared" si="17"/>
        <v>412.72299999999984</v>
      </c>
      <c r="AH220" s="48"/>
      <c r="AI220" s="49"/>
      <c r="AK220" s="50"/>
    </row>
    <row r="221" spans="1:37" ht="15.75" thickBot="1" x14ac:dyDescent="0.3">
      <c r="A221" s="26" t="s">
        <v>69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226</v>
      </c>
      <c r="B222" s="129">
        <f t="shared" ref="B222:B227" si="18">AF222</f>
        <v>0</v>
      </c>
      <c r="C222" s="129">
        <v>0.3</v>
      </c>
      <c r="D222" s="129">
        <f t="shared" ref="D222:P227" si="19">C222</f>
        <v>0.3</v>
      </c>
      <c r="E222" s="129">
        <f t="shared" si="19"/>
        <v>0.3</v>
      </c>
      <c r="F222" s="129">
        <f t="shared" si="19"/>
        <v>0.3</v>
      </c>
      <c r="G222" s="129">
        <f t="shared" si="19"/>
        <v>0.3</v>
      </c>
      <c r="H222" s="129">
        <f t="shared" si="19"/>
        <v>0.3</v>
      </c>
      <c r="I222" s="129">
        <f t="shared" si="19"/>
        <v>0.3</v>
      </c>
      <c r="J222" s="129">
        <f t="shared" si="19"/>
        <v>0.3</v>
      </c>
      <c r="K222" s="129">
        <f t="shared" si="19"/>
        <v>0.3</v>
      </c>
      <c r="L222" s="129">
        <f t="shared" si="19"/>
        <v>0.3</v>
      </c>
      <c r="M222" s="129">
        <f t="shared" si="19"/>
        <v>0.3</v>
      </c>
      <c r="N222" s="129">
        <f t="shared" si="19"/>
        <v>0.3</v>
      </c>
      <c r="O222" s="129">
        <f t="shared" si="19"/>
        <v>0.3</v>
      </c>
      <c r="P222" s="129">
        <f t="shared" si="19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ht="15.75" thickBot="1" x14ac:dyDescent="0.3">
      <c r="A223" s="91" t="s">
        <v>227</v>
      </c>
      <c r="B223" s="117">
        <f t="shared" si="18"/>
        <v>0</v>
      </c>
      <c r="C223" s="117">
        <v>0.4</v>
      </c>
      <c r="D223" s="117">
        <f t="shared" si="19"/>
        <v>0.4</v>
      </c>
      <c r="E223" s="117">
        <f t="shared" si="19"/>
        <v>0.4</v>
      </c>
      <c r="F223" s="117">
        <f t="shared" si="19"/>
        <v>0.4</v>
      </c>
      <c r="G223" s="117">
        <f t="shared" si="19"/>
        <v>0.4</v>
      </c>
      <c r="H223" s="117">
        <f t="shared" si="19"/>
        <v>0.4</v>
      </c>
      <c r="I223" s="117">
        <f t="shared" si="19"/>
        <v>0.4</v>
      </c>
      <c r="J223" s="117">
        <f t="shared" si="19"/>
        <v>0.4</v>
      </c>
      <c r="K223" s="117">
        <f t="shared" si="19"/>
        <v>0.4</v>
      </c>
      <c r="L223" s="117">
        <f t="shared" si="19"/>
        <v>0.4</v>
      </c>
      <c r="M223" s="117">
        <f t="shared" si="19"/>
        <v>0.4</v>
      </c>
      <c r="N223" s="117">
        <f t="shared" si="19"/>
        <v>0.4</v>
      </c>
      <c r="O223" s="117">
        <f t="shared" si="19"/>
        <v>0.4</v>
      </c>
      <c r="P223" s="117">
        <f t="shared" si="19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228</v>
      </c>
      <c r="B224" s="117">
        <f t="shared" si="18"/>
        <v>0</v>
      </c>
      <c r="C224" s="117">
        <v>1.5</v>
      </c>
      <c r="D224" s="117">
        <f t="shared" si="19"/>
        <v>1.5</v>
      </c>
      <c r="E224" s="117">
        <f t="shared" si="19"/>
        <v>1.5</v>
      </c>
      <c r="F224" s="117">
        <f t="shared" si="19"/>
        <v>1.5</v>
      </c>
      <c r="G224" s="117">
        <f t="shared" si="19"/>
        <v>1.5</v>
      </c>
      <c r="H224" s="117">
        <f t="shared" si="19"/>
        <v>1.5</v>
      </c>
      <c r="I224" s="100">
        <f t="shared" ref="I224" ca="1" si="20">SUM(I136,I142,I145:I146,I172,I174:I175,I177,I179,I225:I229,I251,I257,I263,I272,I274,I286,I293,I296:I297,I304,I306,I308,I312:I314,I316:I318,I323,I329:I330,I332:I334,I342,I347)</f>
        <v>87.039000000000001</v>
      </c>
      <c r="J224" s="117">
        <f t="shared" ca="1" si="19"/>
        <v>1.5</v>
      </c>
      <c r="K224" s="117">
        <f t="shared" ca="1" si="19"/>
        <v>1.5</v>
      </c>
      <c r="L224" s="117">
        <f t="shared" ca="1" si="19"/>
        <v>1.5</v>
      </c>
      <c r="M224" s="117">
        <f t="shared" ca="1" si="19"/>
        <v>1.5</v>
      </c>
      <c r="N224" s="117">
        <f t="shared" ca="1" si="19"/>
        <v>1.5</v>
      </c>
      <c r="O224" s="117">
        <f t="shared" ca="1" si="19"/>
        <v>1.5</v>
      </c>
      <c r="P224" s="117">
        <f t="shared" ca="1" si="19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229</v>
      </c>
      <c r="B225" s="117">
        <f t="shared" si="18"/>
        <v>0</v>
      </c>
      <c r="C225" s="117">
        <v>0.3</v>
      </c>
      <c r="D225" s="117">
        <f t="shared" si="19"/>
        <v>0.3</v>
      </c>
      <c r="E225" s="117">
        <f t="shared" si="19"/>
        <v>0.3</v>
      </c>
      <c r="F225" s="117">
        <f t="shared" si="19"/>
        <v>0.3</v>
      </c>
      <c r="G225" s="117">
        <f t="shared" si="19"/>
        <v>0.3</v>
      </c>
      <c r="H225" s="117">
        <f t="shared" si="19"/>
        <v>0.3</v>
      </c>
      <c r="I225" s="117">
        <f t="shared" si="19"/>
        <v>0.3</v>
      </c>
      <c r="J225" s="117">
        <f t="shared" si="19"/>
        <v>0.3</v>
      </c>
      <c r="K225" s="117">
        <f t="shared" si="19"/>
        <v>0.3</v>
      </c>
      <c r="L225" s="117">
        <f t="shared" si="19"/>
        <v>0.3</v>
      </c>
      <c r="M225" s="117">
        <f t="shared" si="19"/>
        <v>0.3</v>
      </c>
      <c r="N225" s="117">
        <f t="shared" si="19"/>
        <v>0.3</v>
      </c>
      <c r="O225" s="117">
        <f t="shared" si="19"/>
        <v>0.3</v>
      </c>
      <c r="P225" s="117">
        <f t="shared" si="19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230</v>
      </c>
      <c r="B226" s="117">
        <f t="shared" si="18"/>
        <v>0</v>
      </c>
      <c r="C226" s="117">
        <v>0.4</v>
      </c>
      <c r="D226" s="117">
        <f t="shared" si="19"/>
        <v>0.4</v>
      </c>
      <c r="E226" s="117">
        <f t="shared" si="19"/>
        <v>0.4</v>
      </c>
      <c r="F226" s="117">
        <f t="shared" si="19"/>
        <v>0.4</v>
      </c>
      <c r="G226" s="117">
        <f t="shared" si="19"/>
        <v>0.4</v>
      </c>
      <c r="H226" s="117">
        <f t="shared" si="19"/>
        <v>0.4</v>
      </c>
      <c r="I226" s="117">
        <f t="shared" si="19"/>
        <v>0.4</v>
      </c>
      <c r="J226" s="117">
        <f t="shared" si="19"/>
        <v>0.4</v>
      </c>
      <c r="K226" s="117">
        <f t="shared" si="19"/>
        <v>0.4</v>
      </c>
      <c r="L226" s="117">
        <f t="shared" si="19"/>
        <v>0.4</v>
      </c>
      <c r="M226" s="117">
        <f t="shared" si="19"/>
        <v>0.4</v>
      </c>
      <c r="N226" s="117">
        <f t="shared" si="19"/>
        <v>0.4</v>
      </c>
      <c r="O226" s="117">
        <f t="shared" si="19"/>
        <v>0.4</v>
      </c>
      <c r="P226" s="117">
        <f t="shared" si="19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231</v>
      </c>
      <c r="B227" s="121">
        <f t="shared" si="18"/>
        <v>0</v>
      </c>
      <c r="C227" s="121">
        <v>0.64</v>
      </c>
      <c r="D227" s="121">
        <f t="shared" si="19"/>
        <v>0.64</v>
      </c>
      <c r="E227" s="121">
        <f t="shared" si="19"/>
        <v>0.64</v>
      </c>
      <c r="F227" s="121">
        <f t="shared" si="19"/>
        <v>0.64</v>
      </c>
      <c r="G227" s="121">
        <f t="shared" si="19"/>
        <v>0.64</v>
      </c>
      <c r="H227" s="121">
        <f t="shared" si="19"/>
        <v>0.64</v>
      </c>
      <c r="I227" s="121">
        <f t="shared" si="19"/>
        <v>0.64</v>
      </c>
      <c r="J227" s="121">
        <f t="shared" si="19"/>
        <v>0.64</v>
      </c>
      <c r="K227" s="121">
        <f t="shared" si="19"/>
        <v>0.64</v>
      </c>
      <c r="L227" s="121">
        <f t="shared" si="19"/>
        <v>0.64</v>
      </c>
      <c r="M227" s="121">
        <f t="shared" si="19"/>
        <v>0.64</v>
      </c>
      <c r="N227" s="121">
        <f t="shared" si="19"/>
        <v>0.64</v>
      </c>
      <c r="O227" s="121">
        <f t="shared" si="19"/>
        <v>0.64</v>
      </c>
      <c r="P227" s="121">
        <f t="shared" si="19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69</v>
      </c>
      <c r="B228" s="125">
        <f t="shared" ref="B228:AG228" si="21">SUM(B222:B227)</f>
        <v>0</v>
      </c>
      <c r="C228" s="125">
        <f t="shared" si="21"/>
        <v>3.54</v>
      </c>
      <c r="D228" s="125">
        <f t="shared" si="21"/>
        <v>3.54</v>
      </c>
      <c r="E228" s="125">
        <f t="shared" si="21"/>
        <v>3.54</v>
      </c>
      <c r="F228" s="125">
        <f t="shared" si="21"/>
        <v>3.54</v>
      </c>
      <c r="G228" s="125">
        <f t="shared" si="21"/>
        <v>3.54</v>
      </c>
      <c r="H228" s="125">
        <f t="shared" si="21"/>
        <v>3.54</v>
      </c>
      <c r="I228" s="125">
        <f t="shared" ca="1" si="21"/>
        <v>3.54</v>
      </c>
      <c r="J228" s="125">
        <f t="shared" ca="1" si="21"/>
        <v>3.54</v>
      </c>
      <c r="K228" s="125">
        <f t="shared" ca="1" si="21"/>
        <v>3.54</v>
      </c>
      <c r="L228" s="125">
        <f t="shared" ca="1" si="21"/>
        <v>3.54</v>
      </c>
      <c r="M228" s="125">
        <f t="shared" ca="1" si="21"/>
        <v>3.54</v>
      </c>
      <c r="N228" s="125">
        <f t="shared" ca="1" si="21"/>
        <v>3.54</v>
      </c>
      <c r="O228" s="125">
        <f t="shared" ca="1" si="21"/>
        <v>3.54</v>
      </c>
      <c r="P228" s="125">
        <f t="shared" ca="1" si="21"/>
        <v>3.54</v>
      </c>
      <c r="Q228" s="125">
        <f t="shared" si="21"/>
        <v>0</v>
      </c>
      <c r="R228" s="125">
        <f t="shared" si="21"/>
        <v>0</v>
      </c>
      <c r="S228" s="125">
        <f t="shared" si="21"/>
        <v>0</v>
      </c>
      <c r="T228" s="125">
        <f t="shared" si="21"/>
        <v>0</v>
      </c>
      <c r="U228" s="125">
        <f t="shared" si="21"/>
        <v>0</v>
      </c>
      <c r="V228" s="125">
        <f t="shared" si="21"/>
        <v>0</v>
      </c>
      <c r="W228" s="125">
        <f t="shared" si="21"/>
        <v>0</v>
      </c>
      <c r="X228" s="125">
        <f t="shared" si="21"/>
        <v>0</v>
      </c>
      <c r="Y228" s="125">
        <f t="shared" si="21"/>
        <v>0</v>
      </c>
      <c r="Z228" s="125">
        <f t="shared" si="21"/>
        <v>0</v>
      </c>
      <c r="AA228" s="125">
        <f t="shared" si="21"/>
        <v>0</v>
      </c>
      <c r="AB228" s="125">
        <f t="shared" si="21"/>
        <v>0</v>
      </c>
      <c r="AC228" s="125">
        <f t="shared" si="21"/>
        <v>0</v>
      </c>
      <c r="AD228" s="125">
        <f t="shared" si="21"/>
        <v>0</v>
      </c>
      <c r="AE228" s="125">
        <f t="shared" si="21"/>
        <v>0</v>
      </c>
      <c r="AF228" s="125">
        <f t="shared" si="21"/>
        <v>0</v>
      </c>
      <c r="AG228" s="134">
        <f t="shared" si="21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232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233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234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235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236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237</v>
      </c>
      <c r="B237" s="149">
        <f>MAX(G85:N85)</f>
        <v>3.54</v>
      </c>
      <c r="C237" s="150">
        <f>INDEX(G9:N9,1,MATCH(MAX(G85:N85),G85:N85,0))</f>
        <v>0.20833333333333301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sample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14" t="s">
        <v>238</v>
      </c>
      <c r="B239" s="214"/>
      <c r="C239" s="43"/>
      <c r="D239" s="151" t="e">
        <f ca="1">"Pie Chart of Daily Peak Demand(Inclusive of Export) of Nepal ("&amp;A4&amp;" "&amp;B4&amp;")"</f>
        <v>#VALUE!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e">
        <f ca="1">"Daily Load Curve(Excluding of Export) of Nepal ("&amp;A4&amp;" "&amp;B4&amp;")"</f>
        <v>#VALUE!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239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240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241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242</v>
      </c>
      <c r="T242" s="159">
        <f t="shared" ref="T242:AX242" si="22">B85</f>
        <v>3.54</v>
      </c>
      <c r="U242" s="159">
        <f t="shared" si="22"/>
        <v>3.54</v>
      </c>
      <c r="V242" s="159">
        <f t="shared" si="22"/>
        <v>3.54</v>
      </c>
      <c r="W242" s="159">
        <f t="shared" si="22"/>
        <v>3.54</v>
      </c>
      <c r="X242" s="159">
        <f t="shared" si="22"/>
        <v>3.54</v>
      </c>
      <c r="Y242" s="159">
        <f t="shared" si="22"/>
        <v>3.54</v>
      </c>
      <c r="Z242" s="159">
        <f t="shared" si="22"/>
        <v>3.54</v>
      </c>
      <c r="AA242" s="159">
        <f t="shared" si="22"/>
        <v>3.54</v>
      </c>
      <c r="AB242" s="159">
        <f t="shared" si="22"/>
        <v>3.54</v>
      </c>
      <c r="AC242" s="159">
        <f t="shared" si="22"/>
        <v>3.54</v>
      </c>
      <c r="AD242" s="159">
        <f t="shared" si="22"/>
        <v>3.54</v>
      </c>
      <c r="AE242" s="159">
        <f t="shared" si="22"/>
        <v>3.54</v>
      </c>
      <c r="AF242" s="159">
        <f t="shared" si="22"/>
        <v>3.54</v>
      </c>
      <c r="AG242" s="159">
        <f t="shared" si="22"/>
        <v>3.54</v>
      </c>
      <c r="AH242" s="159">
        <f t="shared" si="22"/>
        <v>3.54</v>
      </c>
      <c r="AI242" s="159">
        <f t="shared" si="22"/>
        <v>3.54</v>
      </c>
      <c r="AJ242" s="159">
        <f t="shared" si="22"/>
        <v>3.54</v>
      </c>
      <c r="AK242" s="159">
        <f t="shared" si="22"/>
        <v>3.54</v>
      </c>
      <c r="AL242" s="159">
        <f t="shared" si="22"/>
        <v>3.54</v>
      </c>
      <c r="AM242" s="159">
        <f t="shared" si="22"/>
        <v>3.54</v>
      </c>
      <c r="AN242" s="159">
        <f t="shared" si="22"/>
        <v>3.54</v>
      </c>
      <c r="AO242" s="159">
        <f t="shared" si="22"/>
        <v>3.54</v>
      </c>
      <c r="AP242" s="159">
        <f t="shared" si="22"/>
        <v>1704.6399999999999</v>
      </c>
      <c r="AQ242" s="159">
        <f t="shared" si="22"/>
        <v>3.54</v>
      </c>
      <c r="AR242" s="159">
        <f t="shared" si="22"/>
        <v>3.54</v>
      </c>
      <c r="AS242" s="159">
        <f t="shared" si="22"/>
        <v>3.54</v>
      </c>
      <c r="AT242" s="159">
        <f t="shared" si="22"/>
        <v>3.54</v>
      </c>
      <c r="AU242" s="159">
        <f t="shared" si="22"/>
        <v>3.54</v>
      </c>
      <c r="AV242" s="159">
        <f t="shared" si="22"/>
        <v>3.54</v>
      </c>
      <c r="AW242" s="159">
        <f t="shared" si="22"/>
        <v>3.54</v>
      </c>
      <c r="AX242" s="159">
        <f t="shared" si="22"/>
        <v>3.54</v>
      </c>
    </row>
    <row r="243" spans="1:50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244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245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246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247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232</v>
      </c>
      <c r="B263" s="162">
        <f t="shared" ref="B263:AE263" si="23">C227</f>
        <v>0.64</v>
      </c>
      <c r="C263" s="162">
        <f t="shared" si="23"/>
        <v>0.64</v>
      </c>
      <c r="D263" s="162">
        <f t="shared" si="23"/>
        <v>0.64</v>
      </c>
      <c r="E263" s="162">
        <f t="shared" si="23"/>
        <v>0.64</v>
      </c>
      <c r="F263" s="162">
        <f t="shared" si="23"/>
        <v>0.64</v>
      </c>
      <c r="G263" s="162">
        <f t="shared" si="23"/>
        <v>0.64</v>
      </c>
      <c r="H263" s="162">
        <f t="shared" si="23"/>
        <v>0.64</v>
      </c>
      <c r="I263" s="162">
        <f t="shared" si="23"/>
        <v>0.64</v>
      </c>
      <c r="J263" s="162">
        <f t="shared" si="23"/>
        <v>0.64</v>
      </c>
      <c r="K263" s="162">
        <f t="shared" si="23"/>
        <v>0.64</v>
      </c>
      <c r="L263" s="162">
        <f t="shared" si="23"/>
        <v>0.64</v>
      </c>
      <c r="M263" s="162">
        <f t="shared" si="23"/>
        <v>0.64</v>
      </c>
      <c r="N263" s="162">
        <f t="shared" si="23"/>
        <v>0.64</v>
      </c>
      <c r="O263" s="162">
        <f t="shared" si="23"/>
        <v>0.64</v>
      </c>
      <c r="P263" s="162">
        <f t="shared" si="23"/>
        <v>0</v>
      </c>
      <c r="Q263" s="162">
        <f t="shared" si="23"/>
        <v>0</v>
      </c>
      <c r="R263" s="162">
        <f t="shared" si="23"/>
        <v>0</v>
      </c>
      <c r="S263" s="162">
        <f t="shared" si="23"/>
        <v>0</v>
      </c>
      <c r="T263" s="162">
        <f t="shared" si="23"/>
        <v>0</v>
      </c>
      <c r="U263" s="162">
        <f t="shared" si="23"/>
        <v>0</v>
      </c>
      <c r="V263" s="162">
        <f t="shared" si="23"/>
        <v>0</v>
      </c>
      <c r="W263" s="162">
        <f t="shared" si="23"/>
        <v>0</v>
      </c>
      <c r="X263" s="162">
        <f t="shared" si="23"/>
        <v>0</v>
      </c>
      <c r="Y263" s="162">
        <f t="shared" si="23"/>
        <v>0</v>
      </c>
      <c r="Z263" s="162">
        <f t="shared" si="23"/>
        <v>0</v>
      </c>
      <c r="AA263" s="162">
        <f t="shared" si="23"/>
        <v>0</v>
      </c>
      <c r="AB263" s="162">
        <f t="shared" si="23"/>
        <v>0</v>
      </c>
      <c r="AC263" s="162">
        <f t="shared" si="23"/>
        <v>0</v>
      </c>
      <c r="AD263" s="162">
        <f t="shared" si="23"/>
        <v>0</v>
      </c>
      <c r="AE263" s="162">
        <f t="shared" si="23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4">IF(B231&lt;100,"",B231-520)</f>
        <v/>
      </c>
      <c r="C264" s="163" t="str">
        <f t="shared" si="24"/>
        <v/>
      </c>
      <c r="D264" s="163" t="str">
        <f t="shared" si="24"/>
        <v/>
      </c>
      <c r="E264" s="163" t="str">
        <f t="shared" si="24"/>
        <v/>
      </c>
      <c r="F264" s="163" t="str">
        <f t="shared" si="24"/>
        <v/>
      </c>
      <c r="G264" s="163" t="str">
        <f t="shared" si="24"/>
        <v/>
      </c>
      <c r="H264" s="163" t="str">
        <f t="shared" si="24"/>
        <v/>
      </c>
      <c r="I264" s="163" t="str">
        <f t="shared" si="24"/>
        <v/>
      </c>
      <c r="J264" s="163" t="str">
        <f t="shared" si="24"/>
        <v/>
      </c>
      <c r="K264" s="163" t="str">
        <f t="shared" si="24"/>
        <v/>
      </c>
      <c r="L264" s="163" t="str">
        <f t="shared" si="24"/>
        <v/>
      </c>
      <c r="M264" s="163" t="str">
        <f t="shared" si="24"/>
        <v/>
      </c>
      <c r="N264" s="163" t="str">
        <f t="shared" si="24"/>
        <v/>
      </c>
      <c r="O264" s="163" t="str">
        <f t="shared" si="24"/>
        <v/>
      </c>
      <c r="P264" s="163" t="str">
        <f t="shared" si="24"/>
        <v/>
      </c>
      <c r="Q264" s="163" t="str">
        <f t="shared" si="24"/>
        <v/>
      </c>
      <c r="R264" s="163" t="str">
        <f t="shared" si="24"/>
        <v/>
      </c>
      <c r="S264" s="163" t="str">
        <f t="shared" si="24"/>
        <v/>
      </c>
      <c r="T264" s="163" t="str">
        <f t="shared" si="24"/>
        <v/>
      </c>
      <c r="U264" s="163" t="str">
        <f t="shared" si="24"/>
        <v/>
      </c>
      <c r="V264" s="163" t="str">
        <f t="shared" si="24"/>
        <v/>
      </c>
      <c r="W264" s="163" t="str">
        <f t="shared" si="24"/>
        <v/>
      </c>
      <c r="X264" s="163" t="str">
        <f t="shared" si="24"/>
        <v/>
      </c>
      <c r="Y264" s="163" t="str">
        <f t="shared" si="24"/>
        <v/>
      </c>
      <c r="Z264" s="163" t="str">
        <f t="shared" si="24"/>
        <v/>
      </c>
      <c r="AA264" s="163" t="str">
        <f t="shared" si="24"/>
        <v/>
      </c>
      <c r="AB264" s="163" t="str">
        <f t="shared" si="24"/>
        <v/>
      </c>
      <c r="AC264" s="163" t="str">
        <f t="shared" si="24"/>
        <v/>
      </c>
      <c r="AD264" s="163" t="str">
        <f t="shared" si="24"/>
        <v/>
      </c>
      <c r="AE264" s="163" t="str">
        <f t="shared" si="24"/>
        <v/>
      </c>
      <c r="AF264" s="163" t="str">
        <f t="shared" si="24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5">IF(B232&lt;100,"",B232-620)</f>
        <v/>
      </c>
      <c r="C265" s="163" t="str">
        <f t="shared" si="25"/>
        <v/>
      </c>
      <c r="D265" s="163" t="str">
        <f t="shared" si="25"/>
        <v/>
      </c>
      <c r="E265" s="163" t="str">
        <f t="shared" si="25"/>
        <v/>
      </c>
      <c r="F265" s="163" t="str">
        <f t="shared" si="25"/>
        <v/>
      </c>
      <c r="G265" s="163" t="str">
        <f t="shared" si="25"/>
        <v/>
      </c>
      <c r="H265" s="163" t="str">
        <f t="shared" si="25"/>
        <v/>
      </c>
      <c r="I265" s="163" t="str">
        <f t="shared" si="25"/>
        <v/>
      </c>
      <c r="J265" s="163" t="str">
        <f t="shared" si="25"/>
        <v/>
      </c>
      <c r="K265" s="163" t="str">
        <f t="shared" si="25"/>
        <v/>
      </c>
      <c r="L265" s="163" t="str">
        <f t="shared" si="25"/>
        <v/>
      </c>
      <c r="M265" s="163" t="str">
        <f t="shared" si="25"/>
        <v/>
      </c>
      <c r="N265" s="163" t="str">
        <f t="shared" si="25"/>
        <v/>
      </c>
      <c r="O265" s="163" t="str">
        <f t="shared" si="25"/>
        <v/>
      </c>
      <c r="P265" s="163" t="str">
        <f t="shared" si="25"/>
        <v/>
      </c>
      <c r="Q265" s="163" t="str">
        <f t="shared" si="25"/>
        <v/>
      </c>
      <c r="R265" s="163" t="str">
        <f t="shared" si="25"/>
        <v/>
      </c>
      <c r="S265" s="163" t="str">
        <f t="shared" si="25"/>
        <v/>
      </c>
      <c r="T265" s="163" t="str">
        <f t="shared" si="25"/>
        <v/>
      </c>
      <c r="U265" s="163" t="str">
        <f t="shared" si="25"/>
        <v/>
      </c>
      <c r="V265" s="163" t="str">
        <f t="shared" si="25"/>
        <v/>
      </c>
      <c r="W265" s="163" t="str">
        <f t="shared" si="25"/>
        <v/>
      </c>
      <c r="X265" s="163" t="str">
        <f t="shared" si="25"/>
        <v/>
      </c>
      <c r="Y265" s="163" t="str">
        <f t="shared" si="25"/>
        <v/>
      </c>
      <c r="Z265" s="163" t="str">
        <f t="shared" si="25"/>
        <v/>
      </c>
      <c r="AA265" s="163" t="str">
        <f t="shared" si="25"/>
        <v/>
      </c>
      <c r="AB265" s="163" t="str">
        <f t="shared" si="25"/>
        <v/>
      </c>
      <c r="AC265" s="163" t="str">
        <f t="shared" si="25"/>
        <v/>
      </c>
      <c r="AD265" s="163" t="str">
        <f t="shared" si="25"/>
        <v/>
      </c>
      <c r="AE265" s="163" t="str">
        <f t="shared" si="25"/>
        <v/>
      </c>
      <c r="AF265" s="163" t="str">
        <f t="shared" si="25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26">IF(B233&lt;100,"",B233-330)</f>
        <v/>
      </c>
      <c r="C266" s="163" t="str">
        <f t="shared" si="26"/>
        <v/>
      </c>
      <c r="D266" s="163" t="str">
        <f t="shared" si="26"/>
        <v/>
      </c>
      <c r="E266" s="163" t="str">
        <f t="shared" si="26"/>
        <v/>
      </c>
      <c r="F266" s="163" t="str">
        <f t="shared" si="26"/>
        <v/>
      </c>
      <c r="G266" s="163" t="str">
        <f t="shared" si="26"/>
        <v/>
      </c>
      <c r="H266" s="163" t="str">
        <f t="shared" si="26"/>
        <v/>
      </c>
      <c r="I266" s="163" t="str">
        <f t="shared" si="26"/>
        <v/>
      </c>
      <c r="J266" s="163" t="str">
        <f t="shared" si="26"/>
        <v/>
      </c>
      <c r="K266" s="163" t="str">
        <f t="shared" si="26"/>
        <v/>
      </c>
      <c r="L266" s="163" t="str">
        <f t="shared" si="26"/>
        <v/>
      </c>
      <c r="M266" s="163" t="str">
        <f t="shared" si="26"/>
        <v/>
      </c>
      <c r="N266" s="163" t="str">
        <f t="shared" si="26"/>
        <v/>
      </c>
      <c r="O266" s="163" t="str">
        <f t="shared" si="26"/>
        <v/>
      </c>
      <c r="P266" s="163" t="str">
        <f t="shared" si="26"/>
        <v/>
      </c>
      <c r="Q266" s="163" t="str">
        <f t="shared" si="26"/>
        <v/>
      </c>
      <c r="R266" s="163" t="str">
        <f t="shared" si="26"/>
        <v/>
      </c>
      <c r="S266" s="163" t="str">
        <f t="shared" si="26"/>
        <v/>
      </c>
      <c r="T266" s="163" t="str">
        <f t="shared" si="26"/>
        <v/>
      </c>
      <c r="U266" s="163" t="str">
        <f t="shared" si="26"/>
        <v/>
      </c>
      <c r="V266" s="163" t="str">
        <f t="shared" si="26"/>
        <v/>
      </c>
      <c r="W266" s="163" t="str">
        <f t="shared" si="26"/>
        <v/>
      </c>
      <c r="X266" s="163" t="str">
        <f t="shared" si="26"/>
        <v/>
      </c>
      <c r="Y266" s="163" t="str">
        <f t="shared" si="26"/>
        <v/>
      </c>
      <c r="Z266" s="163" t="str">
        <f t="shared" si="26"/>
        <v/>
      </c>
      <c r="AA266" s="163" t="str">
        <f t="shared" si="26"/>
        <v/>
      </c>
      <c r="AB266" s="163" t="str">
        <f t="shared" si="26"/>
        <v/>
      </c>
      <c r="AC266" s="163" t="str">
        <f t="shared" si="26"/>
        <v/>
      </c>
      <c r="AD266" s="163" t="str">
        <f t="shared" si="26"/>
        <v/>
      </c>
      <c r="AE266" s="163" t="str">
        <f t="shared" si="26"/>
        <v/>
      </c>
      <c r="AF266" s="163" t="str">
        <f t="shared" si="26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27">IF(B234&lt;100,"",B234-1500)</f>
        <v/>
      </c>
      <c r="C267" s="163" t="str">
        <f t="shared" si="27"/>
        <v/>
      </c>
      <c r="D267" s="163" t="str">
        <f t="shared" si="27"/>
        <v/>
      </c>
      <c r="E267" s="163" t="str">
        <f t="shared" si="27"/>
        <v/>
      </c>
      <c r="F267" s="163" t="str">
        <f t="shared" si="27"/>
        <v/>
      </c>
      <c r="G267" s="163" t="str">
        <f t="shared" si="27"/>
        <v/>
      </c>
      <c r="H267" s="163" t="str">
        <f t="shared" si="27"/>
        <v/>
      </c>
      <c r="I267" s="163" t="str">
        <f t="shared" si="27"/>
        <v/>
      </c>
      <c r="J267" s="163" t="str">
        <f t="shared" si="27"/>
        <v/>
      </c>
      <c r="K267" s="163" t="str">
        <f t="shared" si="27"/>
        <v/>
      </c>
      <c r="L267" s="163" t="str">
        <f t="shared" si="27"/>
        <v/>
      </c>
      <c r="M267" s="163" t="str">
        <f t="shared" si="27"/>
        <v/>
      </c>
      <c r="N267" s="163" t="str">
        <f t="shared" si="27"/>
        <v/>
      </c>
      <c r="O267" s="163" t="str">
        <f t="shared" si="27"/>
        <v/>
      </c>
      <c r="P267" s="163" t="str">
        <f t="shared" si="27"/>
        <v/>
      </c>
      <c r="Q267" s="163" t="str">
        <f t="shared" si="27"/>
        <v/>
      </c>
      <c r="R267" s="163" t="str">
        <f t="shared" si="27"/>
        <v/>
      </c>
      <c r="S267" s="163" t="str">
        <f t="shared" si="27"/>
        <v/>
      </c>
      <c r="T267" s="163" t="str">
        <f t="shared" si="27"/>
        <v/>
      </c>
      <c r="U267" s="163" t="str">
        <f t="shared" si="27"/>
        <v/>
      </c>
      <c r="V267" s="163" t="str">
        <f t="shared" si="27"/>
        <v/>
      </c>
      <c r="W267" s="163" t="str">
        <f t="shared" si="27"/>
        <v/>
      </c>
      <c r="X267" s="163" t="str">
        <f t="shared" si="27"/>
        <v/>
      </c>
      <c r="Y267" s="163" t="str">
        <f t="shared" si="27"/>
        <v/>
      </c>
      <c r="Z267" s="163" t="str">
        <f t="shared" si="27"/>
        <v/>
      </c>
      <c r="AA267" s="163" t="str">
        <f t="shared" si="27"/>
        <v/>
      </c>
      <c r="AB267" s="163" t="str">
        <f t="shared" si="27"/>
        <v/>
      </c>
      <c r="AC267" s="163" t="str">
        <f t="shared" si="27"/>
        <v/>
      </c>
      <c r="AD267" s="163" t="str">
        <f t="shared" si="27"/>
        <v/>
      </c>
      <c r="AE267" s="163" t="str">
        <f t="shared" si="27"/>
        <v/>
      </c>
      <c r="AF267" s="163" t="str">
        <f t="shared" si="27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X11:AF41">
    <cfRule type="expression" dxfId="2446" priority="234">
      <formula>B$9&gt;=20/24</formula>
    </cfRule>
    <cfRule type="expression" dxfId="2445" priority="235">
      <formula>AND(B$9&gt;=14/24,B$9&lt;20/24)</formula>
    </cfRule>
    <cfRule type="expression" dxfId="2444" priority="236">
      <formula>AND(B$9&gt;=8/24,B$9&lt;14/24)</formula>
    </cfRule>
    <cfRule type="expression" dxfId="2443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X11:AF41">
    <cfRule type="expression" dxfId="2442" priority="232">
      <formula>X11&gt;$AG11</formula>
    </cfRule>
  </conditionalFormatting>
  <conditionalFormatting sqref="A95:A105 A55:A82 A91:A93 A198:A228 A42:A53 A114:A185 A38:A39 A87:A89 A84:A85 A107:A109 A35:A36 A17:A18 A11:A15 A20:A33">
    <cfRule type="expression" dxfId="2441" priority="231">
      <formula>$AH11=0</formula>
    </cfRule>
  </conditionalFormatting>
  <conditionalFormatting sqref="A110">
    <cfRule type="expression" dxfId="2440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2439" priority="228">
      <formula>$AH41=0</formula>
    </cfRule>
  </conditionalFormatting>
  <conditionalFormatting sqref="A94">
    <cfRule type="expression" dxfId="2438" priority="227">
      <formula>$AH94=0</formula>
    </cfRule>
  </conditionalFormatting>
  <conditionalFormatting sqref="A16">
    <cfRule type="expression" dxfId="2437" priority="226">
      <formula>$AH16=0</formula>
    </cfRule>
  </conditionalFormatting>
  <conditionalFormatting sqref="A192:A197">
    <cfRule type="expression" dxfId="2436" priority="225">
      <formula>$AH192=0</formula>
    </cfRule>
  </conditionalFormatting>
  <conditionalFormatting sqref="A186:A191">
    <cfRule type="expression" dxfId="2435" priority="224">
      <formula>$AH186=0</formula>
    </cfRule>
  </conditionalFormatting>
  <conditionalFormatting sqref="A54">
    <cfRule type="expression" dxfId="2434" priority="223">
      <formula>$AH54=0</formula>
    </cfRule>
  </conditionalFormatting>
  <conditionalFormatting sqref="A90">
    <cfRule type="expression" dxfId="2433" priority="222">
      <formula>$AH90=0</formula>
    </cfRule>
  </conditionalFormatting>
  <conditionalFormatting sqref="E95:X95 AD95:AF95">
    <cfRule type="expression" dxfId="2432" priority="218">
      <formula>E$9&gt;=20/24</formula>
    </cfRule>
    <cfRule type="expression" dxfId="2431" priority="219">
      <formula>AND(E$9&gt;=14/24,E$9&lt;20/24)</formula>
    </cfRule>
    <cfRule type="expression" dxfId="2430" priority="220">
      <formula>AND(E$9&gt;=8/24,E$9&lt;14/24)</formula>
    </cfRule>
    <cfRule type="expression" dxfId="2429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428" priority="240">
      <formula>C$9&gt;=20/24</formula>
    </cfRule>
    <cfRule type="expression" dxfId="2427" priority="241">
      <formula>AND(C$9&gt;=14/24,C$9&lt;20/24)</formula>
    </cfRule>
    <cfRule type="expression" dxfId="2426" priority="242">
      <formula>AND(C$9&gt;=8/24,C$9&lt;14/24)</formula>
    </cfRule>
    <cfRule type="expression" dxfId="2425" priority="243">
      <formula>C$9&lt;8/24</formula>
    </cfRule>
  </conditionalFormatting>
  <conditionalFormatting sqref="A229">
    <cfRule type="expression" dxfId="2424" priority="244">
      <formula>$AH229=0</formula>
    </cfRule>
  </conditionalFormatting>
  <conditionalFormatting sqref="AG241">
    <cfRule type="expression" dxfId="2423" priority="245">
      <formula>B$9&gt;=20/24</formula>
    </cfRule>
    <cfRule type="expression" dxfId="2422" priority="246">
      <formula>AND(B$9&gt;=14/24,B$9&lt;20/24)</formula>
    </cfRule>
    <cfRule type="expression" dxfId="2421" priority="247">
      <formula>AND(B$9&gt;=8/24,B$9&lt;14/24)</formula>
    </cfRule>
    <cfRule type="expression" dxfId="2420" priority="248">
      <formula>B$9&lt;8/24</formula>
    </cfRule>
  </conditionalFormatting>
  <conditionalFormatting sqref="S8">
    <cfRule type="expression" dxfId="2419" priority="213">
      <formula>U$9&gt;=20/24</formula>
    </cfRule>
    <cfRule type="expression" dxfId="2418" priority="214">
      <formula>AND(U$9&gt;=14/24,U$9&lt;20/24)</formula>
    </cfRule>
    <cfRule type="expression" dxfId="2417" priority="215">
      <formula>AND(U$9&gt;=8/24,U$9&lt;14/24)</formula>
    </cfRule>
    <cfRule type="expression" dxfId="2416" priority="216">
      <formula>U$9&lt;8/24</formula>
    </cfRule>
  </conditionalFormatting>
  <conditionalFormatting sqref="AB8">
    <cfRule type="expression" dxfId="2415" priority="209">
      <formula>AD$9&gt;=20/24</formula>
    </cfRule>
    <cfRule type="expression" dxfId="2414" priority="210">
      <formula>AND(AD$9&gt;=14/24,AD$9&lt;20/24)</formula>
    </cfRule>
    <cfRule type="expression" dxfId="2413" priority="211">
      <formula>AND(AD$9&gt;=8/24,AD$9&lt;14/24)</formula>
    </cfRule>
    <cfRule type="expression" dxfId="2412" priority="212">
      <formula>AD$9&lt;8/24</formula>
    </cfRule>
  </conditionalFormatting>
  <conditionalFormatting sqref="AH241:AX241">
    <cfRule type="expression" dxfId="2411" priority="249">
      <formula>AG$9&gt;=20/24</formula>
    </cfRule>
    <cfRule type="expression" dxfId="2410" priority="250">
      <formula>AND(AG$9&gt;=14/24,AG$9&lt;20/24)</formula>
    </cfRule>
    <cfRule type="expression" dxfId="2409" priority="251">
      <formula>AND(AG$9&gt;=8/24,AG$9&lt;14/24)</formula>
    </cfRule>
    <cfRule type="expression" dxfId="2408" priority="252">
      <formula>AG$9&lt;8/24</formula>
    </cfRule>
  </conditionalFormatting>
  <conditionalFormatting sqref="T241">
    <cfRule type="expression" dxfId="2407" priority="253">
      <formula>AX$9&gt;=20/24</formula>
    </cfRule>
    <cfRule type="expression" dxfId="2406" priority="254">
      <formula>AND(AX$9&gt;=14/24,AX$9&lt;20/24)</formula>
    </cfRule>
    <cfRule type="expression" dxfId="2405" priority="255">
      <formula>AND(AX$9&gt;=8/24,AX$9&lt;14/24)</formula>
    </cfRule>
    <cfRule type="expression" dxfId="2404" priority="256">
      <formula>AX$9&lt;8/24</formula>
    </cfRule>
  </conditionalFormatting>
  <conditionalFormatting sqref="A111:A112">
    <cfRule type="expression" dxfId="2403" priority="208">
      <formula>$AH111=0</formula>
    </cfRule>
  </conditionalFormatting>
  <conditionalFormatting sqref="AB50:AE51 W52:AE53 AF50:AF53 E67:AF67 M50:Q56">
    <cfRule type="expression" dxfId="2402" priority="204">
      <formula>E$9&gt;=20/24</formula>
    </cfRule>
    <cfRule type="expression" dxfId="2401" priority="205">
      <formula>AND(E$9&gt;=14/24,E$9&lt;20/24)</formula>
    </cfRule>
    <cfRule type="expression" dxfId="2400" priority="206">
      <formula>AND(E$9&gt;=8/24,E$9&lt;14/24)</formula>
    </cfRule>
    <cfRule type="expression" dxfId="2399" priority="207">
      <formula>E$9&lt;8/24</formula>
    </cfRule>
  </conditionalFormatting>
  <conditionalFormatting sqref="M49:Q49 AB49:AF49">
    <cfRule type="expression" dxfId="2398" priority="200">
      <formula>M$9&gt;=20/24</formula>
    </cfRule>
    <cfRule type="expression" dxfId="2397" priority="201">
      <formula>AND(M$9&gt;=14/24,M$9&lt;20/24)</formula>
    </cfRule>
    <cfRule type="expression" dxfId="2396" priority="202">
      <formula>AND(M$9&gt;=8/24,M$9&lt;14/24)</formula>
    </cfRule>
    <cfRule type="expression" dxfId="2395" priority="203">
      <formula>M$9&lt;8/24</formula>
    </cfRule>
  </conditionalFormatting>
  <conditionalFormatting sqref="AB49:AE51 W52:AE53 AF49:AF53 M49:Q56">
    <cfRule type="expression" dxfId="2394" priority="199">
      <formula>M49&gt;$AG49</formula>
    </cfRule>
  </conditionalFormatting>
  <conditionalFormatting sqref="D82:AF82 M96:X102 E68:AE69 X70:AE70 X43:AF43 X63:AF65 AF68:AF70 X92:AF92 AD96:AF102">
    <cfRule type="expression" dxfId="2393" priority="195">
      <formula>D$9&gt;=20/24</formula>
    </cfRule>
    <cfRule type="expression" dxfId="2392" priority="196">
      <formula>AND(D$9&gt;=14/24,D$9&lt;20/24)</formula>
    </cfRule>
    <cfRule type="expression" dxfId="2391" priority="197">
      <formula>AND(D$9&gt;=8/24,D$9&lt;14/24)</formula>
    </cfRule>
    <cfRule type="expression" dxfId="2390" priority="198">
      <formula>D$9&lt;8/24</formula>
    </cfRule>
  </conditionalFormatting>
  <conditionalFormatting sqref="X43:AF43 X63:AF65">
    <cfRule type="expression" dxfId="2389" priority="194">
      <formula>X43&gt;$AG43</formula>
    </cfRule>
  </conditionalFormatting>
  <conditionalFormatting sqref="R49:AA51 R52:V56">
    <cfRule type="expression" dxfId="2388" priority="190">
      <formula>R$9&gt;=20/24</formula>
    </cfRule>
    <cfRule type="expression" dxfId="2387" priority="191">
      <formula>AND(R$9&gt;=14/24,R$9&lt;20/24)</formula>
    </cfRule>
    <cfRule type="expression" dxfId="2386" priority="192">
      <formula>AND(R$9&gt;=8/24,R$9&lt;14/24)</formula>
    </cfRule>
    <cfRule type="expression" dxfId="2385" priority="193">
      <formula>R$9&lt;8/24</formula>
    </cfRule>
  </conditionalFormatting>
  <conditionalFormatting sqref="R49:AA51 R52:V56">
    <cfRule type="expression" dxfId="2384" priority="189">
      <formula>R49&gt;$AG49</formula>
    </cfRule>
  </conditionalFormatting>
  <conditionalFormatting sqref="C84:AF84 C93:AF93">
    <cfRule type="expression" dxfId="2383" priority="185">
      <formula>C$9&gt;=20/24</formula>
    </cfRule>
    <cfRule type="expression" dxfId="2382" priority="186">
      <formula>AND(C$9&gt;=14/24,C$9&lt;20/24)</formula>
    </cfRule>
    <cfRule type="expression" dxfId="2381" priority="187">
      <formula>AND(C$9&gt;=8/24,C$9&lt;14/24)</formula>
    </cfRule>
    <cfRule type="expression" dxfId="2380" priority="188">
      <formula>C$9&lt;8/24</formula>
    </cfRule>
  </conditionalFormatting>
  <conditionalFormatting sqref="T43:W43">
    <cfRule type="expression" dxfId="2379" priority="181">
      <formula>T$9&gt;=20/24</formula>
    </cfRule>
    <cfRule type="expression" dxfId="2378" priority="182">
      <formula>AND(T$9&gt;=14/24,T$9&lt;20/24)</formula>
    </cfRule>
    <cfRule type="expression" dxfId="2377" priority="183">
      <formula>AND(T$9&gt;=8/24,T$9&lt;14/24)</formula>
    </cfRule>
    <cfRule type="expression" dxfId="2376" priority="184">
      <formula>T$9&lt;8/24</formula>
    </cfRule>
  </conditionalFormatting>
  <conditionalFormatting sqref="T43:W43">
    <cfRule type="expression" dxfId="2375" priority="180">
      <formula>T43&gt;$AG43</formula>
    </cfRule>
  </conditionalFormatting>
  <conditionalFormatting sqref="E50:L51 X42:AF42">
    <cfRule type="expression" dxfId="2374" priority="176">
      <formula>E$9&gt;=20/24</formula>
    </cfRule>
    <cfRule type="expression" dxfId="2373" priority="177">
      <formula>AND(E$9&gt;=14/24,E$9&lt;20/24)</formula>
    </cfRule>
    <cfRule type="expression" dxfId="2372" priority="178">
      <formula>AND(E$9&gt;=8/24,E$9&lt;14/24)</formula>
    </cfRule>
    <cfRule type="expression" dxfId="2371" priority="179">
      <formula>E$9&lt;8/24</formula>
    </cfRule>
  </conditionalFormatting>
  <conditionalFormatting sqref="E49:L49">
    <cfRule type="expression" dxfId="2370" priority="172">
      <formula>E$9&gt;=20/24</formula>
    </cfRule>
    <cfRule type="expression" dxfId="2369" priority="173">
      <formula>AND(E$9&gt;=14/24,E$9&lt;20/24)</formula>
    </cfRule>
    <cfRule type="expression" dxfId="2368" priority="174">
      <formula>AND(E$9&gt;=8/24,E$9&lt;14/24)</formula>
    </cfRule>
    <cfRule type="expression" dxfId="2367" priority="175">
      <formula>E$9&lt;8/24</formula>
    </cfRule>
  </conditionalFormatting>
  <conditionalFormatting sqref="E49:L51 X42:AF42">
    <cfRule type="expression" dxfId="2366" priority="171">
      <formula>E42&gt;$AG42</formula>
    </cfRule>
  </conditionalFormatting>
  <conditionalFormatting sqref="AG66 AG83 Q63:W65 E96:L102">
    <cfRule type="expression" dxfId="2365" priority="167">
      <formula>E$9&gt;=20/24</formula>
    </cfRule>
    <cfRule type="expression" dxfId="2364" priority="168">
      <formula>AND(E$9&gt;=14/24,E$9&lt;20/24)</formula>
    </cfRule>
    <cfRule type="expression" dxfId="2363" priority="169">
      <formula>AND(E$9&gt;=8/24,E$9&lt;14/24)</formula>
    </cfRule>
    <cfRule type="expression" dxfId="2362" priority="170">
      <formula>E$9&lt;8/24</formula>
    </cfRule>
  </conditionalFormatting>
  <conditionalFormatting sqref="AG44 AG62 AG66 Q63:W65">
    <cfRule type="expression" dxfId="2361" priority="166">
      <formula>Q44&gt;$AG44</formula>
    </cfRule>
  </conditionalFormatting>
  <conditionalFormatting sqref="X54:AF54">
    <cfRule type="expression" dxfId="2360" priority="162">
      <formula>X$9&gt;=20/24</formula>
    </cfRule>
    <cfRule type="expression" dxfId="2359" priority="163">
      <formula>AND(X$9&gt;=14/24,X$9&lt;20/24)</formula>
    </cfRule>
    <cfRule type="expression" dxfId="2358" priority="164">
      <formula>AND(X$9&gt;=8/24,X$9&lt;14/24)</formula>
    </cfRule>
    <cfRule type="expression" dxfId="2357" priority="165">
      <formula>X$9&lt;8/24</formula>
    </cfRule>
  </conditionalFormatting>
  <conditionalFormatting sqref="X54:AF54">
    <cfRule type="expression" dxfId="2356" priority="161">
      <formula>X54&gt;$AG54</formula>
    </cfRule>
  </conditionalFormatting>
  <conditionalFormatting sqref="A40">
    <cfRule type="expression" dxfId="2355" priority="160">
      <formula>$AH40=0</formula>
    </cfRule>
  </conditionalFormatting>
  <conditionalFormatting sqref="X87:AF91">
    <cfRule type="expression" dxfId="2354" priority="156">
      <formula>X$9&gt;=20/24</formula>
    </cfRule>
    <cfRule type="expression" dxfId="2353" priority="157">
      <formula>AND(X$9&gt;=14/24,X$9&lt;20/24)</formula>
    </cfRule>
    <cfRule type="expression" dxfId="2352" priority="158">
      <formula>AND(X$9&gt;=8/24,X$9&lt;14/24)</formula>
    </cfRule>
    <cfRule type="expression" dxfId="2351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2350" priority="152">
      <formula>E$9&gt;=20/24</formula>
    </cfRule>
    <cfRule type="expression" dxfId="2349" priority="153">
      <formula>AND(E$9&gt;=14/24,E$9&lt;20/24)</formula>
    </cfRule>
    <cfRule type="expression" dxfId="2348" priority="154">
      <formula>AND(E$9&gt;=8/24,E$9&lt;14/24)</formula>
    </cfRule>
    <cfRule type="expression" dxfId="2347" priority="155">
      <formula>E$9&lt;8/24</formula>
    </cfRule>
  </conditionalFormatting>
  <conditionalFormatting sqref="E45:AF47">
    <cfRule type="expression" dxfId="2346" priority="151">
      <formula>E45&gt;$AG45</formula>
    </cfRule>
  </conditionalFormatting>
  <conditionalFormatting sqref="AG48">
    <cfRule type="expression" dxfId="2345" priority="147">
      <formula>AG$9&gt;=20/24</formula>
    </cfRule>
    <cfRule type="expression" dxfId="2344" priority="148">
      <formula>AND(AG$9&gt;=14/24,AG$9&lt;20/24)</formula>
    </cfRule>
    <cfRule type="expression" dxfId="2343" priority="149">
      <formula>AND(AG$9&gt;=8/24,AG$9&lt;14/24)</formula>
    </cfRule>
    <cfRule type="expression" dxfId="2342" priority="150">
      <formula>AG$9&lt;8/24</formula>
    </cfRule>
  </conditionalFormatting>
  <conditionalFormatting sqref="AG48">
    <cfRule type="expression" dxfId="2341" priority="146">
      <formula>AG48&gt;$AG48</formula>
    </cfRule>
  </conditionalFormatting>
  <conditionalFormatting sqref="C103:AF103">
    <cfRule type="expression" dxfId="2340" priority="142">
      <formula>C$9&gt;=20/24</formula>
    </cfRule>
    <cfRule type="expression" dxfId="2339" priority="143">
      <formula>AND(C$9&gt;=14/24,C$9&lt;20/24)</formula>
    </cfRule>
    <cfRule type="expression" dxfId="2338" priority="144">
      <formula>AND(C$9&gt;=8/24,C$9&lt;14/24)</formula>
    </cfRule>
    <cfRule type="expression" dxfId="2337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336" priority="140">
      <formula>$AH37=0</formula>
    </cfRule>
  </conditionalFormatting>
  <conditionalFormatting sqref="A86">
    <cfRule type="expression" dxfId="2335" priority="138">
      <formula>$AH86=0</formula>
    </cfRule>
  </conditionalFormatting>
  <conditionalFormatting sqref="A83">
    <cfRule type="expression" dxfId="2334" priority="139">
      <formula>$AH83=0</formula>
    </cfRule>
  </conditionalFormatting>
  <conditionalFormatting sqref="A113">
    <cfRule type="expression" dxfId="2333" priority="129">
      <formula>$AH113=0</formula>
    </cfRule>
  </conditionalFormatting>
  <conditionalFormatting sqref="D106:AF106">
    <cfRule type="expression" dxfId="2332" priority="125">
      <formula>D$9&gt;=20/24</formula>
    </cfRule>
    <cfRule type="expression" dxfId="2331" priority="126">
      <formula>AND(D$9&gt;=14/24,D$9&lt;20/24)</formula>
    </cfRule>
    <cfRule type="expression" dxfId="2330" priority="127">
      <formula>AND(D$9&gt;=8/24,D$9&lt;14/24)</formula>
    </cfRule>
    <cfRule type="expression" dxfId="2329" priority="128">
      <formula>D$9&lt;8/24</formula>
    </cfRule>
  </conditionalFormatting>
  <conditionalFormatting sqref="A106">
    <cfRule type="expression" dxfId="2328" priority="124">
      <formula>$AH106=0</formula>
    </cfRule>
  </conditionalFormatting>
  <conditionalFormatting sqref="A19">
    <cfRule type="expression" dxfId="2327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326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2325" priority="116">
      <formula>Y$9&gt;=20/24</formula>
    </cfRule>
    <cfRule type="expression" dxfId="2324" priority="117">
      <formula>AND(Y$9&gt;=14/24,Y$9&lt;20/24)</formula>
    </cfRule>
    <cfRule type="expression" dxfId="2323" priority="118">
      <formula>AND(Y$9&gt;=8/24,Y$9&lt;14/24)</formula>
    </cfRule>
    <cfRule type="expression" dxfId="2322" priority="119">
      <formula>Y$9&lt;8/24</formula>
    </cfRule>
  </conditionalFormatting>
  <conditionalFormatting sqref="Y96:AC102">
    <cfRule type="expression" dxfId="2321" priority="112">
      <formula>Y$9&gt;=20/24</formula>
    </cfRule>
    <cfRule type="expression" dxfId="2320" priority="113">
      <formula>AND(Y$9&gt;=14/24,Y$9&lt;20/24)</formula>
    </cfRule>
    <cfRule type="expression" dxfId="2319" priority="114">
      <formula>AND(Y$9&gt;=8/24,Y$9&lt;14/24)</formula>
    </cfRule>
    <cfRule type="expression" dxfId="2318" priority="115">
      <formula>Y$9&lt;8/24</formula>
    </cfRule>
  </conditionalFormatting>
  <conditionalFormatting sqref="B105:C105 B107:C112 B15:W40">
    <cfRule type="expression" dxfId="2317" priority="108">
      <formula>B$9&gt;=20/24</formula>
    </cfRule>
    <cfRule type="expression" dxfId="2316" priority="109">
      <formula>AND(B$9&gt;=14/24,B$9&lt;20/24)</formula>
    </cfRule>
    <cfRule type="expression" dxfId="2315" priority="110">
      <formula>AND(B$9&gt;=8/24,B$9&lt;14/24)</formula>
    </cfRule>
    <cfRule type="expression" dxfId="2314" priority="111">
      <formula>B$9&lt;8/24</formula>
    </cfRule>
  </conditionalFormatting>
  <conditionalFormatting sqref="B43:S43">
    <cfRule type="expression" dxfId="2313" priority="104">
      <formula>B$9&gt;=20/24</formula>
    </cfRule>
    <cfRule type="expression" dxfId="2312" priority="105">
      <formula>AND(B$9&gt;=14/24,B$9&lt;20/24)</formula>
    </cfRule>
    <cfRule type="expression" dxfId="2311" priority="106">
      <formula>AND(B$9&gt;=8/24,B$9&lt;14/24)</formula>
    </cfRule>
    <cfRule type="expression" dxfId="2310" priority="107">
      <formula>B$9&lt;8/24</formula>
    </cfRule>
  </conditionalFormatting>
  <conditionalFormatting sqref="B43:S43 B15:W40">
    <cfRule type="expression" dxfId="2309" priority="103">
      <formula>B15&gt;$AG15</formula>
    </cfRule>
  </conditionalFormatting>
  <conditionalFormatting sqref="B95:D95">
    <cfRule type="expression" dxfId="2308" priority="99">
      <formula>B$9&gt;=20/24</formula>
    </cfRule>
    <cfRule type="expression" dxfId="2307" priority="100">
      <formula>AND(B$9&gt;=14/24,B$9&lt;20/24)</formula>
    </cfRule>
    <cfRule type="expression" dxfId="2306" priority="101">
      <formula>AND(B$9&gt;=8/24,B$9&lt;14/24)</formula>
    </cfRule>
    <cfRule type="expression" dxfId="2305" priority="102">
      <formula>B$9&lt;8/24</formula>
    </cfRule>
  </conditionalFormatting>
  <conditionalFormatting sqref="B67:D67 B50:D51">
    <cfRule type="expression" dxfId="2304" priority="95">
      <formula>B$9&gt;=20/24</formula>
    </cfRule>
    <cfRule type="expression" dxfId="2303" priority="96">
      <formula>AND(B$9&gt;=14/24,B$9&lt;20/24)</formula>
    </cfRule>
    <cfRule type="expression" dxfId="2302" priority="97">
      <formula>AND(B$9&gt;=8/24,B$9&lt;14/24)</formula>
    </cfRule>
    <cfRule type="expression" dxfId="2301" priority="98">
      <formula>B$9&lt;8/24</formula>
    </cfRule>
  </conditionalFormatting>
  <conditionalFormatting sqref="B49:D49">
    <cfRule type="expression" dxfId="2300" priority="91">
      <formula>B$9&gt;=20/24</formula>
    </cfRule>
    <cfRule type="expression" dxfId="2299" priority="92">
      <formula>AND(B$9&gt;=14/24,B$9&lt;20/24)</formula>
    </cfRule>
    <cfRule type="expression" dxfId="2298" priority="93">
      <formula>AND(B$9&gt;=8/24,B$9&lt;14/24)</formula>
    </cfRule>
    <cfRule type="expression" dxfId="2297" priority="94">
      <formula>B$9&lt;8/24</formula>
    </cfRule>
  </conditionalFormatting>
  <conditionalFormatting sqref="B49:D51">
    <cfRule type="expression" dxfId="2296" priority="90">
      <formula>B49&gt;$AG49</formula>
    </cfRule>
  </conditionalFormatting>
  <conditionalFormatting sqref="B82:C82 B68:D72 B96:D102 B63:P65 E70:W72 B92:W92 X71:AF72 B79:AF81">
    <cfRule type="expression" dxfId="2295" priority="86">
      <formula>B$9&gt;=20/24</formula>
    </cfRule>
    <cfRule type="expression" dxfId="2294" priority="87">
      <formula>AND(B$9&gt;=14/24,B$9&lt;20/24)</formula>
    </cfRule>
    <cfRule type="expression" dxfId="2293" priority="88">
      <formula>AND(B$9&gt;=8/24,B$9&lt;14/24)</formula>
    </cfRule>
    <cfRule type="expression" dxfId="2292" priority="89">
      <formula>B$9&lt;8/24</formula>
    </cfRule>
  </conditionalFormatting>
  <conditionalFormatting sqref="B52:L53 B63:P65">
    <cfRule type="expression" dxfId="2291" priority="85">
      <formula>B52&gt;$AG52</formula>
    </cfRule>
  </conditionalFormatting>
  <conditionalFormatting sqref="B54:L54 W54">
    <cfRule type="expression" dxfId="2290" priority="81">
      <formula>B$9&gt;=20/24</formula>
    </cfRule>
    <cfRule type="expression" dxfId="2289" priority="82">
      <formula>AND(B$9&gt;=14/24,B$9&lt;20/24)</formula>
    </cfRule>
    <cfRule type="expression" dxfId="2288" priority="83">
      <formula>AND(B$9&gt;=8/24,B$9&lt;14/24)</formula>
    </cfRule>
    <cfRule type="expression" dxfId="2287" priority="84">
      <formula>B$9&lt;8/24</formula>
    </cfRule>
  </conditionalFormatting>
  <conditionalFormatting sqref="B54:L54 W54">
    <cfRule type="expression" dxfId="2286" priority="80">
      <formula>B54&gt;$AG54</formula>
    </cfRule>
  </conditionalFormatting>
  <conditionalFormatting sqref="B84 B93">
    <cfRule type="expression" dxfId="2285" priority="76">
      <formula>B$9&gt;=20/24</formula>
    </cfRule>
    <cfRule type="expression" dxfId="2284" priority="77">
      <formula>AND(B$9&gt;=14/24,B$9&lt;20/24)</formula>
    </cfRule>
    <cfRule type="expression" dxfId="2283" priority="78">
      <formula>AND(B$9&gt;=8/24,B$9&lt;14/24)</formula>
    </cfRule>
    <cfRule type="expression" dxfId="2282" priority="79">
      <formula>B$9&lt;8/24</formula>
    </cfRule>
  </conditionalFormatting>
  <conditionalFormatting sqref="B42:W42">
    <cfRule type="expression" dxfId="2281" priority="72">
      <formula>B$9&gt;=20/24</formula>
    </cfRule>
    <cfRule type="expression" dxfId="2280" priority="73">
      <formula>AND(B$9&gt;=14/24,B$9&lt;20/24)</formula>
    </cfRule>
    <cfRule type="expression" dxfId="2279" priority="74">
      <formula>AND(B$9&gt;=8/24,B$9&lt;14/24)</formula>
    </cfRule>
    <cfRule type="expression" dxfId="2278" priority="75">
      <formula>B$9&lt;8/24</formula>
    </cfRule>
  </conditionalFormatting>
  <conditionalFormatting sqref="B42:W42">
    <cfRule type="expression" dxfId="2277" priority="71">
      <formula>B42&gt;$AG42</formula>
    </cfRule>
  </conditionalFormatting>
  <conditionalFormatting sqref="B85:AF85 B94:AF94 B83:AF83 B66:AF66">
    <cfRule type="expression" dxfId="2276" priority="67">
      <formula>B$9&gt;=20/24</formula>
    </cfRule>
    <cfRule type="expression" dxfId="2275" priority="68">
      <formula>AND(B$9&gt;=14/24,B$9&lt;20/24)</formula>
    </cfRule>
    <cfRule type="expression" dxfId="2274" priority="69">
      <formula>AND(B$9&gt;=8/24,B$9&lt;14/24)</formula>
    </cfRule>
    <cfRule type="expression" dxfId="2273" priority="70">
      <formula>B$9&lt;8/24</formula>
    </cfRule>
  </conditionalFormatting>
  <conditionalFormatting sqref="B61:AF62 B66:AF66 B44:AF44">
    <cfRule type="expression" dxfId="2272" priority="66">
      <formula>B44&gt;$AG44</formula>
    </cfRule>
  </conditionalFormatting>
  <conditionalFormatting sqref="B78:AF78">
    <cfRule type="expression" dxfId="2271" priority="62">
      <formula>B$9&gt;=20/24</formula>
    </cfRule>
    <cfRule type="expression" dxfId="2270" priority="63">
      <formula>AND(B$9&gt;=14/24,B$9&lt;20/24)</formula>
    </cfRule>
    <cfRule type="expression" dxfId="2269" priority="64">
      <formula>AND(B$9&gt;=8/24,B$9&lt;14/24)</formula>
    </cfRule>
    <cfRule type="expression" dxfId="2268" priority="65">
      <formula>B$9&lt;8/24</formula>
    </cfRule>
  </conditionalFormatting>
  <conditionalFormatting sqref="B87:W91">
    <cfRule type="expression" dxfId="2267" priority="58">
      <formula>B$9&gt;=20/24</formula>
    </cfRule>
    <cfRule type="expression" dxfId="2266" priority="59">
      <formula>AND(B$9&gt;=14/24,B$9&lt;20/24)</formula>
    </cfRule>
    <cfRule type="expression" dxfId="2265" priority="60">
      <formula>AND(B$9&gt;=8/24,B$9&lt;14/24)</formula>
    </cfRule>
    <cfRule type="expression" dxfId="2264" priority="61">
      <formula>B$9&lt;8/24</formula>
    </cfRule>
  </conditionalFormatting>
  <conditionalFormatting sqref="B45:D47">
    <cfRule type="expression" dxfId="2263" priority="54">
      <formula>B$9&gt;=20/24</formula>
    </cfRule>
    <cfRule type="expression" dxfId="2262" priority="55">
      <formula>AND(B$9&gt;=14/24,B$9&lt;20/24)</formula>
    </cfRule>
    <cfRule type="expression" dxfId="2261" priority="56">
      <formula>AND(B$9&gt;=8/24,B$9&lt;14/24)</formula>
    </cfRule>
    <cfRule type="expression" dxfId="2260" priority="57">
      <formula>B$9&lt;8/24</formula>
    </cfRule>
  </conditionalFormatting>
  <conditionalFormatting sqref="B45:D47">
    <cfRule type="expression" dxfId="2259" priority="53">
      <formula>B45&gt;$AG45</formula>
    </cfRule>
  </conditionalFormatting>
  <conditionalFormatting sqref="B48:AF48">
    <cfRule type="expression" dxfId="2258" priority="49">
      <formula>B$9&gt;=20/24</formula>
    </cfRule>
    <cfRule type="expression" dxfId="2257" priority="50">
      <formula>AND(B$9&gt;=14/24,B$9&lt;20/24)</formula>
    </cfRule>
    <cfRule type="expression" dxfId="2256" priority="51">
      <formula>AND(B$9&gt;=8/24,B$9&lt;14/24)</formula>
    </cfRule>
    <cfRule type="expression" dxfId="2255" priority="52">
      <formula>B$9&lt;8/24</formula>
    </cfRule>
  </conditionalFormatting>
  <conditionalFormatting sqref="B48:AF48">
    <cfRule type="expression" dxfId="2254" priority="48">
      <formula>B48&gt;$AG48</formula>
    </cfRule>
  </conditionalFormatting>
  <conditionalFormatting sqref="B103">
    <cfRule type="expression" dxfId="2253" priority="44">
      <formula>B$9&gt;=20/24</formula>
    </cfRule>
    <cfRule type="expression" dxfId="2252" priority="45">
      <formula>AND(B$9&gt;=14/24,B$9&lt;20/24)</formula>
    </cfRule>
    <cfRule type="expression" dxfId="2251" priority="46">
      <formula>AND(B$9&gt;=8/24,B$9&lt;14/24)</formula>
    </cfRule>
    <cfRule type="expression" dxfId="2250" priority="47">
      <formula>B$9&lt;8/24</formula>
    </cfRule>
  </conditionalFormatting>
  <conditionalFormatting sqref="B106:C106">
    <cfRule type="expression" dxfId="2249" priority="32">
      <formula>B$9&gt;=20/24</formula>
    </cfRule>
    <cfRule type="expression" dxfId="2248" priority="33">
      <formula>AND(B$9&gt;=14/24,B$9&lt;20/24)</formula>
    </cfRule>
    <cfRule type="expression" dxfId="2247" priority="34">
      <formula>AND(B$9&gt;=8/24,B$9&lt;14/24)</formula>
    </cfRule>
    <cfRule type="expression" dxfId="2246" priority="35">
      <formula>B$9&lt;8/24</formula>
    </cfRule>
  </conditionalFormatting>
  <conditionalFormatting sqref="B57:AF60 B55:L56 W55:AF56">
    <cfRule type="expression" dxfId="2245" priority="28">
      <formula>B$9&gt;=20/24</formula>
    </cfRule>
    <cfRule type="expression" dxfId="2244" priority="29">
      <formula>AND(B$9&gt;=14/24,B$9&lt;20/24)</formula>
    </cfRule>
    <cfRule type="expression" dxfId="2243" priority="30">
      <formula>AND(B$9&gt;=8/24,B$9&lt;14/24)</formula>
    </cfRule>
    <cfRule type="expression" dxfId="2242" priority="31">
      <formula>B$9&lt;8/24</formula>
    </cfRule>
  </conditionalFormatting>
  <conditionalFormatting sqref="B57:AF60 B55:L56 W55:AF56">
    <cfRule type="expression" dxfId="2241" priority="27">
      <formula>B55&gt;$AG55</formula>
    </cfRule>
  </conditionalFormatting>
  <conditionalFormatting sqref="B12:W14 B41:W41">
    <cfRule type="expression" dxfId="2240" priority="26">
      <formula>B12&gt;$AG12</formula>
    </cfRule>
  </conditionalFormatting>
  <conditionalFormatting sqref="B11:W11">
    <cfRule type="expression" dxfId="2239" priority="22">
      <formula>B$9&gt;=20/24</formula>
    </cfRule>
    <cfRule type="expression" dxfId="2238" priority="23">
      <formula>AND(B$9&gt;=14/24,B$9&lt;20/24)</formula>
    </cfRule>
    <cfRule type="expression" dxfId="2237" priority="24">
      <formula>AND(B$9&gt;=8/24,B$9&lt;14/24)</formula>
    </cfRule>
    <cfRule type="expression" dxfId="2236" priority="25">
      <formula>B$9&lt;8/24</formula>
    </cfRule>
  </conditionalFormatting>
  <conditionalFormatting sqref="B11:W11">
    <cfRule type="expression" dxfId="2235" priority="21">
      <formula>B11&gt;$AG11</formula>
    </cfRule>
  </conditionalFormatting>
  <conditionalFormatting sqref="B12:W14">
    <cfRule type="expression" dxfId="2234" priority="17">
      <formula>B$9&gt;=20/24</formula>
    </cfRule>
    <cfRule type="expression" dxfId="2233" priority="18">
      <formula>AND(B$9&gt;=14/24,B$9&lt;20/24)</formula>
    </cfRule>
    <cfRule type="expression" dxfId="2232" priority="19">
      <formula>AND(B$9&gt;=8/24,B$9&lt;14/24)</formula>
    </cfRule>
    <cfRule type="expression" dxfId="2231" priority="20">
      <formula>B$9&lt;8/24</formula>
    </cfRule>
  </conditionalFormatting>
  <conditionalFormatting sqref="B41:W41">
    <cfRule type="expression" dxfId="2230" priority="13">
      <formula>B$9&gt;=20/24</formula>
    </cfRule>
    <cfRule type="expression" dxfId="2229" priority="14">
      <formula>AND(B$9&gt;=14/24,B$9&lt;20/24)</formula>
    </cfRule>
    <cfRule type="expression" dxfId="2228" priority="15">
      <formula>AND(B$9&gt;=8/24,B$9&lt;14/24)</formula>
    </cfRule>
    <cfRule type="expression" dxfId="2227" priority="16">
      <formula>B$9&lt;8/24</formula>
    </cfRule>
  </conditionalFormatting>
  <conditionalFormatting sqref="B73:AF77">
    <cfRule type="expression" dxfId="2226" priority="9">
      <formula>B$9&gt;=20/24</formula>
    </cfRule>
    <cfRule type="expression" dxfId="2225" priority="10">
      <formula>AND(B$9&gt;=14/24,B$9&lt;20/24)</formula>
    </cfRule>
    <cfRule type="expression" dxfId="2224" priority="11">
      <formula>AND(B$9&gt;=8/24,B$9&lt;14/24)</formula>
    </cfRule>
    <cfRule type="expression" dxfId="2223" priority="12">
      <formula>B$9&lt;8/24</formula>
    </cfRule>
  </conditionalFormatting>
  <conditionalFormatting sqref="AL74:AN74 AL80:AN80 AN75:AN76">
    <cfRule type="expression" dxfId="2222" priority="5">
      <formula>AL$9&gt;=20/24</formula>
    </cfRule>
    <cfRule type="expression" dxfId="2221" priority="6">
      <formula>AND(AL$9&gt;=14/24,AL$9&lt;20/24)</formula>
    </cfRule>
    <cfRule type="expression" dxfId="2220" priority="7">
      <formula>AND(AL$9&gt;=8/24,AL$9&lt;14/24)</formula>
    </cfRule>
    <cfRule type="expression" dxfId="2219" priority="8">
      <formula>AL$9&lt;8/24</formula>
    </cfRule>
  </conditionalFormatting>
  <conditionalFormatting sqref="AN77:AN78">
    <cfRule type="expression" dxfId="2218" priority="1">
      <formula>AN$9&gt;=20/24</formula>
    </cfRule>
    <cfRule type="expression" dxfId="2217" priority="2">
      <formula>AND(AN$9&gt;=14/24,AN$9&lt;20/24)</formula>
    </cfRule>
    <cfRule type="expression" dxfId="2216" priority="3">
      <formula>AND(AN$9&gt;=8/24,AN$9&lt;14/24)</formula>
    </cfRule>
    <cfRule type="expression" dxfId="2215" priority="4">
      <formula>AN$9&lt;8/24</formula>
    </cfRule>
  </conditionalFormatting>
  <conditionalFormatting sqref="AL75:AM79">
    <cfRule type="expression" dxfId="2214" priority="258">
      <formula>AJ$9&gt;=20/24</formula>
    </cfRule>
    <cfRule type="expression" dxfId="2213" priority="259">
      <formula>AND(AJ$9&gt;=14/24,AJ$9&lt;20/24)</formula>
    </cfRule>
    <cfRule type="expression" dxfId="2212" priority="260">
      <formula>AND(AJ$9&gt;=8/24,AJ$9&lt;14/24)</formula>
    </cfRule>
    <cfRule type="expression" dxfId="2211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7F785240-8554-4AD9-B8DE-6BBBC282DBE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BC4DFE81-0E7D-43E8-8131-6F289862849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9B82A554-1EE3-4A6E-B387-1AF831575A2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F3E25F7A-5B61-4579-BA9D-CC0F310EB4A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5264E042-6282-42D8-A0A2-3B4966BC174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C3152E5D-A1F1-418B-8208-F392A8D1429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07A9B1B7-BFD3-4345-98AF-6CF6BC2F774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0E2DC20C-3103-4CDA-96C1-131339895C1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5AEA15FB-FA91-4E79-9FA3-33405C580CB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08CF7257-9DAE-4BD5-B01F-57EF1EBB918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A335C681-5028-4A9A-80EA-0610F318513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63A86128-D57E-47DB-89C3-B1C1E62AFCC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D119E057-FA6C-4FDE-BE4F-A23091E196D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2B137FCC-3D62-456C-8607-2A4DE8F344C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32391C03-4521-4C54-8C64-603C90CD1F2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27209D3D-486B-433B-A36D-E3C60F20E34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84"/>
  <sheetViews>
    <sheetView topLeftCell="A27" workbookViewId="0">
      <selection activeCell="Q81" sqref="Q81"/>
    </sheetView>
  </sheetViews>
  <sheetFormatPr defaultRowHeight="15" x14ac:dyDescent="0.25"/>
  <cols>
    <col min="1" max="1" width="31.7109375" bestFit="1" customWidth="1"/>
  </cols>
  <sheetData>
    <row r="1" spans="1:33" ht="16.5" thickTop="1" thickBot="1" x14ac:dyDescent="0.3">
      <c r="A1" s="187" t="s">
        <v>264</v>
      </c>
      <c r="B1" s="199" t="s">
        <v>14</v>
      </c>
      <c r="C1" s="200"/>
      <c r="D1" s="200"/>
      <c r="E1" s="200"/>
      <c r="F1" s="200"/>
      <c r="G1" s="200"/>
      <c r="H1" s="200"/>
      <c r="I1" s="200"/>
      <c r="J1" s="200"/>
      <c r="K1" s="200"/>
      <c r="L1" s="201"/>
      <c r="M1" s="202" t="s">
        <v>15</v>
      </c>
      <c r="N1" s="203"/>
      <c r="O1" s="203"/>
      <c r="P1" s="203"/>
      <c r="Q1" s="203"/>
      <c r="R1" s="204"/>
      <c r="S1" s="202" t="s">
        <v>16</v>
      </c>
      <c r="T1" s="203"/>
      <c r="U1" s="203"/>
      <c r="V1" s="203"/>
      <c r="W1" s="203"/>
      <c r="X1" s="203"/>
      <c r="Y1" s="203"/>
      <c r="Z1" s="203"/>
      <c r="AA1" s="204"/>
      <c r="AB1" s="202" t="s">
        <v>17</v>
      </c>
      <c r="AC1" s="203"/>
      <c r="AD1" s="203"/>
      <c r="AE1" s="203"/>
      <c r="AF1" s="204"/>
      <c r="AG1" s="39"/>
    </row>
    <row r="2" spans="1:33" ht="15.75" thickTop="1" x14ac:dyDescent="0.25">
      <c r="A2" s="207" t="s">
        <v>263</v>
      </c>
      <c r="B2" s="209">
        <v>0</v>
      </c>
      <c r="C2" s="209">
        <v>4.1666666666666664E-2</v>
      </c>
      <c r="D2" s="209">
        <v>8.3333333333333301E-2</v>
      </c>
      <c r="E2" s="209">
        <v>0.125</v>
      </c>
      <c r="F2" s="209">
        <v>0.16666666666666699</v>
      </c>
      <c r="G2" s="209">
        <v>0.20833333333333301</v>
      </c>
      <c r="H2" s="209">
        <v>0.22916666666666666</v>
      </c>
      <c r="I2" s="209">
        <v>0.25</v>
      </c>
      <c r="J2" s="209">
        <v>0.27083333333333331</v>
      </c>
      <c r="K2" s="209">
        <v>0.29166666666666669</v>
      </c>
      <c r="L2" s="209">
        <v>0.3125</v>
      </c>
      <c r="M2" s="205">
        <v>0.33333333333333331</v>
      </c>
      <c r="N2" s="205">
        <v>0.375</v>
      </c>
      <c r="O2" s="205">
        <v>0.41666666666666702</v>
      </c>
      <c r="P2" s="205">
        <v>0.45833333333333298</v>
      </c>
      <c r="Q2" s="205">
        <v>0.5</v>
      </c>
      <c r="R2" s="205">
        <v>0.54166666666666696</v>
      </c>
      <c r="S2" s="211">
        <v>0.58333333333333304</v>
      </c>
      <c r="T2" s="211">
        <v>0.625</v>
      </c>
      <c r="U2" s="211">
        <v>0.66666666666666696</v>
      </c>
      <c r="V2" s="211">
        <v>0.70833333333333304</v>
      </c>
      <c r="W2" s="211">
        <v>0.72916666666666663</v>
      </c>
      <c r="X2" s="211">
        <v>0.75</v>
      </c>
      <c r="Y2" s="211">
        <v>0.77083333333333337</v>
      </c>
      <c r="Z2" s="211">
        <v>0.79166666666666663</v>
      </c>
      <c r="AA2" s="211">
        <v>0.8125</v>
      </c>
      <c r="AB2" s="211">
        <v>0.83333333333333337</v>
      </c>
      <c r="AC2" s="211">
        <v>0.85416666666666663</v>
      </c>
      <c r="AD2" s="211">
        <v>0.875</v>
      </c>
      <c r="AE2" s="211">
        <v>0.91666666666666696</v>
      </c>
      <c r="AF2" s="211">
        <v>0.95833333333333304</v>
      </c>
      <c r="AG2" s="212" t="s">
        <v>1</v>
      </c>
    </row>
    <row r="3" spans="1:33" ht="15.75" thickBot="1" x14ac:dyDescent="0.3">
      <c r="A3" s="208"/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06"/>
      <c r="N3" s="206"/>
      <c r="O3" s="206"/>
      <c r="P3" s="206"/>
      <c r="Q3" s="206"/>
      <c r="R3" s="206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3"/>
    </row>
    <row r="4" spans="1:33" ht="15.75" thickTop="1" x14ac:dyDescent="0.25">
      <c r="A4" s="44" t="s">
        <v>75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</row>
    <row r="5" spans="1:33" ht="15.75" thickBot="1" x14ac:dyDescent="0.3">
      <c r="A5" s="54" t="s">
        <v>77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</row>
    <row r="6" spans="1:33" ht="16.5" thickTop="1" thickBot="1" x14ac:dyDescent="0.3">
      <c r="A6" s="187" t="s">
        <v>265</v>
      </c>
      <c r="B6" s="199" t="s">
        <v>14</v>
      </c>
      <c r="C6" s="200"/>
      <c r="D6" s="200"/>
      <c r="E6" s="200"/>
      <c r="F6" s="200"/>
      <c r="G6" s="200"/>
      <c r="H6" s="200"/>
      <c r="I6" s="200"/>
      <c r="J6" s="200"/>
      <c r="K6" s="200"/>
      <c r="L6" s="201"/>
      <c r="M6" s="202" t="s">
        <v>15</v>
      </c>
      <c r="N6" s="203"/>
      <c r="O6" s="203"/>
      <c r="P6" s="203"/>
      <c r="Q6" s="203"/>
      <c r="R6" s="204"/>
      <c r="S6" s="202" t="s">
        <v>16</v>
      </c>
      <c r="T6" s="203"/>
      <c r="U6" s="203"/>
      <c r="V6" s="203"/>
      <c r="W6" s="203"/>
      <c r="X6" s="203"/>
      <c r="Y6" s="203"/>
      <c r="Z6" s="203"/>
      <c r="AA6" s="204"/>
      <c r="AB6" s="202" t="s">
        <v>17</v>
      </c>
      <c r="AC6" s="203"/>
      <c r="AD6" s="203"/>
      <c r="AE6" s="203"/>
      <c r="AF6" s="204"/>
      <c r="AG6" s="39"/>
    </row>
    <row r="7" spans="1:33" ht="15.75" thickTop="1" x14ac:dyDescent="0.25">
      <c r="A7" s="207" t="s">
        <v>263</v>
      </c>
      <c r="B7" s="209">
        <v>0</v>
      </c>
      <c r="C7" s="209">
        <v>4.1666666666666664E-2</v>
      </c>
      <c r="D7" s="209">
        <v>8.3333333333333301E-2</v>
      </c>
      <c r="E7" s="209">
        <v>0.125</v>
      </c>
      <c r="F7" s="209">
        <v>0.16666666666666699</v>
      </c>
      <c r="G7" s="209">
        <v>0.20833333333333301</v>
      </c>
      <c r="H7" s="209">
        <v>0.22916666666666666</v>
      </c>
      <c r="I7" s="209">
        <v>0.25</v>
      </c>
      <c r="J7" s="209">
        <v>0.27083333333333331</v>
      </c>
      <c r="K7" s="209">
        <v>0.29166666666666669</v>
      </c>
      <c r="L7" s="209">
        <v>0.3125</v>
      </c>
      <c r="M7" s="205">
        <v>0.33333333333333331</v>
      </c>
      <c r="N7" s="205">
        <v>0.375</v>
      </c>
      <c r="O7" s="205">
        <v>0.41666666666666702</v>
      </c>
      <c r="P7" s="205">
        <v>0.45833333333333298</v>
      </c>
      <c r="Q7" s="205">
        <v>0.5</v>
      </c>
      <c r="R7" s="205">
        <v>0.54166666666666696</v>
      </c>
      <c r="S7" s="211">
        <v>0.58333333333333304</v>
      </c>
      <c r="T7" s="211">
        <v>0.625</v>
      </c>
      <c r="U7" s="211">
        <v>0.66666666666666696</v>
      </c>
      <c r="V7" s="211">
        <v>0.70833333333333304</v>
      </c>
      <c r="W7" s="211">
        <v>0.72916666666666663</v>
      </c>
      <c r="X7" s="211">
        <v>0.75</v>
      </c>
      <c r="Y7" s="211">
        <v>0.77083333333333337</v>
      </c>
      <c r="Z7" s="211">
        <v>0.79166666666666663</v>
      </c>
      <c r="AA7" s="211">
        <v>0.8125</v>
      </c>
      <c r="AB7" s="211">
        <v>0.83333333333333337</v>
      </c>
      <c r="AC7" s="211">
        <v>0.85416666666666663</v>
      </c>
      <c r="AD7" s="211">
        <v>0.875</v>
      </c>
      <c r="AE7" s="211">
        <v>0.91666666666666696</v>
      </c>
      <c r="AF7" s="211">
        <v>0.95833333333333304</v>
      </c>
      <c r="AG7" s="212" t="s">
        <v>1</v>
      </c>
    </row>
    <row r="8" spans="1:33" ht="15.75" thickBot="1" x14ac:dyDescent="0.3">
      <c r="A8" s="208"/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22"/>
      <c r="N8" s="222"/>
      <c r="O8" s="222"/>
      <c r="P8" s="222"/>
      <c r="Q8" s="222"/>
      <c r="R8" s="222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13"/>
    </row>
    <row r="9" spans="1:33" ht="15.75" thickTop="1" x14ac:dyDescent="0.25">
      <c r="A9" s="44" t="s">
        <v>75</v>
      </c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</row>
    <row r="10" spans="1:33" ht="15.75" thickBot="1" x14ac:dyDescent="0.3">
      <c r="A10" s="54" t="s">
        <v>77</v>
      </c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</row>
    <row r="11" spans="1:33" ht="16.5" thickTop="1" thickBot="1" x14ac:dyDescent="0.3">
      <c r="A11" s="187" t="s">
        <v>266</v>
      </c>
      <c r="B11" s="199" t="s">
        <v>14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1"/>
      <c r="M11" s="202" t="s">
        <v>15</v>
      </c>
      <c r="N11" s="203"/>
      <c r="O11" s="203"/>
      <c r="P11" s="203"/>
      <c r="Q11" s="203"/>
      <c r="R11" s="204"/>
      <c r="S11" s="202" t="s">
        <v>16</v>
      </c>
      <c r="T11" s="203"/>
      <c r="U11" s="203"/>
      <c r="V11" s="203"/>
      <c r="W11" s="203"/>
      <c r="X11" s="203"/>
      <c r="Y11" s="203"/>
      <c r="Z11" s="203"/>
      <c r="AA11" s="204"/>
      <c r="AB11" s="202" t="s">
        <v>17</v>
      </c>
      <c r="AC11" s="203"/>
      <c r="AD11" s="203"/>
      <c r="AE11" s="203"/>
      <c r="AF11" s="204"/>
      <c r="AG11" s="39"/>
    </row>
    <row r="12" spans="1:33" ht="15.75" thickTop="1" x14ac:dyDescent="0.25">
      <c r="A12" s="207" t="s">
        <v>263</v>
      </c>
      <c r="B12" s="209">
        <v>0</v>
      </c>
      <c r="C12" s="209">
        <v>4.1666666666666664E-2</v>
      </c>
      <c r="D12" s="209">
        <v>8.3333333333333301E-2</v>
      </c>
      <c r="E12" s="209">
        <v>0.125</v>
      </c>
      <c r="F12" s="209">
        <v>0.16666666666666699</v>
      </c>
      <c r="G12" s="209">
        <v>0.20833333333333301</v>
      </c>
      <c r="H12" s="209">
        <v>0.22916666666666666</v>
      </c>
      <c r="I12" s="209">
        <v>0.25</v>
      </c>
      <c r="J12" s="209">
        <v>0.27083333333333331</v>
      </c>
      <c r="K12" s="209">
        <v>0.29166666666666669</v>
      </c>
      <c r="L12" s="209">
        <v>0.3125</v>
      </c>
      <c r="M12" s="205">
        <v>0.33333333333333331</v>
      </c>
      <c r="N12" s="205">
        <v>0.375</v>
      </c>
      <c r="O12" s="205">
        <v>0.41666666666666702</v>
      </c>
      <c r="P12" s="205">
        <v>0.45833333333333298</v>
      </c>
      <c r="Q12" s="205">
        <v>0.5</v>
      </c>
      <c r="R12" s="205">
        <v>0.54166666666666696</v>
      </c>
      <c r="S12" s="211">
        <v>0.58333333333333304</v>
      </c>
      <c r="T12" s="211">
        <v>0.625</v>
      </c>
      <c r="U12" s="211">
        <v>0.66666666666666696</v>
      </c>
      <c r="V12" s="211">
        <v>0.70833333333333304</v>
      </c>
      <c r="W12" s="211">
        <v>0.72916666666666663</v>
      </c>
      <c r="X12" s="211">
        <v>0.75</v>
      </c>
      <c r="Y12" s="211">
        <v>0.77083333333333337</v>
      </c>
      <c r="Z12" s="211">
        <v>0.79166666666666663</v>
      </c>
      <c r="AA12" s="211">
        <v>0.8125</v>
      </c>
      <c r="AB12" s="211">
        <v>0.83333333333333337</v>
      </c>
      <c r="AC12" s="211">
        <v>0.85416666666666663</v>
      </c>
      <c r="AD12" s="211">
        <v>0.875</v>
      </c>
      <c r="AE12" s="211">
        <v>0.91666666666666696</v>
      </c>
      <c r="AF12" s="211">
        <v>0.95833333333333304</v>
      </c>
      <c r="AG12" s="212" t="s">
        <v>1</v>
      </c>
    </row>
    <row r="13" spans="1:33" ht="15.75" thickBot="1" x14ac:dyDescent="0.3">
      <c r="A13" s="208"/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22"/>
      <c r="N13" s="222"/>
      <c r="O13" s="222"/>
      <c r="P13" s="222"/>
      <c r="Q13" s="222"/>
      <c r="R13" s="222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13"/>
    </row>
    <row r="14" spans="1:33" ht="15.75" thickTop="1" x14ac:dyDescent="0.25">
      <c r="A14" s="44" t="s">
        <v>75</v>
      </c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</row>
    <row r="15" spans="1:33" ht="15.75" thickBot="1" x14ac:dyDescent="0.3">
      <c r="A15" s="54" t="s">
        <v>77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</row>
    <row r="16" spans="1:33" ht="16.5" thickTop="1" thickBot="1" x14ac:dyDescent="0.3">
      <c r="A16" s="187" t="s">
        <v>267</v>
      </c>
      <c r="B16" s="199" t="s">
        <v>14</v>
      </c>
      <c r="C16" s="200"/>
      <c r="D16" s="200"/>
      <c r="E16" s="200"/>
      <c r="F16" s="200"/>
      <c r="G16" s="200"/>
      <c r="H16" s="200"/>
      <c r="I16" s="200"/>
      <c r="J16" s="200"/>
      <c r="K16" s="200"/>
      <c r="L16" s="201"/>
      <c r="M16" s="202" t="s">
        <v>15</v>
      </c>
      <c r="N16" s="203"/>
      <c r="O16" s="203"/>
      <c r="P16" s="203"/>
      <c r="Q16" s="203"/>
      <c r="R16" s="204"/>
      <c r="S16" s="202" t="s">
        <v>16</v>
      </c>
      <c r="T16" s="203"/>
      <c r="U16" s="203"/>
      <c r="V16" s="203"/>
      <c r="W16" s="203"/>
      <c r="X16" s="203"/>
      <c r="Y16" s="203"/>
      <c r="Z16" s="203"/>
      <c r="AA16" s="204"/>
      <c r="AB16" s="202" t="s">
        <v>17</v>
      </c>
      <c r="AC16" s="203"/>
      <c r="AD16" s="203"/>
      <c r="AE16" s="203"/>
      <c r="AF16" s="204"/>
      <c r="AG16" s="39"/>
    </row>
    <row r="17" spans="1:33" ht="15.75" thickTop="1" x14ac:dyDescent="0.25">
      <c r="A17" s="207" t="s">
        <v>263</v>
      </c>
      <c r="B17" s="209">
        <v>0</v>
      </c>
      <c r="C17" s="209">
        <v>4.1666666666666664E-2</v>
      </c>
      <c r="D17" s="209">
        <v>8.3333333333333301E-2</v>
      </c>
      <c r="E17" s="209">
        <v>0.125</v>
      </c>
      <c r="F17" s="209">
        <v>0.16666666666666699</v>
      </c>
      <c r="G17" s="209">
        <v>0.20833333333333301</v>
      </c>
      <c r="H17" s="209">
        <v>0.22916666666666666</v>
      </c>
      <c r="I17" s="209">
        <v>0.25</v>
      </c>
      <c r="J17" s="209">
        <v>0.27083333333333331</v>
      </c>
      <c r="K17" s="209">
        <v>0.29166666666666669</v>
      </c>
      <c r="L17" s="209">
        <v>0.3125</v>
      </c>
      <c r="M17" s="205">
        <v>0.33333333333333331</v>
      </c>
      <c r="N17" s="205">
        <v>0.375</v>
      </c>
      <c r="O17" s="205">
        <v>0.41666666666666702</v>
      </c>
      <c r="P17" s="205">
        <v>0.45833333333333298</v>
      </c>
      <c r="Q17" s="205">
        <v>0.5</v>
      </c>
      <c r="R17" s="205">
        <v>0.54166666666666696</v>
      </c>
      <c r="S17" s="211">
        <v>0.58333333333333304</v>
      </c>
      <c r="T17" s="211">
        <v>0.625</v>
      </c>
      <c r="U17" s="211">
        <v>0.66666666666666696</v>
      </c>
      <c r="V17" s="211">
        <v>0.70833333333333304</v>
      </c>
      <c r="W17" s="211">
        <v>0.72916666666666663</v>
      </c>
      <c r="X17" s="211">
        <v>0.75</v>
      </c>
      <c r="Y17" s="211">
        <v>0.77083333333333337</v>
      </c>
      <c r="Z17" s="211">
        <v>0.79166666666666663</v>
      </c>
      <c r="AA17" s="211">
        <v>0.8125</v>
      </c>
      <c r="AB17" s="211">
        <v>0.83333333333333337</v>
      </c>
      <c r="AC17" s="211">
        <v>0.85416666666666663</v>
      </c>
      <c r="AD17" s="211">
        <v>0.875</v>
      </c>
      <c r="AE17" s="211">
        <v>0.91666666666666696</v>
      </c>
      <c r="AF17" s="211">
        <v>0.95833333333333304</v>
      </c>
      <c r="AG17" s="212" t="s">
        <v>1</v>
      </c>
    </row>
    <row r="18" spans="1:33" ht="15.75" thickBot="1" x14ac:dyDescent="0.3">
      <c r="A18" s="208"/>
      <c r="B18" s="209"/>
      <c r="C18" s="209"/>
      <c r="D18" s="209"/>
      <c r="E18" s="209"/>
      <c r="F18" s="209"/>
      <c r="G18" s="209"/>
      <c r="H18" s="209"/>
      <c r="I18" s="209"/>
      <c r="J18" s="209"/>
      <c r="K18" s="209"/>
      <c r="L18" s="209"/>
      <c r="M18" s="222"/>
      <c r="N18" s="222"/>
      <c r="O18" s="222"/>
      <c r="P18" s="222"/>
      <c r="Q18" s="222"/>
      <c r="R18" s="222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13"/>
    </row>
    <row r="19" spans="1:33" ht="15.75" thickTop="1" x14ac:dyDescent="0.25">
      <c r="A19" s="44" t="s">
        <v>75</v>
      </c>
      <c r="B19" s="186"/>
      <c r="C19" s="186"/>
      <c r="D19" s="186"/>
      <c r="E19" s="186"/>
      <c r="F19" s="186">
        <v>69</v>
      </c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</row>
    <row r="20" spans="1:33" ht="15.75" thickBot="1" x14ac:dyDescent="0.3">
      <c r="A20" s="54" t="s">
        <v>77</v>
      </c>
      <c r="B20" s="186"/>
      <c r="C20" s="186"/>
      <c r="D20" s="186"/>
      <c r="E20" s="186"/>
      <c r="F20" s="186">
        <v>298</v>
      </c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</row>
    <row r="21" spans="1:33" ht="16.5" thickTop="1" thickBot="1" x14ac:dyDescent="0.3">
      <c r="A21" s="187" t="s">
        <v>268</v>
      </c>
      <c r="B21" s="199" t="s">
        <v>14</v>
      </c>
      <c r="C21" s="200"/>
      <c r="D21" s="200"/>
      <c r="E21" s="200"/>
      <c r="F21" s="200"/>
      <c r="G21" s="200"/>
      <c r="H21" s="200"/>
      <c r="I21" s="200"/>
      <c r="J21" s="200"/>
      <c r="K21" s="200"/>
      <c r="L21" s="201"/>
      <c r="M21" s="202" t="s">
        <v>15</v>
      </c>
      <c r="N21" s="203"/>
      <c r="O21" s="203"/>
      <c r="P21" s="203"/>
      <c r="Q21" s="203"/>
      <c r="R21" s="204"/>
      <c r="S21" s="202" t="s">
        <v>16</v>
      </c>
      <c r="T21" s="203"/>
      <c r="U21" s="203"/>
      <c r="V21" s="203"/>
      <c r="W21" s="203"/>
      <c r="X21" s="203"/>
      <c r="Y21" s="203"/>
      <c r="Z21" s="203"/>
      <c r="AA21" s="204"/>
      <c r="AB21" s="202" t="s">
        <v>17</v>
      </c>
      <c r="AC21" s="203"/>
      <c r="AD21" s="203"/>
      <c r="AE21" s="203"/>
      <c r="AF21" s="204"/>
      <c r="AG21" s="39"/>
    </row>
    <row r="22" spans="1:33" ht="15.75" thickTop="1" x14ac:dyDescent="0.25">
      <c r="A22" s="207" t="s">
        <v>263</v>
      </c>
      <c r="B22" s="209">
        <v>0</v>
      </c>
      <c r="C22" s="209">
        <v>4.1666666666666664E-2</v>
      </c>
      <c r="D22" s="209">
        <v>8.3333333333333301E-2</v>
      </c>
      <c r="E22" s="209">
        <v>0.125</v>
      </c>
      <c r="F22" s="209">
        <v>0.16666666666666699</v>
      </c>
      <c r="G22" s="209">
        <v>0.20833333333333301</v>
      </c>
      <c r="H22" s="209">
        <v>0.22916666666666666</v>
      </c>
      <c r="I22" s="209">
        <v>0.25</v>
      </c>
      <c r="J22" s="209">
        <v>0.27083333333333331</v>
      </c>
      <c r="K22" s="209">
        <v>0.29166666666666669</v>
      </c>
      <c r="L22" s="209">
        <v>0.3125</v>
      </c>
      <c r="M22" s="205">
        <v>0.33333333333333331</v>
      </c>
      <c r="N22" s="205">
        <v>0.375</v>
      </c>
      <c r="O22" s="205">
        <v>0.41666666666666702</v>
      </c>
      <c r="P22" s="205">
        <v>0.45833333333333298</v>
      </c>
      <c r="Q22" s="205">
        <v>0.5</v>
      </c>
      <c r="R22" s="205">
        <v>0.54166666666666696</v>
      </c>
      <c r="S22" s="211">
        <v>0.58333333333333304</v>
      </c>
      <c r="T22" s="211">
        <v>0.625</v>
      </c>
      <c r="U22" s="211">
        <v>0.66666666666666696</v>
      </c>
      <c r="V22" s="211">
        <v>0.70833333333333304</v>
      </c>
      <c r="W22" s="211">
        <v>0.72916666666666663</v>
      </c>
      <c r="X22" s="211">
        <v>0.75</v>
      </c>
      <c r="Y22" s="211">
        <v>0.77083333333333337</v>
      </c>
      <c r="Z22" s="211">
        <v>0.79166666666666663</v>
      </c>
      <c r="AA22" s="211">
        <v>0.8125</v>
      </c>
      <c r="AB22" s="211">
        <v>0.83333333333333337</v>
      </c>
      <c r="AC22" s="211">
        <v>0.85416666666666663</v>
      </c>
      <c r="AD22" s="211">
        <v>0.875</v>
      </c>
      <c r="AE22" s="211">
        <v>0.91666666666666696</v>
      </c>
      <c r="AF22" s="211">
        <v>0.95833333333333304</v>
      </c>
      <c r="AG22" s="212" t="s">
        <v>1</v>
      </c>
    </row>
    <row r="23" spans="1:33" ht="15.75" thickBot="1" x14ac:dyDescent="0.3">
      <c r="A23" s="208"/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22"/>
      <c r="N23" s="222"/>
      <c r="O23" s="222"/>
      <c r="P23" s="222"/>
      <c r="Q23" s="222"/>
      <c r="R23" s="222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13"/>
    </row>
    <row r="24" spans="1:33" ht="15.75" thickTop="1" x14ac:dyDescent="0.25">
      <c r="A24" s="44" t="s">
        <v>75</v>
      </c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</row>
    <row r="25" spans="1:33" ht="15.75" thickBot="1" x14ac:dyDescent="0.3">
      <c r="A25" s="54" t="s">
        <v>77</v>
      </c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</row>
    <row r="26" spans="1:33" ht="16.5" thickTop="1" thickBot="1" x14ac:dyDescent="0.3">
      <c r="A26" s="187" t="s">
        <v>269</v>
      </c>
      <c r="B26" s="199" t="s">
        <v>14</v>
      </c>
      <c r="C26" s="200"/>
      <c r="D26" s="200"/>
      <c r="E26" s="200"/>
      <c r="F26" s="200"/>
      <c r="G26" s="200"/>
      <c r="H26" s="200"/>
      <c r="I26" s="200"/>
      <c r="J26" s="200"/>
      <c r="K26" s="200"/>
      <c r="L26" s="201"/>
      <c r="M26" s="202" t="s">
        <v>15</v>
      </c>
      <c r="N26" s="203"/>
      <c r="O26" s="203"/>
      <c r="P26" s="203"/>
      <c r="Q26" s="203"/>
      <c r="R26" s="204"/>
      <c r="S26" s="202" t="s">
        <v>16</v>
      </c>
      <c r="T26" s="203"/>
      <c r="U26" s="203"/>
      <c r="V26" s="203"/>
      <c r="W26" s="203"/>
      <c r="X26" s="203"/>
      <c r="Y26" s="203"/>
      <c r="Z26" s="203"/>
      <c r="AA26" s="204"/>
      <c r="AB26" s="202" t="s">
        <v>17</v>
      </c>
      <c r="AC26" s="203"/>
      <c r="AD26" s="203"/>
      <c r="AE26" s="203"/>
      <c r="AF26" s="204"/>
      <c r="AG26" s="39"/>
    </row>
    <row r="27" spans="1:33" ht="15.75" thickTop="1" x14ac:dyDescent="0.25">
      <c r="A27" s="207" t="s">
        <v>263</v>
      </c>
      <c r="B27" s="209">
        <v>0</v>
      </c>
      <c r="C27" s="209">
        <v>4.1666666666666664E-2</v>
      </c>
      <c r="D27" s="209">
        <v>8.3333333333333301E-2</v>
      </c>
      <c r="E27" s="209">
        <v>0.125</v>
      </c>
      <c r="F27" s="209">
        <v>0.16666666666666699</v>
      </c>
      <c r="G27" s="209">
        <v>0.20833333333333301</v>
      </c>
      <c r="H27" s="209">
        <v>0.22916666666666666</v>
      </c>
      <c r="I27" s="209">
        <v>0.25</v>
      </c>
      <c r="J27" s="209">
        <v>0.27083333333333331</v>
      </c>
      <c r="K27" s="209">
        <v>0.29166666666666669</v>
      </c>
      <c r="L27" s="209">
        <v>0.3125</v>
      </c>
      <c r="M27" s="205">
        <v>0.33333333333333331</v>
      </c>
      <c r="N27" s="205">
        <v>0.375</v>
      </c>
      <c r="O27" s="205">
        <v>0.41666666666666702</v>
      </c>
      <c r="P27" s="205">
        <v>0.45833333333333298</v>
      </c>
      <c r="Q27" s="205">
        <v>0.5</v>
      </c>
      <c r="R27" s="205">
        <v>0.54166666666666696</v>
      </c>
      <c r="S27" s="211">
        <v>0.58333333333333304</v>
      </c>
      <c r="T27" s="211">
        <v>0.625</v>
      </c>
      <c r="U27" s="211">
        <v>0.66666666666666696</v>
      </c>
      <c r="V27" s="211">
        <v>0.70833333333333304</v>
      </c>
      <c r="W27" s="211">
        <v>0.72916666666666663</v>
      </c>
      <c r="X27" s="211">
        <v>0.75</v>
      </c>
      <c r="Y27" s="211">
        <v>0.77083333333333337</v>
      </c>
      <c r="Z27" s="211">
        <v>0.79166666666666663</v>
      </c>
      <c r="AA27" s="211">
        <v>0.8125</v>
      </c>
      <c r="AB27" s="211">
        <v>0.83333333333333337</v>
      </c>
      <c r="AC27" s="211">
        <v>0.85416666666666663</v>
      </c>
      <c r="AD27" s="211">
        <v>0.875</v>
      </c>
      <c r="AE27" s="211">
        <v>0.91666666666666696</v>
      </c>
      <c r="AF27" s="211">
        <v>0.95833333333333304</v>
      </c>
      <c r="AG27" s="212" t="s">
        <v>1</v>
      </c>
    </row>
    <row r="28" spans="1:33" ht="15.75" thickBot="1" x14ac:dyDescent="0.3">
      <c r="A28" s="208"/>
      <c r="B28" s="209"/>
      <c r="C28" s="209"/>
      <c r="D28" s="209"/>
      <c r="E28" s="209"/>
      <c r="F28" s="209"/>
      <c r="G28" s="209"/>
      <c r="H28" s="209"/>
      <c r="I28" s="209"/>
      <c r="J28" s="209"/>
      <c r="K28" s="209"/>
      <c r="L28" s="209"/>
      <c r="M28" s="222"/>
      <c r="N28" s="222"/>
      <c r="O28" s="222"/>
      <c r="P28" s="222"/>
      <c r="Q28" s="222"/>
      <c r="R28" s="222"/>
      <c r="S28" s="209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13"/>
    </row>
    <row r="29" spans="1:33" ht="15.75" thickTop="1" x14ac:dyDescent="0.25">
      <c r="A29" s="44" t="s">
        <v>75</v>
      </c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</row>
    <row r="30" spans="1:33" ht="15.75" thickBot="1" x14ac:dyDescent="0.3">
      <c r="A30" s="54" t="s">
        <v>77</v>
      </c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</row>
    <row r="31" spans="1:33" ht="16.5" thickTop="1" thickBot="1" x14ac:dyDescent="0.3">
      <c r="A31" s="187" t="s">
        <v>270</v>
      </c>
      <c r="B31" s="199" t="s">
        <v>14</v>
      </c>
      <c r="C31" s="200"/>
      <c r="D31" s="200"/>
      <c r="E31" s="200"/>
      <c r="F31" s="200"/>
      <c r="G31" s="200"/>
      <c r="H31" s="200"/>
      <c r="I31" s="200"/>
      <c r="J31" s="200"/>
      <c r="K31" s="200"/>
      <c r="L31" s="201"/>
      <c r="M31" s="202" t="s">
        <v>15</v>
      </c>
      <c r="N31" s="203"/>
      <c r="O31" s="203"/>
      <c r="P31" s="203"/>
      <c r="Q31" s="203"/>
      <c r="R31" s="204"/>
      <c r="S31" s="202" t="s">
        <v>16</v>
      </c>
      <c r="T31" s="203"/>
      <c r="U31" s="203"/>
      <c r="V31" s="203"/>
      <c r="W31" s="203"/>
      <c r="X31" s="203"/>
      <c r="Y31" s="203"/>
      <c r="Z31" s="203"/>
      <c r="AA31" s="204"/>
      <c r="AB31" s="202" t="s">
        <v>17</v>
      </c>
      <c r="AC31" s="203"/>
      <c r="AD31" s="203"/>
      <c r="AE31" s="203"/>
      <c r="AF31" s="204"/>
      <c r="AG31" s="39"/>
    </row>
    <row r="32" spans="1:33" ht="15.75" thickTop="1" x14ac:dyDescent="0.25">
      <c r="A32" s="207" t="s">
        <v>263</v>
      </c>
      <c r="B32" s="209">
        <v>0</v>
      </c>
      <c r="C32" s="209">
        <v>4.1666666666666664E-2</v>
      </c>
      <c r="D32" s="209">
        <v>8.3333333333333301E-2</v>
      </c>
      <c r="E32" s="209">
        <v>0.125</v>
      </c>
      <c r="F32" s="209">
        <v>0.16666666666666699</v>
      </c>
      <c r="G32" s="209">
        <v>0.20833333333333301</v>
      </c>
      <c r="H32" s="209">
        <v>0.22916666666666666</v>
      </c>
      <c r="I32" s="209">
        <v>0.25</v>
      </c>
      <c r="J32" s="209">
        <v>0.27083333333333331</v>
      </c>
      <c r="K32" s="209">
        <v>0.29166666666666669</v>
      </c>
      <c r="L32" s="209">
        <v>0.3125</v>
      </c>
      <c r="M32" s="205">
        <v>0.33333333333333331</v>
      </c>
      <c r="N32" s="205">
        <v>0.375</v>
      </c>
      <c r="O32" s="205">
        <v>0.41666666666666702</v>
      </c>
      <c r="P32" s="205">
        <v>0.45833333333333298</v>
      </c>
      <c r="Q32" s="205">
        <v>0.5</v>
      </c>
      <c r="R32" s="205">
        <v>0.54166666666666696</v>
      </c>
      <c r="S32" s="211">
        <v>0.58333333333333304</v>
      </c>
      <c r="T32" s="211">
        <v>0.625</v>
      </c>
      <c r="U32" s="211">
        <v>0.66666666666666696</v>
      </c>
      <c r="V32" s="211">
        <v>0.70833333333333304</v>
      </c>
      <c r="W32" s="211">
        <v>0.72916666666666663</v>
      </c>
      <c r="X32" s="211">
        <v>0.75</v>
      </c>
      <c r="Y32" s="211">
        <v>0.77083333333333337</v>
      </c>
      <c r="Z32" s="211">
        <v>0.79166666666666663</v>
      </c>
      <c r="AA32" s="211">
        <v>0.8125</v>
      </c>
      <c r="AB32" s="211">
        <v>0.83333333333333337</v>
      </c>
      <c r="AC32" s="211">
        <v>0.85416666666666663</v>
      </c>
      <c r="AD32" s="211">
        <v>0.875</v>
      </c>
      <c r="AE32" s="211">
        <v>0.91666666666666696</v>
      </c>
      <c r="AF32" s="211">
        <v>0.95833333333333304</v>
      </c>
      <c r="AG32" s="212" t="s">
        <v>1</v>
      </c>
    </row>
    <row r="33" spans="1:33" ht="15.75" thickBot="1" x14ac:dyDescent="0.3">
      <c r="A33" s="208"/>
      <c r="B33" s="209"/>
      <c r="C33" s="209"/>
      <c r="D33" s="209"/>
      <c r="E33" s="209"/>
      <c r="F33" s="209"/>
      <c r="G33" s="209"/>
      <c r="H33" s="209"/>
      <c r="I33" s="209"/>
      <c r="J33" s="209"/>
      <c r="K33" s="209"/>
      <c r="L33" s="209"/>
      <c r="M33" s="222"/>
      <c r="N33" s="222"/>
      <c r="O33" s="222"/>
      <c r="P33" s="222"/>
      <c r="Q33" s="222"/>
      <c r="R33" s="222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13"/>
    </row>
    <row r="34" spans="1:33" ht="15.75" thickTop="1" x14ac:dyDescent="0.25">
      <c r="A34" s="44" t="s">
        <v>75</v>
      </c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</row>
    <row r="35" spans="1:33" ht="15.75" thickBot="1" x14ac:dyDescent="0.3">
      <c r="A35" s="54" t="s">
        <v>77</v>
      </c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</row>
    <row r="36" spans="1:33" ht="16.5" thickTop="1" thickBot="1" x14ac:dyDescent="0.3">
      <c r="A36" s="187" t="s">
        <v>271</v>
      </c>
      <c r="B36" s="199" t="s">
        <v>14</v>
      </c>
      <c r="C36" s="200"/>
      <c r="D36" s="200"/>
      <c r="E36" s="200"/>
      <c r="F36" s="200"/>
      <c r="G36" s="200"/>
      <c r="H36" s="200"/>
      <c r="I36" s="200"/>
      <c r="J36" s="200"/>
      <c r="K36" s="200"/>
      <c r="L36" s="201"/>
      <c r="M36" s="202" t="s">
        <v>15</v>
      </c>
      <c r="N36" s="203"/>
      <c r="O36" s="203"/>
      <c r="P36" s="203"/>
      <c r="Q36" s="203"/>
      <c r="R36" s="204"/>
      <c r="S36" s="202" t="s">
        <v>16</v>
      </c>
      <c r="T36" s="203"/>
      <c r="U36" s="203"/>
      <c r="V36" s="203"/>
      <c r="W36" s="203"/>
      <c r="X36" s="203"/>
      <c r="Y36" s="203"/>
      <c r="Z36" s="203"/>
      <c r="AA36" s="204"/>
      <c r="AB36" s="202" t="s">
        <v>17</v>
      </c>
      <c r="AC36" s="203"/>
      <c r="AD36" s="203"/>
      <c r="AE36" s="203"/>
      <c r="AF36" s="204"/>
      <c r="AG36" s="39"/>
    </row>
    <row r="37" spans="1:33" ht="15.75" thickTop="1" x14ac:dyDescent="0.25">
      <c r="A37" s="207" t="s">
        <v>263</v>
      </c>
      <c r="B37" s="209">
        <v>0</v>
      </c>
      <c r="C37" s="209">
        <v>4.1666666666666664E-2</v>
      </c>
      <c r="D37" s="209">
        <v>8.3333333333333301E-2</v>
      </c>
      <c r="E37" s="209">
        <v>0.125</v>
      </c>
      <c r="F37" s="209">
        <v>0.16666666666666699</v>
      </c>
      <c r="G37" s="209">
        <v>0.20833333333333301</v>
      </c>
      <c r="H37" s="209">
        <v>0.22916666666666666</v>
      </c>
      <c r="I37" s="209">
        <v>0.25</v>
      </c>
      <c r="J37" s="209">
        <v>0.27083333333333331</v>
      </c>
      <c r="K37" s="209">
        <v>0.29166666666666669</v>
      </c>
      <c r="L37" s="209">
        <v>0.3125</v>
      </c>
      <c r="M37" s="205">
        <v>0.33333333333333331</v>
      </c>
      <c r="N37" s="205">
        <v>0.375</v>
      </c>
      <c r="O37" s="205">
        <v>0.41666666666666702</v>
      </c>
      <c r="P37" s="205">
        <v>0.45833333333333298</v>
      </c>
      <c r="Q37" s="205">
        <v>0.5</v>
      </c>
      <c r="R37" s="205">
        <v>0.54166666666666696</v>
      </c>
      <c r="S37" s="211">
        <v>0.58333333333333304</v>
      </c>
      <c r="T37" s="211">
        <v>0.625</v>
      </c>
      <c r="U37" s="211">
        <v>0.66666666666666696</v>
      </c>
      <c r="V37" s="211">
        <v>0.70833333333333304</v>
      </c>
      <c r="W37" s="211">
        <v>0.72916666666666663</v>
      </c>
      <c r="X37" s="211">
        <v>0.75</v>
      </c>
      <c r="Y37" s="211">
        <v>0.77083333333333337</v>
      </c>
      <c r="Z37" s="211">
        <v>0.79166666666666663</v>
      </c>
      <c r="AA37" s="211">
        <v>0.8125</v>
      </c>
      <c r="AB37" s="211">
        <v>0.83333333333333337</v>
      </c>
      <c r="AC37" s="211">
        <v>0.85416666666666663</v>
      </c>
      <c r="AD37" s="211">
        <v>0.875</v>
      </c>
      <c r="AE37" s="211">
        <v>0.91666666666666696</v>
      </c>
      <c r="AF37" s="211">
        <v>0.95833333333333304</v>
      </c>
      <c r="AG37" s="212" t="s">
        <v>1</v>
      </c>
    </row>
    <row r="38" spans="1:33" ht="15.75" thickBot="1" x14ac:dyDescent="0.3">
      <c r="A38" s="208"/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22"/>
      <c r="N38" s="222"/>
      <c r="O38" s="222"/>
      <c r="P38" s="222"/>
      <c r="Q38" s="222"/>
      <c r="R38" s="222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13"/>
    </row>
    <row r="39" spans="1:33" ht="15.75" thickTop="1" x14ac:dyDescent="0.25">
      <c r="A39" s="44" t="s">
        <v>75</v>
      </c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</row>
    <row r="40" spans="1:33" ht="15.75" thickBot="1" x14ac:dyDescent="0.3">
      <c r="A40" s="54" t="s">
        <v>77</v>
      </c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</row>
    <row r="41" spans="1:33" ht="16.5" thickTop="1" thickBot="1" x14ac:dyDescent="0.3">
      <c r="A41" s="187" t="s">
        <v>272</v>
      </c>
      <c r="B41" s="199" t="s">
        <v>14</v>
      </c>
      <c r="C41" s="200"/>
      <c r="D41" s="200"/>
      <c r="E41" s="200"/>
      <c r="F41" s="200"/>
      <c r="G41" s="200"/>
      <c r="H41" s="200"/>
      <c r="I41" s="200"/>
      <c r="J41" s="200"/>
      <c r="K41" s="200"/>
      <c r="L41" s="201"/>
      <c r="M41" s="202" t="s">
        <v>15</v>
      </c>
      <c r="N41" s="203"/>
      <c r="O41" s="203"/>
      <c r="P41" s="203"/>
      <c r="Q41" s="203"/>
      <c r="R41" s="204"/>
      <c r="S41" s="202" t="s">
        <v>16</v>
      </c>
      <c r="T41" s="203"/>
      <c r="U41" s="203"/>
      <c r="V41" s="203"/>
      <c r="W41" s="203"/>
      <c r="X41" s="203"/>
      <c r="Y41" s="203"/>
      <c r="Z41" s="203"/>
      <c r="AA41" s="204"/>
      <c r="AB41" s="202" t="s">
        <v>17</v>
      </c>
      <c r="AC41" s="203"/>
      <c r="AD41" s="203"/>
      <c r="AE41" s="203"/>
      <c r="AF41" s="204"/>
      <c r="AG41" s="39"/>
    </row>
    <row r="42" spans="1:33" ht="15.75" thickTop="1" x14ac:dyDescent="0.25">
      <c r="A42" s="207" t="s">
        <v>263</v>
      </c>
      <c r="B42" s="209">
        <v>0</v>
      </c>
      <c r="C42" s="209">
        <v>4.1666666666666664E-2</v>
      </c>
      <c r="D42" s="209">
        <v>8.3333333333333301E-2</v>
      </c>
      <c r="E42" s="209">
        <v>0.125</v>
      </c>
      <c r="F42" s="209">
        <v>0.16666666666666699</v>
      </c>
      <c r="G42" s="209">
        <v>0.20833333333333301</v>
      </c>
      <c r="H42" s="209">
        <v>0.22916666666666666</v>
      </c>
      <c r="I42" s="209">
        <v>0.25</v>
      </c>
      <c r="J42" s="209">
        <v>0.27083333333333331</v>
      </c>
      <c r="K42" s="209">
        <v>0.29166666666666669</v>
      </c>
      <c r="L42" s="209">
        <v>0.3125</v>
      </c>
      <c r="M42" s="205">
        <v>0.33333333333333331</v>
      </c>
      <c r="N42" s="205">
        <v>0.375</v>
      </c>
      <c r="O42" s="205">
        <v>0.41666666666666702</v>
      </c>
      <c r="P42" s="205">
        <v>0.45833333333333298</v>
      </c>
      <c r="Q42" s="205">
        <v>0.5</v>
      </c>
      <c r="R42" s="205">
        <v>0.54166666666666696</v>
      </c>
      <c r="S42" s="211">
        <v>0.58333333333333304</v>
      </c>
      <c r="T42" s="211">
        <v>0.625</v>
      </c>
      <c r="U42" s="211">
        <v>0.66666666666666696</v>
      </c>
      <c r="V42" s="211">
        <v>0.70833333333333304</v>
      </c>
      <c r="W42" s="211">
        <v>0.72916666666666663</v>
      </c>
      <c r="X42" s="211">
        <v>0.75</v>
      </c>
      <c r="Y42" s="211">
        <v>0.77083333333333337</v>
      </c>
      <c r="Z42" s="211">
        <v>0.79166666666666663</v>
      </c>
      <c r="AA42" s="211">
        <v>0.8125</v>
      </c>
      <c r="AB42" s="211">
        <v>0.83333333333333337</v>
      </c>
      <c r="AC42" s="211">
        <v>0.85416666666666663</v>
      </c>
      <c r="AD42" s="211">
        <v>0.875</v>
      </c>
      <c r="AE42" s="211">
        <v>0.91666666666666696</v>
      </c>
      <c r="AF42" s="211">
        <v>0.95833333333333304</v>
      </c>
      <c r="AG42" s="212" t="s">
        <v>1</v>
      </c>
    </row>
    <row r="43" spans="1:33" ht="15.75" thickBot="1" x14ac:dyDescent="0.3">
      <c r="A43" s="208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22"/>
      <c r="N43" s="222"/>
      <c r="O43" s="222"/>
      <c r="P43" s="222"/>
      <c r="Q43" s="222"/>
      <c r="R43" s="222"/>
      <c r="S43" s="209"/>
      <c r="T43" s="209"/>
      <c r="U43" s="209"/>
      <c r="V43" s="209"/>
      <c r="W43" s="209"/>
      <c r="X43" s="209"/>
      <c r="Y43" s="209"/>
      <c r="Z43" s="209"/>
      <c r="AA43" s="209"/>
      <c r="AB43" s="209"/>
      <c r="AC43" s="209"/>
      <c r="AD43" s="209"/>
      <c r="AE43" s="209"/>
      <c r="AF43" s="209"/>
      <c r="AG43" s="213"/>
    </row>
    <row r="44" spans="1:33" ht="15.75" thickTop="1" x14ac:dyDescent="0.25">
      <c r="A44" s="44" t="s">
        <v>75</v>
      </c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</row>
    <row r="45" spans="1:33" ht="15.75" thickBot="1" x14ac:dyDescent="0.3">
      <c r="A45" s="54" t="s">
        <v>77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</row>
    <row r="46" spans="1:33" ht="16.5" thickTop="1" thickBot="1" x14ac:dyDescent="0.3">
      <c r="A46" s="187" t="s">
        <v>273</v>
      </c>
      <c r="B46" s="199" t="s">
        <v>14</v>
      </c>
      <c r="C46" s="200"/>
      <c r="D46" s="200"/>
      <c r="E46" s="200"/>
      <c r="F46" s="200"/>
      <c r="G46" s="200"/>
      <c r="H46" s="200"/>
      <c r="I46" s="200"/>
      <c r="J46" s="200"/>
      <c r="K46" s="200"/>
      <c r="L46" s="201"/>
      <c r="M46" s="202" t="s">
        <v>15</v>
      </c>
      <c r="N46" s="203"/>
      <c r="O46" s="203"/>
      <c r="P46" s="203"/>
      <c r="Q46" s="203"/>
      <c r="R46" s="204"/>
      <c r="S46" s="202" t="s">
        <v>16</v>
      </c>
      <c r="T46" s="203"/>
      <c r="U46" s="203"/>
      <c r="V46" s="203"/>
      <c r="W46" s="203"/>
      <c r="X46" s="203"/>
      <c r="Y46" s="203"/>
      <c r="Z46" s="203"/>
      <c r="AA46" s="204"/>
      <c r="AB46" s="202" t="s">
        <v>17</v>
      </c>
      <c r="AC46" s="203"/>
      <c r="AD46" s="203"/>
      <c r="AE46" s="203"/>
      <c r="AF46" s="204"/>
      <c r="AG46" s="39"/>
    </row>
    <row r="47" spans="1:33" ht="15.75" thickTop="1" x14ac:dyDescent="0.25">
      <c r="A47" s="207" t="s">
        <v>263</v>
      </c>
      <c r="B47" s="209">
        <v>0</v>
      </c>
      <c r="C47" s="209">
        <v>4.1666666666666664E-2</v>
      </c>
      <c r="D47" s="209">
        <v>8.3333333333333301E-2</v>
      </c>
      <c r="E47" s="209">
        <v>0.125</v>
      </c>
      <c r="F47" s="209">
        <v>0.16666666666666699</v>
      </c>
      <c r="G47" s="209">
        <v>0.20833333333333301</v>
      </c>
      <c r="H47" s="209">
        <v>0.22916666666666666</v>
      </c>
      <c r="I47" s="209">
        <v>0.25</v>
      </c>
      <c r="J47" s="209">
        <v>0.27083333333333331</v>
      </c>
      <c r="K47" s="209">
        <v>0.29166666666666669</v>
      </c>
      <c r="L47" s="209">
        <v>0.3125</v>
      </c>
      <c r="M47" s="205">
        <v>0.33333333333333331</v>
      </c>
      <c r="N47" s="205">
        <v>0.375</v>
      </c>
      <c r="O47" s="205">
        <v>0.41666666666666702</v>
      </c>
      <c r="P47" s="205">
        <v>0.45833333333333298</v>
      </c>
      <c r="Q47" s="205">
        <v>0.5</v>
      </c>
      <c r="R47" s="205">
        <v>0.54166666666666696</v>
      </c>
      <c r="S47" s="211">
        <v>0.58333333333333304</v>
      </c>
      <c r="T47" s="211">
        <v>0.625</v>
      </c>
      <c r="U47" s="211">
        <v>0.66666666666666696</v>
      </c>
      <c r="V47" s="211">
        <v>0.70833333333333304</v>
      </c>
      <c r="W47" s="211">
        <v>0.72916666666666663</v>
      </c>
      <c r="X47" s="211">
        <v>0.75</v>
      </c>
      <c r="Y47" s="211">
        <v>0.77083333333333337</v>
      </c>
      <c r="Z47" s="211">
        <v>0.79166666666666663</v>
      </c>
      <c r="AA47" s="211">
        <v>0.8125</v>
      </c>
      <c r="AB47" s="211">
        <v>0.83333333333333337</v>
      </c>
      <c r="AC47" s="211">
        <v>0.85416666666666663</v>
      </c>
      <c r="AD47" s="211">
        <v>0.875</v>
      </c>
      <c r="AE47" s="211">
        <v>0.91666666666666696</v>
      </c>
      <c r="AF47" s="211">
        <v>0.95833333333333304</v>
      </c>
      <c r="AG47" s="212" t="s">
        <v>1</v>
      </c>
    </row>
    <row r="48" spans="1:33" ht="15.75" thickBot="1" x14ac:dyDescent="0.3">
      <c r="A48" s="208"/>
      <c r="B48" s="20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22"/>
      <c r="N48" s="222"/>
      <c r="O48" s="222"/>
      <c r="P48" s="222"/>
      <c r="Q48" s="222"/>
      <c r="R48" s="222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13"/>
    </row>
    <row r="49" spans="1:33" ht="15.75" thickTop="1" x14ac:dyDescent="0.25">
      <c r="A49" s="44" t="s">
        <v>75</v>
      </c>
      <c r="B49" s="186"/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  <c r="AE49" s="186"/>
      <c r="AF49" s="186"/>
      <c r="AG49" s="186"/>
    </row>
    <row r="50" spans="1:33" ht="15.75" thickBot="1" x14ac:dyDescent="0.3">
      <c r="A50" s="54" t="s">
        <v>77</v>
      </c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</row>
    <row r="51" spans="1:33" ht="16.5" thickTop="1" thickBot="1" x14ac:dyDescent="0.3">
      <c r="A51" s="187" t="s">
        <v>274</v>
      </c>
      <c r="B51" s="199" t="s">
        <v>14</v>
      </c>
      <c r="C51" s="200"/>
      <c r="D51" s="200"/>
      <c r="E51" s="200"/>
      <c r="F51" s="200"/>
      <c r="G51" s="200"/>
      <c r="H51" s="200"/>
      <c r="I51" s="200"/>
      <c r="J51" s="200"/>
      <c r="K51" s="200"/>
      <c r="L51" s="201"/>
      <c r="M51" s="202" t="s">
        <v>15</v>
      </c>
      <c r="N51" s="203"/>
      <c r="O51" s="203"/>
      <c r="P51" s="203"/>
      <c r="Q51" s="203"/>
      <c r="R51" s="204"/>
      <c r="S51" s="202" t="s">
        <v>16</v>
      </c>
      <c r="T51" s="203"/>
      <c r="U51" s="203"/>
      <c r="V51" s="203"/>
      <c r="W51" s="203"/>
      <c r="X51" s="203"/>
      <c r="Y51" s="203"/>
      <c r="Z51" s="203"/>
      <c r="AA51" s="204"/>
      <c r="AB51" s="202" t="s">
        <v>17</v>
      </c>
      <c r="AC51" s="203"/>
      <c r="AD51" s="203"/>
      <c r="AE51" s="203"/>
      <c r="AF51" s="204"/>
      <c r="AG51" s="39"/>
    </row>
    <row r="52" spans="1:33" ht="15.75" thickTop="1" x14ac:dyDescent="0.25">
      <c r="A52" s="207" t="s">
        <v>263</v>
      </c>
      <c r="B52" s="209">
        <v>0</v>
      </c>
      <c r="C52" s="209">
        <v>4.1666666666666664E-2</v>
      </c>
      <c r="D52" s="209">
        <v>8.3333333333333301E-2</v>
      </c>
      <c r="E52" s="209">
        <v>0.125</v>
      </c>
      <c r="F52" s="209">
        <v>0.16666666666666699</v>
      </c>
      <c r="G52" s="209">
        <v>0.20833333333333301</v>
      </c>
      <c r="H52" s="209">
        <v>0.22916666666666666</v>
      </c>
      <c r="I52" s="209">
        <v>0.25</v>
      </c>
      <c r="J52" s="209">
        <v>0.27083333333333331</v>
      </c>
      <c r="K52" s="209">
        <v>0.29166666666666669</v>
      </c>
      <c r="L52" s="209">
        <v>0.3125</v>
      </c>
      <c r="M52" s="205">
        <v>0.33333333333333331</v>
      </c>
      <c r="N52" s="205">
        <v>0.375</v>
      </c>
      <c r="O52" s="205">
        <v>0.41666666666666702</v>
      </c>
      <c r="P52" s="205">
        <v>0.45833333333333298</v>
      </c>
      <c r="Q52" s="205">
        <v>0.5</v>
      </c>
      <c r="R52" s="205">
        <v>0.54166666666666696</v>
      </c>
      <c r="S52" s="211">
        <v>0.58333333333333304</v>
      </c>
      <c r="T52" s="211">
        <v>0.625</v>
      </c>
      <c r="U52" s="211">
        <v>0.66666666666666696</v>
      </c>
      <c r="V52" s="211">
        <v>0.70833333333333304</v>
      </c>
      <c r="W52" s="211">
        <v>0.72916666666666663</v>
      </c>
      <c r="X52" s="211">
        <v>0.75</v>
      </c>
      <c r="Y52" s="211">
        <v>0.77083333333333337</v>
      </c>
      <c r="Z52" s="211">
        <v>0.79166666666666663</v>
      </c>
      <c r="AA52" s="211">
        <v>0.8125</v>
      </c>
      <c r="AB52" s="211">
        <v>0.83333333333333337</v>
      </c>
      <c r="AC52" s="211">
        <v>0.85416666666666663</v>
      </c>
      <c r="AD52" s="211">
        <v>0.875</v>
      </c>
      <c r="AE52" s="211">
        <v>0.91666666666666696</v>
      </c>
      <c r="AF52" s="211">
        <v>0.95833333333333304</v>
      </c>
      <c r="AG52" s="212" t="s">
        <v>1</v>
      </c>
    </row>
    <row r="53" spans="1:33" ht="15.75" thickBot="1" x14ac:dyDescent="0.3">
      <c r="A53" s="208"/>
      <c r="B53" s="209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22"/>
      <c r="N53" s="222"/>
      <c r="O53" s="222"/>
      <c r="P53" s="222"/>
      <c r="Q53" s="222"/>
      <c r="R53" s="222"/>
      <c r="S53" s="209"/>
      <c r="T53" s="209"/>
      <c r="U53" s="209"/>
      <c r="V53" s="209"/>
      <c r="W53" s="209"/>
      <c r="X53" s="209"/>
      <c r="Y53" s="209"/>
      <c r="Z53" s="209"/>
      <c r="AA53" s="209"/>
      <c r="AB53" s="209"/>
      <c r="AC53" s="209"/>
      <c r="AD53" s="209"/>
      <c r="AE53" s="209"/>
      <c r="AF53" s="209"/>
      <c r="AG53" s="213"/>
    </row>
    <row r="54" spans="1:33" ht="15.75" thickTop="1" x14ac:dyDescent="0.25">
      <c r="A54" s="44" t="s">
        <v>75</v>
      </c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</row>
    <row r="55" spans="1:33" ht="15.75" thickBot="1" x14ac:dyDescent="0.3">
      <c r="A55" s="54" t="s">
        <v>77</v>
      </c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</row>
    <row r="56" spans="1:33" ht="16.5" thickTop="1" thickBot="1" x14ac:dyDescent="0.3">
      <c r="A56" s="187" t="s">
        <v>275</v>
      </c>
      <c r="B56" s="199" t="s">
        <v>14</v>
      </c>
      <c r="C56" s="200"/>
      <c r="D56" s="200"/>
      <c r="E56" s="200"/>
      <c r="F56" s="200"/>
      <c r="G56" s="200"/>
      <c r="H56" s="200"/>
      <c r="I56" s="200"/>
      <c r="J56" s="200"/>
      <c r="K56" s="200"/>
      <c r="L56" s="201"/>
      <c r="M56" s="202" t="s">
        <v>15</v>
      </c>
      <c r="N56" s="203"/>
      <c r="O56" s="203"/>
      <c r="P56" s="203"/>
      <c r="Q56" s="203"/>
      <c r="R56" s="204"/>
      <c r="S56" s="202" t="s">
        <v>16</v>
      </c>
      <c r="T56" s="203"/>
      <c r="U56" s="203"/>
      <c r="V56" s="203"/>
      <c r="W56" s="203"/>
      <c r="X56" s="203"/>
      <c r="Y56" s="203"/>
      <c r="Z56" s="203"/>
      <c r="AA56" s="204"/>
      <c r="AB56" s="202" t="s">
        <v>17</v>
      </c>
      <c r="AC56" s="203"/>
      <c r="AD56" s="203"/>
      <c r="AE56" s="203"/>
      <c r="AF56" s="204"/>
      <c r="AG56" s="39"/>
    </row>
    <row r="57" spans="1:33" ht="15.75" thickTop="1" x14ac:dyDescent="0.25">
      <c r="A57" s="207" t="s">
        <v>263</v>
      </c>
      <c r="B57" s="209">
        <v>0</v>
      </c>
      <c r="C57" s="209">
        <v>4.1666666666666664E-2</v>
      </c>
      <c r="D57" s="209">
        <v>8.3333333333333301E-2</v>
      </c>
      <c r="E57" s="209">
        <v>0.125</v>
      </c>
      <c r="F57" s="209">
        <v>0.16666666666666699</v>
      </c>
      <c r="G57" s="209">
        <v>0.20833333333333301</v>
      </c>
      <c r="H57" s="209">
        <v>0.22916666666666666</v>
      </c>
      <c r="I57" s="209">
        <v>0.25</v>
      </c>
      <c r="J57" s="209">
        <v>0.27083333333333331</v>
      </c>
      <c r="K57" s="209">
        <v>0.29166666666666669</v>
      </c>
      <c r="L57" s="209">
        <v>0.3125</v>
      </c>
      <c r="M57" s="205">
        <v>0.33333333333333331</v>
      </c>
      <c r="N57" s="205">
        <v>0.375</v>
      </c>
      <c r="O57" s="205">
        <v>0.41666666666666702</v>
      </c>
      <c r="P57" s="205">
        <v>0.45833333333333298</v>
      </c>
      <c r="Q57" s="205">
        <v>0.5</v>
      </c>
      <c r="R57" s="205">
        <v>0.54166666666666696</v>
      </c>
      <c r="S57" s="211">
        <v>0.58333333333333304</v>
      </c>
      <c r="T57" s="211">
        <v>0.625</v>
      </c>
      <c r="U57" s="211">
        <v>0.66666666666666696</v>
      </c>
      <c r="V57" s="211">
        <v>0.70833333333333304</v>
      </c>
      <c r="W57" s="211">
        <v>0.72916666666666663</v>
      </c>
      <c r="X57" s="211">
        <v>0.75</v>
      </c>
      <c r="Y57" s="211">
        <v>0.77083333333333337</v>
      </c>
      <c r="Z57" s="211">
        <v>0.79166666666666663</v>
      </c>
      <c r="AA57" s="211">
        <v>0.8125</v>
      </c>
      <c r="AB57" s="211">
        <v>0.83333333333333337</v>
      </c>
      <c r="AC57" s="211">
        <v>0.85416666666666663</v>
      </c>
      <c r="AD57" s="211">
        <v>0.875</v>
      </c>
      <c r="AE57" s="211">
        <v>0.91666666666666696</v>
      </c>
      <c r="AF57" s="211">
        <v>0.95833333333333304</v>
      </c>
      <c r="AG57" s="212" t="s">
        <v>1</v>
      </c>
    </row>
    <row r="58" spans="1:33" ht="15.75" thickBot="1" x14ac:dyDescent="0.3">
      <c r="A58" s="208"/>
      <c r="B58" s="209"/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22"/>
      <c r="N58" s="222"/>
      <c r="O58" s="222"/>
      <c r="P58" s="222"/>
      <c r="Q58" s="222"/>
      <c r="R58" s="222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209"/>
      <c r="AE58" s="209"/>
      <c r="AF58" s="209"/>
      <c r="AG58" s="213"/>
    </row>
    <row r="59" spans="1:33" ht="15.75" thickTop="1" x14ac:dyDescent="0.25">
      <c r="A59" s="44" t="s">
        <v>75</v>
      </c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</row>
    <row r="60" spans="1:33" ht="15.75" thickBot="1" x14ac:dyDescent="0.3">
      <c r="A60" s="54" t="s">
        <v>77</v>
      </c>
      <c r="B60" s="186"/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</row>
    <row r="61" spans="1:33" ht="16.5" thickTop="1" thickBot="1" x14ac:dyDescent="0.3">
      <c r="A61" s="187" t="s">
        <v>276</v>
      </c>
      <c r="B61" s="199" t="s">
        <v>14</v>
      </c>
      <c r="C61" s="200"/>
      <c r="D61" s="200"/>
      <c r="E61" s="200"/>
      <c r="F61" s="200"/>
      <c r="G61" s="200"/>
      <c r="H61" s="200"/>
      <c r="I61" s="200"/>
      <c r="J61" s="200"/>
      <c r="K61" s="200"/>
      <c r="L61" s="201"/>
      <c r="M61" s="202" t="s">
        <v>15</v>
      </c>
      <c r="N61" s="203"/>
      <c r="O61" s="203"/>
      <c r="P61" s="203"/>
      <c r="Q61" s="203"/>
      <c r="R61" s="204"/>
      <c r="S61" s="202" t="s">
        <v>16</v>
      </c>
      <c r="T61" s="203"/>
      <c r="U61" s="203"/>
      <c r="V61" s="203"/>
      <c r="W61" s="203"/>
      <c r="X61" s="203"/>
      <c r="Y61" s="203"/>
      <c r="Z61" s="203"/>
      <c r="AA61" s="204"/>
      <c r="AB61" s="202" t="s">
        <v>17</v>
      </c>
      <c r="AC61" s="203"/>
      <c r="AD61" s="203"/>
      <c r="AE61" s="203"/>
      <c r="AF61" s="204"/>
      <c r="AG61" s="39"/>
    </row>
    <row r="62" spans="1:33" ht="15.75" thickTop="1" x14ac:dyDescent="0.25">
      <c r="A62" s="207" t="s">
        <v>263</v>
      </c>
      <c r="B62" s="209">
        <v>0</v>
      </c>
      <c r="C62" s="209">
        <v>4.1666666666666664E-2</v>
      </c>
      <c r="D62" s="209">
        <v>8.3333333333333301E-2</v>
      </c>
      <c r="E62" s="209">
        <v>0.125</v>
      </c>
      <c r="F62" s="209">
        <v>0.16666666666666699</v>
      </c>
      <c r="G62" s="209">
        <v>0.20833333333333301</v>
      </c>
      <c r="H62" s="209">
        <v>0.22916666666666666</v>
      </c>
      <c r="I62" s="209">
        <v>0.25</v>
      </c>
      <c r="J62" s="209">
        <v>0.27083333333333331</v>
      </c>
      <c r="K62" s="209">
        <v>0.29166666666666669</v>
      </c>
      <c r="L62" s="209">
        <v>0.3125</v>
      </c>
      <c r="M62" s="205">
        <v>0.33333333333333331</v>
      </c>
      <c r="N62" s="205">
        <v>0.375</v>
      </c>
      <c r="O62" s="205">
        <v>0.41666666666666702</v>
      </c>
      <c r="P62" s="205">
        <v>0.45833333333333298</v>
      </c>
      <c r="Q62" s="205">
        <v>0.5</v>
      </c>
      <c r="R62" s="205">
        <v>0.54166666666666696</v>
      </c>
      <c r="S62" s="211">
        <v>0.58333333333333304</v>
      </c>
      <c r="T62" s="211">
        <v>0.625</v>
      </c>
      <c r="U62" s="211">
        <v>0.66666666666666696</v>
      </c>
      <c r="V62" s="211">
        <v>0.70833333333333304</v>
      </c>
      <c r="W62" s="211">
        <v>0.72916666666666663</v>
      </c>
      <c r="X62" s="211">
        <v>0.75</v>
      </c>
      <c r="Y62" s="211">
        <v>0.77083333333333337</v>
      </c>
      <c r="Z62" s="211">
        <v>0.79166666666666663</v>
      </c>
      <c r="AA62" s="211">
        <v>0.8125</v>
      </c>
      <c r="AB62" s="211">
        <v>0.83333333333333337</v>
      </c>
      <c r="AC62" s="211">
        <v>0.85416666666666663</v>
      </c>
      <c r="AD62" s="211">
        <v>0.875</v>
      </c>
      <c r="AE62" s="211">
        <v>0.91666666666666696</v>
      </c>
      <c r="AF62" s="211">
        <v>0.95833333333333304</v>
      </c>
      <c r="AG62" s="212" t="s">
        <v>1</v>
      </c>
    </row>
    <row r="63" spans="1:33" ht="15.75" thickBot="1" x14ac:dyDescent="0.3">
      <c r="A63" s="208"/>
      <c r="B63" s="209"/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22"/>
      <c r="N63" s="222"/>
      <c r="O63" s="222"/>
      <c r="P63" s="222"/>
      <c r="Q63" s="222"/>
      <c r="R63" s="222"/>
      <c r="S63" s="209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09"/>
      <c r="AF63" s="209"/>
      <c r="AG63" s="213"/>
    </row>
    <row r="64" spans="1:33" ht="15.75" thickTop="1" x14ac:dyDescent="0.25">
      <c r="A64" s="44" t="s">
        <v>75</v>
      </c>
      <c r="B64" s="186"/>
      <c r="C64" s="186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</row>
    <row r="65" spans="1:33" x14ac:dyDescent="0.25">
      <c r="A65" s="54" t="s">
        <v>77</v>
      </c>
      <c r="B65" s="186"/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  <c r="AE65" s="186"/>
      <c r="AF65" s="186"/>
      <c r="AG65" s="186"/>
    </row>
    <row r="81" spans="17:20" x14ac:dyDescent="0.25">
      <c r="Q81">
        <v>88.26</v>
      </c>
    </row>
    <row r="84" spans="17:20" x14ac:dyDescent="0.25">
      <c r="T84">
        <f>90/59.8</f>
        <v>1.5050167224080269</v>
      </c>
    </row>
  </sheetData>
  <mergeCells count="481">
    <mergeCell ref="AE62:AE63"/>
    <mergeCell ref="AF62:AF63"/>
    <mergeCell ref="AG62:AG63"/>
    <mergeCell ref="Y62:Y63"/>
    <mergeCell ref="Z62:Z63"/>
    <mergeCell ref="AA62:AA63"/>
    <mergeCell ref="AB62:AB63"/>
    <mergeCell ref="AC62:AC63"/>
    <mergeCell ref="AD62:AD63"/>
    <mergeCell ref="S62:S63"/>
    <mergeCell ref="T62:T63"/>
    <mergeCell ref="U62:U63"/>
    <mergeCell ref="V62:V63"/>
    <mergeCell ref="W62:W63"/>
    <mergeCell ref="X62:X63"/>
    <mergeCell ref="M62:M63"/>
    <mergeCell ref="N62:N63"/>
    <mergeCell ref="O62:O63"/>
    <mergeCell ref="P62:P63"/>
    <mergeCell ref="Q62:Q63"/>
    <mergeCell ref="R62:R63"/>
    <mergeCell ref="G62:G63"/>
    <mergeCell ref="H62:H63"/>
    <mergeCell ref="I62:I63"/>
    <mergeCell ref="J62:J63"/>
    <mergeCell ref="K62:K63"/>
    <mergeCell ref="L62:L63"/>
    <mergeCell ref="A62:A63"/>
    <mergeCell ref="B62:B63"/>
    <mergeCell ref="C62:C63"/>
    <mergeCell ref="D62:D63"/>
    <mergeCell ref="E62:E63"/>
    <mergeCell ref="F62:F63"/>
    <mergeCell ref="AE57:AE58"/>
    <mergeCell ref="AF57:AF58"/>
    <mergeCell ref="AG57:AG58"/>
    <mergeCell ref="B61:L61"/>
    <mergeCell ref="M61:R61"/>
    <mergeCell ref="S61:AA61"/>
    <mergeCell ref="AB61:AF61"/>
    <mergeCell ref="Y57:Y58"/>
    <mergeCell ref="Z57:Z58"/>
    <mergeCell ref="AA57:AA58"/>
    <mergeCell ref="AB57:AB58"/>
    <mergeCell ref="AC57:AC58"/>
    <mergeCell ref="AD57:AD58"/>
    <mergeCell ref="S57:S58"/>
    <mergeCell ref="T57:T58"/>
    <mergeCell ref="U57:U58"/>
    <mergeCell ref="V57:V58"/>
    <mergeCell ref="W57:W58"/>
    <mergeCell ref="X57:X58"/>
    <mergeCell ref="M57:M58"/>
    <mergeCell ref="N57:N58"/>
    <mergeCell ref="O57:O58"/>
    <mergeCell ref="P57:P58"/>
    <mergeCell ref="Q57:Q58"/>
    <mergeCell ref="R57:R58"/>
    <mergeCell ref="G57:G58"/>
    <mergeCell ref="H57:H58"/>
    <mergeCell ref="I57:I58"/>
    <mergeCell ref="J57:J58"/>
    <mergeCell ref="K57:K58"/>
    <mergeCell ref="L57:L58"/>
    <mergeCell ref="A57:A58"/>
    <mergeCell ref="B57:B58"/>
    <mergeCell ref="C57:C58"/>
    <mergeCell ref="D57:D58"/>
    <mergeCell ref="E57:E58"/>
    <mergeCell ref="F57:F58"/>
    <mergeCell ref="AE52:AE53"/>
    <mergeCell ref="AF52:AF53"/>
    <mergeCell ref="AG52:AG53"/>
    <mergeCell ref="B56:L56"/>
    <mergeCell ref="M56:R56"/>
    <mergeCell ref="S56:AA56"/>
    <mergeCell ref="AB56:AF56"/>
    <mergeCell ref="Y52:Y53"/>
    <mergeCell ref="Z52:Z53"/>
    <mergeCell ref="AA52:AA53"/>
    <mergeCell ref="AB52:AB53"/>
    <mergeCell ref="AC52:AC53"/>
    <mergeCell ref="AD52:AD53"/>
    <mergeCell ref="S52:S53"/>
    <mergeCell ref="T52:T53"/>
    <mergeCell ref="U52:U53"/>
    <mergeCell ref="V52:V53"/>
    <mergeCell ref="W52:W53"/>
    <mergeCell ref="X52:X53"/>
    <mergeCell ref="M52:M53"/>
    <mergeCell ref="N52:N53"/>
    <mergeCell ref="O52:O53"/>
    <mergeCell ref="P52:P53"/>
    <mergeCell ref="Q52:Q53"/>
    <mergeCell ref="R52:R53"/>
    <mergeCell ref="G52:G53"/>
    <mergeCell ref="H52:H53"/>
    <mergeCell ref="I52:I53"/>
    <mergeCell ref="J52:J53"/>
    <mergeCell ref="K52:K53"/>
    <mergeCell ref="L52:L53"/>
    <mergeCell ref="A52:A53"/>
    <mergeCell ref="B52:B53"/>
    <mergeCell ref="C52:C53"/>
    <mergeCell ref="D52:D53"/>
    <mergeCell ref="E52:E53"/>
    <mergeCell ref="F52:F53"/>
    <mergeCell ref="AE47:AE48"/>
    <mergeCell ref="AF47:AF48"/>
    <mergeCell ref="AG47:AG48"/>
    <mergeCell ref="B51:L51"/>
    <mergeCell ref="M51:R51"/>
    <mergeCell ref="S51:AA51"/>
    <mergeCell ref="AB51:AF51"/>
    <mergeCell ref="Y47:Y48"/>
    <mergeCell ref="Z47:Z48"/>
    <mergeCell ref="AA47:AA48"/>
    <mergeCell ref="AB47:AB48"/>
    <mergeCell ref="AC47:AC48"/>
    <mergeCell ref="AD47:AD48"/>
    <mergeCell ref="S47:S48"/>
    <mergeCell ref="T47:T48"/>
    <mergeCell ref="U47:U48"/>
    <mergeCell ref="V47:V48"/>
    <mergeCell ref="W47:W48"/>
    <mergeCell ref="X47:X48"/>
    <mergeCell ref="M47:M48"/>
    <mergeCell ref="N47:N48"/>
    <mergeCell ref="O47:O48"/>
    <mergeCell ref="P47:P48"/>
    <mergeCell ref="Q47:Q48"/>
    <mergeCell ref="R47:R48"/>
    <mergeCell ref="G47:G48"/>
    <mergeCell ref="H47:H48"/>
    <mergeCell ref="I47:I48"/>
    <mergeCell ref="J47:J48"/>
    <mergeCell ref="K47:K48"/>
    <mergeCell ref="L47:L48"/>
    <mergeCell ref="A47:A48"/>
    <mergeCell ref="B47:B48"/>
    <mergeCell ref="C47:C48"/>
    <mergeCell ref="D47:D48"/>
    <mergeCell ref="E47:E48"/>
    <mergeCell ref="F47:F48"/>
    <mergeCell ref="AE42:AE43"/>
    <mergeCell ref="AF42:AF43"/>
    <mergeCell ref="AG42:AG43"/>
    <mergeCell ref="B46:L46"/>
    <mergeCell ref="M46:R46"/>
    <mergeCell ref="S46:AA46"/>
    <mergeCell ref="AB46:AF46"/>
    <mergeCell ref="Y42:Y43"/>
    <mergeCell ref="Z42:Z43"/>
    <mergeCell ref="AA42:AA43"/>
    <mergeCell ref="AB42:AB43"/>
    <mergeCell ref="AC42:AC43"/>
    <mergeCell ref="AD42:AD43"/>
    <mergeCell ref="S42:S43"/>
    <mergeCell ref="T42:T43"/>
    <mergeCell ref="U42:U43"/>
    <mergeCell ref="V42:V43"/>
    <mergeCell ref="W42:W43"/>
    <mergeCell ref="X42:X43"/>
    <mergeCell ref="M42:M43"/>
    <mergeCell ref="N42:N43"/>
    <mergeCell ref="O42:O43"/>
    <mergeCell ref="P42:P43"/>
    <mergeCell ref="Q42:Q43"/>
    <mergeCell ref="R42:R43"/>
    <mergeCell ref="G42:G43"/>
    <mergeCell ref="H42:H43"/>
    <mergeCell ref="I42:I43"/>
    <mergeCell ref="J42:J43"/>
    <mergeCell ref="K42:K43"/>
    <mergeCell ref="L42:L43"/>
    <mergeCell ref="A42:A43"/>
    <mergeCell ref="B42:B43"/>
    <mergeCell ref="C42:C43"/>
    <mergeCell ref="D42:D43"/>
    <mergeCell ref="E42:E43"/>
    <mergeCell ref="F42:F43"/>
    <mergeCell ref="AE37:AE38"/>
    <mergeCell ref="AF37:AF38"/>
    <mergeCell ref="AG37:AG38"/>
    <mergeCell ref="B41:L41"/>
    <mergeCell ref="M41:R41"/>
    <mergeCell ref="S41:AA41"/>
    <mergeCell ref="AB41:AF41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AE32:AE33"/>
    <mergeCell ref="AF32:AF33"/>
    <mergeCell ref="AG32:AG33"/>
    <mergeCell ref="B36:L36"/>
    <mergeCell ref="M36:R36"/>
    <mergeCell ref="S36:AA36"/>
    <mergeCell ref="AB36:AF36"/>
    <mergeCell ref="Y32:Y33"/>
    <mergeCell ref="Z32:Z33"/>
    <mergeCell ref="AA32:AA33"/>
    <mergeCell ref="AB32:AB33"/>
    <mergeCell ref="AC32:AC33"/>
    <mergeCell ref="AD32:AD33"/>
    <mergeCell ref="S32:S33"/>
    <mergeCell ref="T32:T33"/>
    <mergeCell ref="U32:U33"/>
    <mergeCell ref="V32:V33"/>
    <mergeCell ref="W32:W33"/>
    <mergeCell ref="X32:X33"/>
    <mergeCell ref="M32:M33"/>
    <mergeCell ref="N32:N33"/>
    <mergeCell ref="O32:O33"/>
    <mergeCell ref="P32:P33"/>
    <mergeCell ref="Q32:Q33"/>
    <mergeCell ref="R32:R33"/>
    <mergeCell ref="G32:G33"/>
    <mergeCell ref="H32:H33"/>
    <mergeCell ref="I32:I33"/>
    <mergeCell ref="J32:J33"/>
    <mergeCell ref="K32:K33"/>
    <mergeCell ref="L32:L33"/>
    <mergeCell ref="A32:A33"/>
    <mergeCell ref="B32:B33"/>
    <mergeCell ref="C32:C33"/>
    <mergeCell ref="D32:D33"/>
    <mergeCell ref="E32:E33"/>
    <mergeCell ref="F32:F33"/>
    <mergeCell ref="AE27:AE28"/>
    <mergeCell ref="AF27:AF28"/>
    <mergeCell ref="AG27:AG28"/>
    <mergeCell ref="B31:L31"/>
    <mergeCell ref="M31:R31"/>
    <mergeCell ref="S31:AA31"/>
    <mergeCell ref="AB31:AF31"/>
    <mergeCell ref="Y27:Y28"/>
    <mergeCell ref="Z27:Z28"/>
    <mergeCell ref="AA27:AA28"/>
    <mergeCell ref="AB27:AB28"/>
    <mergeCell ref="AC27:AC28"/>
    <mergeCell ref="AD27:AD28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AE22:AE23"/>
    <mergeCell ref="AF22:AF23"/>
    <mergeCell ref="AG22:AG23"/>
    <mergeCell ref="B26:L26"/>
    <mergeCell ref="M26:R26"/>
    <mergeCell ref="S26:AA26"/>
    <mergeCell ref="AB26:AF26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A22:A23"/>
    <mergeCell ref="B22:B23"/>
    <mergeCell ref="C22:C23"/>
    <mergeCell ref="D22:D23"/>
    <mergeCell ref="E22:E23"/>
    <mergeCell ref="F22:F23"/>
    <mergeCell ref="AE17:AE18"/>
    <mergeCell ref="AF17:AF18"/>
    <mergeCell ref="AG17:AG18"/>
    <mergeCell ref="B21:L21"/>
    <mergeCell ref="M21:R21"/>
    <mergeCell ref="S21:AA21"/>
    <mergeCell ref="AB21:AF21"/>
    <mergeCell ref="Y17:Y18"/>
    <mergeCell ref="Z17:Z18"/>
    <mergeCell ref="AA17:AA18"/>
    <mergeCell ref="AB17:AB18"/>
    <mergeCell ref="AC17:AC18"/>
    <mergeCell ref="AD17:AD18"/>
    <mergeCell ref="S17:S18"/>
    <mergeCell ref="T17:T18"/>
    <mergeCell ref="U17:U18"/>
    <mergeCell ref="V17:V18"/>
    <mergeCell ref="W17:W18"/>
    <mergeCell ref="X17:X18"/>
    <mergeCell ref="M17:M18"/>
    <mergeCell ref="N17:N18"/>
    <mergeCell ref="O17:O18"/>
    <mergeCell ref="P17:P18"/>
    <mergeCell ref="Q17:Q18"/>
    <mergeCell ref="R17:R18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AE12:AE13"/>
    <mergeCell ref="AF12:AF13"/>
    <mergeCell ref="AG12:AG13"/>
    <mergeCell ref="B16:L16"/>
    <mergeCell ref="M16:R16"/>
    <mergeCell ref="S16:AA16"/>
    <mergeCell ref="AB16:AF16"/>
    <mergeCell ref="Y12:Y13"/>
    <mergeCell ref="Z12:Z13"/>
    <mergeCell ref="AA12:AA13"/>
    <mergeCell ref="AB12:AB13"/>
    <mergeCell ref="AC12:AC13"/>
    <mergeCell ref="AD12:AD13"/>
    <mergeCell ref="S12:S13"/>
    <mergeCell ref="T12:T13"/>
    <mergeCell ref="U12:U13"/>
    <mergeCell ref="V12:V13"/>
    <mergeCell ref="W12:W13"/>
    <mergeCell ref="X12:X13"/>
    <mergeCell ref="M12:M13"/>
    <mergeCell ref="N12:N13"/>
    <mergeCell ref="O12:O13"/>
    <mergeCell ref="P12:P13"/>
    <mergeCell ref="Q12:Q13"/>
    <mergeCell ref="R12:R13"/>
    <mergeCell ref="G12:G13"/>
    <mergeCell ref="H12:H13"/>
    <mergeCell ref="I12:I13"/>
    <mergeCell ref="J12:J13"/>
    <mergeCell ref="K12:K13"/>
    <mergeCell ref="L12:L13"/>
    <mergeCell ref="A12:A13"/>
    <mergeCell ref="B12:B13"/>
    <mergeCell ref="C12:C13"/>
    <mergeCell ref="D12:D13"/>
    <mergeCell ref="E12:E13"/>
    <mergeCell ref="F12:F13"/>
    <mergeCell ref="AE7:AE8"/>
    <mergeCell ref="AF7:AF8"/>
    <mergeCell ref="AG7:AG8"/>
    <mergeCell ref="B11:L11"/>
    <mergeCell ref="M11:R11"/>
    <mergeCell ref="S11:AA11"/>
    <mergeCell ref="AB11:AF11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V7:V8"/>
    <mergeCell ref="W7:W8"/>
    <mergeCell ref="X7:X8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A7:A8"/>
    <mergeCell ref="B7:B8"/>
    <mergeCell ref="C7:C8"/>
    <mergeCell ref="D7:D8"/>
    <mergeCell ref="E7:E8"/>
    <mergeCell ref="F7:F8"/>
    <mergeCell ref="AG2:AG3"/>
    <mergeCell ref="B6:L6"/>
    <mergeCell ref="M6:R6"/>
    <mergeCell ref="S6:AA6"/>
    <mergeCell ref="AB6:AF6"/>
    <mergeCell ref="Y2:Y3"/>
    <mergeCell ref="Z2:Z3"/>
    <mergeCell ref="AA2:AA3"/>
    <mergeCell ref="AB2:AB3"/>
    <mergeCell ref="AC2:AC3"/>
    <mergeCell ref="AD2:AD3"/>
    <mergeCell ref="S2:S3"/>
    <mergeCell ref="T2:T3"/>
    <mergeCell ref="U2:U3"/>
    <mergeCell ref="V2:V3"/>
    <mergeCell ref="W2:W3"/>
    <mergeCell ref="X2:X3"/>
    <mergeCell ref="M2:M3"/>
    <mergeCell ref="N2:N3"/>
    <mergeCell ref="O2:O3"/>
    <mergeCell ref="P2:P3"/>
    <mergeCell ref="Q2:Q3"/>
    <mergeCell ref="S1:AA1"/>
    <mergeCell ref="AB1:AF1"/>
    <mergeCell ref="A2:A3"/>
    <mergeCell ref="B2:B3"/>
    <mergeCell ref="C2:C3"/>
    <mergeCell ref="D2:D3"/>
    <mergeCell ref="E2:E3"/>
    <mergeCell ref="F2:F3"/>
    <mergeCell ref="R2:R3"/>
    <mergeCell ref="G2:G3"/>
    <mergeCell ref="H2:H3"/>
    <mergeCell ref="I2:I3"/>
    <mergeCell ref="J2:J3"/>
    <mergeCell ref="K2:K3"/>
    <mergeCell ref="L2:L3"/>
    <mergeCell ref="B1:L1"/>
    <mergeCell ref="M1:R1"/>
    <mergeCell ref="AE2:AE3"/>
    <mergeCell ref="AF2:AF3"/>
  </mergeCells>
  <conditionalFormatting sqref="B1 M1 S1 AB1">
    <cfRule type="expression" dxfId="2194" priority="222">
      <formula>C$9&gt;=20/24</formula>
    </cfRule>
    <cfRule type="expression" dxfId="2193" priority="223">
      <formula>AND(C$9&gt;=14/24,C$9&lt;20/24)</formula>
    </cfRule>
    <cfRule type="expression" dxfId="2192" priority="224">
      <formula>AND(C$9&gt;=8/24,C$9&lt;14/24)</formula>
    </cfRule>
    <cfRule type="expression" dxfId="2191" priority="225">
      <formula>C$9&lt;8/24</formula>
    </cfRule>
  </conditionalFormatting>
  <conditionalFormatting sqref="S1">
    <cfRule type="expression" dxfId="2190" priority="214">
      <formula>U$9&gt;=20/24</formula>
    </cfRule>
    <cfRule type="expression" dxfId="2189" priority="215">
      <formula>AND(U$9&gt;=14/24,U$9&lt;20/24)</formula>
    </cfRule>
    <cfRule type="expression" dxfId="2188" priority="216">
      <formula>AND(U$9&gt;=8/24,U$9&lt;14/24)</formula>
    </cfRule>
    <cfRule type="expression" dxfId="2187" priority="217">
      <formula>U$9&lt;8/24</formula>
    </cfRule>
  </conditionalFormatting>
  <conditionalFormatting sqref="AB1">
    <cfRule type="expression" dxfId="2186" priority="210">
      <formula>AD$9&gt;=20/24</formula>
    </cfRule>
    <cfRule type="expression" dxfId="2185" priority="211">
      <formula>AND(AD$9&gt;=14/24,AD$9&lt;20/24)</formula>
    </cfRule>
    <cfRule type="expression" dxfId="2184" priority="212">
      <formula>AND(AD$9&gt;=8/24,AD$9&lt;14/24)</formula>
    </cfRule>
    <cfRule type="expression" dxfId="2183" priority="213">
      <formula>AD$9&lt;8/24</formula>
    </cfRule>
  </conditionalFormatting>
  <conditionalFormatting sqref="A4:A5">
    <cfRule type="expression" dxfId="2182" priority="209">
      <formula>$AH4=0</formula>
    </cfRule>
  </conditionalFormatting>
  <conditionalFormatting sqref="B7:AF8">
    <cfRule type="expression" dxfId="2181" priority="201">
      <formula>B$9&gt;=20/24</formula>
    </cfRule>
    <cfRule type="expression" dxfId="2180" priority="202">
      <formula>AND(B$9&gt;=14/24,B$9&lt;20/24)</formula>
    </cfRule>
    <cfRule type="expression" dxfId="2179" priority="203">
      <formula>AND(B$9&gt;=8/24,B$9&lt;14/24)</formula>
    </cfRule>
    <cfRule type="expression" dxfId="2178" priority="204">
      <formula>B$9&lt;8/24</formula>
    </cfRule>
  </conditionalFormatting>
  <conditionalFormatting sqref="B6 M6 S6 AB6">
    <cfRule type="expression" dxfId="2177" priority="205">
      <formula>C$9&gt;=20/24</formula>
    </cfRule>
    <cfRule type="expression" dxfId="2176" priority="206">
      <formula>AND(C$9&gt;=14/24,C$9&lt;20/24)</formula>
    </cfRule>
    <cfRule type="expression" dxfId="2175" priority="207">
      <formula>AND(C$9&gt;=8/24,C$9&lt;14/24)</formula>
    </cfRule>
    <cfRule type="expression" dxfId="2174" priority="208">
      <formula>C$9&lt;8/24</formula>
    </cfRule>
  </conditionalFormatting>
  <conditionalFormatting sqref="S6">
    <cfRule type="expression" dxfId="2173" priority="197">
      <formula>U$9&gt;=20/24</formula>
    </cfRule>
    <cfRule type="expression" dxfId="2172" priority="198">
      <formula>AND(U$9&gt;=14/24,U$9&lt;20/24)</formula>
    </cfRule>
    <cfRule type="expression" dxfId="2171" priority="199">
      <formula>AND(U$9&gt;=8/24,U$9&lt;14/24)</formula>
    </cfRule>
    <cfRule type="expression" dxfId="2170" priority="200">
      <formula>U$9&lt;8/24</formula>
    </cfRule>
  </conditionalFormatting>
  <conditionalFormatting sqref="AB6">
    <cfRule type="expression" dxfId="2169" priority="193">
      <formula>AD$9&gt;=20/24</formula>
    </cfRule>
    <cfRule type="expression" dxfId="2168" priority="194">
      <formula>AND(AD$9&gt;=14/24,AD$9&lt;20/24)</formula>
    </cfRule>
    <cfRule type="expression" dxfId="2167" priority="195">
      <formula>AND(AD$9&gt;=8/24,AD$9&lt;14/24)</formula>
    </cfRule>
    <cfRule type="expression" dxfId="2166" priority="196">
      <formula>AD$9&lt;8/24</formula>
    </cfRule>
  </conditionalFormatting>
  <conditionalFormatting sqref="A9:A10">
    <cfRule type="expression" dxfId="2165" priority="192">
      <formula>$AH9=0</formula>
    </cfRule>
  </conditionalFormatting>
  <conditionalFormatting sqref="B12:AF13">
    <cfRule type="expression" dxfId="2164" priority="184">
      <formula>B$9&gt;=20/24</formula>
    </cfRule>
    <cfRule type="expression" dxfId="2163" priority="185">
      <formula>AND(B$9&gt;=14/24,B$9&lt;20/24)</formula>
    </cfRule>
    <cfRule type="expression" dxfId="2162" priority="186">
      <formula>AND(B$9&gt;=8/24,B$9&lt;14/24)</formula>
    </cfRule>
    <cfRule type="expression" dxfId="2161" priority="187">
      <formula>B$9&lt;8/24</formula>
    </cfRule>
  </conditionalFormatting>
  <conditionalFormatting sqref="B11 M11 S11 AB11">
    <cfRule type="expression" dxfId="2160" priority="188">
      <formula>C$9&gt;=20/24</formula>
    </cfRule>
    <cfRule type="expression" dxfId="2159" priority="189">
      <formula>AND(C$9&gt;=14/24,C$9&lt;20/24)</formula>
    </cfRule>
    <cfRule type="expression" dxfId="2158" priority="190">
      <formula>AND(C$9&gt;=8/24,C$9&lt;14/24)</formula>
    </cfRule>
    <cfRule type="expression" dxfId="2157" priority="191">
      <formula>C$9&lt;8/24</formula>
    </cfRule>
  </conditionalFormatting>
  <conditionalFormatting sqref="S11">
    <cfRule type="expression" dxfId="2156" priority="180">
      <formula>U$9&gt;=20/24</formula>
    </cfRule>
    <cfRule type="expression" dxfId="2155" priority="181">
      <formula>AND(U$9&gt;=14/24,U$9&lt;20/24)</formula>
    </cfRule>
    <cfRule type="expression" dxfId="2154" priority="182">
      <formula>AND(U$9&gt;=8/24,U$9&lt;14/24)</formula>
    </cfRule>
    <cfRule type="expression" dxfId="2153" priority="183">
      <formula>U$9&lt;8/24</formula>
    </cfRule>
  </conditionalFormatting>
  <conditionalFormatting sqref="AB11">
    <cfRule type="expression" dxfId="2152" priority="176">
      <formula>AD$9&gt;=20/24</formula>
    </cfRule>
    <cfRule type="expression" dxfId="2151" priority="177">
      <formula>AND(AD$9&gt;=14/24,AD$9&lt;20/24)</formula>
    </cfRule>
    <cfRule type="expression" dxfId="2150" priority="178">
      <formula>AND(AD$9&gt;=8/24,AD$9&lt;14/24)</formula>
    </cfRule>
    <cfRule type="expression" dxfId="2149" priority="179">
      <formula>AD$9&lt;8/24</formula>
    </cfRule>
  </conditionalFormatting>
  <conditionalFormatting sqref="A14:A15">
    <cfRule type="expression" dxfId="2148" priority="175">
      <formula>$AH14=0</formula>
    </cfRule>
  </conditionalFormatting>
  <conditionalFormatting sqref="B17:AF18">
    <cfRule type="expression" dxfId="2147" priority="167">
      <formula>B$9&gt;=20/24</formula>
    </cfRule>
    <cfRule type="expression" dxfId="2146" priority="168">
      <formula>AND(B$9&gt;=14/24,B$9&lt;20/24)</formula>
    </cfRule>
    <cfRule type="expression" dxfId="2145" priority="169">
      <formula>AND(B$9&gt;=8/24,B$9&lt;14/24)</formula>
    </cfRule>
    <cfRule type="expression" dxfId="2144" priority="170">
      <formula>B$9&lt;8/24</formula>
    </cfRule>
  </conditionalFormatting>
  <conditionalFormatting sqref="B16 M16 S16 AB16">
    <cfRule type="expression" dxfId="2143" priority="171">
      <formula>C$9&gt;=20/24</formula>
    </cfRule>
    <cfRule type="expression" dxfId="2142" priority="172">
      <formula>AND(C$9&gt;=14/24,C$9&lt;20/24)</formula>
    </cfRule>
    <cfRule type="expression" dxfId="2141" priority="173">
      <formula>AND(C$9&gt;=8/24,C$9&lt;14/24)</formula>
    </cfRule>
    <cfRule type="expression" dxfId="2140" priority="174">
      <formula>C$9&lt;8/24</formula>
    </cfRule>
  </conditionalFormatting>
  <conditionalFormatting sqref="S16">
    <cfRule type="expression" dxfId="2139" priority="163">
      <formula>U$9&gt;=20/24</formula>
    </cfRule>
    <cfRule type="expression" dxfId="2138" priority="164">
      <formula>AND(U$9&gt;=14/24,U$9&lt;20/24)</formula>
    </cfRule>
    <cfRule type="expression" dxfId="2137" priority="165">
      <formula>AND(U$9&gt;=8/24,U$9&lt;14/24)</formula>
    </cfRule>
    <cfRule type="expression" dxfId="2136" priority="166">
      <formula>U$9&lt;8/24</formula>
    </cfRule>
  </conditionalFormatting>
  <conditionalFormatting sqref="AB16">
    <cfRule type="expression" dxfId="2135" priority="159">
      <formula>AD$9&gt;=20/24</formula>
    </cfRule>
    <cfRule type="expression" dxfId="2134" priority="160">
      <formula>AND(AD$9&gt;=14/24,AD$9&lt;20/24)</formula>
    </cfRule>
    <cfRule type="expression" dxfId="2133" priority="161">
      <formula>AND(AD$9&gt;=8/24,AD$9&lt;14/24)</formula>
    </cfRule>
    <cfRule type="expression" dxfId="2132" priority="162">
      <formula>AD$9&lt;8/24</formula>
    </cfRule>
  </conditionalFormatting>
  <conditionalFormatting sqref="A19:A20">
    <cfRule type="expression" dxfId="2131" priority="158">
      <formula>$AH19=0</formula>
    </cfRule>
  </conditionalFormatting>
  <conditionalFormatting sqref="B22:AF23">
    <cfRule type="expression" dxfId="2130" priority="150">
      <formula>B$9&gt;=20/24</formula>
    </cfRule>
    <cfRule type="expression" dxfId="2129" priority="151">
      <formula>AND(B$9&gt;=14/24,B$9&lt;20/24)</formula>
    </cfRule>
    <cfRule type="expression" dxfId="2128" priority="152">
      <formula>AND(B$9&gt;=8/24,B$9&lt;14/24)</formula>
    </cfRule>
    <cfRule type="expression" dxfId="2127" priority="153">
      <formula>B$9&lt;8/24</formula>
    </cfRule>
  </conditionalFormatting>
  <conditionalFormatting sqref="B21 M21 S21 AB21">
    <cfRule type="expression" dxfId="2126" priority="154">
      <formula>C$9&gt;=20/24</formula>
    </cfRule>
    <cfRule type="expression" dxfId="2125" priority="155">
      <formula>AND(C$9&gt;=14/24,C$9&lt;20/24)</formula>
    </cfRule>
    <cfRule type="expression" dxfId="2124" priority="156">
      <formula>AND(C$9&gt;=8/24,C$9&lt;14/24)</formula>
    </cfRule>
    <cfRule type="expression" dxfId="2123" priority="157">
      <formula>C$9&lt;8/24</formula>
    </cfRule>
  </conditionalFormatting>
  <conditionalFormatting sqref="S21">
    <cfRule type="expression" dxfId="2122" priority="146">
      <formula>U$9&gt;=20/24</formula>
    </cfRule>
    <cfRule type="expression" dxfId="2121" priority="147">
      <formula>AND(U$9&gt;=14/24,U$9&lt;20/24)</formula>
    </cfRule>
    <cfRule type="expression" dxfId="2120" priority="148">
      <formula>AND(U$9&gt;=8/24,U$9&lt;14/24)</formula>
    </cfRule>
    <cfRule type="expression" dxfId="2119" priority="149">
      <formula>U$9&lt;8/24</formula>
    </cfRule>
  </conditionalFormatting>
  <conditionalFormatting sqref="AB21">
    <cfRule type="expression" dxfId="2118" priority="142">
      <formula>AD$9&gt;=20/24</formula>
    </cfRule>
    <cfRule type="expression" dxfId="2117" priority="143">
      <formula>AND(AD$9&gt;=14/24,AD$9&lt;20/24)</formula>
    </cfRule>
    <cfRule type="expression" dxfId="2116" priority="144">
      <formula>AND(AD$9&gt;=8/24,AD$9&lt;14/24)</formula>
    </cfRule>
    <cfRule type="expression" dxfId="2115" priority="145">
      <formula>AD$9&lt;8/24</formula>
    </cfRule>
  </conditionalFormatting>
  <conditionalFormatting sqref="A24:A25">
    <cfRule type="expression" dxfId="2114" priority="141">
      <formula>$AH24=0</formula>
    </cfRule>
  </conditionalFormatting>
  <conditionalFormatting sqref="B27:AF28">
    <cfRule type="expression" dxfId="2113" priority="133">
      <formula>B$9&gt;=20/24</formula>
    </cfRule>
    <cfRule type="expression" dxfId="2112" priority="134">
      <formula>AND(B$9&gt;=14/24,B$9&lt;20/24)</formula>
    </cfRule>
    <cfRule type="expression" dxfId="2111" priority="135">
      <formula>AND(B$9&gt;=8/24,B$9&lt;14/24)</formula>
    </cfRule>
    <cfRule type="expression" dxfId="2110" priority="136">
      <formula>B$9&lt;8/24</formula>
    </cfRule>
  </conditionalFormatting>
  <conditionalFormatting sqref="B26 M26 S26 AB26">
    <cfRule type="expression" dxfId="2109" priority="137">
      <formula>C$9&gt;=20/24</formula>
    </cfRule>
    <cfRule type="expression" dxfId="2108" priority="138">
      <formula>AND(C$9&gt;=14/24,C$9&lt;20/24)</formula>
    </cfRule>
    <cfRule type="expression" dxfId="2107" priority="139">
      <formula>AND(C$9&gt;=8/24,C$9&lt;14/24)</formula>
    </cfRule>
    <cfRule type="expression" dxfId="2106" priority="140">
      <formula>C$9&lt;8/24</formula>
    </cfRule>
  </conditionalFormatting>
  <conditionalFormatting sqref="S26">
    <cfRule type="expression" dxfId="2105" priority="129">
      <formula>U$9&gt;=20/24</formula>
    </cfRule>
    <cfRule type="expression" dxfId="2104" priority="130">
      <formula>AND(U$9&gt;=14/24,U$9&lt;20/24)</formula>
    </cfRule>
    <cfRule type="expression" dxfId="2103" priority="131">
      <formula>AND(U$9&gt;=8/24,U$9&lt;14/24)</formula>
    </cfRule>
    <cfRule type="expression" dxfId="2102" priority="132">
      <formula>U$9&lt;8/24</formula>
    </cfRule>
  </conditionalFormatting>
  <conditionalFormatting sqref="AB26">
    <cfRule type="expression" dxfId="2101" priority="125">
      <formula>AD$9&gt;=20/24</formula>
    </cfRule>
    <cfRule type="expression" dxfId="2100" priority="126">
      <formula>AND(AD$9&gt;=14/24,AD$9&lt;20/24)</formula>
    </cfRule>
    <cfRule type="expression" dxfId="2099" priority="127">
      <formula>AND(AD$9&gt;=8/24,AD$9&lt;14/24)</formula>
    </cfRule>
    <cfRule type="expression" dxfId="2098" priority="128">
      <formula>AD$9&lt;8/24</formula>
    </cfRule>
  </conditionalFormatting>
  <conditionalFormatting sqref="A29:A30">
    <cfRule type="expression" dxfId="2097" priority="124">
      <formula>$AH29=0</formula>
    </cfRule>
  </conditionalFormatting>
  <conditionalFormatting sqref="B32:AF33">
    <cfRule type="expression" dxfId="2096" priority="116">
      <formula>B$9&gt;=20/24</formula>
    </cfRule>
    <cfRule type="expression" dxfId="2095" priority="117">
      <formula>AND(B$9&gt;=14/24,B$9&lt;20/24)</formula>
    </cfRule>
    <cfRule type="expression" dxfId="2094" priority="118">
      <formula>AND(B$9&gt;=8/24,B$9&lt;14/24)</formula>
    </cfRule>
    <cfRule type="expression" dxfId="2093" priority="119">
      <formula>B$9&lt;8/24</formula>
    </cfRule>
  </conditionalFormatting>
  <conditionalFormatting sqref="B31 M31 S31 AB31">
    <cfRule type="expression" dxfId="2092" priority="120">
      <formula>C$9&gt;=20/24</formula>
    </cfRule>
    <cfRule type="expression" dxfId="2091" priority="121">
      <formula>AND(C$9&gt;=14/24,C$9&lt;20/24)</formula>
    </cfRule>
    <cfRule type="expression" dxfId="2090" priority="122">
      <formula>AND(C$9&gt;=8/24,C$9&lt;14/24)</formula>
    </cfRule>
    <cfRule type="expression" dxfId="2089" priority="123">
      <formula>C$9&lt;8/24</formula>
    </cfRule>
  </conditionalFormatting>
  <conditionalFormatting sqref="S31">
    <cfRule type="expression" dxfId="2088" priority="112">
      <formula>U$9&gt;=20/24</formula>
    </cfRule>
    <cfRule type="expression" dxfId="2087" priority="113">
      <formula>AND(U$9&gt;=14/24,U$9&lt;20/24)</formula>
    </cfRule>
    <cfRule type="expression" dxfId="2086" priority="114">
      <formula>AND(U$9&gt;=8/24,U$9&lt;14/24)</formula>
    </cfRule>
    <cfRule type="expression" dxfId="2085" priority="115">
      <formula>U$9&lt;8/24</formula>
    </cfRule>
  </conditionalFormatting>
  <conditionalFormatting sqref="AB31">
    <cfRule type="expression" dxfId="2084" priority="108">
      <formula>AD$9&gt;=20/24</formula>
    </cfRule>
    <cfRule type="expression" dxfId="2083" priority="109">
      <formula>AND(AD$9&gt;=14/24,AD$9&lt;20/24)</formula>
    </cfRule>
    <cfRule type="expression" dxfId="2082" priority="110">
      <formula>AND(AD$9&gt;=8/24,AD$9&lt;14/24)</formula>
    </cfRule>
    <cfRule type="expression" dxfId="2081" priority="111">
      <formula>AD$9&lt;8/24</formula>
    </cfRule>
  </conditionalFormatting>
  <conditionalFormatting sqref="A34:A35">
    <cfRule type="expression" dxfId="2080" priority="107">
      <formula>$AH34=0</formula>
    </cfRule>
  </conditionalFormatting>
  <conditionalFormatting sqref="B37:AF38">
    <cfRule type="expression" dxfId="2079" priority="99">
      <formula>B$9&gt;=20/24</formula>
    </cfRule>
    <cfRule type="expression" dxfId="2078" priority="100">
      <formula>AND(B$9&gt;=14/24,B$9&lt;20/24)</formula>
    </cfRule>
    <cfRule type="expression" dxfId="2077" priority="101">
      <formula>AND(B$9&gt;=8/24,B$9&lt;14/24)</formula>
    </cfRule>
    <cfRule type="expression" dxfId="2076" priority="102">
      <formula>B$9&lt;8/24</formula>
    </cfRule>
  </conditionalFormatting>
  <conditionalFormatting sqref="B36 M36 S36 AB36">
    <cfRule type="expression" dxfId="2075" priority="103">
      <formula>C$9&gt;=20/24</formula>
    </cfRule>
    <cfRule type="expression" dxfId="2074" priority="104">
      <formula>AND(C$9&gt;=14/24,C$9&lt;20/24)</formula>
    </cfRule>
    <cfRule type="expression" dxfId="2073" priority="105">
      <formula>AND(C$9&gt;=8/24,C$9&lt;14/24)</formula>
    </cfRule>
    <cfRule type="expression" dxfId="2072" priority="106">
      <formula>C$9&lt;8/24</formula>
    </cfRule>
  </conditionalFormatting>
  <conditionalFormatting sqref="S36">
    <cfRule type="expression" dxfId="2071" priority="95">
      <formula>U$9&gt;=20/24</formula>
    </cfRule>
    <cfRule type="expression" dxfId="2070" priority="96">
      <formula>AND(U$9&gt;=14/24,U$9&lt;20/24)</formula>
    </cfRule>
    <cfRule type="expression" dxfId="2069" priority="97">
      <formula>AND(U$9&gt;=8/24,U$9&lt;14/24)</formula>
    </cfRule>
    <cfRule type="expression" dxfId="2068" priority="98">
      <formula>U$9&lt;8/24</formula>
    </cfRule>
  </conditionalFormatting>
  <conditionalFormatting sqref="AB36">
    <cfRule type="expression" dxfId="2067" priority="91">
      <formula>AD$9&gt;=20/24</formula>
    </cfRule>
    <cfRule type="expression" dxfId="2066" priority="92">
      <formula>AND(AD$9&gt;=14/24,AD$9&lt;20/24)</formula>
    </cfRule>
    <cfRule type="expression" dxfId="2065" priority="93">
      <formula>AND(AD$9&gt;=8/24,AD$9&lt;14/24)</formula>
    </cfRule>
    <cfRule type="expression" dxfId="2064" priority="94">
      <formula>AD$9&lt;8/24</formula>
    </cfRule>
  </conditionalFormatting>
  <conditionalFormatting sqref="A39:A40">
    <cfRule type="expression" dxfId="2063" priority="90">
      <formula>$AH39=0</formula>
    </cfRule>
  </conditionalFormatting>
  <conditionalFormatting sqref="B42:AF43">
    <cfRule type="expression" dxfId="2062" priority="82">
      <formula>B$9&gt;=20/24</formula>
    </cfRule>
    <cfRule type="expression" dxfId="2061" priority="83">
      <formula>AND(B$9&gt;=14/24,B$9&lt;20/24)</formula>
    </cfRule>
    <cfRule type="expression" dxfId="2060" priority="84">
      <formula>AND(B$9&gt;=8/24,B$9&lt;14/24)</formula>
    </cfRule>
    <cfRule type="expression" dxfId="2059" priority="85">
      <formula>B$9&lt;8/24</formula>
    </cfRule>
  </conditionalFormatting>
  <conditionalFormatting sqref="B41 M41 S41 AB41">
    <cfRule type="expression" dxfId="2058" priority="86">
      <formula>C$9&gt;=20/24</formula>
    </cfRule>
    <cfRule type="expression" dxfId="2057" priority="87">
      <formula>AND(C$9&gt;=14/24,C$9&lt;20/24)</formula>
    </cfRule>
    <cfRule type="expression" dxfId="2056" priority="88">
      <formula>AND(C$9&gt;=8/24,C$9&lt;14/24)</formula>
    </cfRule>
    <cfRule type="expression" dxfId="2055" priority="89">
      <formula>C$9&lt;8/24</formula>
    </cfRule>
  </conditionalFormatting>
  <conditionalFormatting sqref="S41">
    <cfRule type="expression" dxfId="2054" priority="78">
      <formula>U$9&gt;=20/24</formula>
    </cfRule>
    <cfRule type="expression" dxfId="2053" priority="79">
      <formula>AND(U$9&gt;=14/24,U$9&lt;20/24)</formula>
    </cfRule>
    <cfRule type="expression" dxfId="2052" priority="80">
      <formula>AND(U$9&gt;=8/24,U$9&lt;14/24)</formula>
    </cfRule>
    <cfRule type="expression" dxfId="2051" priority="81">
      <formula>U$9&lt;8/24</formula>
    </cfRule>
  </conditionalFormatting>
  <conditionalFormatting sqref="AB41">
    <cfRule type="expression" dxfId="2050" priority="74">
      <formula>AD$9&gt;=20/24</formula>
    </cfRule>
    <cfRule type="expression" dxfId="2049" priority="75">
      <formula>AND(AD$9&gt;=14/24,AD$9&lt;20/24)</formula>
    </cfRule>
    <cfRule type="expression" dxfId="2048" priority="76">
      <formula>AND(AD$9&gt;=8/24,AD$9&lt;14/24)</formula>
    </cfRule>
    <cfRule type="expression" dxfId="2047" priority="77">
      <formula>AD$9&lt;8/24</formula>
    </cfRule>
  </conditionalFormatting>
  <conditionalFormatting sqref="A44:A45">
    <cfRule type="expression" dxfId="2046" priority="73">
      <formula>$AH44=0</formula>
    </cfRule>
  </conditionalFormatting>
  <conditionalFormatting sqref="B47:AF48">
    <cfRule type="expression" dxfId="2045" priority="65">
      <formula>B$9&gt;=20/24</formula>
    </cfRule>
    <cfRule type="expression" dxfId="2044" priority="66">
      <formula>AND(B$9&gt;=14/24,B$9&lt;20/24)</formula>
    </cfRule>
    <cfRule type="expression" dxfId="2043" priority="67">
      <formula>AND(B$9&gt;=8/24,B$9&lt;14/24)</formula>
    </cfRule>
    <cfRule type="expression" dxfId="2042" priority="68">
      <formula>B$9&lt;8/24</formula>
    </cfRule>
  </conditionalFormatting>
  <conditionalFormatting sqref="B46 M46 S46 AB46">
    <cfRule type="expression" dxfId="2041" priority="69">
      <formula>C$9&gt;=20/24</formula>
    </cfRule>
    <cfRule type="expression" dxfId="2040" priority="70">
      <formula>AND(C$9&gt;=14/24,C$9&lt;20/24)</formula>
    </cfRule>
    <cfRule type="expression" dxfId="2039" priority="71">
      <formula>AND(C$9&gt;=8/24,C$9&lt;14/24)</formula>
    </cfRule>
    <cfRule type="expression" dxfId="2038" priority="72">
      <formula>C$9&lt;8/24</formula>
    </cfRule>
  </conditionalFormatting>
  <conditionalFormatting sqref="S46">
    <cfRule type="expression" dxfId="2037" priority="61">
      <formula>U$9&gt;=20/24</formula>
    </cfRule>
    <cfRule type="expression" dxfId="2036" priority="62">
      <formula>AND(U$9&gt;=14/24,U$9&lt;20/24)</formula>
    </cfRule>
    <cfRule type="expression" dxfId="2035" priority="63">
      <formula>AND(U$9&gt;=8/24,U$9&lt;14/24)</formula>
    </cfRule>
    <cfRule type="expression" dxfId="2034" priority="64">
      <formula>U$9&lt;8/24</formula>
    </cfRule>
  </conditionalFormatting>
  <conditionalFormatting sqref="AB46">
    <cfRule type="expression" dxfId="2033" priority="57">
      <formula>AD$9&gt;=20/24</formula>
    </cfRule>
    <cfRule type="expression" dxfId="2032" priority="58">
      <formula>AND(AD$9&gt;=14/24,AD$9&lt;20/24)</formula>
    </cfRule>
    <cfRule type="expression" dxfId="2031" priority="59">
      <formula>AND(AD$9&gt;=8/24,AD$9&lt;14/24)</formula>
    </cfRule>
    <cfRule type="expression" dxfId="2030" priority="60">
      <formula>AD$9&lt;8/24</formula>
    </cfRule>
  </conditionalFormatting>
  <conditionalFormatting sqref="A49:A50">
    <cfRule type="expression" dxfId="2029" priority="56">
      <formula>$AH49=0</formula>
    </cfRule>
  </conditionalFormatting>
  <conditionalFormatting sqref="B52:AF53">
    <cfRule type="expression" dxfId="2028" priority="48">
      <formula>B$9&gt;=20/24</formula>
    </cfRule>
    <cfRule type="expression" dxfId="2027" priority="49">
      <formula>AND(B$9&gt;=14/24,B$9&lt;20/24)</formula>
    </cfRule>
    <cfRule type="expression" dxfId="2026" priority="50">
      <formula>AND(B$9&gt;=8/24,B$9&lt;14/24)</formula>
    </cfRule>
    <cfRule type="expression" dxfId="2025" priority="51">
      <formula>B$9&lt;8/24</formula>
    </cfRule>
  </conditionalFormatting>
  <conditionalFormatting sqref="B51 M51 S51 AB51">
    <cfRule type="expression" dxfId="2024" priority="52">
      <formula>C$9&gt;=20/24</formula>
    </cfRule>
    <cfRule type="expression" dxfId="2023" priority="53">
      <formula>AND(C$9&gt;=14/24,C$9&lt;20/24)</formula>
    </cfRule>
    <cfRule type="expression" dxfId="2022" priority="54">
      <formula>AND(C$9&gt;=8/24,C$9&lt;14/24)</formula>
    </cfRule>
    <cfRule type="expression" dxfId="2021" priority="55">
      <formula>C$9&lt;8/24</formula>
    </cfRule>
  </conditionalFormatting>
  <conditionalFormatting sqref="S51">
    <cfRule type="expression" dxfId="2020" priority="44">
      <formula>U$9&gt;=20/24</formula>
    </cfRule>
    <cfRule type="expression" dxfId="2019" priority="45">
      <formula>AND(U$9&gt;=14/24,U$9&lt;20/24)</formula>
    </cfRule>
    <cfRule type="expression" dxfId="2018" priority="46">
      <formula>AND(U$9&gt;=8/24,U$9&lt;14/24)</formula>
    </cfRule>
    <cfRule type="expression" dxfId="2017" priority="47">
      <formula>U$9&lt;8/24</formula>
    </cfRule>
  </conditionalFormatting>
  <conditionalFormatting sqref="AB51">
    <cfRule type="expression" dxfId="2016" priority="40">
      <formula>AD$9&gt;=20/24</formula>
    </cfRule>
    <cfRule type="expression" dxfId="2015" priority="41">
      <formula>AND(AD$9&gt;=14/24,AD$9&lt;20/24)</formula>
    </cfRule>
    <cfRule type="expression" dxfId="2014" priority="42">
      <formula>AND(AD$9&gt;=8/24,AD$9&lt;14/24)</formula>
    </cfRule>
    <cfRule type="expression" dxfId="2013" priority="43">
      <formula>AD$9&lt;8/24</formula>
    </cfRule>
  </conditionalFormatting>
  <conditionalFormatting sqref="A54:A55">
    <cfRule type="expression" dxfId="2012" priority="39">
      <formula>$AH54=0</formula>
    </cfRule>
  </conditionalFormatting>
  <conditionalFormatting sqref="B57:AF58">
    <cfRule type="expression" dxfId="2011" priority="31">
      <formula>B$9&gt;=20/24</formula>
    </cfRule>
    <cfRule type="expression" dxfId="2010" priority="32">
      <formula>AND(B$9&gt;=14/24,B$9&lt;20/24)</formula>
    </cfRule>
    <cfRule type="expression" dxfId="2009" priority="33">
      <formula>AND(B$9&gt;=8/24,B$9&lt;14/24)</formula>
    </cfRule>
    <cfRule type="expression" dxfId="2008" priority="34">
      <formula>B$9&lt;8/24</formula>
    </cfRule>
  </conditionalFormatting>
  <conditionalFormatting sqref="B56 M56 S56 AB56">
    <cfRule type="expression" dxfId="2007" priority="35">
      <formula>C$9&gt;=20/24</formula>
    </cfRule>
    <cfRule type="expression" dxfId="2006" priority="36">
      <formula>AND(C$9&gt;=14/24,C$9&lt;20/24)</formula>
    </cfRule>
    <cfRule type="expression" dxfId="2005" priority="37">
      <formula>AND(C$9&gt;=8/24,C$9&lt;14/24)</formula>
    </cfRule>
    <cfRule type="expression" dxfId="2004" priority="38">
      <formula>C$9&lt;8/24</formula>
    </cfRule>
  </conditionalFormatting>
  <conditionalFormatting sqref="S56">
    <cfRule type="expression" dxfId="2003" priority="27">
      <formula>U$9&gt;=20/24</formula>
    </cfRule>
    <cfRule type="expression" dxfId="2002" priority="28">
      <formula>AND(U$9&gt;=14/24,U$9&lt;20/24)</formula>
    </cfRule>
    <cfRule type="expression" dxfId="2001" priority="29">
      <formula>AND(U$9&gt;=8/24,U$9&lt;14/24)</formula>
    </cfRule>
    <cfRule type="expression" dxfId="2000" priority="30">
      <formula>U$9&lt;8/24</formula>
    </cfRule>
  </conditionalFormatting>
  <conditionalFormatting sqref="AB56">
    <cfRule type="expression" dxfId="1999" priority="23">
      <formula>AD$9&gt;=20/24</formula>
    </cfRule>
    <cfRule type="expression" dxfId="1998" priority="24">
      <formula>AND(AD$9&gt;=14/24,AD$9&lt;20/24)</formula>
    </cfRule>
    <cfRule type="expression" dxfId="1997" priority="25">
      <formula>AND(AD$9&gt;=8/24,AD$9&lt;14/24)</formula>
    </cfRule>
    <cfRule type="expression" dxfId="1996" priority="26">
      <formula>AD$9&lt;8/24</formula>
    </cfRule>
  </conditionalFormatting>
  <conditionalFormatting sqref="A59:A60">
    <cfRule type="expression" dxfId="1995" priority="22">
      <formula>$AH59=0</formula>
    </cfRule>
  </conditionalFormatting>
  <conditionalFormatting sqref="B62:AF63">
    <cfRule type="expression" dxfId="1994" priority="14">
      <formula>B$9&gt;=20/24</formula>
    </cfRule>
    <cfRule type="expression" dxfId="1993" priority="15">
      <formula>AND(B$9&gt;=14/24,B$9&lt;20/24)</formula>
    </cfRule>
    <cfRule type="expression" dxfId="1992" priority="16">
      <formula>AND(B$9&gt;=8/24,B$9&lt;14/24)</formula>
    </cfRule>
    <cfRule type="expression" dxfId="1991" priority="17">
      <formula>B$9&lt;8/24</formula>
    </cfRule>
  </conditionalFormatting>
  <conditionalFormatting sqref="B61 M61 S61 AB61">
    <cfRule type="expression" dxfId="1990" priority="18">
      <formula>C$9&gt;=20/24</formula>
    </cfRule>
    <cfRule type="expression" dxfId="1989" priority="19">
      <formula>AND(C$9&gt;=14/24,C$9&lt;20/24)</formula>
    </cfRule>
    <cfRule type="expression" dxfId="1988" priority="20">
      <formula>AND(C$9&gt;=8/24,C$9&lt;14/24)</formula>
    </cfRule>
    <cfRule type="expression" dxfId="1987" priority="21">
      <formula>C$9&lt;8/24</formula>
    </cfRule>
  </conditionalFormatting>
  <conditionalFormatting sqref="S61">
    <cfRule type="expression" dxfId="1986" priority="10">
      <formula>U$9&gt;=20/24</formula>
    </cfRule>
    <cfRule type="expression" dxfId="1985" priority="11">
      <formula>AND(U$9&gt;=14/24,U$9&lt;20/24)</formula>
    </cfRule>
    <cfRule type="expression" dxfId="1984" priority="12">
      <formula>AND(U$9&gt;=8/24,U$9&lt;14/24)</formula>
    </cfRule>
    <cfRule type="expression" dxfId="1983" priority="13">
      <formula>U$9&lt;8/24</formula>
    </cfRule>
  </conditionalFormatting>
  <conditionalFormatting sqref="AB61">
    <cfRule type="expression" dxfId="1982" priority="6">
      <formula>AD$9&gt;=20/24</formula>
    </cfRule>
    <cfRule type="expression" dxfId="1981" priority="7">
      <formula>AND(AD$9&gt;=14/24,AD$9&lt;20/24)</formula>
    </cfRule>
    <cfRule type="expression" dxfId="1980" priority="8">
      <formula>AND(AD$9&gt;=8/24,AD$9&lt;14/24)</formula>
    </cfRule>
    <cfRule type="expression" dxfId="1979" priority="9">
      <formula>AD$9&lt;8/24</formula>
    </cfRule>
  </conditionalFormatting>
  <conditionalFormatting sqref="A64:A65">
    <cfRule type="expression" dxfId="1978" priority="5">
      <formula>$AH64=0</formula>
    </cfRule>
  </conditionalFormatting>
  <conditionalFormatting sqref="B2:AF3">
    <cfRule type="expression" dxfId="1977" priority="1">
      <formula>B$9&gt;=20/24</formula>
    </cfRule>
    <cfRule type="expression" dxfId="1976" priority="2">
      <formula>AND(B$9&gt;=14/24,B$9&lt;20/24)</formula>
    </cfRule>
    <cfRule type="expression" dxfId="1975" priority="3">
      <formula>AND(B$9&gt;=8/24,B$9&lt;14/24)</formula>
    </cfRule>
    <cfRule type="expression" dxfId="1974" priority="4">
      <formula>B$9&lt;8/24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magh1</vt:lpstr>
      <vt:lpstr>sample</vt:lpstr>
      <vt:lpstr>Feedback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Server</dc:creator>
  <cp:lastModifiedBy>Control Room LDC  System Operation Department</cp:lastModifiedBy>
  <cp:lastPrinted>2022-12-30T04:42:08Z</cp:lastPrinted>
  <dcterms:created xsi:type="dcterms:W3CDTF">2022-12-16T02:33:42Z</dcterms:created>
  <dcterms:modified xsi:type="dcterms:W3CDTF">2024-01-14T00:48:52Z</dcterms:modified>
</cp:coreProperties>
</file>