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3.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mc:AlternateContent xmlns:mc="http://schemas.openxmlformats.org/markup-compatibility/2006">
    <mc:Choice Requires="x15">
      <x15ac:absPath xmlns:x15ac="http://schemas.microsoft.com/office/spreadsheetml/2010/11/ac" url="C:\Users\baasansuren\Desktop\"/>
    </mc:Choice>
  </mc:AlternateContent>
  <xr:revisionPtr revIDLastSave="0" documentId="13_ncr:1_{BA82F0E0-AE1E-42D7-9F48-8E343A96EF23}" xr6:coauthVersionLast="47" xr6:coauthVersionMax="47" xr10:uidLastSave="{00000000-0000-0000-0000-000000000000}"/>
  <bookViews>
    <workbookView xWindow="-108" yWindow="-108" windowWidth="23256" windowHeight="14016" tabRatio="761" activeTab="11" xr2:uid="{00000000-000D-0000-FFFF-FFFF00000000}"/>
  </bookViews>
  <sheets>
    <sheet name="Instructions" sheetId="1" r:id="rId1"/>
    <sheet name="Parameters" sheetId="4" r:id="rId2"/>
    <sheet name="MCF" sheetId="8" r:id="rId3"/>
    <sheet name="Activity" sheetId="6" r:id="rId4"/>
    <sheet name="Amnt_Deposited" sheetId="7" r:id="rId5"/>
    <sheet name="Recovery_OX" sheetId="28" r:id="rId6"/>
    <sheet name="Results" sheetId="17" r:id="rId7"/>
    <sheet name="HWP" sheetId="29" r:id="rId8"/>
    <sheet name="Stored_C" sheetId="15" r:id="rId9"/>
    <sheet name="Theory" sheetId="2" r:id="rId10"/>
    <sheet name="Defaults" sheetId="5" r:id="rId11"/>
    <sheet name="Food" sheetId="18" r:id="rId12"/>
    <sheet name="Garden" sheetId="21" r:id="rId13"/>
    <sheet name="Paper" sheetId="20" r:id="rId14"/>
    <sheet name="Wood" sheetId="23" r:id="rId15"/>
    <sheet name="Textiles" sheetId="22" r:id="rId16"/>
    <sheet name="Nappies" sheetId="27" r:id="rId17"/>
    <sheet name="Sludge" sheetId="26" r:id="rId18"/>
    <sheet name="MSW" sheetId="25" r:id="rId19"/>
    <sheet name="Industry" sheetId="24" r:id="rId20"/>
  </sheets>
  <definedNames>
    <definedName name="CH4_fraction">Parameters!$E$42</definedName>
    <definedName name="conv">Parameters!$E$44</definedName>
    <definedName name="country">Parameters!$D$2</definedName>
    <definedName name="DOC_table">Defaults!$P$9:$Q$18</definedName>
    <definedName name="DOCF">Parameters!$E$23</definedName>
    <definedName name="half_life">Defaults!$D$9:$K$13</definedName>
    <definedName name="ox">Parameters!$E$46</definedName>
    <definedName name="_xlnm.Print_Area" localSheetId="0">Instructions!$A$8:$I$158</definedName>
    <definedName name="_xlnm.Print_Area" localSheetId="1">Parameters!$A$1:$F$52</definedName>
    <definedName name="_xlnm.Print_Area" localSheetId="9">Theory!$A$1:$H$72</definedName>
    <definedName name="Regional_data">Defaults!$W$8:$AH$29</definedName>
    <definedName name="Select2">Defaults!$O$21</definedName>
    <definedName name="Select3">Defaults!$W$5</definedName>
    <definedName name="selected">Defaults!$G$18</definedName>
    <definedName name="year">Parameters!$E$9</definedName>
  </definedNames>
  <calcPr calcId="191029"/>
  <customWorkbookViews>
    <customWorkbookView name="Per - Personlig visning" guid="{B400968E-E9A7-41C3-9739-36597C9C6BC6}" mergeInterval="0" personalView="1" maximized="1" windowWidth="1020" windowHeight="56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31" i="5" l="1"/>
  <c r="I7" i="26"/>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98" i="8"/>
  <c r="X19" i="8"/>
  <c r="X20" i="8"/>
  <c r="X21" i="8"/>
  <c r="X22" i="8"/>
  <c r="X23" i="8"/>
  <c r="X24" i="8"/>
  <c r="X25" i="8"/>
  <c r="X26" i="8"/>
  <c r="D27" i="22" s="1"/>
  <c r="X27" i="8"/>
  <c r="X28" i="8"/>
  <c r="X29" i="8"/>
  <c r="X30" i="8"/>
  <c r="X31" i="8"/>
  <c r="X32" i="8"/>
  <c r="X33" i="8"/>
  <c r="X34" i="8"/>
  <c r="D35" i="22" s="1"/>
  <c r="X35" i="8"/>
  <c r="X36" i="8"/>
  <c r="X37" i="8"/>
  <c r="X38" i="8"/>
  <c r="X39" i="8"/>
  <c r="X40" i="8"/>
  <c r="X41" i="8"/>
  <c r="X42" i="8"/>
  <c r="D43" i="22" s="1"/>
  <c r="X43" i="8"/>
  <c r="X44" i="8"/>
  <c r="X45" i="8"/>
  <c r="X46" i="8"/>
  <c r="X47" i="8"/>
  <c r="X48" i="8"/>
  <c r="X49" i="8"/>
  <c r="X50" i="8"/>
  <c r="D51" i="18" s="1"/>
  <c r="X51" i="8"/>
  <c r="X52" i="8"/>
  <c r="X53" i="8"/>
  <c r="X54" i="8"/>
  <c r="X55" i="8"/>
  <c r="X56" i="8"/>
  <c r="X57" i="8"/>
  <c r="X58" i="8"/>
  <c r="D59" i="27" s="1"/>
  <c r="X59" i="8"/>
  <c r="X60" i="8"/>
  <c r="X61" i="8"/>
  <c r="X62" i="8"/>
  <c r="X63" i="8"/>
  <c r="X64" i="8"/>
  <c r="X65" i="8"/>
  <c r="X66" i="8"/>
  <c r="D67" i="27" s="1"/>
  <c r="X67" i="8"/>
  <c r="X68" i="8"/>
  <c r="X69" i="8"/>
  <c r="X70" i="8"/>
  <c r="X71" i="8"/>
  <c r="X72" i="8"/>
  <c r="X73" i="8"/>
  <c r="X74" i="8"/>
  <c r="D75" i="21" s="1"/>
  <c r="X75" i="8"/>
  <c r="X76" i="8"/>
  <c r="X77" i="8"/>
  <c r="X78" i="8"/>
  <c r="X79" i="8"/>
  <c r="X80" i="8"/>
  <c r="X81" i="8"/>
  <c r="X82" i="8"/>
  <c r="D83" i="20" s="1"/>
  <c r="X83" i="8"/>
  <c r="X84" i="8"/>
  <c r="X85" i="8"/>
  <c r="X86" i="8"/>
  <c r="X87" i="8"/>
  <c r="X88" i="8"/>
  <c r="X89" i="8"/>
  <c r="X90" i="8"/>
  <c r="D91" i="21" s="1"/>
  <c r="X91" i="8"/>
  <c r="X92" i="8"/>
  <c r="X93" i="8"/>
  <c r="X94" i="8"/>
  <c r="X95" i="8"/>
  <c r="X96" i="8"/>
  <c r="X97" i="8"/>
  <c r="X98" i="8"/>
  <c r="D99" i="22" s="1"/>
  <c r="X18" i="8"/>
  <c r="Y18" i="8"/>
  <c r="X30" i="5"/>
  <c r="W30" i="5"/>
  <c r="Y30" i="5"/>
  <c r="Z30" i="5"/>
  <c r="AA30" i="5"/>
  <c r="AB30" i="5"/>
  <c r="AD30" i="5"/>
  <c r="AE8" i="5"/>
  <c r="AE9" i="5"/>
  <c r="AE10" i="5"/>
  <c r="AE11" i="5"/>
  <c r="AE12" i="5"/>
  <c r="AE13" i="5"/>
  <c r="AE14" i="5"/>
  <c r="AE15" i="5"/>
  <c r="AE16" i="5"/>
  <c r="AE17" i="5"/>
  <c r="AE18" i="5"/>
  <c r="AE19" i="5"/>
  <c r="AE20" i="5"/>
  <c r="AE21" i="5"/>
  <c r="AE23" i="5"/>
  <c r="AE24" i="5"/>
  <c r="AE25" i="5"/>
  <c r="AE26" i="5"/>
  <c r="AG33" i="5"/>
  <c r="W4" i="5"/>
  <c r="AH14" i="5" s="1"/>
  <c r="X4" i="5"/>
  <c r="Y4" i="5"/>
  <c r="Z4" i="5"/>
  <c r="AA4" i="5"/>
  <c r="AB4" i="5"/>
  <c r="AC4" i="5"/>
  <c r="AD4" i="5"/>
  <c r="AH8" i="5"/>
  <c r="AH10" i="5"/>
  <c r="AF33" i="5"/>
  <c r="D8" i="6"/>
  <c r="D12" i="6" s="1"/>
  <c r="E12" i="6" s="1"/>
  <c r="F8" i="6"/>
  <c r="F12" i="6" s="1"/>
  <c r="J11" i="7" s="1"/>
  <c r="B19" i="25" s="1"/>
  <c r="J8" i="6"/>
  <c r="J12" i="6" s="1"/>
  <c r="E26" i="4"/>
  <c r="H7" i="25"/>
  <c r="E25" i="4"/>
  <c r="E24" i="4"/>
  <c r="I7" i="23" s="1"/>
  <c r="I7" i="18"/>
  <c r="T92" i="6"/>
  <c r="V92" i="6" s="1"/>
  <c r="L91" i="7" s="1"/>
  <c r="C99" i="24" s="1"/>
  <c r="D21" i="4"/>
  <c r="E21" i="4" s="1"/>
  <c r="L98" i="8"/>
  <c r="M98" i="8"/>
  <c r="N98" i="8"/>
  <c r="O98" i="8"/>
  <c r="S98" i="8"/>
  <c r="T91" i="6"/>
  <c r="V91" i="6" s="1"/>
  <c r="L90" i="7" s="1"/>
  <c r="C98" i="24" s="1"/>
  <c r="L97" i="8"/>
  <c r="D98" i="24" s="1"/>
  <c r="M97" i="8"/>
  <c r="N97" i="8"/>
  <c r="O97" i="8"/>
  <c r="S97" i="8"/>
  <c r="T90" i="6"/>
  <c r="V90" i="6" s="1"/>
  <c r="L89" i="7" s="1"/>
  <c r="C97" i="24" s="1"/>
  <c r="L96" i="8"/>
  <c r="D97" i="24" s="1"/>
  <c r="M96" i="8"/>
  <c r="N96" i="8"/>
  <c r="O96" i="8"/>
  <c r="S96" i="8"/>
  <c r="T89" i="6"/>
  <c r="V89" i="6" s="1"/>
  <c r="L88" i="7" s="1"/>
  <c r="C96" i="24" s="1"/>
  <c r="L95" i="8"/>
  <c r="D96" i="24" s="1"/>
  <c r="M95" i="8"/>
  <c r="N95" i="8"/>
  <c r="O95" i="8"/>
  <c r="S95" i="8"/>
  <c r="T88" i="6"/>
  <c r="V88" i="6" s="1"/>
  <c r="L87" i="7" s="1"/>
  <c r="C95" i="24" s="1"/>
  <c r="L94" i="8"/>
  <c r="D95" i="24" s="1"/>
  <c r="M94" i="8"/>
  <c r="N94" i="8"/>
  <c r="O94" i="8"/>
  <c r="S94" i="8"/>
  <c r="T87" i="6"/>
  <c r="V87" i="6" s="1"/>
  <c r="L86" i="7" s="1"/>
  <c r="C94" i="24" s="1"/>
  <c r="L93" i="8"/>
  <c r="D94" i="24" s="1"/>
  <c r="M93" i="8"/>
  <c r="N93" i="8"/>
  <c r="O93" i="8"/>
  <c r="S93" i="8"/>
  <c r="T86" i="6"/>
  <c r="V86" i="6" s="1"/>
  <c r="L85" i="7" s="1"/>
  <c r="C93" i="24" s="1"/>
  <c r="L92" i="8"/>
  <c r="D93" i="24" s="1"/>
  <c r="M92" i="8"/>
  <c r="N92" i="8"/>
  <c r="O92" i="8"/>
  <c r="S92" i="8"/>
  <c r="T85" i="6"/>
  <c r="V85" i="6" s="1"/>
  <c r="L84" i="7" s="1"/>
  <c r="C92" i="24" s="1"/>
  <c r="L91" i="8"/>
  <c r="D92" i="24" s="1"/>
  <c r="M91" i="8"/>
  <c r="N91" i="8"/>
  <c r="O91" i="8"/>
  <c r="S91" i="8"/>
  <c r="T84" i="6"/>
  <c r="V84" i="6" s="1"/>
  <c r="L83" i="7" s="1"/>
  <c r="C91" i="24" s="1"/>
  <c r="L90" i="8"/>
  <c r="M90" i="8"/>
  <c r="N90" i="8"/>
  <c r="O90" i="8"/>
  <c r="S90" i="8"/>
  <c r="T83" i="6"/>
  <c r="V83" i="6" s="1"/>
  <c r="L82" i="7" s="1"/>
  <c r="C90" i="24" s="1"/>
  <c r="L89" i="8"/>
  <c r="D90" i="24" s="1"/>
  <c r="M89" i="8"/>
  <c r="N89" i="8"/>
  <c r="O89" i="8"/>
  <c r="S89" i="8"/>
  <c r="T82" i="6"/>
  <c r="V82" i="6" s="1"/>
  <c r="L81" i="7" s="1"/>
  <c r="C89" i="24" s="1"/>
  <c r="L88" i="8"/>
  <c r="D89" i="24" s="1"/>
  <c r="M88" i="8"/>
  <c r="N88" i="8"/>
  <c r="O88" i="8"/>
  <c r="S88" i="8"/>
  <c r="T81" i="6"/>
  <c r="V81" i="6" s="1"/>
  <c r="L80" i="7" s="1"/>
  <c r="C88" i="24" s="1"/>
  <c r="L87" i="8"/>
  <c r="D88" i="24" s="1"/>
  <c r="M87" i="8"/>
  <c r="N87" i="8"/>
  <c r="O87" i="8"/>
  <c r="S87" i="8"/>
  <c r="T80" i="6"/>
  <c r="V80" i="6" s="1"/>
  <c r="L79" i="7" s="1"/>
  <c r="C87" i="24" s="1"/>
  <c r="L86" i="8"/>
  <c r="D87" i="24" s="1"/>
  <c r="M86" i="8"/>
  <c r="N86" i="8"/>
  <c r="O86" i="8"/>
  <c r="S86" i="8"/>
  <c r="T79" i="6"/>
  <c r="V79" i="6" s="1"/>
  <c r="L78" i="7" s="1"/>
  <c r="C86" i="24" s="1"/>
  <c r="L85" i="8"/>
  <c r="M85" i="8"/>
  <c r="N85" i="8"/>
  <c r="O85" i="8"/>
  <c r="S85" i="8"/>
  <c r="T78" i="6"/>
  <c r="V78" i="6" s="1"/>
  <c r="L77" i="7"/>
  <c r="C85" i="24" s="1"/>
  <c r="L84" i="8"/>
  <c r="M84" i="8"/>
  <c r="N84" i="8"/>
  <c r="O84" i="8"/>
  <c r="S84" i="8"/>
  <c r="T77" i="6"/>
  <c r="V77" i="6" s="1"/>
  <c r="L76" i="7"/>
  <c r="C84" i="24" s="1"/>
  <c r="L83" i="8"/>
  <c r="M83" i="8"/>
  <c r="N83" i="8"/>
  <c r="O83" i="8"/>
  <c r="S83" i="8"/>
  <c r="T76" i="6"/>
  <c r="V76" i="6" s="1"/>
  <c r="L75" i="7" s="1"/>
  <c r="C83" i="24" s="1"/>
  <c r="L82" i="8"/>
  <c r="M82" i="8"/>
  <c r="N82" i="8"/>
  <c r="O82" i="8"/>
  <c r="S82" i="8"/>
  <c r="T75" i="6"/>
  <c r="V75" i="6" s="1"/>
  <c r="L74" i="7" s="1"/>
  <c r="C82" i="24" s="1"/>
  <c r="L81" i="8"/>
  <c r="M81" i="8"/>
  <c r="N81" i="8"/>
  <c r="O81" i="8"/>
  <c r="S81" i="8"/>
  <c r="T74" i="6"/>
  <c r="V74" i="6" s="1"/>
  <c r="L73" i="7"/>
  <c r="C81" i="24" s="1"/>
  <c r="L80" i="8"/>
  <c r="M80" i="8"/>
  <c r="N80" i="8"/>
  <c r="O80" i="8"/>
  <c r="S80" i="8"/>
  <c r="T73" i="6"/>
  <c r="V73" i="6" s="1"/>
  <c r="L72" i="7"/>
  <c r="C80" i="24"/>
  <c r="L79" i="8"/>
  <c r="M79" i="8"/>
  <c r="N79" i="8"/>
  <c r="O79" i="8"/>
  <c r="S79" i="8"/>
  <c r="T72" i="6"/>
  <c r="V72" i="6" s="1"/>
  <c r="L71" i="7" s="1"/>
  <c r="C79" i="24" s="1"/>
  <c r="L78" i="8"/>
  <c r="D79" i="24" s="1"/>
  <c r="M78" i="8"/>
  <c r="N78" i="8"/>
  <c r="O78" i="8"/>
  <c r="S78" i="8"/>
  <c r="T71" i="6"/>
  <c r="V71" i="6" s="1"/>
  <c r="L70" i="7" s="1"/>
  <c r="C78" i="24" s="1"/>
  <c r="L77" i="8"/>
  <c r="M77" i="8"/>
  <c r="N77" i="8"/>
  <c r="O77" i="8"/>
  <c r="S77" i="8"/>
  <c r="T70" i="6"/>
  <c r="V70" i="6" s="1"/>
  <c r="L69" i="7"/>
  <c r="C77" i="24" s="1"/>
  <c r="L76" i="8"/>
  <c r="M76" i="8"/>
  <c r="N76" i="8"/>
  <c r="O76" i="8"/>
  <c r="S76" i="8"/>
  <c r="T69" i="6"/>
  <c r="V69" i="6" s="1"/>
  <c r="L68" i="7"/>
  <c r="C76" i="24" s="1"/>
  <c r="L75" i="8"/>
  <c r="M75" i="8"/>
  <c r="N75" i="8"/>
  <c r="O75" i="8"/>
  <c r="S75" i="8"/>
  <c r="T68" i="6"/>
  <c r="V68" i="6" s="1"/>
  <c r="L67" i="7" s="1"/>
  <c r="C75" i="24" s="1"/>
  <c r="L74" i="8"/>
  <c r="M74" i="8"/>
  <c r="N74" i="8"/>
  <c r="O74" i="8"/>
  <c r="S74" i="8"/>
  <c r="T67" i="6"/>
  <c r="V67" i="6" s="1"/>
  <c r="L66" i="7" s="1"/>
  <c r="C74" i="24" s="1"/>
  <c r="L73" i="8"/>
  <c r="M73" i="8"/>
  <c r="N73" i="8"/>
  <c r="O73" i="8"/>
  <c r="S73" i="8"/>
  <c r="T66" i="6"/>
  <c r="V66" i="6" s="1"/>
  <c r="L65" i="7"/>
  <c r="C73" i="24" s="1"/>
  <c r="L72" i="8"/>
  <c r="M72" i="8"/>
  <c r="N72" i="8"/>
  <c r="O72" i="8"/>
  <c r="S72" i="8"/>
  <c r="T65" i="6"/>
  <c r="V65" i="6" s="1"/>
  <c r="L64" i="7"/>
  <c r="C72" i="24"/>
  <c r="L71" i="8"/>
  <c r="M71" i="8"/>
  <c r="N71" i="8"/>
  <c r="O71" i="8"/>
  <c r="S71" i="8"/>
  <c r="T64" i="6"/>
  <c r="V64" i="6" s="1"/>
  <c r="L63" i="7" s="1"/>
  <c r="C71" i="24" s="1"/>
  <c r="L70" i="8"/>
  <c r="D71" i="24" s="1"/>
  <c r="M70" i="8"/>
  <c r="N70" i="8"/>
  <c r="O70" i="8"/>
  <c r="S70" i="8"/>
  <c r="T63" i="6"/>
  <c r="V63" i="6" s="1"/>
  <c r="L62" i="7" s="1"/>
  <c r="C70" i="24" s="1"/>
  <c r="L69" i="8"/>
  <c r="M69" i="8"/>
  <c r="N69" i="8"/>
  <c r="O69" i="8"/>
  <c r="S69" i="8"/>
  <c r="T62" i="6"/>
  <c r="V62" i="6" s="1"/>
  <c r="L61" i="7"/>
  <c r="C69" i="24" s="1"/>
  <c r="L68" i="8"/>
  <c r="M68" i="8"/>
  <c r="N68" i="8"/>
  <c r="O68" i="8"/>
  <c r="S68" i="8"/>
  <c r="T61" i="6"/>
  <c r="V61" i="6" s="1"/>
  <c r="L60" i="7"/>
  <c r="C68" i="24" s="1"/>
  <c r="L67" i="8"/>
  <c r="M67" i="8"/>
  <c r="N67" i="8"/>
  <c r="O67" i="8"/>
  <c r="S67" i="8"/>
  <c r="T60" i="6"/>
  <c r="V60" i="6" s="1"/>
  <c r="L59" i="7" s="1"/>
  <c r="C67" i="24" s="1"/>
  <c r="L66" i="8"/>
  <c r="M66" i="8"/>
  <c r="N66" i="8"/>
  <c r="O66" i="8"/>
  <c r="S66" i="8"/>
  <c r="T59" i="6"/>
  <c r="V59" i="6" s="1"/>
  <c r="L58" i="7" s="1"/>
  <c r="C66" i="24" s="1"/>
  <c r="L65" i="8"/>
  <c r="M65" i="8"/>
  <c r="N65" i="8"/>
  <c r="O65" i="8"/>
  <c r="S65" i="8"/>
  <c r="T58" i="6"/>
  <c r="V58" i="6" s="1"/>
  <c r="L57" i="7"/>
  <c r="C65" i="24" s="1"/>
  <c r="L64" i="8"/>
  <c r="M64" i="8"/>
  <c r="N64" i="8"/>
  <c r="O64" i="8"/>
  <c r="S64" i="8"/>
  <c r="T57" i="6"/>
  <c r="V57" i="6" s="1"/>
  <c r="L56" i="7"/>
  <c r="C64" i="24"/>
  <c r="L63" i="8"/>
  <c r="M63" i="8"/>
  <c r="N63" i="8"/>
  <c r="O63" i="8"/>
  <c r="S63" i="8"/>
  <c r="T56" i="6"/>
  <c r="V56" i="6" s="1"/>
  <c r="L55" i="7" s="1"/>
  <c r="C63" i="24" s="1"/>
  <c r="L62" i="8"/>
  <c r="D63" i="24" s="1"/>
  <c r="M62" i="8"/>
  <c r="N62" i="8"/>
  <c r="O62" i="8"/>
  <c r="S62" i="8"/>
  <c r="T55" i="6"/>
  <c r="V55" i="6" s="1"/>
  <c r="L54" i="7" s="1"/>
  <c r="C62" i="24" s="1"/>
  <c r="L61" i="8"/>
  <c r="M61" i="8"/>
  <c r="N61" i="8"/>
  <c r="O61" i="8"/>
  <c r="S61" i="8"/>
  <c r="T54" i="6"/>
  <c r="V54" i="6" s="1"/>
  <c r="L53" i="7"/>
  <c r="C61" i="24" s="1"/>
  <c r="L60" i="8"/>
  <c r="M60" i="8"/>
  <c r="N60" i="8"/>
  <c r="O60" i="8"/>
  <c r="S60" i="8"/>
  <c r="T53" i="6"/>
  <c r="V53" i="6" s="1"/>
  <c r="L52" i="7"/>
  <c r="C60" i="24" s="1"/>
  <c r="L59" i="8"/>
  <c r="M59" i="8"/>
  <c r="N59" i="8"/>
  <c r="O59" i="8"/>
  <c r="S59" i="8"/>
  <c r="T52" i="6"/>
  <c r="V52" i="6" s="1"/>
  <c r="L51" i="7" s="1"/>
  <c r="C59" i="24" s="1"/>
  <c r="L58" i="8"/>
  <c r="M58" i="8"/>
  <c r="N58" i="8"/>
  <c r="O58" i="8"/>
  <c r="S58" i="8"/>
  <c r="T51" i="6"/>
  <c r="V51" i="6" s="1"/>
  <c r="L50" i="7" s="1"/>
  <c r="C58" i="24" s="1"/>
  <c r="L57" i="8"/>
  <c r="M57" i="8"/>
  <c r="N57" i="8"/>
  <c r="O57" i="8"/>
  <c r="S57" i="8"/>
  <c r="T50" i="6"/>
  <c r="V50" i="6" s="1"/>
  <c r="L49" i="7"/>
  <c r="C57" i="24" s="1"/>
  <c r="L56" i="8"/>
  <c r="M56" i="8"/>
  <c r="N56" i="8"/>
  <c r="O56" i="8"/>
  <c r="S56" i="8"/>
  <c r="T49" i="6"/>
  <c r="V49" i="6" s="1"/>
  <c r="L48" i="7"/>
  <c r="C56" i="24"/>
  <c r="L55" i="8"/>
  <c r="M55" i="8"/>
  <c r="N55" i="8"/>
  <c r="O55" i="8"/>
  <c r="S55" i="8"/>
  <c r="T48" i="6"/>
  <c r="V48" i="6" s="1"/>
  <c r="L47" i="7" s="1"/>
  <c r="C55" i="24" s="1"/>
  <c r="L54" i="8"/>
  <c r="D55" i="24" s="1"/>
  <c r="M54" i="8"/>
  <c r="N54" i="8"/>
  <c r="O54" i="8"/>
  <c r="S54" i="8"/>
  <c r="T47" i="6"/>
  <c r="V47" i="6" s="1"/>
  <c r="L46" i="7" s="1"/>
  <c r="C54" i="24" s="1"/>
  <c r="L53" i="8"/>
  <c r="M53" i="8"/>
  <c r="N53" i="8"/>
  <c r="O53" i="8"/>
  <c r="S53" i="8"/>
  <c r="T46" i="6"/>
  <c r="V46" i="6" s="1"/>
  <c r="L45" i="7"/>
  <c r="C53" i="24" s="1"/>
  <c r="L52" i="8"/>
  <c r="M52" i="8"/>
  <c r="N52" i="8"/>
  <c r="O52" i="8"/>
  <c r="S52" i="8"/>
  <c r="T45" i="6"/>
  <c r="V45" i="6" s="1"/>
  <c r="L44" i="7"/>
  <c r="C52" i="24" s="1"/>
  <c r="L51" i="8"/>
  <c r="M51" i="8"/>
  <c r="N51" i="8"/>
  <c r="O51" i="8"/>
  <c r="S51" i="8"/>
  <c r="T44" i="6"/>
  <c r="V44" i="6" s="1"/>
  <c r="L43" i="7"/>
  <c r="C51" i="24" s="1"/>
  <c r="L50" i="8"/>
  <c r="M50" i="8"/>
  <c r="N50" i="8"/>
  <c r="O50" i="8"/>
  <c r="S50" i="8"/>
  <c r="T43" i="6"/>
  <c r="V43" i="6" s="1"/>
  <c r="L42" i="7"/>
  <c r="C50" i="24"/>
  <c r="L49" i="8"/>
  <c r="M49" i="8"/>
  <c r="N49" i="8"/>
  <c r="O49" i="8"/>
  <c r="S49" i="8"/>
  <c r="T42" i="6"/>
  <c r="V42" i="6" s="1"/>
  <c r="L41" i="7"/>
  <c r="C49" i="24" s="1"/>
  <c r="L48" i="8"/>
  <c r="M48" i="8"/>
  <c r="N48" i="8"/>
  <c r="O48" i="8"/>
  <c r="S48" i="8"/>
  <c r="T41" i="6"/>
  <c r="V41" i="6" s="1"/>
  <c r="L40" i="7"/>
  <c r="C48" i="24"/>
  <c r="L47" i="8"/>
  <c r="M47" i="8"/>
  <c r="N47" i="8"/>
  <c r="O47" i="8"/>
  <c r="S47" i="8"/>
  <c r="T40" i="6"/>
  <c r="V40" i="6" s="1"/>
  <c r="L39" i="7" s="1"/>
  <c r="C47" i="24" s="1"/>
  <c r="L46" i="8"/>
  <c r="D47" i="24" s="1"/>
  <c r="M46" i="8"/>
  <c r="N46" i="8"/>
  <c r="O46" i="8"/>
  <c r="S46" i="8"/>
  <c r="T39" i="6"/>
  <c r="V39" i="6" s="1"/>
  <c r="L38" i="7" s="1"/>
  <c r="C46" i="24" s="1"/>
  <c r="L45" i="8"/>
  <c r="M45" i="8"/>
  <c r="N45" i="8"/>
  <c r="O45" i="8"/>
  <c r="S45" i="8"/>
  <c r="T38" i="6"/>
  <c r="V38" i="6" s="1"/>
  <c r="L37" i="7"/>
  <c r="C45" i="24" s="1"/>
  <c r="L44" i="8"/>
  <c r="M44" i="8"/>
  <c r="N44" i="8"/>
  <c r="O44" i="8"/>
  <c r="S44" i="8"/>
  <c r="T37" i="6"/>
  <c r="V37" i="6" s="1"/>
  <c r="L36" i="7"/>
  <c r="C44" i="24" s="1"/>
  <c r="L43" i="8"/>
  <c r="M43" i="8"/>
  <c r="N43" i="8"/>
  <c r="O43" i="8"/>
  <c r="S43" i="8"/>
  <c r="T36" i="6"/>
  <c r="V36" i="6" s="1"/>
  <c r="L35" i="7"/>
  <c r="C43" i="24" s="1"/>
  <c r="L42" i="8"/>
  <c r="M42" i="8"/>
  <c r="N42" i="8"/>
  <c r="O42" i="8"/>
  <c r="S42" i="8"/>
  <c r="T35" i="6"/>
  <c r="V35" i="6" s="1"/>
  <c r="L34" i="7"/>
  <c r="C42" i="24" s="1"/>
  <c r="L41" i="8"/>
  <c r="M41" i="8"/>
  <c r="N41" i="8"/>
  <c r="O41" i="8"/>
  <c r="S41" i="8"/>
  <c r="T34" i="6"/>
  <c r="V34" i="6" s="1"/>
  <c r="L33" i="7"/>
  <c r="C41" i="24" s="1"/>
  <c r="L40" i="8"/>
  <c r="M40" i="8"/>
  <c r="N40" i="8"/>
  <c r="O40" i="8"/>
  <c r="S40" i="8"/>
  <c r="T33" i="6"/>
  <c r="V33" i="6" s="1"/>
  <c r="L32" i="7"/>
  <c r="C40" i="24"/>
  <c r="L39" i="8"/>
  <c r="M39" i="8"/>
  <c r="N39" i="8"/>
  <c r="O39" i="8"/>
  <c r="S39" i="8"/>
  <c r="T32" i="6"/>
  <c r="V32" i="6" s="1"/>
  <c r="L31" i="7" s="1"/>
  <c r="C39" i="24" s="1"/>
  <c r="L38" i="8"/>
  <c r="D39" i="24" s="1"/>
  <c r="M38" i="8"/>
  <c r="N38" i="8"/>
  <c r="O38" i="8"/>
  <c r="S38" i="8"/>
  <c r="T31" i="6"/>
  <c r="V31" i="6" s="1"/>
  <c r="L30" i="7" s="1"/>
  <c r="C38" i="24" s="1"/>
  <c r="L37" i="8"/>
  <c r="D38" i="24" s="1"/>
  <c r="M37" i="8"/>
  <c r="N37" i="8"/>
  <c r="O37" i="8"/>
  <c r="S37" i="8"/>
  <c r="T30" i="6"/>
  <c r="V30" i="6" s="1"/>
  <c r="L29" i="7"/>
  <c r="C37" i="24" s="1"/>
  <c r="L36" i="8"/>
  <c r="M36" i="8"/>
  <c r="N36" i="8"/>
  <c r="O36" i="8"/>
  <c r="S36" i="8"/>
  <c r="T29" i="6"/>
  <c r="V29" i="6" s="1"/>
  <c r="L28" i="7"/>
  <c r="C36" i="24" s="1"/>
  <c r="L35" i="8"/>
  <c r="M35" i="8"/>
  <c r="N35" i="8"/>
  <c r="O35" i="8"/>
  <c r="S35" i="8"/>
  <c r="T28" i="6"/>
  <c r="V28" i="6" s="1"/>
  <c r="L27" i="7"/>
  <c r="C35" i="24" s="1"/>
  <c r="L34" i="8"/>
  <c r="M34" i="8"/>
  <c r="N34" i="8"/>
  <c r="O34" i="8"/>
  <c r="S34" i="8"/>
  <c r="T27" i="6"/>
  <c r="V27" i="6" s="1"/>
  <c r="L26" i="7"/>
  <c r="C34" i="24" s="1"/>
  <c r="L33" i="8"/>
  <c r="M33" i="8"/>
  <c r="N33" i="8"/>
  <c r="O33" i="8"/>
  <c r="S33" i="8"/>
  <c r="T26" i="6"/>
  <c r="V26" i="6" s="1"/>
  <c r="L25" i="7" s="1"/>
  <c r="C33" i="24" s="1"/>
  <c r="L32" i="8"/>
  <c r="M32" i="8"/>
  <c r="N32" i="8"/>
  <c r="O32" i="8"/>
  <c r="S32" i="8"/>
  <c r="T25" i="6"/>
  <c r="V25" i="6" s="1"/>
  <c r="L24" i="7" s="1"/>
  <c r="C32" i="24" s="1"/>
  <c r="L31" i="8"/>
  <c r="M31" i="8"/>
  <c r="N31" i="8"/>
  <c r="O31" i="8"/>
  <c r="S31" i="8"/>
  <c r="T24" i="6"/>
  <c r="V24" i="6" s="1"/>
  <c r="L23" i="7" s="1"/>
  <c r="C31" i="24" s="1"/>
  <c r="L30" i="8"/>
  <c r="D31" i="24" s="1"/>
  <c r="M30" i="8"/>
  <c r="N30" i="8"/>
  <c r="O30" i="8"/>
  <c r="S30" i="8"/>
  <c r="T23" i="6"/>
  <c r="V23" i="6" s="1"/>
  <c r="L22" i="7" s="1"/>
  <c r="C30" i="24" s="1"/>
  <c r="L29" i="8"/>
  <c r="M29" i="8"/>
  <c r="N29" i="8"/>
  <c r="O29" i="8"/>
  <c r="S29" i="8"/>
  <c r="T22" i="6"/>
  <c r="V22" i="6" s="1"/>
  <c r="L21" i="7"/>
  <c r="C29" i="24" s="1"/>
  <c r="L28" i="8"/>
  <c r="M28" i="8"/>
  <c r="N28" i="8"/>
  <c r="O28" i="8"/>
  <c r="S28" i="8"/>
  <c r="T21" i="6"/>
  <c r="V21" i="6" s="1"/>
  <c r="L20" i="7"/>
  <c r="C28" i="24" s="1"/>
  <c r="L27" i="8"/>
  <c r="M27" i="8"/>
  <c r="N27" i="8"/>
  <c r="O27" i="8"/>
  <c r="S27" i="8"/>
  <c r="D28" i="24"/>
  <c r="T20" i="6"/>
  <c r="V20" i="6" s="1"/>
  <c r="L19" i="7"/>
  <c r="C27" i="24" s="1"/>
  <c r="L26" i="8"/>
  <c r="M26" i="8"/>
  <c r="N26" i="8"/>
  <c r="O26" i="8"/>
  <c r="S26" i="8"/>
  <c r="T19" i="6"/>
  <c r="V19" i="6" s="1"/>
  <c r="L18" i="7"/>
  <c r="C26" i="24" s="1"/>
  <c r="L25" i="8"/>
  <c r="M25" i="8"/>
  <c r="N25" i="8"/>
  <c r="O25" i="8"/>
  <c r="S25" i="8"/>
  <c r="T18" i="6"/>
  <c r="V18" i="6" s="1"/>
  <c r="L17" i="7" s="1"/>
  <c r="C25" i="24" s="1"/>
  <c r="L24" i="8"/>
  <c r="M24" i="8"/>
  <c r="N24" i="8"/>
  <c r="O24" i="8"/>
  <c r="S24" i="8"/>
  <c r="T17" i="6"/>
  <c r="V17" i="6" s="1"/>
  <c r="L16" i="7" s="1"/>
  <c r="C24" i="24" s="1"/>
  <c r="L23" i="8"/>
  <c r="M23" i="8"/>
  <c r="N23" i="8"/>
  <c r="O23" i="8"/>
  <c r="S23" i="8"/>
  <c r="T16" i="6"/>
  <c r="V16" i="6" s="1"/>
  <c r="L15" i="7" s="1"/>
  <c r="C23" i="24" s="1"/>
  <c r="L22" i="8"/>
  <c r="D23" i="24" s="1"/>
  <c r="M22" i="8"/>
  <c r="N22" i="8"/>
  <c r="O22" i="8"/>
  <c r="S22" i="8"/>
  <c r="T15" i="6"/>
  <c r="V15" i="6" s="1"/>
  <c r="L14" i="7" s="1"/>
  <c r="C22" i="24" s="1"/>
  <c r="L21" i="8"/>
  <c r="M21" i="8"/>
  <c r="N21" i="8"/>
  <c r="O21" i="8"/>
  <c r="S21" i="8"/>
  <c r="T14" i="6"/>
  <c r="V14" i="6" s="1"/>
  <c r="L13" i="7" s="1"/>
  <c r="C21" i="24" s="1"/>
  <c r="L20" i="8"/>
  <c r="M20" i="8"/>
  <c r="N20" i="8"/>
  <c r="O20" i="8"/>
  <c r="S20" i="8"/>
  <c r="T13" i="6"/>
  <c r="V13" i="6"/>
  <c r="L12" i="7" s="1"/>
  <c r="C20" i="24"/>
  <c r="L19" i="8"/>
  <c r="D20" i="24" s="1"/>
  <c r="M19" i="8"/>
  <c r="N19" i="8"/>
  <c r="O19" i="8"/>
  <c r="S19" i="8"/>
  <c r="T12" i="6"/>
  <c r="V12" i="6" s="1"/>
  <c r="L11" i="7" s="1"/>
  <c r="C19" i="24" s="1"/>
  <c r="L18" i="8"/>
  <c r="M18" i="8"/>
  <c r="N18" i="8"/>
  <c r="O18" i="8"/>
  <c r="S18" i="8"/>
  <c r="C98" i="8"/>
  <c r="C13" i="8"/>
  <c r="D98" i="8"/>
  <c r="E98" i="8"/>
  <c r="F98" i="8"/>
  <c r="J98" i="8"/>
  <c r="C97" i="8"/>
  <c r="D97" i="8"/>
  <c r="E97" i="8"/>
  <c r="F97" i="8"/>
  <c r="J97" i="8"/>
  <c r="C98" i="25"/>
  <c r="C96" i="8"/>
  <c r="D96" i="8"/>
  <c r="E96" i="8"/>
  <c r="F96" i="8"/>
  <c r="J96" i="8"/>
  <c r="C97" i="25"/>
  <c r="C95" i="8"/>
  <c r="D95" i="8"/>
  <c r="E95" i="8"/>
  <c r="F95" i="8"/>
  <c r="J95" i="8"/>
  <c r="C94" i="8"/>
  <c r="D94" i="8"/>
  <c r="E94" i="8"/>
  <c r="F94" i="8"/>
  <c r="J94" i="8"/>
  <c r="C93" i="8"/>
  <c r="D93" i="8"/>
  <c r="E93" i="8"/>
  <c r="C94" i="25" s="1"/>
  <c r="F93" i="8"/>
  <c r="J93" i="8"/>
  <c r="C92" i="8"/>
  <c r="D92" i="8"/>
  <c r="E92" i="8"/>
  <c r="F92" i="8"/>
  <c r="J92" i="8"/>
  <c r="C91" i="8"/>
  <c r="D91" i="8"/>
  <c r="E91" i="8"/>
  <c r="F91" i="8"/>
  <c r="J91" i="8"/>
  <c r="C92" i="25"/>
  <c r="D84" i="6"/>
  <c r="E84" i="6" s="1"/>
  <c r="C90" i="8"/>
  <c r="D90" i="8"/>
  <c r="E90" i="8"/>
  <c r="F90" i="8"/>
  <c r="J90" i="8"/>
  <c r="D83" i="6"/>
  <c r="E83" i="6" s="1"/>
  <c r="C89" i="8"/>
  <c r="D89" i="8"/>
  <c r="E89" i="8"/>
  <c r="C90" i="25" s="1"/>
  <c r="F89" i="8"/>
  <c r="J89" i="8"/>
  <c r="C88" i="8"/>
  <c r="D88" i="8"/>
  <c r="E88" i="8"/>
  <c r="F88" i="8"/>
  <c r="J88" i="8"/>
  <c r="C87" i="8"/>
  <c r="D87" i="8"/>
  <c r="E87" i="8"/>
  <c r="F87" i="8"/>
  <c r="J87" i="8"/>
  <c r="C86" i="8"/>
  <c r="D86" i="8"/>
  <c r="E86" i="8"/>
  <c r="F86" i="8"/>
  <c r="J86" i="8"/>
  <c r="D79" i="6"/>
  <c r="E79" i="6" s="1"/>
  <c r="C85" i="8"/>
  <c r="D85" i="8"/>
  <c r="E85" i="8"/>
  <c r="F85" i="8"/>
  <c r="J85" i="8"/>
  <c r="C84" i="8"/>
  <c r="D84" i="8"/>
  <c r="E84" i="8"/>
  <c r="F84" i="8"/>
  <c r="J84" i="8"/>
  <c r="D77" i="6"/>
  <c r="E77" i="6" s="1"/>
  <c r="C83" i="8"/>
  <c r="D83" i="8"/>
  <c r="E83" i="8"/>
  <c r="F83" i="8"/>
  <c r="J83" i="8"/>
  <c r="D76" i="6"/>
  <c r="E76" i="6" s="1"/>
  <c r="C82" i="8"/>
  <c r="D82" i="8"/>
  <c r="E82" i="8"/>
  <c r="F82" i="8"/>
  <c r="J82" i="8"/>
  <c r="D75" i="6"/>
  <c r="E75" i="6" s="1"/>
  <c r="C81" i="8"/>
  <c r="D81" i="8"/>
  <c r="E81" i="8"/>
  <c r="F81" i="8"/>
  <c r="J81" i="8"/>
  <c r="C82" i="25"/>
  <c r="C80" i="8"/>
  <c r="D80" i="8"/>
  <c r="E80" i="8"/>
  <c r="F80" i="8"/>
  <c r="J80" i="8"/>
  <c r="C79" i="8"/>
  <c r="D79" i="8"/>
  <c r="E79" i="8"/>
  <c r="F79" i="8"/>
  <c r="J79" i="8"/>
  <c r="C78" i="8"/>
  <c r="C79" i="25" s="1"/>
  <c r="D78" i="8"/>
  <c r="E78" i="8"/>
  <c r="F78" i="8"/>
  <c r="J78" i="8"/>
  <c r="D71" i="6"/>
  <c r="E71" i="6" s="1"/>
  <c r="C77" i="8"/>
  <c r="D77" i="8"/>
  <c r="E77" i="8"/>
  <c r="C78" i="25" s="1"/>
  <c r="F77" i="8"/>
  <c r="J77" i="8"/>
  <c r="C76" i="8"/>
  <c r="D76" i="8"/>
  <c r="E76" i="8"/>
  <c r="F76" i="8"/>
  <c r="J76" i="8"/>
  <c r="C75" i="8"/>
  <c r="D75" i="8"/>
  <c r="E75" i="8"/>
  <c r="F75" i="8"/>
  <c r="J75" i="8"/>
  <c r="D68" i="6"/>
  <c r="E68" i="6" s="1"/>
  <c r="C74" i="8"/>
  <c r="D74" i="8"/>
  <c r="E74" i="8"/>
  <c r="F74" i="8"/>
  <c r="J74" i="8"/>
  <c r="D67" i="6"/>
  <c r="E67" i="6" s="1"/>
  <c r="C73" i="8"/>
  <c r="D73" i="8"/>
  <c r="C74" i="25" s="1"/>
  <c r="E73" i="8"/>
  <c r="F73" i="8"/>
  <c r="J73" i="8"/>
  <c r="D66" i="6"/>
  <c r="E66" i="6" s="1"/>
  <c r="C72" i="8"/>
  <c r="D72" i="8"/>
  <c r="E72" i="8"/>
  <c r="F72" i="8"/>
  <c r="J72" i="8"/>
  <c r="C71" i="8"/>
  <c r="D71" i="8"/>
  <c r="E71" i="8"/>
  <c r="F71" i="8"/>
  <c r="J71" i="8"/>
  <c r="D64" i="6"/>
  <c r="E64" i="6" s="1"/>
  <c r="C70" i="8"/>
  <c r="D70" i="8"/>
  <c r="E70" i="8"/>
  <c r="F70" i="8"/>
  <c r="C71" i="25" s="1"/>
  <c r="J70" i="8"/>
  <c r="D63" i="6"/>
  <c r="E63" i="6" s="1"/>
  <c r="C69" i="8"/>
  <c r="D69" i="8"/>
  <c r="E69" i="8"/>
  <c r="F69" i="8"/>
  <c r="J69" i="8"/>
  <c r="C70" i="25"/>
  <c r="D62" i="6"/>
  <c r="E62" i="6" s="1"/>
  <c r="C68" i="8"/>
  <c r="D68" i="8"/>
  <c r="E68" i="8"/>
  <c r="F68" i="8"/>
  <c r="J68" i="8"/>
  <c r="C67" i="8"/>
  <c r="D67" i="8"/>
  <c r="E67" i="8"/>
  <c r="F67" i="8"/>
  <c r="J67" i="8"/>
  <c r="C66" i="8"/>
  <c r="D66" i="8"/>
  <c r="E66" i="8"/>
  <c r="F66" i="8"/>
  <c r="J66" i="8"/>
  <c r="C65" i="8"/>
  <c r="D65" i="8"/>
  <c r="E65" i="8"/>
  <c r="F65" i="8"/>
  <c r="J65" i="8"/>
  <c r="C66" i="25"/>
  <c r="D58" i="6"/>
  <c r="E58" i="6" s="1"/>
  <c r="C64" i="8"/>
  <c r="D64" i="8"/>
  <c r="E64" i="8"/>
  <c r="F64" i="8"/>
  <c r="J64" i="8"/>
  <c r="D57" i="6"/>
  <c r="E57" i="6" s="1"/>
  <c r="C63" i="8"/>
  <c r="C64" i="25" s="1"/>
  <c r="D63" i="8"/>
  <c r="E63" i="8"/>
  <c r="F63" i="8"/>
  <c r="J63" i="8"/>
  <c r="C62" i="8"/>
  <c r="D62" i="8"/>
  <c r="E62" i="8"/>
  <c r="F62" i="8"/>
  <c r="C63" i="25" s="1"/>
  <c r="J62" i="8"/>
  <c r="D55" i="6"/>
  <c r="E55" i="6" s="1"/>
  <c r="C61" i="8"/>
  <c r="D61" i="8"/>
  <c r="E61" i="8"/>
  <c r="F61" i="8"/>
  <c r="J61" i="8"/>
  <c r="C62" i="25"/>
  <c r="C60" i="8"/>
  <c r="D60" i="8"/>
  <c r="E60" i="8"/>
  <c r="F60" i="8"/>
  <c r="J60" i="8"/>
  <c r="D53" i="6"/>
  <c r="E53" i="6" s="1"/>
  <c r="C59" i="8"/>
  <c r="D59" i="8"/>
  <c r="E59" i="8"/>
  <c r="F59" i="8"/>
  <c r="J59" i="8"/>
  <c r="C58" i="8"/>
  <c r="D58" i="8"/>
  <c r="E58" i="8"/>
  <c r="F58" i="8"/>
  <c r="J58" i="8"/>
  <c r="C57" i="8"/>
  <c r="D57" i="8"/>
  <c r="E57" i="8"/>
  <c r="F57" i="8"/>
  <c r="J57" i="8"/>
  <c r="C58" i="25"/>
  <c r="D50" i="6"/>
  <c r="E50" i="6" s="1"/>
  <c r="C56" i="8"/>
  <c r="D56" i="8"/>
  <c r="E56" i="8"/>
  <c r="F56" i="8"/>
  <c r="J56" i="8"/>
  <c r="D49" i="6"/>
  <c r="E49" i="6" s="1"/>
  <c r="C55" i="8"/>
  <c r="D55" i="8"/>
  <c r="E55" i="8"/>
  <c r="F55" i="8"/>
  <c r="J55" i="8"/>
  <c r="D48" i="6"/>
  <c r="E48" i="6" s="1"/>
  <c r="C54" i="8"/>
  <c r="D54" i="8"/>
  <c r="E54" i="8"/>
  <c r="F54" i="8"/>
  <c r="C55" i="25" s="1"/>
  <c r="J54" i="8"/>
  <c r="C53" i="8"/>
  <c r="D53" i="8"/>
  <c r="E53" i="8"/>
  <c r="F53" i="8"/>
  <c r="J53" i="8"/>
  <c r="C54" i="25"/>
  <c r="C52" i="8"/>
  <c r="D52" i="8"/>
  <c r="E52" i="8"/>
  <c r="F52" i="8"/>
  <c r="J52" i="8"/>
  <c r="C51" i="8"/>
  <c r="D51" i="8"/>
  <c r="E51" i="8"/>
  <c r="F51" i="8"/>
  <c r="J51" i="8"/>
  <c r="D44" i="6"/>
  <c r="E44" i="6" s="1"/>
  <c r="C50" i="8"/>
  <c r="D50" i="8"/>
  <c r="E50" i="8"/>
  <c r="F50" i="8"/>
  <c r="J50" i="8"/>
  <c r="C49" i="8"/>
  <c r="D49" i="8"/>
  <c r="E49" i="8"/>
  <c r="F49" i="8"/>
  <c r="J49" i="8"/>
  <c r="C50" i="25"/>
  <c r="C48" i="8"/>
  <c r="D48" i="8"/>
  <c r="C49" i="25" s="1"/>
  <c r="E48" i="8"/>
  <c r="F48" i="8"/>
  <c r="J48" i="8"/>
  <c r="D41" i="6"/>
  <c r="E41" i="6" s="1"/>
  <c r="C47" i="8"/>
  <c r="C48" i="25" s="1"/>
  <c r="D47" i="8"/>
  <c r="E47" i="8"/>
  <c r="F47" i="8"/>
  <c r="J47" i="8"/>
  <c r="D40" i="6"/>
  <c r="E40" i="6" s="1"/>
  <c r="C46" i="8"/>
  <c r="D46" i="8"/>
  <c r="E46" i="8"/>
  <c r="F46" i="8"/>
  <c r="C47" i="25" s="1"/>
  <c r="J46" i="8"/>
  <c r="D39" i="6"/>
  <c r="E39" i="6" s="1"/>
  <c r="C45" i="8"/>
  <c r="D45" i="8"/>
  <c r="E45" i="8"/>
  <c r="F45" i="8"/>
  <c r="J45" i="8"/>
  <c r="C46" i="25"/>
  <c r="C44" i="8"/>
  <c r="D44" i="8"/>
  <c r="E44" i="8"/>
  <c r="F44" i="8"/>
  <c r="J44" i="8"/>
  <c r="C43" i="8"/>
  <c r="D43" i="8"/>
  <c r="E43" i="8"/>
  <c r="F43" i="8"/>
  <c r="J43" i="8"/>
  <c r="C42" i="8"/>
  <c r="D42" i="8"/>
  <c r="E42" i="8"/>
  <c r="F42" i="8"/>
  <c r="J42" i="8"/>
  <c r="D35" i="6"/>
  <c r="E35" i="6" s="1"/>
  <c r="C41" i="8"/>
  <c r="D41" i="8"/>
  <c r="E41" i="8"/>
  <c r="F41" i="8"/>
  <c r="J41" i="8"/>
  <c r="C42" i="25"/>
  <c r="D34" i="6"/>
  <c r="E34" i="6" s="1"/>
  <c r="C40" i="8"/>
  <c r="D40" i="8"/>
  <c r="C41" i="25" s="1"/>
  <c r="E40" i="8"/>
  <c r="F40" i="8"/>
  <c r="J40" i="8"/>
  <c r="C39" i="8"/>
  <c r="D39" i="8"/>
  <c r="E39" i="8"/>
  <c r="F39" i="8"/>
  <c r="J39" i="8"/>
  <c r="D32" i="6"/>
  <c r="E32" i="6" s="1"/>
  <c r="C38" i="8"/>
  <c r="D38" i="8"/>
  <c r="E38" i="8"/>
  <c r="F38" i="8"/>
  <c r="C39" i="25" s="1"/>
  <c r="J38" i="8"/>
  <c r="D31" i="6"/>
  <c r="E31" i="6" s="1"/>
  <c r="C37" i="8"/>
  <c r="D37" i="8"/>
  <c r="E37" i="8"/>
  <c r="F37" i="8"/>
  <c r="J37" i="8"/>
  <c r="C38" i="25"/>
  <c r="D30" i="6"/>
  <c r="E30" i="6" s="1"/>
  <c r="C36" i="8"/>
  <c r="D36" i="8"/>
  <c r="E36" i="8"/>
  <c r="F36" i="8"/>
  <c r="J36" i="8"/>
  <c r="C37" i="25"/>
  <c r="D29" i="6"/>
  <c r="E29" i="6"/>
  <c r="C35" i="8"/>
  <c r="D35" i="8"/>
  <c r="E35" i="8"/>
  <c r="F35" i="8"/>
  <c r="J35" i="8"/>
  <c r="C34" i="8"/>
  <c r="D34" i="8"/>
  <c r="E34" i="8"/>
  <c r="F34" i="8"/>
  <c r="J34" i="8"/>
  <c r="C33" i="8"/>
  <c r="D33" i="8"/>
  <c r="E33" i="8"/>
  <c r="F33" i="8"/>
  <c r="J33" i="8"/>
  <c r="C34" i="25"/>
  <c r="D26" i="6"/>
  <c r="E26" i="6" s="1"/>
  <c r="C32" i="8"/>
  <c r="D32" i="8"/>
  <c r="E32" i="8"/>
  <c r="F32" i="8"/>
  <c r="J32" i="8"/>
  <c r="C33" i="25"/>
  <c r="C31" i="8"/>
  <c r="D31" i="8"/>
  <c r="C32" i="25" s="1"/>
  <c r="E31" i="8"/>
  <c r="F31" i="8"/>
  <c r="J31" i="8"/>
  <c r="D24" i="6"/>
  <c r="E24" i="6" s="1"/>
  <c r="C30" i="8"/>
  <c r="D30" i="8"/>
  <c r="C31" i="25" s="1"/>
  <c r="E30" i="8"/>
  <c r="F30" i="8"/>
  <c r="J30" i="8"/>
  <c r="C29" i="8"/>
  <c r="D29" i="8"/>
  <c r="E29" i="8"/>
  <c r="F29" i="8"/>
  <c r="J29" i="8"/>
  <c r="C30" i="25"/>
  <c r="C28" i="8"/>
  <c r="D28" i="8"/>
  <c r="E28" i="8"/>
  <c r="F28" i="8"/>
  <c r="J28" i="8"/>
  <c r="C29" i="25"/>
  <c r="C27" i="8"/>
  <c r="D27" i="8"/>
  <c r="C28" i="25" s="1"/>
  <c r="E27" i="8"/>
  <c r="F27" i="8"/>
  <c r="J27" i="8"/>
  <c r="C26" i="8"/>
  <c r="D26" i="8"/>
  <c r="E26" i="8"/>
  <c r="F26" i="8"/>
  <c r="J26" i="8"/>
  <c r="D19" i="6"/>
  <c r="E19" i="6" s="1"/>
  <c r="C25" i="8"/>
  <c r="D25" i="8"/>
  <c r="E25" i="8"/>
  <c r="F25" i="8"/>
  <c r="J25" i="8"/>
  <c r="C24" i="8"/>
  <c r="D24" i="8"/>
  <c r="E24" i="8"/>
  <c r="F24" i="8"/>
  <c r="J24" i="8"/>
  <c r="C25" i="25"/>
  <c r="C23" i="8"/>
  <c r="D23" i="8"/>
  <c r="E23" i="8"/>
  <c r="F23" i="8"/>
  <c r="J23" i="8"/>
  <c r="D16" i="6"/>
  <c r="E16" i="6" s="1"/>
  <c r="C22" i="8"/>
  <c r="D22" i="8"/>
  <c r="E22" i="8"/>
  <c r="F22" i="8"/>
  <c r="J22" i="8"/>
  <c r="D23" i="26"/>
  <c r="C21" i="8"/>
  <c r="D21" i="8"/>
  <c r="E21" i="8"/>
  <c r="F21" i="8"/>
  <c r="J21" i="8"/>
  <c r="D14" i="6"/>
  <c r="E14" i="6" s="1"/>
  <c r="C20" i="8"/>
  <c r="D20" i="8"/>
  <c r="E20" i="8"/>
  <c r="F20" i="8"/>
  <c r="J20" i="8"/>
  <c r="C21" i="25"/>
  <c r="D13" i="6"/>
  <c r="E13" i="6" s="1"/>
  <c r="C19" i="8"/>
  <c r="D19" i="8"/>
  <c r="E19" i="8"/>
  <c r="F19" i="8"/>
  <c r="J19" i="8"/>
  <c r="C18" i="8"/>
  <c r="D18" i="8"/>
  <c r="E18" i="8"/>
  <c r="F18" i="8"/>
  <c r="J18" i="8"/>
  <c r="C99" i="26"/>
  <c r="D19" i="4"/>
  <c r="E19" i="4" s="1"/>
  <c r="C98" i="26"/>
  <c r="D98" i="26"/>
  <c r="C97" i="26"/>
  <c r="D97" i="26"/>
  <c r="C96" i="26"/>
  <c r="C95" i="26"/>
  <c r="C94" i="26"/>
  <c r="D94" i="26"/>
  <c r="C93" i="26"/>
  <c r="C92" i="26"/>
  <c r="D92" i="26"/>
  <c r="C91" i="26"/>
  <c r="C90" i="26"/>
  <c r="D90" i="26"/>
  <c r="C89" i="26"/>
  <c r="C88" i="26"/>
  <c r="C87" i="26"/>
  <c r="C86" i="26"/>
  <c r="C85" i="26"/>
  <c r="C84" i="26"/>
  <c r="C83" i="26"/>
  <c r="C82" i="26"/>
  <c r="D82" i="26"/>
  <c r="C81" i="26"/>
  <c r="C80" i="26"/>
  <c r="C79" i="26"/>
  <c r="D79" i="26"/>
  <c r="C78" i="26"/>
  <c r="D78" i="26"/>
  <c r="C77" i="26"/>
  <c r="C76" i="26"/>
  <c r="C75" i="26"/>
  <c r="C74" i="26"/>
  <c r="D74" i="26"/>
  <c r="C73" i="26"/>
  <c r="D73" i="26"/>
  <c r="C72" i="26"/>
  <c r="C71" i="26"/>
  <c r="D71" i="26"/>
  <c r="C70" i="26"/>
  <c r="D70" i="26"/>
  <c r="C69" i="26"/>
  <c r="C68" i="26"/>
  <c r="C67" i="26"/>
  <c r="C66" i="26"/>
  <c r="D66" i="26"/>
  <c r="C65" i="26"/>
  <c r="D65" i="26"/>
  <c r="C64" i="26"/>
  <c r="D64" i="26"/>
  <c r="C63" i="26"/>
  <c r="D63" i="26"/>
  <c r="C62" i="26"/>
  <c r="D62" i="26"/>
  <c r="C61" i="26"/>
  <c r="C60" i="26"/>
  <c r="C59" i="26"/>
  <c r="C58" i="26"/>
  <c r="D58" i="26"/>
  <c r="C57" i="26"/>
  <c r="D57" i="26"/>
  <c r="C56" i="26"/>
  <c r="C55" i="26"/>
  <c r="D55" i="26"/>
  <c r="C54" i="26"/>
  <c r="D54" i="26"/>
  <c r="C53" i="26"/>
  <c r="C52" i="26"/>
  <c r="C51" i="26"/>
  <c r="C50" i="26"/>
  <c r="D50" i="26"/>
  <c r="C49" i="26"/>
  <c r="D49" i="26"/>
  <c r="C48" i="26"/>
  <c r="D48" i="26"/>
  <c r="C47" i="26"/>
  <c r="D47" i="26"/>
  <c r="C46" i="26"/>
  <c r="D46" i="26"/>
  <c r="C45" i="26"/>
  <c r="C44" i="26"/>
  <c r="C43" i="26"/>
  <c r="C42" i="26"/>
  <c r="D42" i="26"/>
  <c r="C41" i="26"/>
  <c r="C40" i="26"/>
  <c r="C39" i="26"/>
  <c r="D39" i="26"/>
  <c r="C38" i="26"/>
  <c r="D38" i="26"/>
  <c r="C37" i="26"/>
  <c r="D37" i="26"/>
  <c r="C36" i="26"/>
  <c r="C35" i="26"/>
  <c r="C34" i="26"/>
  <c r="D34" i="26"/>
  <c r="C33" i="26"/>
  <c r="D33" i="26"/>
  <c r="C32" i="26"/>
  <c r="D32" i="26"/>
  <c r="C31" i="26"/>
  <c r="D31" i="26"/>
  <c r="C30" i="26"/>
  <c r="D30" i="26"/>
  <c r="C29" i="26"/>
  <c r="C28" i="26"/>
  <c r="D28" i="26"/>
  <c r="C27" i="26"/>
  <c r="C26" i="26"/>
  <c r="C25" i="26"/>
  <c r="D25" i="26"/>
  <c r="C24" i="26"/>
  <c r="C23" i="26"/>
  <c r="C22" i="26"/>
  <c r="C21" i="26"/>
  <c r="C20" i="26"/>
  <c r="C19" i="26"/>
  <c r="L8" i="6"/>
  <c r="L91" i="6" s="1"/>
  <c r="D18" i="4"/>
  <c r="E18" i="4" s="1"/>
  <c r="M18" i="4" s="1"/>
  <c r="I6" i="27" s="1"/>
  <c r="D99" i="27"/>
  <c r="D98" i="27"/>
  <c r="D97" i="27"/>
  <c r="D94" i="27"/>
  <c r="D92" i="27"/>
  <c r="D90" i="27"/>
  <c r="D84" i="27"/>
  <c r="D82" i="27"/>
  <c r="D79" i="27"/>
  <c r="D78" i="27"/>
  <c r="D74" i="27"/>
  <c r="D73" i="27"/>
  <c r="D71" i="27"/>
  <c r="D70" i="27"/>
  <c r="D69" i="27"/>
  <c r="D66" i="27"/>
  <c r="D65" i="27"/>
  <c r="D64" i="27"/>
  <c r="D63" i="27"/>
  <c r="D62" i="27"/>
  <c r="D61" i="27"/>
  <c r="D60" i="27"/>
  <c r="D58" i="27"/>
  <c r="D57" i="27"/>
  <c r="D55" i="27"/>
  <c r="D54" i="27"/>
  <c r="D53" i="27"/>
  <c r="D52" i="27"/>
  <c r="D51" i="27"/>
  <c r="D50" i="27"/>
  <c r="D49" i="27"/>
  <c r="D48" i="27"/>
  <c r="D47" i="27"/>
  <c r="D46" i="27"/>
  <c r="D44" i="27"/>
  <c r="D42" i="27"/>
  <c r="D41" i="27"/>
  <c r="D39" i="27"/>
  <c r="D38" i="27"/>
  <c r="D37" i="27"/>
  <c r="D36" i="27"/>
  <c r="D34" i="27"/>
  <c r="D33" i="27"/>
  <c r="D32" i="27"/>
  <c r="D31" i="27"/>
  <c r="D30" i="27"/>
  <c r="D29" i="27"/>
  <c r="D28" i="27"/>
  <c r="D25" i="27"/>
  <c r="D23" i="27"/>
  <c r="D21" i="27"/>
  <c r="K8" i="6"/>
  <c r="K91" i="6" s="1"/>
  <c r="D17" i="4"/>
  <c r="E17" i="4" s="1"/>
  <c r="M17" i="4" s="1"/>
  <c r="I6" i="22" s="1"/>
  <c r="D98" i="22"/>
  <c r="D97" i="22"/>
  <c r="D94" i="22"/>
  <c r="D92" i="22"/>
  <c r="D90" i="22"/>
  <c r="D84" i="22"/>
  <c r="D82" i="22"/>
  <c r="D79" i="22"/>
  <c r="D78" i="22"/>
  <c r="D74" i="22"/>
  <c r="D73" i="22"/>
  <c r="D71" i="22"/>
  <c r="D70" i="22"/>
  <c r="D69" i="22"/>
  <c r="D66" i="22"/>
  <c r="D65" i="22"/>
  <c r="D64" i="22"/>
  <c r="D63" i="22"/>
  <c r="D62" i="22"/>
  <c r="D60" i="22"/>
  <c r="D58" i="22"/>
  <c r="D57" i="22"/>
  <c r="D55" i="22"/>
  <c r="D54" i="22"/>
  <c r="D53" i="22"/>
  <c r="D52" i="22"/>
  <c r="D50" i="22"/>
  <c r="D49" i="22"/>
  <c r="D48" i="22"/>
  <c r="D47" i="22"/>
  <c r="D46" i="22"/>
  <c r="D44" i="22"/>
  <c r="D42" i="22"/>
  <c r="D41" i="22"/>
  <c r="D40" i="22"/>
  <c r="D39" i="22"/>
  <c r="D38" i="22"/>
  <c r="D37" i="22"/>
  <c r="D36" i="22"/>
  <c r="D34" i="22"/>
  <c r="D33" i="22"/>
  <c r="D32" i="22"/>
  <c r="D31" i="22"/>
  <c r="D30" i="22"/>
  <c r="D29" i="22"/>
  <c r="D28" i="22"/>
  <c r="D26" i="22"/>
  <c r="D25" i="22"/>
  <c r="D23" i="22"/>
  <c r="D21" i="22"/>
  <c r="I8" i="6"/>
  <c r="I69" i="6" s="1"/>
  <c r="D15" i="4"/>
  <c r="E15" i="4" s="1"/>
  <c r="D99" i="20"/>
  <c r="D98" i="20"/>
  <c r="D97" i="20"/>
  <c r="D94" i="20"/>
  <c r="D92" i="20"/>
  <c r="D90" i="20"/>
  <c r="D86" i="20"/>
  <c r="D84" i="20"/>
  <c r="D82" i="20"/>
  <c r="D79" i="20"/>
  <c r="D78" i="20"/>
  <c r="D76" i="20"/>
  <c r="D74" i="20"/>
  <c r="D73" i="20"/>
  <c r="D71" i="20"/>
  <c r="D70" i="20"/>
  <c r="D69" i="20"/>
  <c r="D66" i="20"/>
  <c r="D65" i="20"/>
  <c r="D64" i="20"/>
  <c r="D63" i="20"/>
  <c r="D62" i="20"/>
  <c r="D61" i="20"/>
  <c r="D60" i="20"/>
  <c r="D58" i="20"/>
  <c r="D57" i="20"/>
  <c r="D55" i="20"/>
  <c r="D54" i="20"/>
  <c r="D53" i="20"/>
  <c r="D52" i="20"/>
  <c r="D50" i="20"/>
  <c r="D49" i="20"/>
  <c r="D48" i="20"/>
  <c r="D47" i="20"/>
  <c r="D46" i="20"/>
  <c r="D44" i="20"/>
  <c r="D42" i="20"/>
  <c r="D41" i="20"/>
  <c r="D40" i="20"/>
  <c r="D39" i="20"/>
  <c r="D38" i="20"/>
  <c r="D37" i="20"/>
  <c r="D36" i="20"/>
  <c r="D34" i="20"/>
  <c r="D33" i="20"/>
  <c r="D32" i="20"/>
  <c r="D31" i="20"/>
  <c r="D30" i="20"/>
  <c r="D29" i="20"/>
  <c r="D28" i="20"/>
  <c r="D26" i="20"/>
  <c r="D25" i="20"/>
  <c r="D23" i="20"/>
  <c r="D21" i="20"/>
  <c r="D16" i="4"/>
  <c r="E16" i="4" s="1"/>
  <c r="D99" i="23"/>
  <c r="D98" i="23"/>
  <c r="D97" i="23"/>
  <c r="D94" i="23"/>
  <c r="D92" i="23"/>
  <c r="D90" i="23"/>
  <c r="D86" i="23"/>
  <c r="D84" i="23"/>
  <c r="D82" i="23"/>
  <c r="D79" i="23"/>
  <c r="D78" i="23"/>
  <c r="D76" i="23"/>
  <c r="D74" i="23"/>
  <c r="D73" i="23"/>
  <c r="D71" i="23"/>
  <c r="D70" i="23"/>
  <c r="D69" i="23"/>
  <c r="D66" i="23"/>
  <c r="D65" i="23"/>
  <c r="D64" i="23"/>
  <c r="D63" i="23"/>
  <c r="D62" i="23"/>
  <c r="D61" i="23"/>
  <c r="D60" i="23"/>
  <c r="D58" i="23"/>
  <c r="D57" i="23"/>
  <c r="D55" i="23"/>
  <c r="D54" i="23"/>
  <c r="D53" i="23"/>
  <c r="D52" i="23"/>
  <c r="D50" i="23"/>
  <c r="D49" i="23"/>
  <c r="D48" i="23"/>
  <c r="D47" i="23"/>
  <c r="D46" i="23"/>
  <c r="D45" i="23"/>
  <c r="D44" i="23"/>
  <c r="D42" i="23"/>
  <c r="D41" i="23"/>
  <c r="D40" i="23"/>
  <c r="D39" i="23"/>
  <c r="D38" i="23"/>
  <c r="D37" i="23"/>
  <c r="D36" i="23"/>
  <c r="D34" i="23"/>
  <c r="D33" i="23"/>
  <c r="D32" i="23"/>
  <c r="D31" i="23"/>
  <c r="D30" i="23"/>
  <c r="D29" i="23"/>
  <c r="D28" i="23"/>
  <c r="D26" i="23"/>
  <c r="D25" i="23"/>
  <c r="D23" i="23"/>
  <c r="D21" i="23"/>
  <c r="H8" i="6"/>
  <c r="H69" i="6" s="1"/>
  <c r="D14" i="4"/>
  <c r="E14" i="4" s="1"/>
  <c r="D98" i="21"/>
  <c r="D97" i="21"/>
  <c r="D94" i="21"/>
  <c r="D92" i="21"/>
  <c r="D90" i="21"/>
  <c r="D86" i="21"/>
  <c r="D84" i="21"/>
  <c r="D82" i="21"/>
  <c r="D79" i="21"/>
  <c r="D78" i="21"/>
  <c r="D76" i="21"/>
  <c r="D74" i="21"/>
  <c r="D73" i="21"/>
  <c r="D71" i="21"/>
  <c r="D70" i="21"/>
  <c r="D69" i="21"/>
  <c r="D66" i="21"/>
  <c r="D65" i="21"/>
  <c r="D64" i="21"/>
  <c r="D63" i="21"/>
  <c r="D62" i="21"/>
  <c r="D61" i="21"/>
  <c r="D60" i="21"/>
  <c r="D59" i="21"/>
  <c r="D58" i="21"/>
  <c r="D57" i="21"/>
  <c r="D55" i="21"/>
  <c r="D54" i="21"/>
  <c r="D53" i="21"/>
  <c r="D52" i="21"/>
  <c r="D50" i="21"/>
  <c r="D49" i="21"/>
  <c r="D48" i="21"/>
  <c r="D47" i="21"/>
  <c r="D46" i="21"/>
  <c r="D45" i="21"/>
  <c r="D44" i="21"/>
  <c r="D42" i="21"/>
  <c r="D41" i="21"/>
  <c r="D40" i="21"/>
  <c r="D39" i="21"/>
  <c r="D38" i="21"/>
  <c r="D37" i="21"/>
  <c r="D36" i="21"/>
  <c r="D34" i="21"/>
  <c r="D33" i="21"/>
  <c r="D32" i="21"/>
  <c r="D31" i="21"/>
  <c r="D30" i="21"/>
  <c r="D29" i="21"/>
  <c r="D28" i="21"/>
  <c r="D26" i="21"/>
  <c r="D25" i="21"/>
  <c r="D23" i="21"/>
  <c r="D21" i="21"/>
  <c r="G8" i="6"/>
  <c r="G59" i="6" s="1"/>
  <c r="D13" i="4"/>
  <c r="E13" i="4" s="1"/>
  <c r="M13" i="4" s="1"/>
  <c r="D98" i="18"/>
  <c r="D97" i="18"/>
  <c r="D94" i="18"/>
  <c r="D92" i="18"/>
  <c r="D90" i="18"/>
  <c r="D86" i="18"/>
  <c r="D84" i="18"/>
  <c r="D82" i="18"/>
  <c r="D79" i="18"/>
  <c r="D78" i="18"/>
  <c r="D76" i="18"/>
  <c r="D74" i="18"/>
  <c r="D73" i="18"/>
  <c r="D71" i="18"/>
  <c r="D70" i="18"/>
  <c r="D69" i="18"/>
  <c r="D66" i="18"/>
  <c r="D65" i="18"/>
  <c r="D64" i="18"/>
  <c r="D63" i="18"/>
  <c r="D62" i="18"/>
  <c r="D61" i="18"/>
  <c r="D60" i="18"/>
  <c r="D58" i="18"/>
  <c r="D57" i="18"/>
  <c r="D55" i="18"/>
  <c r="D54" i="18"/>
  <c r="D53" i="18"/>
  <c r="D52" i="18"/>
  <c r="D50" i="18"/>
  <c r="D49" i="18"/>
  <c r="D48" i="18"/>
  <c r="D47" i="18"/>
  <c r="D46" i="18"/>
  <c r="D45" i="18"/>
  <c r="D44" i="18"/>
  <c r="D42" i="18"/>
  <c r="D41" i="18"/>
  <c r="D40" i="18"/>
  <c r="D39" i="18"/>
  <c r="D38" i="18"/>
  <c r="D37" i="18"/>
  <c r="D36" i="18"/>
  <c r="D34" i="18"/>
  <c r="D33" i="18"/>
  <c r="D32" i="18"/>
  <c r="D31" i="18"/>
  <c r="D30" i="18"/>
  <c r="D29" i="18"/>
  <c r="D28" i="18"/>
  <c r="D26" i="18"/>
  <c r="D25" i="18"/>
  <c r="D23" i="18"/>
  <c r="D21" i="18"/>
  <c r="D33" i="4"/>
  <c r="E33" i="4" s="1"/>
  <c r="I11" i="23"/>
  <c r="G17" i="4"/>
  <c r="G38" i="4"/>
  <c r="G21" i="4"/>
  <c r="G31" i="4"/>
  <c r="G14" i="4"/>
  <c r="D30" i="4"/>
  <c r="E30" i="4" s="1"/>
  <c r="G13" i="4"/>
  <c r="G34" i="4"/>
  <c r="G30" i="4"/>
  <c r="D53" i="4"/>
  <c r="E53" i="4" s="1"/>
  <c r="D31" i="4"/>
  <c r="E31" i="4" s="1"/>
  <c r="M28" i="4" s="1"/>
  <c r="I8" i="21" s="1"/>
  <c r="I11" i="21"/>
  <c r="D54" i="4"/>
  <c r="E54" i="4" s="1"/>
  <c r="D32" i="4"/>
  <c r="E32" i="4" s="1"/>
  <c r="I11" i="20"/>
  <c r="D55" i="4"/>
  <c r="E55" i="4" s="1"/>
  <c r="D34" i="4"/>
  <c r="E34" i="4" s="1"/>
  <c r="I11" i="22"/>
  <c r="D35" i="4"/>
  <c r="E35" i="4" s="1"/>
  <c r="I11" i="27"/>
  <c r="D36" i="4"/>
  <c r="E36" i="4" s="1"/>
  <c r="I11" i="26"/>
  <c r="D38" i="4"/>
  <c r="E38" i="4" s="1"/>
  <c r="H11" i="25"/>
  <c r="I11" i="24"/>
  <c r="E23" i="4"/>
  <c r="K92" i="8"/>
  <c r="K88" i="8"/>
  <c r="K85" i="8"/>
  <c r="K79" i="8"/>
  <c r="K77" i="8"/>
  <c r="K71" i="8"/>
  <c r="K69" i="8"/>
  <c r="K63" i="8"/>
  <c r="K61" i="8"/>
  <c r="K59" i="8"/>
  <c r="K55" i="8"/>
  <c r="K53" i="8"/>
  <c r="K45" i="8"/>
  <c r="K39" i="8"/>
  <c r="K37" i="8"/>
  <c r="E42" i="4"/>
  <c r="E44" i="4"/>
  <c r="E49" i="4"/>
  <c r="E50" i="4"/>
  <c r="T92" i="8"/>
  <c r="T90" i="8"/>
  <c r="T84" i="8"/>
  <c r="T82" i="8"/>
  <c r="T81" i="8"/>
  <c r="T79" i="8"/>
  <c r="T77" i="8"/>
  <c r="T75" i="8"/>
  <c r="T74" i="8"/>
  <c r="T73" i="8"/>
  <c r="T71" i="8"/>
  <c r="T70" i="8"/>
  <c r="T68" i="8"/>
  <c r="T66" i="8"/>
  <c r="T65" i="8"/>
  <c r="T63" i="8"/>
  <c r="T57" i="8"/>
  <c r="T55" i="8"/>
  <c r="T49" i="8"/>
  <c r="T47" i="8"/>
  <c r="T44" i="8"/>
  <c r="T41" i="8"/>
  <c r="T39" i="8"/>
  <c r="T36" i="8"/>
  <c r="T35" i="8"/>
  <c r="T33" i="8"/>
  <c r="E46" i="4"/>
  <c r="F92" i="28" s="1"/>
  <c r="F88" i="28"/>
  <c r="F57" i="28"/>
  <c r="F61" i="28"/>
  <c r="H8" i="15"/>
  <c r="I13" i="24"/>
  <c r="B11" i="7"/>
  <c r="B19" i="22" s="1"/>
  <c r="A3" i="25"/>
  <c r="H13" i="25"/>
  <c r="I13" i="26"/>
  <c r="B19" i="26"/>
  <c r="B3" i="27"/>
  <c r="I13" i="27"/>
  <c r="B3" i="22"/>
  <c r="I13" i="22"/>
  <c r="B3" i="23"/>
  <c r="I13" i="23"/>
  <c r="B3" i="20"/>
  <c r="I13" i="20"/>
  <c r="B3" i="21"/>
  <c r="I13" i="21"/>
  <c r="B3" i="18"/>
  <c r="I13" i="18"/>
  <c r="C40" i="5"/>
  <c r="C42" i="5"/>
  <c r="B12" i="29"/>
  <c r="B13" i="29" s="1"/>
  <c r="B14" i="29" s="1"/>
  <c r="B15" i="29" s="1"/>
  <c r="B16" i="29" s="1"/>
  <c r="B17" i="29" s="1"/>
  <c r="B18" i="29" s="1"/>
  <c r="F12" i="28"/>
  <c r="B19" i="29"/>
  <c r="B20" i="29" s="1"/>
  <c r="B21" i="29" s="1"/>
  <c r="B22" i="29" s="1"/>
  <c r="B23" i="29" s="1"/>
  <c r="B24" i="29" s="1"/>
  <c r="B25" i="29" s="1"/>
  <c r="B26" i="29"/>
  <c r="B27" i="29" s="1"/>
  <c r="B28" i="29" s="1"/>
  <c r="B29" i="29" s="1"/>
  <c r="B30" i="29" s="1"/>
  <c r="B31" i="29" s="1"/>
  <c r="B32" i="29" s="1"/>
  <c r="B33" i="29" s="1"/>
  <c r="B34" i="29" s="1"/>
  <c r="B35" i="29" s="1"/>
  <c r="B36" i="29" s="1"/>
  <c r="B37" i="29" s="1"/>
  <c r="B38" i="29" s="1"/>
  <c r="B39" i="29" s="1"/>
  <c r="B40" i="29" s="1"/>
  <c r="B41" i="29" s="1"/>
  <c r="B42" i="29" s="1"/>
  <c r="B43" i="29" s="1"/>
  <c r="B44" i="29" s="1"/>
  <c r="B45" i="29" s="1"/>
  <c r="B46" i="29" s="1"/>
  <c r="B47" i="29" s="1"/>
  <c r="B48" i="29" s="1"/>
  <c r="B49" i="29" s="1"/>
  <c r="B50" i="29" s="1"/>
  <c r="B51" i="29" s="1"/>
  <c r="B52" i="29" s="1"/>
  <c r="B53" i="29" s="1"/>
  <c r="B54" i="29" s="1"/>
  <c r="B55" i="29" s="1"/>
  <c r="B56" i="29" s="1"/>
  <c r="B57" i="29" s="1"/>
  <c r="B58" i="29" s="1"/>
  <c r="B59" i="29" s="1"/>
  <c r="B60" i="29" s="1"/>
  <c r="B61" i="29" s="1"/>
  <c r="B62" i="29" s="1"/>
  <c r="B63" i="29" s="1"/>
  <c r="B64" i="29" s="1"/>
  <c r="B65" i="29" s="1"/>
  <c r="B66" i="29" s="1"/>
  <c r="B67" i="29" s="1"/>
  <c r="B68" i="29" s="1"/>
  <c r="B69" i="29" s="1"/>
  <c r="B70" i="29" s="1"/>
  <c r="B71" i="29" s="1"/>
  <c r="B72" i="29" s="1"/>
  <c r="B73" i="29" s="1"/>
  <c r="B74" i="29" s="1"/>
  <c r="B75" i="29" s="1"/>
  <c r="B76" i="29" s="1"/>
  <c r="B77" i="29" s="1"/>
  <c r="B78" i="29" s="1"/>
  <c r="B79" i="29" s="1"/>
  <c r="B80" i="29" s="1"/>
  <c r="B81" i="29" s="1"/>
  <c r="B82" i="29" s="1"/>
  <c r="B83" i="29" s="1"/>
  <c r="B84" i="29" s="1"/>
  <c r="B85" i="29" s="1"/>
  <c r="B86" i="29" s="1"/>
  <c r="B87" i="29" s="1"/>
  <c r="B88" i="29" s="1"/>
  <c r="B89" i="29" s="1"/>
  <c r="B90" i="29" s="1"/>
  <c r="B91" i="29" s="1"/>
  <c r="B92" i="29" s="1"/>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8" i="28"/>
  <c r="F59" i="28"/>
  <c r="F60"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9" i="28"/>
  <c r="F90" i="28"/>
  <c r="F91" i="28"/>
  <c r="D2" i="15"/>
  <c r="B16" i="15"/>
  <c r="B17" i="15"/>
  <c r="B18" i="15" s="1"/>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B52" i="15" s="1"/>
  <c r="B53" i="15" s="1"/>
  <c r="B54" i="15" s="1"/>
  <c r="B55" i="15" s="1"/>
  <c r="B56" i="15" s="1"/>
  <c r="B57" i="15" s="1"/>
  <c r="B58" i="15" s="1"/>
  <c r="B59" i="15" s="1"/>
  <c r="B60" i="15" s="1"/>
  <c r="B61" i="15" s="1"/>
  <c r="B62" i="15" s="1"/>
  <c r="B63" i="15" s="1"/>
  <c r="B64" i="15" s="1"/>
  <c r="B65" i="15" s="1"/>
  <c r="B66" i="15" s="1"/>
  <c r="B67" i="15" s="1"/>
  <c r="B68" i="15" s="1"/>
  <c r="B69" i="15" s="1"/>
  <c r="B70" i="15" s="1"/>
  <c r="B71" i="15" s="1"/>
  <c r="B72" i="15" s="1"/>
  <c r="B73" i="15" s="1"/>
  <c r="B74" i="15" s="1"/>
  <c r="B75" i="15" s="1"/>
  <c r="B76" i="15" s="1"/>
  <c r="B77" i="15" s="1"/>
  <c r="B78" i="15" s="1"/>
  <c r="B79" i="15" s="1"/>
  <c r="B80" i="15" s="1"/>
  <c r="B81" i="15"/>
  <c r="B82" i="15" s="1"/>
  <c r="B83" i="15" s="1"/>
  <c r="B84" i="15" s="1"/>
  <c r="B85" i="15" s="1"/>
  <c r="B86" i="15" s="1"/>
  <c r="B87" i="15" s="1"/>
  <c r="B88" i="15" s="1"/>
  <c r="B89" i="15" s="1"/>
  <c r="B90" i="15" s="1"/>
  <c r="B91" i="15" s="1"/>
  <c r="B92" i="15" s="1"/>
  <c r="B93" i="15" s="1"/>
  <c r="B94" i="15" s="1"/>
  <c r="B95" i="15" s="1"/>
  <c r="B96" i="15" s="1"/>
  <c r="B5" i="17"/>
  <c r="B15" i="17"/>
  <c r="B16" i="17"/>
  <c r="B17" i="17" s="1"/>
  <c r="B18" i="17" s="1"/>
  <c r="B19" i="17" s="1"/>
  <c r="B20" i="17" s="1"/>
  <c r="B21" i="17"/>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B12" i="28"/>
  <c r="B13" i="28"/>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G2" i="7"/>
  <c r="B12" i="6"/>
  <c r="Q12" i="6"/>
  <c r="B13" i="6"/>
  <c r="B14" i="6" s="1"/>
  <c r="B15" i="6" s="1"/>
  <c r="B16" i="6" s="1"/>
  <c r="B17" i="6" s="1"/>
  <c r="B18" i="6" s="1"/>
  <c r="B19" i="6" s="1"/>
  <c r="B20" i="6" s="1"/>
  <c r="B21" i="6" s="1"/>
  <c r="B22" i="6" s="1"/>
  <c r="B23" i="6" s="1"/>
  <c r="B24" i="6" s="1"/>
  <c r="B25" i="6" s="1"/>
  <c r="B26" i="6" s="1"/>
  <c r="B27" i="6" s="1"/>
  <c r="B28" i="6" s="1"/>
  <c r="B29" i="6"/>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Q13" i="6"/>
  <c r="Q14" i="6"/>
  <c r="Q15" i="6" s="1"/>
  <c r="Q16" i="6" s="1"/>
  <c r="Q17" i="6" s="1"/>
  <c r="Q18" i="6" s="1"/>
  <c r="Q19" i="6" s="1"/>
  <c r="Q20" i="6" s="1"/>
  <c r="Q21" i="6" s="1"/>
  <c r="Q22" i="6" s="1"/>
  <c r="Q23" i="6" s="1"/>
  <c r="Q24" i="6" s="1"/>
  <c r="Q25" i="6" s="1"/>
  <c r="Q26" i="6" s="1"/>
  <c r="Q27" i="6" s="1"/>
  <c r="Q28" i="6" s="1"/>
  <c r="Q29" i="6" s="1"/>
  <c r="Q30" i="6" s="1"/>
  <c r="Q31" i="6" s="1"/>
  <c r="Q32" i="6"/>
  <c r="Q33" i="6" s="1"/>
  <c r="Q34" i="6" s="1"/>
  <c r="Q35" i="6" s="1"/>
  <c r="Q36" i="6" s="1"/>
  <c r="Q37" i="6" s="1"/>
  <c r="Q38" i="6" s="1"/>
  <c r="Q39" i="6" s="1"/>
  <c r="Q40" i="6" s="1"/>
  <c r="Q41" i="6" s="1"/>
  <c r="Q42" i="6" s="1"/>
  <c r="Q43" i="6" s="1"/>
  <c r="Q44" i="6" s="1"/>
  <c r="Q45" i="6" s="1"/>
  <c r="Q46" i="6" s="1"/>
  <c r="Q47" i="6" s="1"/>
  <c r="Q48" i="6" s="1"/>
  <c r="Q49" i="6" s="1"/>
  <c r="Q50" i="6" s="1"/>
  <c r="Q51" i="6" s="1"/>
  <c r="Q52" i="6" s="1"/>
  <c r="Q53" i="6" s="1"/>
  <c r="Q54" i="6" s="1"/>
  <c r="Q55" i="6" s="1"/>
  <c r="Q56" i="6" s="1"/>
  <c r="Q57" i="6" s="1"/>
  <c r="Q58" i="6" s="1"/>
  <c r="Q59" i="6" s="1"/>
  <c r="Q60" i="6" s="1"/>
  <c r="Q61" i="6" s="1"/>
  <c r="Q62" i="6" s="1"/>
  <c r="Q63" i="6" s="1"/>
  <c r="Q64" i="6" s="1"/>
  <c r="Q65" i="6" s="1"/>
  <c r="Q66" i="6" s="1"/>
  <c r="Q67" i="6" s="1"/>
  <c r="Q68" i="6" s="1"/>
  <c r="Q69" i="6" s="1"/>
  <c r="Q70" i="6" s="1"/>
  <c r="Q71" i="6" s="1"/>
  <c r="Q72" i="6" s="1"/>
  <c r="Q73" i="6" s="1"/>
  <c r="Q74" i="6" s="1"/>
  <c r="Q75" i="6" s="1"/>
  <c r="Q76" i="6" s="1"/>
  <c r="Q77" i="6"/>
  <c r="Q78" i="6" s="1"/>
  <c r="Q79" i="6" s="1"/>
  <c r="Q80" i="6" s="1"/>
  <c r="Q81" i="6" s="1"/>
  <c r="Q82" i="6" s="1"/>
  <c r="Q83" i="6" s="1"/>
  <c r="Q84" i="6" s="1"/>
  <c r="Q85" i="6" s="1"/>
  <c r="Q86" i="6" s="1"/>
  <c r="Q87" i="6" s="1"/>
  <c r="Q88" i="6" s="1"/>
  <c r="Q89" i="6" s="1"/>
  <c r="Q90" i="6" s="1"/>
  <c r="Q91" i="6" s="1"/>
  <c r="Q92" i="6" s="1"/>
  <c r="B18" i="8"/>
  <c r="B19" i="8"/>
  <c r="B20" i="8" s="1"/>
  <c r="B21" i="8" s="1"/>
  <c r="B22" i="8" s="1"/>
  <c r="B23" i="8" s="1"/>
  <c r="B24" i="8" s="1"/>
  <c r="B25" i="8" s="1"/>
  <c r="B26" i="8" s="1"/>
  <c r="B27" i="8" s="1"/>
  <c r="B28" i="8" s="1"/>
  <c r="B29" i="8" s="1"/>
  <c r="B30" i="8" s="1"/>
  <c r="B31" i="8" s="1"/>
  <c r="B32" i="8" s="1"/>
  <c r="B33" i="8" s="1"/>
  <c r="B34" i="8" s="1"/>
  <c r="B35" i="8" s="1"/>
  <c r="B36" i="8" s="1"/>
  <c r="B37" i="8" s="1"/>
  <c r="B38" i="8" s="1"/>
  <c r="B39" i="8" s="1"/>
  <c r="B40" i="8"/>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T31" i="8"/>
  <c r="T76" i="8"/>
  <c r="B13" i="4"/>
  <c r="C13" i="4"/>
  <c r="B14" i="4"/>
  <c r="C14" i="4"/>
  <c r="B15" i="4"/>
  <c r="C15" i="4"/>
  <c r="B16" i="4"/>
  <c r="C16" i="4"/>
  <c r="B17" i="4"/>
  <c r="C17" i="4"/>
  <c r="B18" i="4"/>
  <c r="C18" i="4"/>
  <c r="B19" i="4"/>
  <c r="C19" i="4"/>
  <c r="E20" i="4"/>
  <c r="B21" i="4"/>
  <c r="C21" i="4"/>
  <c r="B30" i="4"/>
  <c r="C30" i="4"/>
  <c r="B31" i="4"/>
  <c r="C31" i="4"/>
  <c r="B32" i="4"/>
  <c r="C32" i="4"/>
  <c r="B33" i="4"/>
  <c r="C33" i="4"/>
  <c r="B34" i="4"/>
  <c r="C34" i="4"/>
  <c r="B35" i="4"/>
  <c r="C35" i="4"/>
  <c r="B36" i="4"/>
  <c r="C36" i="4"/>
  <c r="E37" i="4"/>
  <c r="B38" i="4"/>
  <c r="C38" i="4"/>
  <c r="D44" i="4"/>
  <c r="B53" i="4"/>
  <c r="B54" i="4"/>
  <c r="B55" i="4"/>
  <c r="T34" i="8"/>
  <c r="K87" i="8"/>
  <c r="T97" i="8"/>
  <c r="T95" i="8"/>
  <c r="K95" i="8"/>
  <c r="K94" i="8"/>
  <c r="T18" i="8"/>
  <c r="T20" i="8"/>
  <c r="T23" i="8"/>
  <c r="T24" i="8"/>
  <c r="T26" i="8"/>
  <c r="T29" i="8"/>
  <c r="T42" i="8"/>
  <c r="T58" i="8"/>
  <c r="T98" i="8"/>
  <c r="T50" i="8"/>
  <c r="T51" i="8"/>
  <c r="T52" i="8"/>
  <c r="T87" i="8"/>
  <c r="T89" i="8"/>
  <c r="T60" i="8"/>
  <c r="T27" i="8"/>
  <c r="T30" i="8"/>
  <c r="T25" i="8"/>
  <c r="T38" i="8"/>
  <c r="T43" i="8"/>
  <c r="T45" i="8"/>
  <c r="K83" i="8"/>
  <c r="K93" i="8"/>
  <c r="K98" i="8"/>
  <c r="K96" i="8"/>
  <c r="K20" i="8"/>
  <c r="K21" i="8"/>
  <c r="K23" i="8"/>
  <c r="K29" i="8"/>
  <c r="K31" i="8"/>
  <c r="K47" i="8"/>
  <c r="K75" i="8"/>
  <c r="K91" i="8"/>
  <c r="T54" i="8"/>
  <c r="T21" i="8"/>
  <c r="T59" i="8"/>
  <c r="T62" i="8"/>
  <c r="T67" i="8"/>
  <c r="K57" i="8"/>
  <c r="K65" i="8"/>
  <c r="K73" i="8"/>
  <c r="K81" i="8"/>
  <c r="K89" i="8"/>
  <c r="T19" i="8"/>
  <c r="T69" i="8"/>
  <c r="K67" i="8"/>
  <c r="T94" i="8"/>
  <c r="T93" i="8"/>
  <c r="T56" i="8"/>
  <c r="T61" i="8"/>
  <c r="T86" i="8"/>
  <c r="K18" i="8"/>
  <c r="K97" i="8"/>
  <c r="T96" i="8"/>
  <c r="T40" i="8"/>
  <c r="T46" i="8"/>
  <c r="T48" i="8"/>
  <c r="T53" i="8"/>
  <c r="T83" i="8"/>
  <c r="T88" i="8"/>
  <c r="T91" i="8"/>
  <c r="K19" i="8"/>
  <c r="K25" i="8"/>
  <c r="K27" i="8"/>
  <c r="K33" i="8"/>
  <c r="K35" i="8"/>
  <c r="K41" i="8"/>
  <c r="K43" i="8"/>
  <c r="K49" i="8"/>
  <c r="K51" i="8"/>
  <c r="T22" i="8"/>
  <c r="T28" i="8"/>
  <c r="T37" i="8"/>
  <c r="T72" i="8"/>
  <c r="T78" i="8"/>
  <c r="T80" i="8"/>
  <c r="K62" i="8"/>
  <c r="K66" i="8"/>
  <c r="K70" i="8"/>
  <c r="K72" i="8"/>
  <c r="K78" i="8"/>
  <c r="K82" i="8"/>
  <c r="K26" i="8"/>
  <c r="K32" i="8"/>
  <c r="K34" i="8"/>
  <c r="K36" i="8"/>
  <c r="K38" i="8"/>
  <c r="K40" i="8"/>
  <c r="K42" i="8"/>
  <c r="K44" i="8"/>
  <c r="K46" i="8"/>
  <c r="K48" i="8"/>
  <c r="K50" i="8"/>
  <c r="K52" i="8"/>
  <c r="K54" i="8"/>
  <c r="K58" i="8"/>
  <c r="K56" i="8"/>
  <c r="K60" i="8"/>
  <c r="K64" i="8"/>
  <c r="K68" i="8"/>
  <c r="K74" i="8"/>
  <c r="K76" i="8"/>
  <c r="K80" i="8"/>
  <c r="K84" i="8"/>
  <c r="T64" i="8"/>
  <c r="T32" i="8"/>
  <c r="K24" i="8"/>
  <c r="K28" i="8"/>
  <c r="K90" i="8"/>
  <c r="K86" i="8"/>
  <c r="K30" i="8"/>
  <c r="K22" i="8"/>
  <c r="B19" i="27"/>
  <c r="B19" i="23"/>
  <c r="A19" i="25"/>
  <c r="B19" i="24"/>
  <c r="J13" i="6" l="1"/>
  <c r="J34" i="6"/>
  <c r="F10" i="15"/>
  <c r="AH30" i="5"/>
  <c r="M19" i="4"/>
  <c r="I6" i="26" s="1"/>
  <c r="M21" i="4"/>
  <c r="I6" i="24" s="1"/>
  <c r="E65" i="24" s="1"/>
  <c r="D30" i="24"/>
  <c r="D62" i="24"/>
  <c r="D78" i="24"/>
  <c r="D22" i="24"/>
  <c r="D46" i="24"/>
  <c r="D54" i="24"/>
  <c r="D70" i="24"/>
  <c r="D91" i="24"/>
  <c r="D99" i="24"/>
  <c r="D83" i="18"/>
  <c r="D27" i="21"/>
  <c r="D35" i="21"/>
  <c r="D43" i="21"/>
  <c r="D51" i="21"/>
  <c r="D43" i="27"/>
  <c r="D83" i="27"/>
  <c r="C73" i="25"/>
  <c r="D99" i="18"/>
  <c r="D75" i="23"/>
  <c r="D75" i="20"/>
  <c r="D75" i="22"/>
  <c r="C83" i="25"/>
  <c r="D67" i="21"/>
  <c r="D83" i="21"/>
  <c r="D91" i="23"/>
  <c r="D91" i="20"/>
  <c r="D27" i="27"/>
  <c r="C65" i="25"/>
  <c r="D75" i="18"/>
  <c r="D99" i="21"/>
  <c r="D27" i="23"/>
  <c r="D35" i="23"/>
  <c r="D59" i="23"/>
  <c r="D67" i="23"/>
  <c r="D59" i="20"/>
  <c r="D67" i="20"/>
  <c r="D67" i="22"/>
  <c r="D27" i="26"/>
  <c r="D83" i="26"/>
  <c r="D91" i="18"/>
  <c r="D43" i="23"/>
  <c r="D51" i="23"/>
  <c r="D51" i="20"/>
  <c r="D59" i="22"/>
  <c r="D75" i="27"/>
  <c r="C57" i="25"/>
  <c r="D59" i="18"/>
  <c r="D67" i="18"/>
  <c r="D27" i="20"/>
  <c r="D35" i="20"/>
  <c r="D43" i="20"/>
  <c r="D51" i="22"/>
  <c r="D83" i="22"/>
  <c r="C27" i="25"/>
  <c r="D27" i="18"/>
  <c r="D35" i="18"/>
  <c r="D43" i="18"/>
  <c r="D83" i="23"/>
  <c r="D19" i="24"/>
  <c r="K80" i="6"/>
  <c r="J22" i="6"/>
  <c r="J83" i="6"/>
  <c r="J30" i="6"/>
  <c r="J18" i="6"/>
  <c r="J38" i="6"/>
  <c r="J26" i="6"/>
  <c r="J77" i="6"/>
  <c r="D18" i="6"/>
  <c r="E18" i="6" s="1"/>
  <c r="D23" i="6"/>
  <c r="E23" i="6" s="1"/>
  <c r="D28" i="6"/>
  <c r="E28" i="6" s="1"/>
  <c r="D38" i="6"/>
  <c r="E38" i="6" s="1"/>
  <c r="D43" i="6"/>
  <c r="E43" i="6" s="1"/>
  <c r="D52" i="6"/>
  <c r="E52" i="6" s="1"/>
  <c r="D61" i="6"/>
  <c r="E61" i="6" s="1"/>
  <c r="D70" i="6"/>
  <c r="E70" i="6" s="1"/>
  <c r="D74" i="6"/>
  <c r="E74" i="6" s="1"/>
  <c r="J46" i="6"/>
  <c r="J63" i="6"/>
  <c r="J72" i="6"/>
  <c r="J92" i="6"/>
  <c r="D17" i="6"/>
  <c r="E17" i="6" s="1"/>
  <c r="D22" i="6"/>
  <c r="E22" i="6" s="1"/>
  <c r="D33" i="6"/>
  <c r="E33" i="6" s="1"/>
  <c r="D42" i="6"/>
  <c r="E42" i="6" s="1"/>
  <c r="D47" i="6"/>
  <c r="E47" i="6" s="1"/>
  <c r="D56" i="6"/>
  <c r="E56" i="6" s="1"/>
  <c r="D65" i="6"/>
  <c r="E65" i="6" s="1"/>
  <c r="D21" i="6"/>
  <c r="E21" i="6" s="1"/>
  <c r="D27" i="6"/>
  <c r="E27" i="6" s="1"/>
  <c r="D37" i="6"/>
  <c r="E37" i="6" s="1"/>
  <c r="D46" i="6"/>
  <c r="E46" i="6" s="1"/>
  <c r="D51" i="6"/>
  <c r="E51" i="6" s="1"/>
  <c r="D60" i="6"/>
  <c r="E60" i="6" s="1"/>
  <c r="D69" i="6"/>
  <c r="E69" i="6" s="1"/>
  <c r="D73" i="6"/>
  <c r="E73" i="6" s="1"/>
  <c r="D81" i="6"/>
  <c r="E81" i="6" s="1"/>
  <c r="D88" i="6"/>
  <c r="E88" i="6" s="1"/>
  <c r="J42" i="6"/>
  <c r="J88" i="6"/>
  <c r="D15" i="6"/>
  <c r="E15" i="6" s="1"/>
  <c r="D20" i="6"/>
  <c r="E20" i="6" s="1"/>
  <c r="D25" i="6"/>
  <c r="E25" i="6" s="1"/>
  <c r="D36" i="6"/>
  <c r="E36" i="6" s="1"/>
  <c r="D45" i="6"/>
  <c r="E45" i="6" s="1"/>
  <c r="D54" i="6"/>
  <c r="E54" i="6" s="1"/>
  <c r="D59" i="6"/>
  <c r="E59" i="6" s="1"/>
  <c r="D72" i="6"/>
  <c r="E72" i="6" s="1"/>
  <c r="D80" i="6"/>
  <c r="E80" i="6" s="1"/>
  <c r="J79" i="7" s="1"/>
  <c r="B87" i="25" s="1"/>
  <c r="D87" i="6"/>
  <c r="E87" i="6" s="1"/>
  <c r="D91" i="6"/>
  <c r="E91" i="6" s="1"/>
  <c r="I9" i="21"/>
  <c r="I12" i="21"/>
  <c r="I10" i="21"/>
  <c r="M27" i="4"/>
  <c r="I8" i="18" s="1"/>
  <c r="I9" i="18" s="1"/>
  <c r="M32" i="4"/>
  <c r="I8" i="27" s="1"/>
  <c r="I9" i="27" s="1"/>
  <c r="M29" i="4"/>
  <c r="I8" i="20" s="1"/>
  <c r="I12" i="20" s="1"/>
  <c r="M33" i="4"/>
  <c r="I8" i="26" s="1"/>
  <c r="M30" i="4"/>
  <c r="I8" i="23" s="1"/>
  <c r="I9" i="23" s="1"/>
  <c r="M31" i="4"/>
  <c r="I8" i="22" s="1"/>
  <c r="M20" i="4"/>
  <c r="M14" i="4"/>
  <c r="M16" i="4"/>
  <c r="D10" i="15" s="1"/>
  <c r="M15" i="4"/>
  <c r="K24" i="6"/>
  <c r="L75" i="6"/>
  <c r="L50" i="6"/>
  <c r="L57" i="6"/>
  <c r="D78" i="6"/>
  <c r="E78" i="6" s="1"/>
  <c r="D82" i="6"/>
  <c r="E82" i="6" s="1"/>
  <c r="K42" i="6"/>
  <c r="K50" i="6"/>
  <c r="L35" i="6"/>
  <c r="K21" i="6"/>
  <c r="K27" i="6"/>
  <c r="L28" i="6"/>
  <c r="D85" i="6"/>
  <c r="E85" i="6" s="1"/>
  <c r="I42" i="6"/>
  <c r="J59" i="6"/>
  <c r="J14" i="6"/>
  <c r="J19" i="6"/>
  <c r="J23" i="6"/>
  <c r="J27" i="6"/>
  <c r="J31" i="6"/>
  <c r="J35" i="6"/>
  <c r="J39" i="6"/>
  <c r="J43" i="6"/>
  <c r="J47" i="6"/>
  <c r="J64" i="6"/>
  <c r="J74" i="6"/>
  <c r="J84" i="6"/>
  <c r="I77" i="6"/>
  <c r="L44" i="6"/>
  <c r="J51" i="6"/>
  <c r="J68" i="6"/>
  <c r="J89" i="6"/>
  <c r="J15" i="6"/>
  <c r="J52" i="6"/>
  <c r="J56" i="6"/>
  <c r="J60" i="6"/>
  <c r="J65" i="6"/>
  <c r="J69" i="6"/>
  <c r="J79" i="6"/>
  <c r="J90" i="6"/>
  <c r="K57" i="6"/>
  <c r="K66" i="6"/>
  <c r="K78" i="6"/>
  <c r="L70" i="6"/>
  <c r="L79" i="6"/>
  <c r="D86" i="6"/>
  <c r="E86" i="6" s="1"/>
  <c r="J20" i="6"/>
  <c r="J24" i="6"/>
  <c r="J28" i="6"/>
  <c r="J32" i="6"/>
  <c r="J36" i="6"/>
  <c r="J40" i="6"/>
  <c r="J44" i="6"/>
  <c r="J48" i="6"/>
  <c r="J61" i="6"/>
  <c r="J70" i="6"/>
  <c r="J75" i="6"/>
  <c r="J80" i="6"/>
  <c r="J85" i="6"/>
  <c r="J16" i="6"/>
  <c r="J49" i="6"/>
  <c r="J53" i="6"/>
  <c r="J57" i="6"/>
  <c r="J66" i="6"/>
  <c r="J81" i="6"/>
  <c r="J86" i="6"/>
  <c r="J91" i="6"/>
  <c r="K35" i="6"/>
  <c r="L13" i="6"/>
  <c r="L40" i="6"/>
  <c r="D92" i="6"/>
  <c r="E92" i="6" s="1"/>
  <c r="J78" i="6"/>
  <c r="J17" i="6"/>
  <c r="J21" i="6"/>
  <c r="J25" i="6"/>
  <c r="J29" i="6"/>
  <c r="J33" i="6"/>
  <c r="J37" i="6"/>
  <c r="J41" i="6"/>
  <c r="J45" i="6"/>
  <c r="J62" i="6"/>
  <c r="J71" i="6"/>
  <c r="J76" i="6"/>
  <c r="J82" i="6"/>
  <c r="L63" i="6"/>
  <c r="L73" i="6"/>
  <c r="D90" i="6"/>
  <c r="E90" i="6" s="1"/>
  <c r="J55" i="6"/>
  <c r="J73" i="6"/>
  <c r="J50" i="6"/>
  <c r="J54" i="6"/>
  <c r="J58" i="6"/>
  <c r="J67" i="6"/>
  <c r="J87" i="6"/>
  <c r="I29" i="6"/>
  <c r="K16" i="6"/>
  <c r="L89" i="6"/>
  <c r="D89" i="6"/>
  <c r="E89" i="6" s="1"/>
  <c r="H50" i="6"/>
  <c r="I90" i="6"/>
  <c r="K36" i="6"/>
  <c r="L12" i="6"/>
  <c r="L25" i="6"/>
  <c r="L45" i="6"/>
  <c r="L51" i="6"/>
  <c r="L69" i="6"/>
  <c r="L82" i="6"/>
  <c r="L88" i="6"/>
  <c r="F32" i="6"/>
  <c r="J31" i="7" s="1"/>
  <c r="F80" i="6"/>
  <c r="F81" i="6"/>
  <c r="F79" i="6"/>
  <c r="J78" i="7" s="1"/>
  <c r="B86" i="25" s="1"/>
  <c r="H37" i="6"/>
  <c r="I45" i="6"/>
  <c r="K19" i="6"/>
  <c r="L21" i="6"/>
  <c r="L26" i="6"/>
  <c r="L31" i="6"/>
  <c r="L84" i="6"/>
  <c r="F72" i="6"/>
  <c r="J71" i="7" s="1"/>
  <c r="F73" i="6"/>
  <c r="F74" i="6"/>
  <c r="F78" i="6"/>
  <c r="F88" i="6"/>
  <c r="J87" i="7" s="1"/>
  <c r="B95" i="25" s="1"/>
  <c r="F89" i="6"/>
  <c r="H43" i="6"/>
  <c r="I18" i="6"/>
  <c r="I53" i="6"/>
  <c r="I61" i="6"/>
  <c r="K39" i="6"/>
  <c r="L14" i="6"/>
  <c r="L53" i="6"/>
  <c r="L58" i="6"/>
  <c r="L71" i="6"/>
  <c r="F13" i="6"/>
  <c r="J12" i="7" s="1"/>
  <c r="F15" i="6"/>
  <c r="F71" i="6"/>
  <c r="J70" i="7" s="1"/>
  <c r="F75" i="6"/>
  <c r="H74" i="7" s="1"/>
  <c r="F76" i="6"/>
  <c r="J75" i="7" s="1"/>
  <c r="F77" i="6"/>
  <c r="F76" i="7" s="1"/>
  <c r="C84" i="23" s="1"/>
  <c r="F87" i="6"/>
  <c r="F90" i="6"/>
  <c r="F91" i="6"/>
  <c r="L22" i="6"/>
  <c r="L33" i="6"/>
  <c r="L37" i="6"/>
  <c r="L49" i="6"/>
  <c r="L66" i="6"/>
  <c r="L77" i="6"/>
  <c r="L85" i="6"/>
  <c r="F14" i="6"/>
  <c r="F21" i="6"/>
  <c r="J20" i="7" s="1"/>
  <c r="F38" i="6"/>
  <c r="J37" i="7" s="1"/>
  <c r="B45" i="25" s="1"/>
  <c r="F41" i="6"/>
  <c r="J40" i="7" s="1"/>
  <c r="F42" i="6"/>
  <c r="F54" i="6"/>
  <c r="J53" i="7" s="1"/>
  <c r="B61" i="25" s="1"/>
  <c r="F56" i="6"/>
  <c r="J55" i="7" s="1"/>
  <c r="F57" i="6"/>
  <c r="F68" i="6"/>
  <c r="J67" i="7" s="1"/>
  <c r="B75" i="25" s="1"/>
  <c r="F70" i="6"/>
  <c r="F69" i="7" s="1"/>
  <c r="C77" i="23" s="1"/>
  <c r="F86" i="6"/>
  <c r="J85" i="7" s="1"/>
  <c r="B93" i="25" s="1"/>
  <c r="F92" i="6"/>
  <c r="J91" i="7" s="1"/>
  <c r="B99" i="25" s="1"/>
  <c r="H18" i="6"/>
  <c r="H90" i="6"/>
  <c r="I26" i="6"/>
  <c r="I74" i="6"/>
  <c r="L17" i="6"/>
  <c r="L27" i="6"/>
  <c r="L38" i="6"/>
  <c r="L54" i="6"/>
  <c r="L59" i="6"/>
  <c r="L72" i="6"/>
  <c r="L78" i="6"/>
  <c r="L86" i="6"/>
  <c r="F16" i="6"/>
  <c r="J15" i="7" s="1"/>
  <c r="B23" i="25" s="1"/>
  <c r="F17" i="6"/>
  <c r="J16" i="7" s="1"/>
  <c r="B24" i="25" s="1"/>
  <c r="F19" i="6"/>
  <c r="J18" i="7" s="1"/>
  <c r="B26" i="25" s="1"/>
  <c r="F20" i="6"/>
  <c r="J19" i="7" s="1"/>
  <c r="F24" i="6"/>
  <c r="F25" i="6"/>
  <c r="F26" i="6"/>
  <c r="J25" i="7" s="1"/>
  <c r="F29" i="6"/>
  <c r="F37" i="6"/>
  <c r="F39" i="6"/>
  <c r="J38" i="7" s="1"/>
  <c r="F40" i="6"/>
  <c r="J39" i="7" s="1"/>
  <c r="F43" i="6"/>
  <c r="J42" i="7" s="1"/>
  <c r="F44" i="6"/>
  <c r="F50" i="6"/>
  <c r="F51" i="6"/>
  <c r="F52" i="6"/>
  <c r="F53" i="6"/>
  <c r="F52" i="7" s="1"/>
  <c r="C60" i="23" s="1"/>
  <c r="F55" i="6"/>
  <c r="F58" i="6"/>
  <c r="F60" i="6"/>
  <c r="J59" i="7" s="1"/>
  <c r="B67" i="25" s="1"/>
  <c r="F61" i="6"/>
  <c r="F62" i="6"/>
  <c r="F63" i="6"/>
  <c r="J62" i="7" s="1"/>
  <c r="F67" i="6"/>
  <c r="F69" i="6"/>
  <c r="F84" i="6"/>
  <c r="J83" i="7" s="1"/>
  <c r="B91" i="25" s="1"/>
  <c r="F85" i="6"/>
  <c r="F18" i="6"/>
  <c r="F22" i="6"/>
  <c r="F23" i="6"/>
  <c r="F27" i="6"/>
  <c r="F28" i="6"/>
  <c r="F36" i="6"/>
  <c r="F45" i="6"/>
  <c r="J44" i="7" s="1"/>
  <c r="B52" i="25" s="1"/>
  <c r="F46" i="6"/>
  <c r="F47" i="6"/>
  <c r="J46" i="7" s="1"/>
  <c r="F48" i="6"/>
  <c r="J47" i="7" s="1"/>
  <c r="F49" i="6"/>
  <c r="J48" i="7" s="1"/>
  <c r="B56" i="25" s="1"/>
  <c r="F59" i="6"/>
  <c r="J58" i="7" s="1"/>
  <c r="F64" i="6"/>
  <c r="J63" i="7" s="1"/>
  <c r="F65" i="6"/>
  <c r="F66" i="6"/>
  <c r="F65" i="7" s="1"/>
  <c r="C73" i="23" s="1"/>
  <c r="F83" i="6"/>
  <c r="F82" i="7" s="1"/>
  <c r="C90" i="23" s="1"/>
  <c r="H19" i="6"/>
  <c r="I21" i="6"/>
  <c r="I50" i="6"/>
  <c r="L19" i="6"/>
  <c r="L34" i="6"/>
  <c r="L39" i="6"/>
  <c r="L68" i="6"/>
  <c r="L74" i="6"/>
  <c r="L80" i="6"/>
  <c r="L87" i="6"/>
  <c r="F30" i="6"/>
  <c r="F31" i="6"/>
  <c r="J30" i="7" s="1"/>
  <c r="F33" i="6"/>
  <c r="J32" i="7" s="1"/>
  <c r="B40" i="25" s="1"/>
  <c r="F34" i="6"/>
  <c r="F35" i="6"/>
  <c r="J34" i="7" s="1"/>
  <c r="F82" i="6"/>
  <c r="J81" i="7" s="1"/>
  <c r="I6" i="18"/>
  <c r="F8" i="15"/>
  <c r="G45" i="6"/>
  <c r="H13" i="6"/>
  <c r="H26" i="6"/>
  <c r="K30" i="6"/>
  <c r="K60" i="6"/>
  <c r="G87" i="6"/>
  <c r="H45" i="6"/>
  <c r="H61" i="6"/>
  <c r="H11" i="7"/>
  <c r="C19" i="27" s="1"/>
  <c r="G37" i="6"/>
  <c r="H21" i="6"/>
  <c r="H27" i="6"/>
  <c r="H82" i="6"/>
  <c r="H85" i="6"/>
  <c r="H53" i="6"/>
  <c r="H35" i="6"/>
  <c r="H29" i="6"/>
  <c r="D28" i="7" s="1"/>
  <c r="H58" i="6"/>
  <c r="H34" i="6"/>
  <c r="K87" i="6"/>
  <c r="K82" i="6"/>
  <c r="K77" i="6"/>
  <c r="K75" i="6"/>
  <c r="K71" i="6"/>
  <c r="K68" i="6"/>
  <c r="K62" i="6"/>
  <c r="K51" i="6"/>
  <c r="K47" i="6"/>
  <c r="K29" i="6"/>
  <c r="G28" i="7" s="1"/>
  <c r="K15" i="6"/>
  <c r="K12" i="6"/>
  <c r="G11" i="7" s="1"/>
  <c r="C19" i="22" s="1"/>
  <c r="K90" i="6"/>
  <c r="K85" i="6"/>
  <c r="K81" i="6"/>
  <c r="K65" i="6"/>
  <c r="K56" i="6"/>
  <c r="K53" i="6"/>
  <c r="K44" i="6"/>
  <c r="K41" i="6"/>
  <c r="K38" i="6"/>
  <c r="K32" i="6"/>
  <c r="K26" i="6"/>
  <c r="K23" i="6"/>
  <c r="K18" i="6"/>
  <c r="K92" i="6"/>
  <c r="K89" i="6"/>
  <c r="K74" i="6"/>
  <c r="K70" i="6"/>
  <c r="K61" i="6"/>
  <c r="K46" i="6"/>
  <c r="K40" i="6"/>
  <c r="K37" i="6"/>
  <c r="K31" i="6"/>
  <c r="K28" i="6"/>
  <c r="K20" i="6"/>
  <c r="K14" i="6"/>
  <c r="K88" i="6"/>
  <c r="K79" i="6"/>
  <c r="K76" i="6"/>
  <c r="G75" i="7" s="1"/>
  <c r="K73" i="6"/>
  <c r="K67" i="6"/>
  <c r="G66" i="7" s="1"/>
  <c r="K55" i="6"/>
  <c r="K52" i="6"/>
  <c r="G51" i="7" s="1"/>
  <c r="K34" i="6"/>
  <c r="K83" i="6"/>
  <c r="K72" i="6"/>
  <c r="K69" i="6"/>
  <c r="K63" i="6"/>
  <c r="K58" i="6"/>
  <c r="K49" i="6"/>
  <c r="K45" i="6"/>
  <c r="K43" i="6"/>
  <c r="K25" i="6"/>
  <c r="K22" i="6"/>
  <c r="K17" i="6"/>
  <c r="K13" i="6"/>
  <c r="J28" i="7"/>
  <c r="B36" i="25" s="1"/>
  <c r="H42" i="6"/>
  <c r="K33" i="6"/>
  <c r="K86" i="6"/>
  <c r="J27" i="7"/>
  <c r="B35" i="25" s="1"/>
  <c r="J56" i="7"/>
  <c r="H74" i="6"/>
  <c r="K48" i="6"/>
  <c r="K54" i="6"/>
  <c r="G53" i="7" s="1"/>
  <c r="C61" i="22" s="1"/>
  <c r="K59" i="6"/>
  <c r="G58" i="7" s="1"/>
  <c r="K64" i="6"/>
  <c r="G63" i="7" s="1"/>
  <c r="G21" i="6"/>
  <c r="G51" i="6"/>
  <c r="D42" i="7"/>
  <c r="H66" i="6"/>
  <c r="I34" i="6"/>
  <c r="I82" i="6"/>
  <c r="L20" i="6"/>
  <c r="L23" i="6"/>
  <c r="L32" i="6"/>
  <c r="L41" i="6"/>
  <c r="L43" i="6"/>
  <c r="H42" i="7" s="1"/>
  <c r="L46" i="6"/>
  <c r="L52" i="6"/>
  <c r="H51" i="7" s="1"/>
  <c r="L55" i="6"/>
  <c r="L60" i="6"/>
  <c r="L64" i="6"/>
  <c r="H63" i="7" s="1"/>
  <c r="L76" i="6"/>
  <c r="H75" i="7" s="1"/>
  <c r="L81" i="6"/>
  <c r="E28" i="7"/>
  <c r="L15" i="6"/>
  <c r="L18" i="6"/>
  <c r="L24" i="6"/>
  <c r="L29" i="6"/>
  <c r="H28" i="7" s="1"/>
  <c r="L47" i="6"/>
  <c r="L56" i="6"/>
  <c r="L61" i="6"/>
  <c r="L65" i="6"/>
  <c r="L67" i="6"/>
  <c r="H66" i="7" s="1"/>
  <c r="J66" i="7"/>
  <c r="I37" i="6"/>
  <c r="I58" i="6"/>
  <c r="L16" i="6"/>
  <c r="L30" i="6"/>
  <c r="L36" i="6"/>
  <c r="L42" i="6"/>
  <c r="L48" i="6"/>
  <c r="L62" i="6"/>
  <c r="L92" i="6"/>
  <c r="D86" i="24"/>
  <c r="T85" i="8"/>
  <c r="I12" i="23"/>
  <c r="G76" i="6"/>
  <c r="M34" i="4"/>
  <c r="H8" i="25" s="1"/>
  <c r="M35" i="4"/>
  <c r="I8" i="24" s="1"/>
  <c r="G29" i="6"/>
  <c r="G90" i="6"/>
  <c r="G82" i="6"/>
  <c r="G74" i="6"/>
  <c r="G66" i="6"/>
  <c r="G58" i="6"/>
  <c r="G50" i="6"/>
  <c r="G42" i="6"/>
  <c r="G34" i="6"/>
  <c r="G26" i="6"/>
  <c r="G18" i="6"/>
  <c r="G92" i="6"/>
  <c r="G88" i="6"/>
  <c r="G80" i="6"/>
  <c r="G72" i="6"/>
  <c r="G64" i="6"/>
  <c r="G56" i="6"/>
  <c r="G48" i="6"/>
  <c r="G40" i="6"/>
  <c r="G32" i="6"/>
  <c r="G24" i="6"/>
  <c r="G16" i="6"/>
  <c r="G86" i="6"/>
  <c r="G78" i="6"/>
  <c r="G70" i="6"/>
  <c r="G62" i="6"/>
  <c r="G54" i="6"/>
  <c r="G46" i="6"/>
  <c r="G38" i="6"/>
  <c r="G30" i="6"/>
  <c r="G22" i="6"/>
  <c r="G14" i="6"/>
  <c r="G89" i="6"/>
  <c r="G81" i="6"/>
  <c r="G73" i="6"/>
  <c r="G65" i="6"/>
  <c r="G57" i="6"/>
  <c r="G49" i="6"/>
  <c r="G41" i="6"/>
  <c r="G33" i="6"/>
  <c r="G25" i="6"/>
  <c r="G17" i="6"/>
  <c r="G84" i="6"/>
  <c r="G67" i="6"/>
  <c r="G53" i="6"/>
  <c r="G15" i="6"/>
  <c r="G12" i="6"/>
  <c r="M8" i="6"/>
  <c r="N8" i="6" s="1"/>
  <c r="G75" i="6"/>
  <c r="G61" i="6"/>
  <c r="G47" i="6"/>
  <c r="G39" i="6"/>
  <c r="G31" i="6"/>
  <c r="G23" i="6"/>
  <c r="G69" i="6"/>
  <c r="G55" i="6"/>
  <c r="G44" i="6"/>
  <c r="G36" i="6"/>
  <c r="G28" i="6"/>
  <c r="G20" i="6"/>
  <c r="G83" i="6"/>
  <c r="G77" i="6"/>
  <c r="G63" i="6"/>
  <c r="G60" i="6"/>
  <c r="G52" i="6"/>
  <c r="G71" i="6"/>
  <c r="G91" i="6"/>
  <c r="G85" i="6"/>
  <c r="G79" i="6"/>
  <c r="G68" i="6"/>
  <c r="G43" i="6"/>
  <c r="G35" i="6"/>
  <c r="G27" i="6"/>
  <c r="G19" i="6"/>
  <c r="G13" i="6"/>
  <c r="B19" i="21"/>
  <c r="H77" i="6"/>
  <c r="B19" i="18"/>
  <c r="B12" i="7"/>
  <c r="H92" i="6"/>
  <c r="H88" i="6"/>
  <c r="H80" i="6"/>
  <c r="H72" i="6"/>
  <c r="H64" i="6"/>
  <c r="D63" i="7" s="1"/>
  <c r="H56" i="6"/>
  <c r="H48" i="6"/>
  <c r="H40" i="6"/>
  <c r="H32" i="6"/>
  <c r="H24" i="6"/>
  <c r="H16" i="6"/>
  <c r="H91" i="6"/>
  <c r="H83" i="6"/>
  <c r="H75" i="6"/>
  <c r="H67" i="6"/>
  <c r="D66" i="7" s="1"/>
  <c r="H59" i="6"/>
  <c r="H51" i="6"/>
  <c r="H86" i="6"/>
  <c r="H78" i="6"/>
  <c r="H70" i="6"/>
  <c r="H62" i="6"/>
  <c r="H54" i="6"/>
  <c r="H46" i="6"/>
  <c r="H38" i="6"/>
  <c r="H30" i="6"/>
  <c r="H22" i="6"/>
  <c r="H14" i="6"/>
  <c r="H89" i="6"/>
  <c r="H81" i="6"/>
  <c r="H73" i="6"/>
  <c r="H65" i="6"/>
  <c r="H57" i="6"/>
  <c r="D56" i="7" s="1"/>
  <c r="H49" i="6"/>
  <c r="H41" i="6"/>
  <c r="H33" i="6"/>
  <c r="H25" i="6"/>
  <c r="H17" i="6"/>
  <c r="H84" i="6"/>
  <c r="H76" i="6"/>
  <c r="D75" i="7" s="1"/>
  <c r="H68" i="6"/>
  <c r="H60" i="6"/>
  <c r="H52" i="6"/>
  <c r="D51" i="7" s="1"/>
  <c r="H44" i="6"/>
  <c r="H36" i="6"/>
  <c r="H28" i="6"/>
  <c r="D27" i="7" s="1"/>
  <c r="H20" i="6"/>
  <c r="H12" i="6"/>
  <c r="D11" i="7" s="1"/>
  <c r="H87" i="6"/>
  <c r="H79" i="6"/>
  <c r="H71" i="6"/>
  <c r="H63" i="6"/>
  <c r="H55" i="6"/>
  <c r="H47" i="6"/>
  <c r="H39" i="6"/>
  <c r="H31" i="6"/>
  <c r="H23" i="6"/>
  <c r="H15" i="6"/>
  <c r="B19" i="20"/>
  <c r="C45" i="25"/>
  <c r="D45" i="26"/>
  <c r="D45" i="22"/>
  <c r="D45" i="27"/>
  <c r="D45" i="20"/>
  <c r="I91" i="6"/>
  <c r="I83" i="6"/>
  <c r="I75" i="6"/>
  <c r="I67" i="6"/>
  <c r="E66" i="7" s="1"/>
  <c r="I59" i="6"/>
  <c r="I51" i="6"/>
  <c r="I43" i="6"/>
  <c r="I35" i="6"/>
  <c r="I27" i="6"/>
  <c r="I19" i="6"/>
  <c r="I86" i="6"/>
  <c r="I78" i="6"/>
  <c r="I70" i="6"/>
  <c r="I62" i="6"/>
  <c r="I54" i="6"/>
  <c r="E53" i="7" s="1"/>
  <c r="I46" i="6"/>
  <c r="I38" i="6"/>
  <c r="I30" i="6"/>
  <c r="I22" i="6"/>
  <c r="I14" i="6"/>
  <c r="I89" i="6"/>
  <c r="I81" i="6"/>
  <c r="I73" i="6"/>
  <c r="I65" i="6"/>
  <c r="I57" i="6"/>
  <c r="E56" i="7" s="1"/>
  <c r="I49" i="6"/>
  <c r="I41" i="6"/>
  <c r="I33" i="6"/>
  <c r="I25" i="6"/>
  <c r="I17" i="6"/>
  <c r="I84" i="6"/>
  <c r="I76" i="6"/>
  <c r="I68" i="6"/>
  <c r="I60" i="6"/>
  <c r="I52" i="6"/>
  <c r="E51" i="7" s="1"/>
  <c r="I44" i="6"/>
  <c r="I36" i="6"/>
  <c r="I28" i="6"/>
  <c r="E27" i="7" s="1"/>
  <c r="I20" i="6"/>
  <c r="I12" i="6"/>
  <c r="E11" i="7" s="1"/>
  <c r="I87" i="6"/>
  <c r="I79" i="6"/>
  <c r="I71" i="6"/>
  <c r="I63" i="6"/>
  <c r="I55" i="6"/>
  <c r="I47" i="6"/>
  <c r="I39" i="6"/>
  <c r="I31" i="6"/>
  <c r="I23" i="6"/>
  <c r="I15" i="6"/>
  <c r="I92" i="6"/>
  <c r="I88" i="6"/>
  <c r="E87" i="7" s="1"/>
  <c r="I80" i="6"/>
  <c r="I72" i="6"/>
  <c r="I64" i="6"/>
  <c r="E63" i="7" s="1"/>
  <c r="I56" i="6"/>
  <c r="I48" i="6"/>
  <c r="I40" i="6"/>
  <c r="I32" i="6"/>
  <c r="I24" i="6"/>
  <c r="I16" i="6"/>
  <c r="I13" i="6"/>
  <c r="I66" i="6"/>
  <c r="I85" i="6"/>
  <c r="C26" i="25"/>
  <c r="D26" i="26"/>
  <c r="D26" i="27"/>
  <c r="C40" i="25"/>
  <c r="D40" i="26"/>
  <c r="D40" i="27"/>
  <c r="C91" i="25"/>
  <c r="D91" i="26"/>
  <c r="D91" i="27"/>
  <c r="D91" i="22"/>
  <c r="C35" i="25"/>
  <c r="D35" i="26"/>
  <c r="D35" i="27"/>
  <c r="D76" i="26"/>
  <c r="C76" i="25"/>
  <c r="D76" i="27"/>
  <c r="D76" i="22"/>
  <c r="C86" i="25"/>
  <c r="D86" i="27"/>
  <c r="D86" i="26"/>
  <c r="D86" i="22"/>
  <c r="C61" i="25"/>
  <c r="D61" i="26"/>
  <c r="D61" i="22"/>
  <c r="K84" i="6"/>
  <c r="L90" i="6"/>
  <c r="C51" i="25"/>
  <c r="D51" i="26"/>
  <c r="D60" i="26"/>
  <c r="C60" i="25"/>
  <c r="C67" i="25"/>
  <c r="D67" i="26"/>
  <c r="C23" i="25"/>
  <c r="D36" i="26"/>
  <c r="C36" i="25"/>
  <c r="D52" i="26"/>
  <c r="C52" i="25"/>
  <c r="D84" i="26"/>
  <c r="C84" i="25"/>
  <c r="C99" i="25"/>
  <c r="D99" i="26"/>
  <c r="C43" i="25"/>
  <c r="D43" i="26"/>
  <c r="C59" i="25"/>
  <c r="D59" i="26"/>
  <c r="C75" i="25"/>
  <c r="D75" i="26"/>
  <c r="L83" i="6"/>
  <c r="C53" i="25"/>
  <c r="D53" i="26"/>
  <c r="C69" i="25"/>
  <c r="D69" i="26"/>
  <c r="D21" i="26"/>
  <c r="D29" i="26"/>
  <c r="D41" i="26"/>
  <c r="D44" i="26"/>
  <c r="C44" i="25"/>
  <c r="D21" i="24"/>
  <c r="D29" i="24"/>
  <c r="D37" i="24"/>
  <c r="D45" i="24"/>
  <c r="D53" i="24"/>
  <c r="D61" i="24"/>
  <c r="D69" i="24"/>
  <c r="D77" i="24"/>
  <c r="D85" i="24"/>
  <c r="F11" i="7"/>
  <c r="I7" i="22"/>
  <c r="I7" i="20"/>
  <c r="I7" i="27"/>
  <c r="AH12" i="5"/>
  <c r="AH20" i="5"/>
  <c r="AH13" i="5"/>
  <c r="AH21" i="5"/>
  <c r="AH15" i="5"/>
  <c r="AH23" i="5"/>
  <c r="AH9" i="5"/>
  <c r="AH33" i="5" s="1"/>
  <c r="AH17" i="5"/>
  <c r="AH25" i="5"/>
  <c r="AH11" i="5"/>
  <c r="AH19" i="5"/>
  <c r="D24" i="24"/>
  <c r="D32" i="24"/>
  <c r="D40" i="24"/>
  <c r="D48" i="24"/>
  <c r="D56" i="24"/>
  <c r="D64" i="24"/>
  <c r="D72" i="24"/>
  <c r="D80" i="24"/>
  <c r="AH26" i="5"/>
  <c r="D25" i="24"/>
  <c r="D33" i="24"/>
  <c r="D41" i="24"/>
  <c r="D49" i="24"/>
  <c r="D57" i="24"/>
  <c r="D65" i="24"/>
  <c r="D73" i="24"/>
  <c r="D81" i="24"/>
  <c r="I7" i="24"/>
  <c r="I7" i="21"/>
  <c r="AH24" i="5"/>
  <c r="D26" i="24"/>
  <c r="D34" i="24"/>
  <c r="D42" i="24"/>
  <c r="D50" i="24"/>
  <c r="D58" i="24"/>
  <c r="D66" i="24"/>
  <c r="D74" i="24"/>
  <c r="D82" i="24"/>
  <c r="D27" i="24"/>
  <c r="D35" i="24"/>
  <c r="D43" i="24"/>
  <c r="D51" i="24"/>
  <c r="D59" i="24"/>
  <c r="D67" i="24"/>
  <c r="D75" i="24"/>
  <c r="D83" i="24"/>
  <c r="AH18" i="5"/>
  <c r="D36" i="24"/>
  <c r="D44" i="24"/>
  <c r="D52" i="24"/>
  <c r="D60" i="24"/>
  <c r="D68" i="24"/>
  <c r="D76" i="24"/>
  <c r="D84" i="24"/>
  <c r="AH16" i="5"/>
  <c r="AE30" i="5"/>
  <c r="D85" i="7" l="1"/>
  <c r="E37" i="7"/>
  <c r="D37" i="7"/>
  <c r="D45" i="7"/>
  <c r="J50" i="7"/>
  <c r="B58" i="25" s="1"/>
  <c r="G85" i="7"/>
  <c r="C93" i="22" s="1"/>
  <c r="G37" i="7"/>
  <c r="C45" i="22" s="1"/>
  <c r="G23" i="7"/>
  <c r="C31" i="22" s="1"/>
  <c r="E31" i="22" s="1"/>
  <c r="E73" i="24"/>
  <c r="E35" i="24"/>
  <c r="H9" i="15"/>
  <c r="J32" i="15" s="1"/>
  <c r="E55" i="24"/>
  <c r="H10" i="15"/>
  <c r="K73" i="15" s="1"/>
  <c r="E41" i="24"/>
  <c r="J18" i="15"/>
  <c r="J42" i="15"/>
  <c r="E65" i="7"/>
  <c r="C73" i="20" s="1"/>
  <c r="E38" i="7"/>
  <c r="E83" i="7"/>
  <c r="G16" i="7"/>
  <c r="C24" i="22" s="1"/>
  <c r="G39" i="7"/>
  <c r="E71" i="7"/>
  <c r="E16" i="7"/>
  <c r="G45" i="7"/>
  <c r="D57" i="7"/>
  <c r="C65" i="21" s="1"/>
  <c r="H37" i="7"/>
  <c r="C45" i="27" s="1"/>
  <c r="E45" i="27" s="1"/>
  <c r="D40" i="7"/>
  <c r="H54" i="7"/>
  <c r="J86" i="7"/>
  <c r="F36" i="7"/>
  <c r="C44" i="23" s="1"/>
  <c r="H14" i="7"/>
  <c r="C22" i="27" s="1"/>
  <c r="J41" i="7"/>
  <c r="D30" i="7"/>
  <c r="C38" i="21" s="1"/>
  <c r="H40" i="7"/>
  <c r="C48" i="27" s="1"/>
  <c r="E48" i="27" s="1"/>
  <c r="G59" i="7"/>
  <c r="F45" i="7"/>
  <c r="C53" i="23" s="1"/>
  <c r="G56" i="7"/>
  <c r="E31" i="7"/>
  <c r="E91" i="7"/>
  <c r="E70" i="7"/>
  <c r="E40" i="7"/>
  <c r="C48" i="20" s="1"/>
  <c r="E85" i="7"/>
  <c r="C93" i="20" s="1"/>
  <c r="E74" i="7"/>
  <c r="H45" i="7"/>
  <c r="D54" i="7"/>
  <c r="F71" i="7"/>
  <c r="C79" i="23" s="1"/>
  <c r="D73" i="7"/>
  <c r="C81" i="21" s="1"/>
  <c r="H85" i="7"/>
  <c r="C93" i="27" s="1"/>
  <c r="J64" i="7"/>
  <c r="B72" i="25" s="1"/>
  <c r="J68" i="7"/>
  <c r="B76" i="25" s="1"/>
  <c r="J80" i="7"/>
  <c r="B88" i="25" s="1"/>
  <c r="F56" i="7"/>
  <c r="C64" i="23" s="1"/>
  <c r="F19" i="7"/>
  <c r="C27" i="23" s="1"/>
  <c r="G79" i="7"/>
  <c r="C87" i="22" s="1"/>
  <c r="J17" i="7"/>
  <c r="E39" i="7"/>
  <c r="E59" i="7"/>
  <c r="C67" i="20" s="1"/>
  <c r="E18" i="7"/>
  <c r="C26" i="20" s="1"/>
  <c r="E82" i="7"/>
  <c r="J45" i="7"/>
  <c r="E57" i="7"/>
  <c r="G27" i="7"/>
  <c r="E84" i="7"/>
  <c r="E55" i="7"/>
  <c r="E30" i="7"/>
  <c r="C38" i="20" s="1"/>
  <c r="E75" i="7"/>
  <c r="C83" i="20" s="1"/>
  <c r="E64" i="7"/>
  <c r="E45" i="7"/>
  <c r="G86" i="7"/>
  <c r="F18" i="7"/>
  <c r="C26" i="23" s="1"/>
  <c r="J36" i="7"/>
  <c r="B44" i="25" s="1"/>
  <c r="F29" i="7"/>
  <c r="C37" i="23" s="1"/>
  <c r="J22" i="7"/>
  <c r="F61" i="7"/>
  <c r="C69" i="23" s="1"/>
  <c r="G49" i="7"/>
  <c r="J24" i="7"/>
  <c r="F37" i="7"/>
  <c r="C45" i="23" s="1"/>
  <c r="I10" i="23"/>
  <c r="I10" i="18"/>
  <c r="I12" i="18"/>
  <c r="J58" i="15"/>
  <c r="I6" i="23"/>
  <c r="E64" i="23" s="1"/>
  <c r="E53" i="26"/>
  <c r="J73" i="15"/>
  <c r="K81" i="15"/>
  <c r="K66" i="15"/>
  <c r="K74" i="15"/>
  <c r="I12" i="27"/>
  <c r="I10" i="27"/>
  <c r="I9" i="20"/>
  <c r="I10" i="20"/>
  <c r="E54" i="24"/>
  <c r="E46" i="24"/>
  <c r="E65" i="26"/>
  <c r="E26" i="24"/>
  <c r="E39" i="26"/>
  <c r="E29" i="26"/>
  <c r="E21" i="24"/>
  <c r="E63" i="24"/>
  <c r="E50" i="24"/>
  <c r="E41" i="26"/>
  <c r="E74" i="24"/>
  <c r="E34" i="24"/>
  <c r="E38" i="24"/>
  <c r="E48" i="24"/>
  <c r="E90" i="26"/>
  <c r="E67" i="24"/>
  <c r="E30" i="24"/>
  <c r="E25" i="24"/>
  <c r="E52" i="24"/>
  <c r="E70" i="26"/>
  <c r="E67" i="26"/>
  <c r="E33" i="26"/>
  <c r="E19" i="24"/>
  <c r="E90" i="24"/>
  <c r="E44" i="24"/>
  <c r="E22" i="24"/>
  <c r="E60" i="26"/>
  <c r="E92" i="24"/>
  <c r="E89" i="24"/>
  <c r="E86" i="24"/>
  <c r="E40" i="26"/>
  <c r="E88" i="24"/>
  <c r="E50" i="26"/>
  <c r="E19" i="7"/>
  <c r="E42" i="7"/>
  <c r="D59" i="7"/>
  <c r="D29" i="7"/>
  <c r="D91" i="7"/>
  <c r="H41" i="7"/>
  <c r="I46" i="15" s="1"/>
  <c r="E68" i="7"/>
  <c r="F12" i="7"/>
  <c r="C20" i="23" s="1"/>
  <c r="J51" i="7"/>
  <c r="B59" i="25" s="1"/>
  <c r="H35" i="7"/>
  <c r="J29" i="7"/>
  <c r="E15" i="7"/>
  <c r="C23" i="20" s="1"/>
  <c r="E79" i="7"/>
  <c r="D64" i="7"/>
  <c r="G68" i="7"/>
  <c r="C76" i="22" s="1"/>
  <c r="G64" i="7"/>
  <c r="C72" i="22" s="1"/>
  <c r="D26" i="7"/>
  <c r="F62" i="7"/>
  <c r="C70" i="23" s="1"/>
  <c r="G36" i="7"/>
  <c r="C44" i="22" s="1"/>
  <c r="E44" i="22" s="1"/>
  <c r="G44" i="22" s="1"/>
  <c r="E35" i="7"/>
  <c r="C43" i="20" s="1"/>
  <c r="H29" i="7"/>
  <c r="E77" i="7"/>
  <c r="D19" i="7"/>
  <c r="D72" i="7"/>
  <c r="F25" i="7"/>
  <c r="C33" i="23" s="1"/>
  <c r="H15" i="7"/>
  <c r="J52" i="7"/>
  <c r="B60" i="25" s="1"/>
  <c r="H79" i="7"/>
  <c r="C87" i="27" s="1"/>
  <c r="E87" i="27" s="1"/>
  <c r="F21" i="7"/>
  <c r="C29" i="23" s="1"/>
  <c r="F60" i="7"/>
  <c r="C68" i="23" s="1"/>
  <c r="H43" i="7"/>
  <c r="G41" i="7"/>
  <c r="C36" i="7"/>
  <c r="F17" i="7"/>
  <c r="C25" i="23" s="1"/>
  <c r="F91" i="7"/>
  <c r="C99" i="23" s="1"/>
  <c r="E29" i="7"/>
  <c r="C37" i="20" s="1"/>
  <c r="D35" i="7"/>
  <c r="H91" i="7"/>
  <c r="C99" i="27" s="1"/>
  <c r="E99" i="27" s="1"/>
  <c r="E36" i="7"/>
  <c r="H36" i="7"/>
  <c r="E86" i="7"/>
  <c r="E26" i="7"/>
  <c r="D77" i="7"/>
  <c r="D15" i="7"/>
  <c r="C23" i="21" s="1"/>
  <c r="D79" i="7"/>
  <c r="G19" i="7"/>
  <c r="G40" i="7"/>
  <c r="D52" i="7"/>
  <c r="H16" i="7"/>
  <c r="C24" i="27" s="1"/>
  <c r="F14" i="7"/>
  <c r="C22" i="23" s="1"/>
  <c r="J77" i="7"/>
  <c r="B85" i="25" s="1"/>
  <c r="F59" i="7"/>
  <c r="C67" i="23" s="1"/>
  <c r="H56" i="7"/>
  <c r="C64" i="27" s="1"/>
  <c r="E64" i="27" s="1"/>
  <c r="H72" i="7"/>
  <c r="C80" i="27" s="1"/>
  <c r="G83" i="7"/>
  <c r="E54" i="7"/>
  <c r="E58" i="7"/>
  <c r="J65" i="7"/>
  <c r="B73" i="25" s="1"/>
  <c r="H59" i="7"/>
  <c r="C67" i="27" s="1"/>
  <c r="E67" i="27" s="1"/>
  <c r="H19" i="7"/>
  <c r="C27" i="27" s="1"/>
  <c r="E27" i="27" s="1"/>
  <c r="D41" i="7"/>
  <c r="C49" i="21" s="1"/>
  <c r="G42" i="7"/>
  <c r="G89" i="7"/>
  <c r="H52" i="7"/>
  <c r="F42" i="7"/>
  <c r="C50" i="23" s="1"/>
  <c r="H33" i="7"/>
  <c r="I38" i="15" s="1"/>
  <c r="H38" i="7"/>
  <c r="D38" i="7"/>
  <c r="C46" i="21" s="1"/>
  <c r="H48" i="7"/>
  <c r="C56" i="27" s="1"/>
  <c r="G54" i="7"/>
  <c r="C62" i="22" s="1"/>
  <c r="E62" i="22" s="1"/>
  <c r="G14" i="7"/>
  <c r="C22" i="22" s="1"/>
  <c r="F35" i="7"/>
  <c r="C43" i="23" s="1"/>
  <c r="H13" i="7"/>
  <c r="I18" i="15" s="1"/>
  <c r="F90" i="7"/>
  <c r="C98" i="23" s="1"/>
  <c r="D83" i="7"/>
  <c r="E14" i="7"/>
  <c r="C22" i="20" s="1"/>
  <c r="E78" i="7"/>
  <c r="E48" i="7"/>
  <c r="D16" i="7"/>
  <c r="E76" i="7"/>
  <c r="E41" i="7"/>
  <c r="D65" i="7"/>
  <c r="C73" i="21" s="1"/>
  <c r="G30" i="7"/>
  <c r="C38" i="22" s="1"/>
  <c r="E38" i="22" s="1"/>
  <c r="G91" i="7"/>
  <c r="C99" i="22" s="1"/>
  <c r="E99" i="22" s="1"/>
  <c r="G52" i="7"/>
  <c r="C60" i="22" s="1"/>
  <c r="E60" i="22" s="1"/>
  <c r="J89" i="7"/>
  <c r="G32" i="7"/>
  <c r="F31" i="7"/>
  <c r="C39" i="23" s="1"/>
  <c r="D48" i="7"/>
  <c r="D31" i="7"/>
  <c r="F53" i="7"/>
  <c r="C61" i="23" s="1"/>
  <c r="E61" i="23" s="1"/>
  <c r="G87" i="7"/>
  <c r="C95" i="22" s="1"/>
  <c r="E95" i="22" s="1"/>
  <c r="G31" i="7"/>
  <c r="J43" i="7"/>
  <c r="B51" i="25" s="1"/>
  <c r="C86" i="7"/>
  <c r="F30" i="7"/>
  <c r="C38" i="23" s="1"/>
  <c r="H23" i="7"/>
  <c r="H34" i="7"/>
  <c r="C42" i="27" s="1"/>
  <c r="E42" i="27" s="1"/>
  <c r="D34" i="7"/>
  <c r="C42" i="21" s="1"/>
  <c r="H76" i="7"/>
  <c r="C84" i="27" s="1"/>
  <c r="E84" i="27" s="1"/>
  <c r="H31" i="7"/>
  <c r="J76" i="7"/>
  <c r="B84" i="25" s="1"/>
  <c r="H86" i="7"/>
  <c r="E21" i="7"/>
  <c r="D53" i="7"/>
  <c r="D55" i="7"/>
  <c r="D76" i="7"/>
  <c r="G48" i="7"/>
  <c r="C56" i="22" s="1"/>
  <c r="G76" i="7"/>
  <c r="C84" i="22" s="1"/>
  <c r="E84" i="22" s="1"/>
  <c r="F87" i="7"/>
  <c r="C95" i="23" s="1"/>
  <c r="H77" i="7"/>
  <c r="C85" i="27" s="1"/>
  <c r="E34" i="7"/>
  <c r="G22" i="7"/>
  <c r="D87" i="7"/>
  <c r="F86" i="7"/>
  <c r="C94" i="23" s="1"/>
  <c r="H57" i="7"/>
  <c r="C65" i="27" s="1"/>
  <c r="E65" i="27" s="1"/>
  <c r="H88" i="7"/>
  <c r="C96" i="27" s="1"/>
  <c r="F79" i="7"/>
  <c r="C87" i="23" s="1"/>
  <c r="I9" i="26"/>
  <c r="I12" i="26"/>
  <c r="I10" i="26"/>
  <c r="I6" i="21"/>
  <c r="F9" i="15"/>
  <c r="E47" i="15" s="1"/>
  <c r="C43" i="29" s="1"/>
  <c r="I6" i="20"/>
  <c r="D9" i="15"/>
  <c r="K44" i="15"/>
  <c r="K17" i="15"/>
  <c r="K51" i="15"/>
  <c r="K75" i="15"/>
  <c r="K60" i="15"/>
  <c r="K96" i="15"/>
  <c r="K20" i="15"/>
  <c r="K43" i="15"/>
  <c r="K85" i="15"/>
  <c r="K52" i="15"/>
  <c r="K68" i="15"/>
  <c r="K94" i="15"/>
  <c r="K27" i="15"/>
  <c r="K36" i="15"/>
  <c r="K89" i="15"/>
  <c r="K86" i="15"/>
  <c r="K95" i="15"/>
  <c r="K25" i="15"/>
  <c r="K76" i="15"/>
  <c r="K19" i="15"/>
  <c r="K67" i="15"/>
  <c r="K16" i="15"/>
  <c r="K84" i="15"/>
  <c r="K91" i="15"/>
  <c r="K59" i="15"/>
  <c r="K35" i="15"/>
  <c r="K90" i="15"/>
  <c r="H6" i="25"/>
  <c r="D8" i="15"/>
  <c r="C75" i="15" s="1"/>
  <c r="I9" i="22"/>
  <c r="I12" i="22"/>
  <c r="I10" i="22"/>
  <c r="J76" i="15"/>
  <c r="J27" i="15"/>
  <c r="J61" i="15"/>
  <c r="J70" i="15"/>
  <c r="J63" i="15"/>
  <c r="J45" i="15"/>
  <c r="J34" i="15"/>
  <c r="J62" i="15"/>
  <c r="J55" i="15"/>
  <c r="J29" i="15"/>
  <c r="J87" i="15"/>
  <c r="J91" i="15"/>
  <c r="J52" i="15"/>
  <c r="J43" i="15"/>
  <c r="J30" i="15"/>
  <c r="J47" i="15"/>
  <c r="J59" i="15"/>
  <c r="J22" i="15"/>
  <c r="J20" i="15"/>
  <c r="J24" i="15"/>
  <c r="J44" i="15"/>
  <c r="J39" i="15"/>
  <c r="J80" i="15"/>
  <c r="J46" i="15"/>
  <c r="J60" i="15"/>
  <c r="J54" i="15"/>
  <c r="J28" i="15"/>
  <c r="J25" i="15"/>
  <c r="J89" i="15"/>
  <c r="J31" i="15"/>
  <c r="J95" i="15"/>
  <c r="J94" i="15"/>
  <c r="J75" i="15"/>
  <c r="J36" i="15"/>
  <c r="J79" i="15"/>
  <c r="J68" i="15"/>
  <c r="J51" i="15"/>
  <c r="J71" i="15"/>
  <c r="J35" i="15"/>
  <c r="J67" i="15"/>
  <c r="G77" i="7"/>
  <c r="C85" i="22" s="1"/>
  <c r="G15" i="7"/>
  <c r="C23" i="22" s="1"/>
  <c r="E23" i="22" s="1"/>
  <c r="F85" i="7"/>
  <c r="C93" i="23" s="1"/>
  <c r="F55" i="7"/>
  <c r="C63" i="23" s="1"/>
  <c r="F83" i="7"/>
  <c r="C91" i="23" s="1"/>
  <c r="E91" i="23" s="1"/>
  <c r="J84" i="7"/>
  <c r="H81" i="7"/>
  <c r="C89" i="27" s="1"/>
  <c r="F72" i="7"/>
  <c r="C80" i="23" s="1"/>
  <c r="F22" i="7"/>
  <c r="C30" i="23" s="1"/>
  <c r="F77" i="7"/>
  <c r="C85" i="23" s="1"/>
  <c r="H83" i="7"/>
  <c r="C91" i="27" s="1"/>
  <c r="H71" i="7"/>
  <c r="C79" i="27" s="1"/>
  <c r="E79" i="27" s="1"/>
  <c r="F40" i="7"/>
  <c r="C48" i="23" s="1"/>
  <c r="E48" i="23" s="1"/>
  <c r="J14" i="7"/>
  <c r="B22" i="25" s="1"/>
  <c r="G21" i="7"/>
  <c r="G71" i="7"/>
  <c r="H76" i="15" s="1"/>
  <c r="G78" i="7"/>
  <c r="C86" i="22" s="1"/>
  <c r="E86" i="22" s="1"/>
  <c r="G25" i="7"/>
  <c r="C33" i="22" s="1"/>
  <c r="E33" i="22" s="1"/>
  <c r="G80" i="7"/>
  <c r="C88" i="22" s="1"/>
  <c r="F84" i="7"/>
  <c r="C92" i="23" s="1"/>
  <c r="E50" i="7"/>
  <c r="C58" i="20" s="1"/>
  <c r="D14" i="7"/>
  <c r="D78" i="7"/>
  <c r="H90" i="7"/>
  <c r="C98" i="27" s="1"/>
  <c r="E98" i="27" s="1"/>
  <c r="F88" i="7"/>
  <c r="C96" i="23" s="1"/>
  <c r="E96" i="23" s="1"/>
  <c r="F27" i="7"/>
  <c r="C35" i="23" s="1"/>
  <c r="F16" i="7"/>
  <c r="C24" i="23" s="1"/>
  <c r="H62" i="7"/>
  <c r="C70" i="27" s="1"/>
  <c r="E70" i="27" s="1"/>
  <c r="H12" i="7"/>
  <c r="C20" i="27" s="1"/>
  <c r="F68" i="7"/>
  <c r="C76" i="23" s="1"/>
  <c r="F50" i="7"/>
  <c r="C58" i="23" s="1"/>
  <c r="J90" i="7"/>
  <c r="B98" i="25" s="1"/>
  <c r="D25" i="7"/>
  <c r="E30" i="15" s="1"/>
  <c r="C26" i="29" s="1"/>
  <c r="G38" i="7"/>
  <c r="C46" i="22" s="1"/>
  <c r="E73" i="7"/>
  <c r="C81" i="20" s="1"/>
  <c r="H68" i="7"/>
  <c r="C76" i="27" s="1"/>
  <c r="E76" i="27" s="1"/>
  <c r="F15" i="7"/>
  <c r="C23" i="23" s="1"/>
  <c r="E23" i="23" s="1"/>
  <c r="H78" i="7"/>
  <c r="C86" i="27" s="1"/>
  <c r="E62" i="7"/>
  <c r="E32" i="7"/>
  <c r="C40" i="20" s="1"/>
  <c r="D47" i="7"/>
  <c r="C55" i="21" s="1"/>
  <c r="H17" i="7"/>
  <c r="C25" i="27" s="1"/>
  <c r="E25" i="27" s="1"/>
  <c r="C50" i="7"/>
  <c r="D55" i="15" s="1"/>
  <c r="F63" i="7"/>
  <c r="C71" i="23" s="1"/>
  <c r="D12" i="7"/>
  <c r="C20" i="21" s="1"/>
  <c r="F51" i="7"/>
  <c r="C59" i="23" s="1"/>
  <c r="D36" i="7"/>
  <c r="H50" i="7"/>
  <c r="I55" i="15" s="1"/>
  <c r="E25" i="7"/>
  <c r="H21" i="7"/>
  <c r="I26" i="15" s="1"/>
  <c r="E17" i="7"/>
  <c r="E90" i="7"/>
  <c r="D88" i="7"/>
  <c r="C96" i="21" s="1"/>
  <c r="D90" i="7"/>
  <c r="D71" i="7"/>
  <c r="E81" i="7"/>
  <c r="C89" i="20" s="1"/>
  <c r="F78" i="7"/>
  <c r="C86" i="23" s="1"/>
  <c r="E86" i="23" s="1"/>
  <c r="G62" i="7"/>
  <c r="C70" i="22" s="1"/>
  <c r="E70" i="22" s="1"/>
  <c r="G17" i="7"/>
  <c r="H22" i="15" s="1"/>
  <c r="D62" i="7"/>
  <c r="C70" i="21" s="1"/>
  <c r="D32" i="7"/>
  <c r="C40" i="21" s="1"/>
  <c r="G50" i="7"/>
  <c r="H53" i="7"/>
  <c r="D74" i="7"/>
  <c r="F23" i="7"/>
  <c r="C31" i="23" s="1"/>
  <c r="E31" i="23" s="1"/>
  <c r="F13" i="7"/>
  <c r="C21" i="23" s="1"/>
  <c r="H73" i="15"/>
  <c r="E47" i="7"/>
  <c r="C55" i="20" s="1"/>
  <c r="E22" i="7"/>
  <c r="E67" i="7"/>
  <c r="D46" i="7"/>
  <c r="D80" i="7"/>
  <c r="C88" i="21" s="1"/>
  <c r="D61" i="7"/>
  <c r="C69" i="21" s="1"/>
  <c r="D82" i="7"/>
  <c r="C44" i="7"/>
  <c r="D49" i="15" s="1"/>
  <c r="H39" i="7"/>
  <c r="C47" i="27" s="1"/>
  <c r="E47" i="27" s="1"/>
  <c r="J33" i="7"/>
  <c r="H84" i="7"/>
  <c r="C92" i="27" s="1"/>
  <c r="E92" i="27" s="1"/>
  <c r="G24" i="7"/>
  <c r="C32" i="22" s="1"/>
  <c r="E32" i="22" s="1"/>
  <c r="F32" i="22" s="1"/>
  <c r="G82" i="7"/>
  <c r="H87" i="15" s="1"/>
  <c r="G60" i="7"/>
  <c r="C68" i="22" s="1"/>
  <c r="G84" i="7"/>
  <c r="C92" i="22" s="1"/>
  <c r="E92" i="22" s="1"/>
  <c r="G67" i="7"/>
  <c r="C75" i="22" s="1"/>
  <c r="E75" i="22" s="1"/>
  <c r="H70" i="7"/>
  <c r="C78" i="27" s="1"/>
  <c r="E78" i="27" s="1"/>
  <c r="H69" i="7"/>
  <c r="C77" i="27" s="1"/>
  <c r="G34" i="7"/>
  <c r="C42" i="22" s="1"/>
  <c r="E42" i="22" s="1"/>
  <c r="F46" i="7"/>
  <c r="C54" i="23" s="1"/>
  <c r="E54" i="23" s="1"/>
  <c r="D89" i="7"/>
  <c r="H73" i="7"/>
  <c r="C81" i="27" s="1"/>
  <c r="G13" i="7"/>
  <c r="C21" i="22" s="1"/>
  <c r="E21" i="22" s="1"/>
  <c r="F64" i="7"/>
  <c r="C72" i="23" s="1"/>
  <c r="J61" i="7"/>
  <c r="B69" i="25" s="1"/>
  <c r="E72" i="7"/>
  <c r="D43" i="7"/>
  <c r="D13" i="7"/>
  <c r="C21" i="21" s="1"/>
  <c r="H47" i="7"/>
  <c r="I52" i="15" s="1"/>
  <c r="H64" i="7"/>
  <c r="C72" i="27" s="1"/>
  <c r="J74" i="7"/>
  <c r="B82" i="25" s="1"/>
  <c r="E33" i="7"/>
  <c r="C41" i="20" s="1"/>
  <c r="G70" i="7"/>
  <c r="C78" i="22" s="1"/>
  <c r="E78" i="22" s="1"/>
  <c r="D49" i="7"/>
  <c r="J49" i="7"/>
  <c r="F43" i="7"/>
  <c r="C51" i="23" s="1"/>
  <c r="E51" i="23" s="1"/>
  <c r="G44" i="7"/>
  <c r="H49" i="15" s="1"/>
  <c r="G73" i="7"/>
  <c r="C81" i="22" s="1"/>
  <c r="G74" i="7"/>
  <c r="C82" i="22" s="1"/>
  <c r="E82" i="22" s="1"/>
  <c r="E60" i="7"/>
  <c r="C68" i="20" s="1"/>
  <c r="F39" i="7"/>
  <c r="C47" i="23" s="1"/>
  <c r="J88" i="7"/>
  <c r="B96" i="25" s="1"/>
  <c r="C20" i="7"/>
  <c r="C28" i="18" s="1"/>
  <c r="E28" i="18" s="1"/>
  <c r="H61" i="7"/>
  <c r="F70" i="7"/>
  <c r="C78" i="23" s="1"/>
  <c r="E78" i="23" s="1"/>
  <c r="F78" i="23" s="1"/>
  <c r="F73" i="7"/>
  <c r="C81" i="23" s="1"/>
  <c r="I88" i="15"/>
  <c r="E12" i="7"/>
  <c r="C20" i="20" s="1"/>
  <c r="E46" i="7"/>
  <c r="C54" i="20" s="1"/>
  <c r="E80" i="7"/>
  <c r="E61" i="7"/>
  <c r="C69" i="20" s="1"/>
  <c r="H42" i="15"/>
  <c r="D70" i="7"/>
  <c r="C78" i="21" s="1"/>
  <c r="D21" i="7"/>
  <c r="C29" i="21" s="1"/>
  <c r="D23" i="7"/>
  <c r="E44" i="7"/>
  <c r="F49" i="15" s="1"/>
  <c r="H60" i="7"/>
  <c r="C68" i="27" s="1"/>
  <c r="E49" i="7"/>
  <c r="J57" i="7"/>
  <c r="B65" i="25" s="1"/>
  <c r="G47" i="7"/>
  <c r="H52" i="15" s="1"/>
  <c r="J72" i="7"/>
  <c r="B80" i="25" s="1"/>
  <c r="G88" i="7"/>
  <c r="C96" i="22" s="1"/>
  <c r="G43" i="7"/>
  <c r="C51" i="22" s="1"/>
  <c r="E51" i="22" s="1"/>
  <c r="D84" i="7"/>
  <c r="C92" i="21" s="1"/>
  <c r="D60" i="7"/>
  <c r="C68" i="21" s="1"/>
  <c r="J60" i="7"/>
  <c r="B68" i="25" s="1"/>
  <c r="F44" i="7"/>
  <c r="C52" i="23" s="1"/>
  <c r="F67" i="7"/>
  <c r="C75" i="23" s="1"/>
  <c r="E75" i="23" s="1"/>
  <c r="H25" i="7"/>
  <c r="I30" i="15" s="1"/>
  <c r="J69" i="7"/>
  <c r="B77" i="25" s="1"/>
  <c r="D69" i="7"/>
  <c r="G69" i="7"/>
  <c r="C77" i="22" s="1"/>
  <c r="J73" i="7"/>
  <c r="B81" i="25" s="1"/>
  <c r="H82" i="7"/>
  <c r="H89" i="7"/>
  <c r="C97" i="27" s="1"/>
  <c r="E97" i="27" s="1"/>
  <c r="E24" i="7"/>
  <c r="E88" i="7"/>
  <c r="C96" i="20" s="1"/>
  <c r="E69" i="7"/>
  <c r="C77" i="20" s="1"/>
  <c r="H55" i="7"/>
  <c r="C63" i="27" s="1"/>
  <c r="E63" i="27" s="1"/>
  <c r="F80" i="7"/>
  <c r="C88" i="23" s="1"/>
  <c r="J21" i="7"/>
  <c r="E20" i="7"/>
  <c r="G57" i="7"/>
  <c r="D44" i="7"/>
  <c r="C52" i="21" s="1"/>
  <c r="H44" i="7"/>
  <c r="I49" i="15" s="1"/>
  <c r="H67" i="7"/>
  <c r="C75" i="27" s="1"/>
  <c r="E75" i="27" s="1"/>
  <c r="J82" i="7"/>
  <c r="B90" i="25" s="1"/>
  <c r="H27" i="7"/>
  <c r="C35" i="27" s="1"/>
  <c r="E35" i="27" s="1"/>
  <c r="F35" i="27" s="1"/>
  <c r="F66" i="7"/>
  <c r="C74" i="23" s="1"/>
  <c r="F28" i="7"/>
  <c r="C36" i="23" s="1"/>
  <c r="J13" i="7"/>
  <c r="H22" i="7"/>
  <c r="I27" i="15" s="1"/>
  <c r="D24" i="7"/>
  <c r="C32" i="21" s="1"/>
  <c r="H24" i="7"/>
  <c r="C32" i="27" s="1"/>
  <c r="E32" i="27" s="1"/>
  <c r="H49" i="7"/>
  <c r="C57" i="27" s="1"/>
  <c r="E57" i="27" s="1"/>
  <c r="E23" i="7"/>
  <c r="E43" i="7"/>
  <c r="C51" i="20" s="1"/>
  <c r="E13" i="7"/>
  <c r="D22" i="7"/>
  <c r="D67" i="7"/>
  <c r="C75" i="21" s="1"/>
  <c r="D39" i="7"/>
  <c r="C47" i="21" s="1"/>
  <c r="F57" i="7"/>
  <c r="C65" i="23" s="1"/>
  <c r="E65" i="23" s="1"/>
  <c r="G65" i="23" s="1"/>
  <c r="H46" i="7"/>
  <c r="C54" i="27" s="1"/>
  <c r="E54" i="27" s="1"/>
  <c r="H80" i="7"/>
  <c r="C88" i="27" s="1"/>
  <c r="D18" i="7"/>
  <c r="F47" i="7"/>
  <c r="C55" i="23" s="1"/>
  <c r="G12" i="7"/>
  <c r="C20" i="22" s="1"/>
  <c r="G72" i="7"/>
  <c r="C80" i="22" s="1"/>
  <c r="G55" i="7"/>
  <c r="H60" i="15" s="1"/>
  <c r="G46" i="7"/>
  <c r="H51" i="15" s="1"/>
  <c r="D81" i="7"/>
  <c r="C89" i="21" s="1"/>
  <c r="G90" i="7"/>
  <c r="F48" i="7"/>
  <c r="C56" i="23" s="1"/>
  <c r="J23" i="7"/>
  <c r="B31" i="25" s="1"/>
  <c r="F75" i="7"/>
  <c r="C83" i="23" s="1"/>
  <c r="F34" i="7"/>
  <c r="C42" i="23" s="1"/>
  <c r="E42" i="23" s="1"/>
  <c r="B63" i="25"/>
  <c r="B97" i="25"/>
  <c r="C49" i="22"/>
  <c r="E49" i="22" s="1"/>
  <c r="G49" i="22" s="1"/>
  <c r="H46" i="15"/>
  <c r="C57" i="22"/>
  <c r="E57" i="22" s="1"/>
  <c r="H54" i="15"/>
  <c r="I79" i="15"/>
  <c r="C82" i="27"/>
  <c r="E82" i="27" s="1"/>
  <c r="F82" i="27" s="1"/>
  <c r="H28" i="15"/>
  <c r="B50" i="25"/>
  <c r="G81" i="7"/>
  <c r="C89" i="22" s="1"/>
  <c r="H58" i="7"/>
  <c r="I63" i="15" s="1"/>
  <c r="F49" i="7"/>
  <c r="G54" i="15" s="1"/>
  <c r="H18" i="7"/>
  <c r="C26" i="27" s="1"/>
  <c r="C46" i="27"/>
  <c r="E46" i="27" s="1"/>
  <c r="I43" i="15"/>
  <c r="F74" i="7"/>
  <c r="C82" i="23" s="1"/>
  <c r="E82" i="23" s="1"/>
  <c r="F82" i="23" s="1"/>
  <c r="J26" i="7"/>
  <c r="F26" i="7"/>
  <c r="C34" i="23" s="1"/>
  <c r="E34" i="23" s="1"/>
  <c r="H32" i="7"/>
  <c r="C40" i="27" s="1"/>
  <c r="E40" i="27" s="1"/>
  <c r="E52" i="7"/>
  <c r="G18" i="7"/>
  <c r="C58" i="7"/>
  <c r="B39" i="25"/>
  <c r="F89" i="7"/>
  <c r="C97" i="23" s="1"/>
  <c r="E97" i="23" s="1"/>
  <c r="D33" i="7"/>
  <c r="D20" i="7"/>
  <c r="C28" i="21" s="1"/>
  <c r="F24" i="7"/>
  <c r="C32" i="23" s="1"/>
  <c r="F20" i="7"/>
  <c r="C28" i="23" s="1"/>
  <c r="H26" i="7"/>
  <c r="G65" i="7"/>
  <c r="J54" i="7"/>
  <c r="F54" i="7"/>
  <c r="C62" i="23" s="1"/>
  <c r="E62" i="23" s="1"/>
  <c r="B46" i="25"/>
  <c r="D17" i="7"/>
  <c r="C21" i="27"/>
  <c r="E21" i="27" s="1"/>
  <c r="F81" i="7"/>
  <c r="C89" i="23" s="1"/>
  <c r="D68" i="7"/>
  <c r="G61" i="7"/>
  <c r="C69" i="22" s="1"/>
  <c r="E69" i="22" s="1"/>
  <c r="H20" i="7"/>
  <c r="I25" i="15" s="1"/>
  <c r="B30" i="25"/>
  <c r="F41" i="7"/>
  <c r="C49" i="23" s="1"/>
  <c r="E49" i="23" s="1"/>
  <c r="F38" i="7"/>
  <c r="C46" i="23" s="1"/>
  <c r="E46" i="23" s="1"/>
  <c r="F46" i="23" s="1"/>
  <c r="G20" i="7"/>
  <c r="C28" i="22" s="1"/>
  <c r="E28" i="22" s="1"/>
  <c r="J35" i="7"/>
  <c r="B43" i="25" s="1"/>
  <c r="F58" i="7"/>
  <c r="C66" i="23" s="1"/>
  <c r="E66" i="23" s="1"/>
  <c r="H87" i="7"/>
  <c r="C95" i="27" s="1"/>
  <c r="E89" i="7"/>
  <c r="F32" i="7"/>
  <c r="C40" i="23" s="1"/>
  <c r="E40" i="23" s="1"/>
  <c r="G33" i="7"/>
  <c r="H38" i="15" s="1"/>
  <c r="G29" i="7"/>
  <c r="H34" i="15" s="1"/>
  <c r="G26" i="7"/>
  <c r="B94" i="25"/>
  <c r="H65" i="7"/>
  <c r="H30" i="7"/>
  <c r="F33" i="7"/>
  <c r="C41" i="23" s="1"/>
  <c r="E41" i="23" s="1"/>
  <c r="G41" i="23" s="1"/>
  <c r="B48" i="25"/>
  <c r="G35" i="7"/>
  <c r="C43" i="22" s="1"/>
  <c r="E43" i="22" s="1"/>
  <c r="B83" i="25"/>
  <c r="C35" i="22"/>
  <c r="E35" i="22" s="1"/>
  <c r="H32" i="15"/>
  <c r="C49" i="27"/>
  <c r="E49" i="27" s="1"/>
  <c r="C47" i="22"/>
  <c r="H44" i="15"/>
  <c r="C71" i="22"/>
  <c r="E71" i="22" s="1"/>
  <c r="F71" i="22" s="1"/>
  <c r="H68" i="15"/>
  <c r="I47" i="15"/>
  <c r="C50" i="27"/>
  <c r="E50" i="27" s="1"/>
  <c r="C36" i="27"/>
  <c r="E36" i="27" s="1"/>
  <c r="I33" i="15"/>
  <c r="C27" i="22"/>
  <c r="E27" i="22" s="1"/>
  <c r="H24" i="15"/>
  <c r="H58" i="15"/>
  <c r="C57" i="23"/>
  <c r="E57" i="23" s="1"/>
  <c r="F57" i="23" s="1"/>
  <c r="C84" i="20"/>
  <c r="C74" i="27"/>
  <c r="E74" i="27" s="1"/>
  <c r="I71" i="15"/>
  <c r="B42" i="25"/>
  <c r="C50" i="21"/>
  <c r="B64" i="25"/>
  <c r="C36" i="22"/>
  <c r="E36" i="22" s="1"/>
  <c r="H33" i="15"/>
  <c r="C59" i="22"/>
  <c r="H56" i="15"/>
  <c r="C48" i="22"/>
  <c r="E48" i="22" s="1"/>
  <c r="G48" i="22" s="1"/>
  <c r="H45" i="15"/>
  <c r="C60" i="21"/>
  <c r="E57" i="15"/>
  <c r="C53" i="29" s="1"/>
  <c r="C60" i="27"/>
  <c r="I57" i="15"/>
  <c r="C44" i="27"/>
  <c r="I41" i="15"/>
  <c r="C52" i="20"/>
  <c r="C66" i="22"/>
  <c r="H63" i="15"/>
  <c r="C51" i="27"/>
  <c r="E51" i="27" s="1"/>
  <c r="I48" i="15"/>
  <c r="B70" i="25"/>
  <c r="C94" i="27"/>
  <c r="I91" i="15"/>
  <c r="C33" i="20"/>
  <c r="C43" i="27"/>
  <c r="E43" i="27" s="1"/>
  <c r="I40" i="15"/>
  <c r="C57" i="20"/>
  <c r="C59" i="27"/>
  <c r="I56" i="15"/>
  <c r="B57" i="25"/>
  <c r="C40" i="22"/>
  <c r="E40" i="22" s="1"/>
  <c r="H37" i="15"/>
  <c r="C65" i="22"/>
  <c r="H62" i="15"/>
  <c r="C74" i="22"/>
  <c r="E74" i="22" s="1"/>
  <c r="H71" i="15"/>
  <c r="B32" i="25"/>
  <c r="C33" i="21"/>
  <c r="C62" i="27"/>
  <c r="I59" i="15"/>
  <c r="B33" i="25"/>
  <c r="B78" i="25"/>
  <c r="C58" i="18"/>
  <c r="E58" i="18" s="1"/>
  <c r="G58" i="18" s="1"/>
  <c r="B79" i="25"/>
  <c r="B92" i="25"/>
  <c r="C25" i="22"/>
  <c r="E25" i="22" s="1"/>
  <c r="C94" i="22"/>
  <c r="H91" i="15"/>
  <c r="C64" i="22"/>
  <c r="E64" i="22" s="1"/>
  <c r="H61" i="15"/>
  <c r="C44" i="18"/>
  <c r="E44" i="18" s="1"/>
  <c r="G44" i="18" s="1"/>
  <c r="D41" i="15"/>
  <c r="I61" i="15"/>
  <c r="C23" i="27"/>
  <c r="E23" i="27" s="1"/>
  <c r="I20" i="15"/>
  <c r="B74" i="25"/>
  <c r="I67" i="15"/>
  <c r="C28" i="20"/>
  <c r="F25" i="15"/>
  <c r="E46" i="15"/>
  <c r="C42" i="29" s="1"/>
  <c r="C83" i="22"/>
  <c r="E83" i="22" s="1"/>
  <c r="H80" i="15"/>
  <c r="C30" i="22"/>
  <c r="E30" i="22" s="1"/>
  <c r="H27" i="15"/>
  <c r="C58" i="22"/>
  <c r="E58" i="22" s="1"/>
  <c r="F58" i="22" s="1"/>
  <c r="H55" i="15"/>
  <c r="E49" i="15"/>
  <c r="C45" i="29" s="1"/>
  <c r="B55" i="25"/>
  <c r="C61" i="27"/>
  <c r="E61" i="27" s="1"/>
  <c r="F61" i="27" s="1"/>
  <c r="I58" i="15"/>
  <c r="B49" i="25"/>
  <c r="C65" i="20"/>
  <c r="C29" i="22"/>
  <c r="E29" i="22" s="1"/>
  <c r="H26" i="15"/>
  <c r="H66" i="15"/>
  <c r="C34" i="21"/>
  <c r="E31" i="15"/>
  <c r="C27" i="29" s="1"/>
  <c r="B71" i="25"/>
  <c r="B25" i="25"/>
  <c r="C94" i="18"/>
  <c r="E94" i="18" s="1"/>
  <c r="D91" i="15"/>
  <c r="B54" i="25"/>
  <c r="C67" i="22"/>
  <c r="E67" i="22" s="1"/>
  <c r="F67" i="22" s="1"/>
  <c r="H64" i="15"/>
  <c r="B28" i="25"/>
  <c r="I96" i="15"/>
  <c r="C44" i="20"/>
  <c r="C31" i="27"/>
  <c r="E31" i="27" s="1"/>
  <c r="I28" i="15"/>
  <c r="C49" i="20"/>
  <c r="C83" i="27"/>
  <c r="E83" i="27" s="1"/>
  <c r="I80" i="15"/>
  <c r="C39" i="27"/>
  <c r="E39" i="27" s="1"/>
  <c r="I36" i="15"/>
  <c r="H29" i="15"/>
  <c r="C39" i="22"/>
  <c r="E39" i="22" s="1"/>
  <c r="H36" i="15"/>
  <c r="C36" i="21"/>
  <c r="E33" i="15"/>
  <c r="C29" i="29" s="1"/>
  <c r="B66" i="25"/>
  <c r="B27" i="25"/>
  <c r="C76" i="20"/>
  <c r="E41" i="15"/>
  <c r="C37" i="29" s="1"/>
  <c r="C44" i="21"/>
  <c r="B41" i="25"/>
  <c r="C36" i="20"/>
  <c r="E36" i="20" s="1"/>
  <c r="C71" i="27"/>
  <c r="I68" i="15"/>
  <c r="C57" i="21"/>
  <c r="E54" i="15"/>
  <c r="C50" i="29" s="1"/>
  <c r="B38" i="25"/>
  <c r="C50" i="22"/>
  <c r="E50" i="22" s="1"/>
  <c r="H47" i="15"/>
  <c r="C97" i="22"/>
  <c r="E97" i="22" s="1"/>
  <c r="H94" i="15"/>
  <c r="B47" i="25"/>
  <c r="C37" i="22"/>
  <c r="E37" i="22" s="1"/>
  <c r="C53" i="20"/>
  <c r="F50" i="15"/>
  <c r="K29" i="15"/>
  <c r="C90" i="27"/>
  <c r="E90" i="27" s="1"/>
  <c r="I87" i="15"/>
  <c r="C30" i="20"/>
  <c r="C75" i="20"/>
  <c r="C74" i="21"/>
  <c r="E71" i="15"/>
  <c r="C67" i="29" s="1"/>
  <c r="C84" i="7"/>
  <c r="C56" i="7"/>
  <c r="C87" i="7"/>
  <c r="M88" i="15"/>
  <c r="M80" i="15"/>
  <c r="M52" i="15"/>
  <c r="M93" i="15"/>
  <c r="M50" i="15"/>
  <c r="G60" i="15"/>
  <c r="M41" i="15"/>
  <c r="M91" i="15"/>
  <c r="M23" i="15"/>
  <c r="M72" i="15"/>
  <c r="M20" i="15"/>
  <c r="M54" i="15"/>
  <c r="M49" i="15"/>
  <c r="M92" i="15"/>
  <c r="M90" i="15"/>
  <c r="M83" i="15"/>
  <c r="M87" i="15"/>
  <c r="M69" i="15"/>
  <c r="M19" i="15"/>
  <c r="M61" i="15"/>
  <c r="M84" i="15"/>
  <c r="M58" i="15"/>
  <c r="M65" i="15"/>
  <c r="M26" i="15"/>
  <c r="M75" i="15"/>
  <c r="M63" i="15"/>
  <c r="G20" i="15"/>
  <c r="E16" i="29" s="1"/>
  <c r="G91" i="15"/>
  <c r="G52" i="15"/>
  <c r="M16" i="15"/>
  <c r="M62" i="15"/>
  <c r="M81" i="15"/>
  <c r="M55" i="15"/>
  <c r="M79" i="15"/>
  <c r="M71" i="15"/>
  <c r="M22" i="15"/>
  <c r="M24" i="15"/>
  <c r="M33" i="15"/>
  <c r="M17" i="15"/>
  <c r="M66" i="15"/>
  <c r="M96" i="15"/>
  <c r="M95" i="15"/>
  <c r="M82" i="15"/>
  <c r="M67" i="15"/>
  <c r="M53" i="15"/>
  <c r="M51" i="15"/>
  <c r="M59" i="15"/>
  <c r="M45" i="15"/>
  <c r="M43" i="15"/>
  <c r="M31" i="15"/>
  <c r="G30" i="15"/>
  <c r="G36" i="15"/>
  <c r="M60" i="15"/>
  <c r="M34" i="15"/>
  <c r="M64" i="15"/>
  <c r="M25" i="15"/>
  <c r="M42" i="15"/>
  <c r="M86" i="15"/>
  <c r="M85" i="15"/>
  <c r="M28" i="15"/>
  <c r="M57" i="15"/>
  <c r="G32" i="15"/>
  <c r="G27" i="15"/>
  <c r="G90" i="15"/>
  <c r="M38" i="15"/>
  <c r="G33" i="15"/>
  <c r="G42" i="15"/>
  <c r="G40" i="15"/>
  <c r="G44" i="15"/>
  <c r="G26" i="15"/>
  <c r="M74" i="15"/>
  <c r="M29" i="15"/>
  <c r="G73" i="15"/>
  <c r="M94" i="15"/>
  <c r="M78" i="15"/>
  <c r="G22" i="15"/>
  <c r="M56" i="15"/>
  <c r="M37" i="15"/>
  <c r="G80" i="15"/>
  <c r="G23" i="15"/>
  <c r="G89" i="15"/>
  <c r="G24" i="15"/>
  <c r="G67" i="15"/>
  <c r="G85" i="15"/>
  <c r="M48" i="15"/>
  <c r="M70" i="15"/>
  <c r="M77" i="15"/>
  <c r="M35" i="15"/>
  <c r="M47" i="15"/>
  <c r="G70" i="15"/>
  <c r="G57" i="15"/>
  <c r="G50" i="15"/>
  <c r="G55" i="15"/>
  <c r="M30" i="15"/>
  <c r="M46" i="15"/>
  <c r="G81" i="15"/>
  <c r="G47" i="15"/>
  <c r="M89" i="15"/>
  <c r="G41" i="15"/>
  <c r="G56" i="15"/>
  <c r="M21" i="15"/>
  <c r="G35" i="15"/>
  <c r="M73" i="15"/>
  <c r="M39" i="15"/>
  <c r="M18" i="15"/>
  <c r="M27" i="15"/>
  <c r="G87" i="15"/>
  <c r="M32" i="15"/>
  <c r="G76" i="15"/>
  <c r="G61" i="15"/>
  <c r="E57" i="29" s="1"/>
  <c r="G34" i="15"/>
  <c r="L81" i="15"/>
  <c r="C19" i="20"/>
  <c r="C27" i="21"/>
  <c r="E24" i="15"/>
  <c r="C20" i="29" s="1"/>
  <c r="C38" i="7"/>
  <c r="C91" i="7"/>
  <c r="E90" i="23"/>
  <c r="E45" i="23"/>
  <c r="E73" i="23"/>
  <c r="E50" i="23"/>
  <c r="E29" i="23"/>
  <c r="E43" i="24"/>
  <c r="K39" i="15"/>
  <c r="E76" i="24"/>
  <c r="E36" i="24"/>
  <c r="E84" i="24"/>
  <c r="E60" i="24"/>
  <c r="E80" i="24"/>
  <c r="E96" i="24"/>
  <c r="E29" i="24"/>
  <c r="E45" i="24"/>
  <c r="E70" i="24"/>
  <c r="E78" i="24"/>
  <c r="E94" i="24"/>
  <c r="C88" i="25"/>
  <c r="D88" i="22"/>
  <c r="H85" i="15" s="1"/>
  <c r="D88" i="27"/>
  <c r="I85" i="15" s="1"/>
  <c r="D88" i="26"/>
  <c r="D88" i="18"/>
  <c r="D88" i="23"/>
  <c r="D88" i="20"/>
  <c r="D88" i="21"/>
  <c r="E59" i="24"/>
  <c r="E64" i="24"/>
  <c r="E32" i="24"/>
  <c r="E47" i="26"/>
  <c r="E28" i="24"/>
  <c r="C69" i="27"/>
  <c r="E69" i="27" s="1"/>
  <c r="I66" i="15"/>
  <c r="E28" i="26"/>
  <c r="E61" i="26"/>
  <c r="E21" i="26"/>
  <c r="E83" i="26"/>
  <c r="E79" i="23"/>
  <c r="C47" i="20"/>
  <c r="C86" i="20"/>
  <c r="C56" i="20"/>
  <c r="C90" i="20"/>
  <c r="E44" i="27"/>
  <c r="E83" i="23"/>
  <c r="B53" i="25"/>
  <c r="E45" i="22"/>
  <c r="C30" i="21"/>
  <c r="E27" i="15"/>
  <c r="C23" i="29" s="1"/>
  <c r="D86" i="7"/>
  <c r="C64" i="21"/>
  <c r="E61" i="15"/>
  <c r="C57" i="29" s="1"/>
  <c r="C45" i="21"/>
  <c r="E42" i="15"/>
  <c r="C38" i="29" s="1"/>
  <c r="D58" i="7"/>
  <c r="E84" i="23"/>
  <c r="C78" i="7"/>
  <c r="C76" i="7"/>
  <c r="C22" i="7"/>
  <c r="C14" i="7"/>
  <c r="C48" i="7"/>
  <c r="C29" i="7"/>
  <c r="C15" i="7"/>
  <c r="C79" i="7"/>
  <c r="C57" i="7"/>
  <c r="I9" i="24"/>
  <c r="I12" i="24"/>
  <c r="F74" i="24" s="1"/>
  <c r="I10" i="24"/>
  <c r="C75" i="7"/>
  <c r="L34" i="15"/>
  <c r="C72" i="25"/>
  <c r="D72" i="22"/>
  <c r="H69" i="15" s="1"/>
  <c r="D72" i="26"/>
  <c r="J69" i="15" s="1"/>
  <c r="D72" i="27"/>
  <c r="D72" i="18"/>
  <c r="D72" i="23"/>
  <c r="D72" i="20"/>
  <c r="D72" i="21"/>
  <c r="C64" i="20"/>
  <c r="E64" i="20" s="1"/>
  <c r="C83" i="21"/>
  <c r="E80" i="15"/>
  <c r="C76" i="29" s="1"/>
  <c r="C37" i="7"/>
  <c r="G35" i="24"/>
  <c r="C61" i="21"/>
  <c r="E58" i="15"/>
  <c r="C54" i="29" s="1"/>
  <c r="C90" i="7"/>
  <c r="C31" i="7"/>
  <c r="M36" i="15"/>
  <c r="E43" i="23"/>
  <c r="K65" i="15"/>
  <c r="E27" i="24"/>
  <c r="E53" i="24"/>
  <c r="E82" i="24"/>
  <c r="E37" i="24"/>
  <c r="E31" i="24"/>
  <c r="E71" i="24"/>
  <c r="E95" i="24"/>
  <c r="C87" i="25"/>
  <c r="D87" i="26"/>
  <c r="D87" i="27"/>
  <c r="D87" i="20"/>
  <c r="D87" i="23"/>
  <c r="G84" i="15" s="1"/>
  <c r="D87" i="21"/>
  <c r="D87" i="22"/>
  <c r="H84" i="15" s="1"/>
  <c r="D87" i="18"/>
  <c r="E62" i="26"/>
  <c r="E20" i="24"/>
  <c r="C56" i="25"/>
  <c r="D56" i="26"/>
  <c r="J53" i="15" s="1"/>
  <c r="D56" i="27"/>
  <c r="I53" i="15" s="1"/>
  <c r="D56" i="22"/>
  <c r="D56" i="18"/>
  <c r="D56" i="20"/>
  <c r="F53" i="15" s="1"/>
  <c r="D56" i="21"/>
  <c r="D56" i="23"/>
  <c r="G53" i="15" s="1"/>
  <c r="E38" i="26"/>
  <c r="E36" i="26"/>
  <c r="B20" i="25"/>
  <c r="E45" i="26"/>
  <c r="E82" i="26"/>
  <c r="E75" i="26"/>
  <c r="E44" i="26"/>
  <c r="E97" i="26"/>
  <c r="E52" i="26"/>
  <c r="E59" i="22"/>
  <c r="C71" i="20"/>
  <c r="C46" i="20"/>
  <c r="C27" i="20"/>
  <c r="C91" i="20"/>
  <c r="C80" i="20"/>
  <c r="C61" i="20"/>
  <c r="C50" i="20"/>
  <c r="E50" i="20" s="1"/>
  <c r="F47" i="15"/>
  <c r="E72" i="27"/>
  <c r="E51" i="15"/>
  <c r="C47" i="29" s="1"/>
  <c r="C54" i="21"/>
  <c r="C35" i="21"/>
  <c r="E32" i="15"/>
  <c r="C28" i="29" s="1"/>
  <c r="C24" i="21"/>
  <c r="C90" i="21"/>
  <c r="E90" i="21" s="1"/>
  <c r="E87" i="15"/>
  <c r="C83" i="29" s="1"/>
  <c r="C71" i="21"/>
  <c r="E68" i="15"/>
  <c r="C64" i="29" s="1"/>
  <c r="E60" i="23"/>
  <c r="E52" i="23"/>
  <c r="C18" i="7"/>
  <c r="C70" i="7"/>
  <c r="C27" i="7"/>
  <c r="C46" i="7"/>
  <c r="C83" i="7"/>
  <c r="C72" i="7"/>
  <c r="C53" i="7"/>
  <c r="C39" i="7"/>
  <c r="C17" i="7"/>
  <c r="C81" i="7"/>
  <c r="E36" i="23"/>
  <c r="M76" i="15"/>
  <c r="L24" i="15"/>
  <c r="E37" i="23"/>
  <c r="G92" i="24"/>
  <c r="C98" i="20"/>
  <c r="C72" i="21"/>
  <c r="E69" i="15"/>
  <c r="C65" i="29" s="1"/>
  <c r="C52" i="7"/>
  <c r="F30" i="24"/>
  <c r="C63" i="20"/>
  <c r="C82" i="21"/>
  <c r="C19" i="7"/>
  <c r="C64" i="7"/>
  <c r="C73" i="7"/>
  <c r="C52" i="18"/>
  <c r="E52" i="18" s="1"/>
  <c r="E40" i="24"/>
  <c r="E75" i="24"/>
  <c r="E97" i="24"/>
  <c r="E23" i="24"/>
  <c r="C95" i="25"/>
  <c r="D95" i="27"/>
  <c r="D95" i="26"/>
  <c r="J92" i="15" s="1"/>
  <c r="D95" i="20"/>
  <c r="D95" i="22"/>
  <c r="D95" i="23"/>
  <c r="G92" i="15" s="1"/>
  <c r="D95" i="21"/>
  <c r="D95" i="18"/>
  <c r="E56" i="24"/>
  <c r="E91" i="24"/>
  <c r="E55" i="26"/>
  <c r="C20" i="25"/>
  <c r="D20" i="26"/>
  <c r="J17" i="15" s="1"/>
  <c r="D20" i="27"/>
  <c r="D20" i="20"/>
  <c r="D20" i="22"/>
  <c r="D20" i="21"/>
  <c r="D20" i="23"/>
  <c r="G17" i="15" s="1"/>
  <c r="E13" i="29" s="1"/>
  <c r="D20" i="18"/>
  <c r="E78" i="26"/>
  <c r="E31" i="26"/>
  <c r="E91" i="26"/>
  <c r="C37" i="27"/>
  <c r="E37" i="27" s="1"/>
  <c r="I34" i="15"/>
  <c r="E86" i="27"/>
  <c r="E49" i="26"/>
  <c r="E99" i="26"/>
  <c r="E51" i="26"/>
  <c r="E66" i="26"/>
  <c r="E94" i="26"/>
  <c r="E37" i="26"/>
  <c r="E98" i="26"/>
  <c r="C79" i="20"/>
  <c r="C35" i="20"/>
  <c r="C24" i="20"/>
  <c r="C88" i="20"/>
  <c r="E88" i="20" s="1"/>
  <c r="E99" i="23"/>
  <c r="E20" i="23"/>
  <c r="E38" i="23"/>
  <c r="C62" i="21"/>
  <c r="E59" i="15"/>
  <c r="C55" i="29" s="1"/>
  <c r="C43" i="21"/>
  <c r="E40" i="15"/>
  <c r="C36" i="29" s="1"/>
  <c r="C77" i="21"/>
  <c r="C98" i="21"/>
  <c r="E98" i="21" s="1"/>
  <c r="E95" i="15"/>
  <c r="C91" i="29" s="1"/>
  <c r="C79" i="21"/>
  <c r="E76" i="15"/>
  <c r="C72" i="29" s="1"/>
  <c r="E35" i="23"/>
  <c r="E55" i="23"/>
  <c r="C26" i="7"/>
  <c r="C35" i="7"/>
  <c r="C60" i="7"/>
  <c r="C16" i="7"/>
  <c r="C80" i="7"/>
  <c r="C61" i="7"/>
  <c r="C47" i="7"/>
  <c r="C25" i="7"/>
  <c r="C89" i="7"/>
  <c r="E27" i="23"/>
  <c r="E58" i="23"/>
  <c r="M68" i="15"/>
  <c r="L77" i="15"/>
  <c r="E63" i="26"/>
  <c r="E26" i="23"/>
  <c r="F63" i="24"/>
  <c r="C94" i="20"/>
  <c r="C34" i="20"/>
  <c r="F31" i="15"/>
  <c r="C19" i="21"/>
  <c r="C82" i="7"/>
  <c r="H9" i="25"/>
  <c r="H12" i="25"/>
  <c r="H10" i="25"/>
  <c r="K31" i="15"/>
  <c r="K21" i="15"/>
  <c r="F88" i="24"/>
  <c r="G86" i="24"/>
  <c r="F86" i="24"/>
  <c r="G44" i="24"/>
  <c r="C42" i="20"/>
  <c r="C80" i="21"/>
  <c r="C12" i="7"/>
  <c r="C45" i="7"/>
  <c r="C93" i="25"/>
  <c r="D93" i="26"/>
  <c r="D93" i="22"/>
  <c r="H90" i="15" s="1"/>
  <c r="D93" i="20"/>
  <c r="D93" i="27"/>
  <c r="I90" i="15" s="1"/>
  <c r="D93" i="23"/>
  <c r="E93" i="23" s="1"/>
  <c r="D93" i="21"/>
  <c r="D93" i="18"/>
  <c r="K49" i="15"/>
  <c r="E57" i="24"/>
  <c r="K46" i="15"/>
  <c r="D89" i="27"/>
  <c r="C89" i="25"/>
  <c r="D89" i="26"/>
  <c r="J86" i="15" s="1"/>
  <c r="D89" i="20"/>
  <c r="D89" i="22"/>
  <c r="D89" i="23"/>
  <c r="E89" i="23" s="1"/>
  <c r="D89" i="21"/>
  <c r="D89" i="18"/>
  <c r="E33" i="24"/>
  <c r="E61" i="24"/>
  <c r="E83" i="24"/>
  <c r="E93" i="24"/>
  <c r="C96" i="25"/>
  <c r="C93" i="15" s="1"/>
  <c r="D96" i="22"/>
  <c r="D96" i="26"/>
  <c r="J93" i="15" s="1"/>
  <c r="D96" i="27"/>
  <c r="I93" i="15" s="1"/>
  <c r="D96" i="18"/>
  <c r="D96" i="20"/>
  <c r="D96" i="23"/>
  <c r="D96" i="21"/>
  <c r="E47" i="24"/>
  <c r="E87" i="24"/>
  <c r="C80" i="25"/>
  <c r="D80" i="26"/>
  <c r="D80" i="22"/>
  <c r="D80" i="27"/>
  <c r="D80" i="18"/>
  <c r="D80" i="20"/>
  <c r="D80" i="23"/>
  <c r="D80" i="21"/>
  <c r="E77" i="15" s="1"/>
  <c r="C73" i="29" s="1"/>
  <c r="D19" i="27"/>
  <c r="I16" i="15" s="1"/>
  <c r="C19" i="25"/>
  <c r="D19" i="22"/>
  <c r="H16" i="15" s="1"/>
  <c r="D19" i="20"/>
  <c r="D19" i="26"/>
  <c r="J16" i="15" s="1"/>
  <c r="D19" i="23"/>
  <c r="D19" i="18"/>
  <c r="D19" i="21"/>
  <c r="E16" i="15" s="1"/>
  <c r="C12" i="29" s="1"/>
  <c r="F12" i="29" s="1"/>
  <c r="C24" i="25"/>
  <c r="D24" i="26"/>
  <c r="D24" i="27"/>
  <c r="I21" i="15" s="1"/>
  <c r="D24" i="22"/>
  <c r="H21" i="15" s="1"/>
  <c r="D24" i="18"/>
  <c r="D24" i="20"/>
  <c r="D24" i="21"/>
  <c r="E21" i="15" s="1"/>
  <c r="C17" i="29" s="1"/>
  <c r="D24" i="23"/>
  <c r="G21" i="15" s="1"/>
  <c r="E17" i="29" s="1"/>
  <c r="E71" i="26"/>
  <c r="C91" i="22"/>
  <c r="E91" i="22" s="1"/>
  <c r="H88" i="15"/>
  <c r="E27" i="26"/>
  <c r="E35" i="26"/>
  <c r="E88" i="22"/>
  <c r="B37" i="25"/>
  <c r="C34" i="15"/>
  <c r="E89" i="26"/>
  <c r="E26" i="26"/>
  <c r="E69" i="26"/>
  <c r="E48" i="26"/>
  <c r="E59" i="26"/>
  <c r="E32" i="26"/>
  <c r="E62" i="27"/>
  <c r="C92" i="20"/>
  <c r="E47" i="22"/>
  <c r="C87" i="20"/>
  <c r="C62" i="20"/>
  <c r="C32" i="20"/>
  <c r="C66" i="20"/>
  <c r="E33" i="23"/>
  <c r="E67" i="15"/>
  <c r="C63" i="29" s="1"/>
  <c r="C51" i="21"/>
  <c r="E48" i="15"/>
  <c r="C44" i="29" s="1"/>
  <c r="C85" i="21"/>
  <c r="C87" i="21"/>
  <c r="E84" i="15"/>
  <c r="C80" i="29" s="1"/>
  <c r="E32" i="23"/>
  <c r="E53" i="23"/>
  <c r="C34" i="7"/>
  <c r="C51" i="7"/>
  <c r="C43" i="7"/>
  <c r="C74" i="7"/>
  <c r="C24" i="7"/>
  <c r="C88" i="7"/>
  <c r="C69" i="7"/>
  <c r="C55" i="7"/>
  <c r="C33" i="7"/>
  <c r="E44" i="23"/>
  <c r="M40" i="15"/>
  <c r="D25" i="15"/>
  <c r="L33" i="15"/>
  <c r="E99" i="24"/>
  <c r="F55" i="24"/>
  <c r="B20" i="22"/>
  <c r="B20" i="20"/>
  <c r="B20" i="26"/>
  <c r="B20" i="18"/>
  <c r="B20" i="24"/>
  <c r="B20" i="21"/>
  <c r="B20" i="27"/>
  <c r="A20" i="25"/>
  <c r="B20" i="23"/>
  <c r="B13" i="7"/>
  <c r="C72" i="20"/>
  <c r="C63" i="21"/>
  <c r="E63" i="21" s="1"/>
  <c r="E60" i="15"/>
  <c r="C56" i="29" s="1"/>
  <c r="E51" i="24"/>
  <c r="K47" i="15"/>
  <c r="E42" i="26"/>
  <c r="E84" i="26"/>
  <c r="E30" i="26"/>
  <c r="E74" i="26"/>
  <c r="C85" i="25"/>
  <c r="D85" i="26"/>
  <c r="J82" i="15" s="1"/>
  <c r="D85" i="22"/>
  <c r="D85" i="20"/>
  <c r="D85" i="27"/>
  <c r="I82" i="15" s="1"/>
  <c r="D85" i="23"/>
  <c r="G82" i="15" s="1"/>
  <c r="E78" i="29" s="1"/>
  <c r="D85" i="21"/>
  <c r="E82" i="15" s="1"/>
  <c r="C78" i="29" s="1"/>
  <c r="D85" i="18"/>
  <c r="E69" i="24"/>
  <c r="E24" i="24"/>
  <c r="E72" i="24"/>
  <c r="E79" i="26"/>
  <c r="D68" i="26"/>
  <c r="C68" i="25"/>
  <c r="D68" i="27"/>
  <c r="D68" i="22"/>
  <c r="D68" i="20"/>
  <c r="D68" i="21"/>
  <c r="D68" i="23"/>
  <c r="E68" i="23" s="1"/>
  <c r="D68" i="18"/>
  <c r="E79" i="24"/>
  <c r="E46" i="26"/>
  <c r="E59" i="27"/>
  <c r="E91" i="27"/>
  <c r="E57" i="26"/>
  <c r="E92" i="26"/>
  <c r="E34" i="26"/>
  <c r="E73" i="26"/>
  <c r="E56" i="26"/>
  <c r="E25" i="26"/>
  <c r="E23" i="26"/>
  <c r="C31" i="20"/>
  <c r="E31" i="20" s="1"/>
  <c r="C95" i="20"/>
  <c r="C70" i="20"/>
  <c r="C21" i="20"/>
  <c r="C85" i="20"/>
  <c r="C74" i="20"/>
  <c r="E88" i="27"/>
  <c r="C53" i="22"/>
  <c r="E53" i="22" s="1"/>
  <c r="H50" i="15"/>
  <c r="E60" i="27"/>
  <c r="E25" i="23"/>
  <c r="C59" i="21"/>
  <c r="E56" i="15"/>
  <c r="C52" i="29" s="1"/>
  <c r="C48" i="21"/>
  <c r="E45" i="15"/>
  <c r="C41" i="29" s="1"/>
  <c r="C93" i="21"/>
  <c r="E90" i="15"/>
  <c r="C86" i="29" s="1"/>
  <c r="C31" i="21"/>
  <c r="E28" i="15"/>
  <c r="C24" i="29" s="1"/>
  <c r="C95" i="21"/>
  <c r="E92" i="15"/>
  <c r="C88" i="29" s="1"/>
  <c r="E65" i="22"/>
  <c r="E26" i="27"/>
  <c r="C84" i="21"/>
  <c r="E81" i="15"/>
  <c r="C77" i="29" s="1"/>
  <c r="C42" i="7"/>
  <c r="C59" i="7"/>
  <c r="C54" i="7"/>
  <c r="M92" i="6"/>
  <c r="K91" i="7" s="1"/>
  <c r="M14" i="6"/>
  <c r="K13" i="7" s="1"/>
  <c r="M18" i="6"/>
  <c r="K17" i="7" s="1"/>
  <c r="M22" i="6"/>
  <c r="K21" i="7" s="1"/>
  <c r="M26" i="6"/>
  <c r="K25" i="7" s="1"/>
  <c r="M30" i="6"/>
  <c r="K29" i="7" s="1"/>
  <c r="M34" i="6"/>
  <c r="K33" i="7" s="1"/>
  <c r="M38" i="6"/>
  <c r="K37" i="7" s="1"/>
  <c r="M42" i="6"/>
  <c r="K41" i="7" s="1"/>
  <c r="M46" i="6"/>
  <c r="K45" i="7" s="1"/>
  <c r="M50" i="6"/>
  <c r="K49" i="7" s="1"/>
  <c r="M54" i="6"/>
  <c r="K53" i="7" s="1"/>
  <c r="M58" i="6"/>
  <c r="K57" i="7" s="1"/>
  <c r="M62" i="6"/>
  <c r="K61" i="7" s="1"/>
  <c r="M66" i="6"/>
  <c r="K65" i="7" s="1"/>
  <c r="M70" i="6"/>
  <c r="K69" i="7" s="1"/>
  <c r="M74" i="6"/>
  <c r="K73" i="7" s="1"/>
  <c r="M78" i="6"/>
  <c r="K77" i="7" s="1"/>
  <c r="M83" i="6"/>
  <c r="K82" i="7" s="1"/>
  <c r="M15" i="6"/>
  <c r="K14" i="7" s="1"/>
  <c r="M19" i="6"/>
  <c r="K18" i="7" s="1"/>
  <c r="M23" i="6"/>
  <c r="K22" i="7" s="1"/>
  <c r="M27" i="6"/>
  <c r="K26" i="7" s="1"/>
  <c r="M31" i="6"/>
  <c r="K30" i="7" s="1"/>
  <c r="M35" i="6"/>
  <c r="K34" i="7" s="1"/>
  <c r="M39" i="6"/>
  <c r="K38" i="7" s="1"/>
  <c r="M43" i="6"/>
  <c r="K42" i="7" s="1"/>
  <c r="M47" i="6"/>
  <c r="K46" i="7" s="1"/>
  <c r="M51" i="6"/>
  <c r="K50" i="7" s="1"/>
  <c r="M55" i="6"/>
  <c r="K54" i="7" s="1"/>
  <c r="M59" i="6"/>
  <c r="K58" i="7" s="1"/>
  <c r="M63" i="6"/>
  <c r="K62" i="7" s="1"/>
  <c r="M67" i="6"/>
  <c r="K66" i="7" s="1"/>
  <c r="M71" i="6"/>
  <c r="K70" i="7" s="1"/>
  <c r="M75" i="6"/>
  <c r="K74" i="7" s="1"/>
  <c r="M79" i="6"/>
  <c r="K78" i="7" s="1"/>
  <c r="M12" i="6"/>
  <c r="K11" i="7" s="1"/>
  <c r="M16" i="6"/>
  <c r="K15" i="7" s="1"/>
  <c r="M20" i="6"/>
  <c r="K19" i="7" s="1"/>
  <c r="M24" i="6"/>
  <c r="K23" i="7" s="1"/>
  <c r="M28" i="6"/>
  <c r="K27" i="7" s="1"/>
  <c r="M32" i="6"/>
  <c r="K31" i="7" s="1"/>
  <c r="M36" i="6"/>
  <c r="K35" i="7" s="1"/>
  <c r="M40" i="6"/>
  <c r="K39" i="7" s="1"/>
  <c r="M44" i="6"/>
  <c r="K43" i="7" s="1"/>
  <c r="M48" i="6"/>
  <c r="K47" i="7" s="1"/>
  <c r="M52" i="6"/>
  <c r="K51" i="7" s="1"/>
  <c r="M56" i="6"/>
  <c r="K55" i="7" s="1"/>
  <c r="M60" i="6"/>
  <c r="K59" i="7" s="1"/>
  <c r="M64" i="6"/>
  <c r="K63" i="7" s="1"/>
  <c r="M68" i="6"/>
  <c r="K67" i="7" s="1"/>
  <c r="M72" i="6"/>
  <c r="K71" i="7" s="1"/>
  <c r="M76" i="6"/>
  <c r="K75" i="7" s="1"/>
  <c r="M80" i="6"/>
  <c r="K79" i="7" s="1"/>
  <c r="M25" i="6"/>
  <c r="K24" i="7" s="1"/>
  <c r="M57" i="6"/>
  <c r="K56" i="7" s="1"/>
  <c r="M84" i="6"/>
  <c r="K83" i="7" s="1"/>
  <c r="M85" i="6"/>
  <c r="K84" i="7" s="1"/>
  <c r="M88" i="6"/>
  <c r="K87" i="7" s="1"/>
  <c r="M37" i="6"/>
  <c r="M69" i="6"/>
  <c r="K68" i="7" s="1"/>
  <c r="M17" i="6"/>
  <c r="K16" i="7" s="1"/>
  <c r="M49" i="6"/>
  <c r="K48" i="7" s="1"/>
  <c r="M81" i="6"/>
  <c r="K80" i="7" s="1"/>
  <c r="M86" i="6"/>
  <c r="K85" i="7" s="1"/>
  <c r="M82" i="6"/>
  <c r="K81" i="7" s="1"/>
  <c r="M29" i="6"/>
  <c r="K28" i="7" s="1"/>
  <c r="M61" i="6"/>
  <c r="K60" i="7" s="1"/>
  <c r="M41" i="6"/>
  <c r="K40" i="7" s="1"/>
  <c r="M73" i="6"/>
  <c r="K72" i="7" s="1"/>
  <c r="M87" i="6"/>
  <c r="K86" i="7" s="1"/>
  <c r="M13" i="6"/>
  <c r="K12" i="7" s="1"/>
  <c r="M45" i="6"/>
  <c r="M77" i="6"/>
  <c r="K76" i="7" s="1"/>
  <c r="M89" i="6"/>
  <c r="K88" i="7" s="1"/>
  <c r="M53" i="6"/>
  <c r="K52" i="7" s="1"/>
  <c r="M21" i="6"/>
  <c r="M65" i="6"/>
  <c r="K64" i="7" s="1"/>
  <c r="M33" i="6"/>
  <c r="K32" i="7" s="1"/>
  <c r="M90" i="6"/>
  <c r="K89" i="7" s="1"/>
  <c r="M91" i="6"/>
  <c r="K90" i="7" s="1"/>
  <c r="C32" i="7"/>
  <c r="C13" i="7"/>
  <c r="C77" i="7"/>
  <c r="C63" i="7"/>
  <c r="C41" i="7"/>
  <c r="E30" i="23"/>
  <c r="M44" i="15"/>
  <c r="G51" i="15"/>
  <c r="E47" i="29" s="1"/>
  <c r="C77" i="25"/>
  <c r="D77" i="26"/>
  <c r="D77" i="22"/>
  <c r="D77" i="20"/>
  <c r="D77" i="21"/>
  <c r="E74" i="15" s="1"/>
  <c r="C70" i="29" s="1"/>
  <c r="D77" i="27"/>
  <c r="D77" i="18"/>
  <c r="D77" i="23"/>
  <c r="G74" i="15" s="1"/>
  <c r="F57" i="22"/>
  <c r="G57" i="22"/>
  <c r="C45" i="20"/>
  <c r="F33" i="26"/>
  <c r="E35" i="15"/>
  <c r="C31" i="29" s="1"/>
  <c r="C53" i="21"/>
  <c r="E50" i="15"/>
  <c r="C46" i="29" s="1"/>
  <c r="C30" i="7"/>
  <c r="C23" i="7"/>
  <c r="C65" i="7"/>
  <c r="G29" i="22"/>
  <c r="F29" i="22"/>
  <c r="G46" i="24"/>
  <c r="C22" i="25"/>
  <c r="D22" i="27"/>
  <c r="I19" i="15" s="1"/>
  <c r="D22" i="26"/>
  <c r="J19" i="15" s="1"/>
  <c r="D22" i="20"/>
  <c r="D22" i="21"/>
  <c r="D22" i="23"/>
  <c r="E22" i="23" s="1"/>
  <c r="D22" i="18"/>
  <c r="D22" i="22"/>
  <c r="H19" i="15" s="1"/>
  <c r="C91" i="21"/>
  <c r="E88" i="15"/>
  <c r="C84" i="29" s="1"/>
  <c r="C66" i="7"/>
  <c r="E46" i="22"/>
  <c r="E22" i="22"/>
  <c r="E76" i="22"/>
  <c r="E19" i="22"/>
  <c r="E61" i="22"/>
  <c r="E94" i="22"/>
  <c r="F54" i="24"/>
  <c r="G54" i="24"/>
  <c r="E58" i="24"/>
  <c r="AE31" i="5"/>
  <c r="AF30" i="5"/>
  <c r="K64" i="15"/>
  <c r="E81" i="24"/>
  <c r="E49" i="24"/>
  <c r="C81" i="25"/>
  <c r="C78" i="15" s="1"/>
  <c r="D81" i="27"/>
  <c r="D81" i="22"/>
  <c r="D81" i="20"/>
  <c r="D81" i="23"/>
  <c r="D81" i="26"/>
  <c r="J78" i="15" s="1"/>
  <c r="D81" i="21"/>
  <c r="E78" i="15" s="1"/>
  <c r="C74" i="29" s="1"/>
  <c r="D81" i="18"/>
  <c r="C19" i="23"/>
  <c r="E19" i="23" s="1"/>
  <c r="G16" i="15"/>
  <c r="E42" i="24"/>
  <c r="E62" i="24"/>
  <c r="E77" i="24"/>
  <c r="E85" i="24"/>
  <c r="E98" i="24"/>
  <c r="B89" i="25"/>
  <c r="C86" i="15"/>
  <c r="E66" i="24"/>
  <c r="E86" i="26"/>
  <c r="E54" i="26"/>
  <c r="E39" i="24"/>
  <c r="E68" i="24"/>
  <c r="E72" i="22"/>
  <c r="E94" i="27"/>
  <c r="E20" i="26"/>
  <c r="E43" i="26"/>
  <c r="E58" i="26"/>
  <c r="E76" i="26"/>
  <c r="E64" i="26"/>
  <c r="E87" i="22"/>
  <c r="E19" i="27"/>
  <c r="C39" i="20"/>
  <c r="C99" i="20"/>
  <c r="C78" i="20"/>
  <c r="E78" i="20" s="1"/>
  <c r="C59" i="20"/>
  <c r="C29" i="20"/>
  <c r="C82" i="20"/>
  <c r="E56" i="27"/>
  <c r="C53" i="27"/>
  <c r="E53" i="27" s="1"/>
  <c r="I50" i="15"/>
  <c r="E66" i="22"/>
  <c r="E71" i="27"/>
  <c r="C22" i="21"/>
  <c r="E19" i="15"/>
  <c r="C15" i="29" s="1"/>
  <c r="C86" i="21"/>
  <c r="E83" i="15"/>
  <c r="C79" i="29" s="1"/>
  <c r="C67" i="21"/>
  <c r="E64" i="15"/>
  <c r="C60" i="29" s="1"/>
  <c r="C56" i="21"/>
  <c r="E53" i="15"/>
  <c r="C49" i="29" s="1"/>
  <c r="D50" i="7"/>
  <c r="N51" i="6"/>
  <c r="C39" i="21"/>
  <c r="E36" i="15"/>
  <c r="C32" i="29" s="1"/>
  <c r="C99" i="21"/>
  <c r="E96" i="15"/>
  <c r="C92" i="29" s="1"/>
  <c r="E95" i="23"/>
  <c r="E94" i="23"/>
  <c r="C67" i="7"/>
  <c r="C62" i="7"/>
  <c r="C68" i="7"/>
  <c r="C11" i="7"/>
  <c r="N12" i="6"/>
  <c r="C40" i="7"/>
  <c r="N41" i="6"/>
  <c r="C21" i="7"/>
  <c r="C85" i="7"/>
  <c r="C71" i="7"/>
  <c r="C49" i="7"/>
  <c r="C28" i="7"/>
  <c r="G94" i="18" l="1"/>
  <c r="E28" i="20"/>
  <c r="G28" i="20" s="1"/>
  <c r="E59" i="23"/>
  <c r="E76" i="23"/>
  <c r="K87" i="15"/>
  <c r="K88" i="15"/>
  <c r="K34" i="15"/>
  <c r="J96" i="15"/>
  <c r="E28" i="23"/>
  <c r="G28" i="23" s="1"/>
  <c r="E74" i="23"/>
  <c r="C26" i="15"/>
  <c r="E47" i="23"/>
  <c r="E71" i="23"/>
  <c r="F71" i="23" s="1"/>
  <c r="E92" i="23"/>
  <c r="E63" i="23"/>
  <c r="K92" i="15"/>
  <c r="K28" i="15"/>
  <c r="K93" i="15"/>
  <c r="J26" i="15"/>
  <c r="F64" i="23"/>
  <c r="G64" i="23"/>
  <c r="F48" i="24"/>
  <c r="K32" i="15"/>
  <c r="K53" i="15"/>
  <c r="E67" i="20"/>
  <c r="E65" i="21"/>
  <c r="E42" i="21"/>
  <c r="F41" i="24"/>
  <c r="E70" i="23"/>
  <c r="F70" i="23" s="1"/>
  <c r="K79" i="15"/>
  <c r="E39" i="23"/>
  <c r="F39" i="23" s="1"/>
  <c r="K26" i="15"/>
  <c r="K61" i="15"/>
  <c r="K82" i="15"/>
  <c r="K22" i="15"/>
  <c r="K62" i="15"/>
  <c r="G94" i="15"/>
  <c r="E90" i="29" s="1"/>
  <c r="H78" i="15"/>
  <c r="G82" i="23"/>
  <c r="G83" i="15"/>
  <c r="G28" i="15"/>
  <c r="H30" i="15"/>
  <c r="H67" i="15"/>
  <c r="H81" i="15"/>
  <c r="H20" i="15"/>
  <c r="H93" i="15"/>
  <c r="E52" i="15"/>
  <c r="C48" i="29" s="1"/>
  <c r="E66" i="15"/>
  <c r="C62" i="29" s="1"/>
  <c r="I69" i="15"/>
  <c r="H57" i="15"/>
  <c r="H82" i="15"/>
  <c r="N63" i="6"/>
  <c r="E26" i="15"/>
  <c r="C22" i="29" s="1"/>
  <c r="E43" i="15"/>
  <c r="C39" i="29" s="1"/>
  <c r="C74" i="15"/>
  <c r="G93" i="15"/>
  <c r="E89" i="29" s="1"/>
  <c r="E62" i="15"/>
  <c r="C58" i="29" s="1"/>
  <c r="G59" i="15"/>
  <c r="F45" i="27"/>
  <c r="G45" i="27"/>
  <c r="G58" i="15"/>
  <c r="H35" i="15"/>
  <c r="H77" i="15"/>
  <c r="E39" i="15"/>
  <c r="C35" i="29" s="1"/>
  <c r="I64" i="15"/>
  <c r="I42" i="15"/>
  <c r="G96" i="15"/>
  <c r="C95" i="15"/>
  <c r="H41" i="15"/>
  <c r="K37" i="15"/>
  <c r="K42" i="15"/>
  <c r="K23" i="15"/>
  <c r="J72" i="15"/>
  <c r="K57" i="15"/>
  <c r="J88" i="15"/>
  <c r="K78" i="15"/>
  <c r="J83" i="15"/>
  <c r="K30" i="15"/>
  <c r="K45" i="15"/>
  <c r="K56" i="15"/>
  <c r="J38" i="15"/>
  <c r="J64" i="15"/>
  <c r="J49" i="15"/>
  <c r="K55" i="15"/>
  <c r="K38" i="15"/>
  <c r="K69" i="15"/>
  <c r="K50" i="15"/>
  <c r="K70" i="15"/>
  <c r="J40" i="15"/>
  <c r="J41" i="15"/>
  <c r="K24" i="15"/>
  <c r="K77" i="15"/>
  <c r="K40" i="15"/>
  <c r="K71" i="15"/>
  <c r="K63" i="15"/>
  <c r="J37" i="15"/>
  <c r="J23" i="15"/>
  <c r="J48" i="15"/>
  <c r="K33" i="15"/>
  <c r="K72" i="15"/>
  <c r="K48" i="15"/>
  <c r="J57" i="15"/>
  <c r="J33" i="15"/>
  <c r="J66" i="15"/>
  <c r="K83" i="15"/>
  <c r="J81" i="15"/>
  <c r="K58" i="15"/>
  <c r="K41" i="15"/>
  <c r="J56" i="15"/>
  <c r="J50" i="15"/>
  <c r="E84" i="20"/>
  <c r="G19" i="24"/>
  <c r="K80" i="15"/>
  <c r="G89" i="24"/>
  <c r="G65" i="24"/>
  <c r="E98" i="23"/>
  <c r="K54" i="15"/>
  <c r="K18" i="15"/>
  <c r="F50" i="24"/>
  <c r="E99" i="20"/>
  <c r="E38" i="20"/>
  <c r="E73" i="20"/>
  <c r="E66" i="20"/>
  <c r="E61" i="20"/>
  <c r="E86" i="20"/>
  <c r="E65" i="20"/>
  <c r="E47" i="20"/>
  <c r="G47" i="20" s="1"/>
  <c r="E53" i="20"/>
  <c r="E49" i="20"/>
  <c r="E57" i="20"/>
  <c r="E96" i="20"/>
  <c r="E40" i="20"/>
  <c r="E72" i="20"/>
  <c r="E32" i="20"/>
  <c r="E35" i="20"/>
  <c r="F35" i="20" s="1"/>
  <c r="E44" i="20"/>
  <c r="E74" i="20"/>
  <c r="E62" i="20"/>
  <c r="E79" i="20"/>
  <c r="E91" i="20"/>
  <c r="E27" i="20"/>
  <c r="F49" i="22"/>
  <c r="E75" i="20"/>
  <c r="F75" i="20" s="1"/>
  <c r="E76" i="20"/>
  <c r="E82" i="20"/>
  <c r="E85" i="20"/>
  <c r="E29" i="20"/>
  <c r="E45" i="20"/>
  <c r="E21" i="20"/>
  <c r="F28" i="20"/>
  <c r="E23" i="20"/>
  <c r="G23" i="20" s="1"/>
  <c r="E98" i="20"/>
  <c r="E46" i="20"/>
  <c r="E30" i="20"/>
  <c r="E33" i="20"/>
  <c r="E39" i="20"/>
  <c r="E42" i="20"/>
  <c r="E63" i="20"/>
  <c r="E71" i="20"/>
  <c r="F71" i="20" s="1"/>
  <c r="E90" i="20"/>
  <c r="E83" i="20"/>
  <c r="E26" i="20"/>
  <c r="E93" i="20"/>
  <c r="E48" i="20"/>
  <c r="E70" i="20"/>
  <c r="E34" i="20"/>
  <c r="E59" i="20"/>
  <c r="G59" i="20" s="1"/>
  <c r="E95" i="20"/>
  <c r="E92" i="20"/>
  <c r="E94" i="20"/>
  <c r="E52" i="20"/>
  <c r="G58" i="22"/>
  <c r="C24" i="15"/>
  <c r="C61" i="15"/>
  <c r="E30" i="29"/>
  <c r="E21" i="23"/>
  <c r="E79" i="15"/>
  <c r="C75" i="29" s="1"/>
  <c r="E46" i="21"/>
  <c r="E67" i="23"/>
  <c r="F67" i="23" s="1"/>
  <c r="E37" i="20"/>
  <c r="E43" i="20"/>
  <c r="E34" i="15"/>
  <c r="C30" i="29" s="1"/>
  <c r="E69" i="23"/>
  <c r="F69" i="23" s="1"/>
  <c r="G29" i="15"/>
  <c r="H59" i="15"/>
  <c r="H89" i="15"/>
  <c r="G37" i="15"/>
  <c r="C29" i="27"/>
  <c r="E29" i="27" s="1"/>
  <c r="C33" i="27"/>
  <c r="E33" i="27" s="1"/>
  <c r="C54" i="22"/>
  <c r="E54" i="22" s="1"/>
  <c r="C41" i="15"/>
  <c r="F81" i="15"/>
  <c r="D77" i="29" s="1"/>
  <c r="G27" i="27"/>
  <c r="F27" i="27"/>
  <c r="E20" i="15"/>
  <c r="C16" i="29" s="1"/>
  <c r="G64" i="15"/>
  <c r="E60" i="29" s="1"/>
  <c r="I45" i="15"/>
  <c r="H92" i="15"/>
  <c r="E44" i="15"/>
  <c r="C40" i="29" s="1"/>
  <c r="H96" i="15"/>
  <c r="I62" i="15"/>
  <c r="C37" i="21"/>
  <c r="E29" i="15"/>
  <c r="C25" i="29" s="1"/>
  <c r="C79" i="22"/>
  <c r="E79" i="22" s="1"/>
  <c r="G79" i="22" s="1"/>
  <c r="I95" i="15"/>
  <c r="C58" i="27"/>
  <c r="E58" i="27" s="1"/>
  <c r="I24" i="15"/>
  <c r="E75" i="15"/>
  <c r="C71" i="29" s="1"/>
  <c r="I84" i="15"/>
  <c r="G66" i="15"/>
  <c r="E62" i="29" s="1"/>
  <c r="I81" i="15"/>
  <c r="E57" i="21"/>
  <c r="E86" i="21"/>
  <c r="F86" i="21" s="1"/>
  <c r="E93" i="21"/>
  <c r="E78" i="21"/>
  <c r="F78" i="21" s="1"/>
  <c r="E49" i="21"/>
  <c r="G49" i="21" s="1"/>
  <c r="E51" i="21"/>
  <c r="E80" i="23"/>
  <c r="G80" i="23" s="1"/>
  <c r="E75" i="21"/>
  <c r="G75" i="21" s="1"/>
  <c r="E47" i="21"/>
  <c r="G47" i="21" s="1"/>
  <c r="E30" i="21"/>
  <c r="E60" i="21"/>
  <c r="E84" i="21"/>
  <c r="F84" i="21" s="1"/>
  <c r="E37" i="21"/>
  <c r="E22" i="21"/>
  <c r="F89" i="24"/>
  <c r="E29" i="21"/>
  <c r="F29" i="21" s="1"/>
  <c r="E55" i="21"/>
  <c r="G55" i="21" s="1"/>
  <c r="E32" i="21"/>
  <c r="E44" i="21"/>
  <c r="E50" i="21"/>
  <c r="F50" i="21" s="1"/>
  <c r="G53" i="26"/>
  <c r="G41" i="26"/>
  <c r="G78" i="23"/>
  <c r="F58" i="18"/>
  <c r="E35" i="21"/>
  <c r="F35" i="21" s="1"/>
  <c r="E27" i="21"/>
  <c r="E36" i="21"/>
  <c r="G36" i="21" s="1"/>
  <c r="E23" i="15"/>
  <c r="C19" i="29" s="1"/>
  <c r="E51" i="20"/>
  <c r="E91" i="21"/>
  <c r="E99" i="21"/>
  <c r="F99" i="21" s="1"/>
  <c r="E56" i="21"/>
  <c r="F56" i="21" s="1"/>
  <c r="E53" i="21"/>
  <c r="F53" i="21" s="1"/>
  <c r="E48" i="21"/>
  <c r="E80" i="21"/>
  <c r="E43" i="21"/>
  <c r="F43" i="21" s="1"/>
  <c r="E82" i="21"/>
  <c r="E72" i="21"/>
  <c r="E54" i="21"/>
  <c r="F54" i="21" s="1"/>
  <c r="E45" i="21"/>
  <c r="G45" i="21" s="1"/>
  <c r="E74" i="21"/>
  <c r="G74" i="21" s="1"/>
  <c r="E28" i="21"/>
  <c r="F28" i="21" s="1"/>
  <c r="E41" i="20"/>
  <c r="E23" i="21"/>
  <c r="G23" i="21" s="1"/>
  <c r="E79" i="21"/>
  <c r="E71" i="21"/>
  <c r="G71" i="21" s="1"/>
  <c r="E61" i="21"/>
  <c r="G61" i="21" s="1"/>
  <c r="E83" i="21"/>
  <c r="G83" i="21" s="1"/>
  <c r="E34" i="21"/>
  <c r="F34" i="21" s="1"/>
  <c r="E39" i="21"/>
  <c r="E67" i="21"/>
  <c r="E38" i="21"/>
  <c r="G38" i="21" s="1"/>
  <c r="E31" i="21"/>
  <c r="E59" i="21"/>
  <c r="G59" i="21" s="1"/>
  <c r="E62" i="21"/>
  <c r="F62" i="21" s="1"/>
  <c r="E64" i="21"/>
  <c r="G64" i="21" s="1"/>
  <c r="E33" i="21"/>
  <c r="E69" i="21"/>
  <c r="G39" i="23"/>
  <c r="F65" i="24"/>
  <c r="E76" i="29"/>
  <c r="E69" i="20"/>
  <c r="F69" i="20" s="1"/>
  <c r="G50" i="24"/>
  <c r="E58" i="20"/>
  <c r="E92" i="29"/>
  <c r="G40" i="26"/>
  <c r="F90" i="26"/>
  <c r="E40" i="21"/>
  <c r="F40" i="21" s="1"/>
  <c r="E73" i="21"/>
  <c r="G73" i="21" s="1"/>
  <c r="E70" i="21"/>
  <c r="G70" i="21" s="1"/>
  <c r="F25" i="24"/>
  <c r="F46" i="24"/>
  <c r="G52" i="24"/>
  <c r="E92" i="21"/>
  <c r="E38" i="15"/>
  <c r="C34" i="29" s="1"/>
  <c r="F67" i="24"/>
  <c r="G63" i="24"/>
  <c r="F19" i="24"/>
  <c r="H19" i="24" s="1"/>
  <c r="E52" i="21"/>
  <c r="E21" i="21"/>
  <c r="E24" i="23"/>
  <c r="E87" i="21"/>
  <c r="E87" i="20"/>
  <c r="G87" i="20" s="1"/>
  <c r="E80" i="22"/>
  <c r="G80" i="22" s="1"/>
  <c r="G61" i="27"/>
  <c r="E77" i="20"/>
  <c r="F77" i="20" s="1"/>
  <c r="E96" i="27"/>
  <c r="E96" i="22"/>
  <c r="E77" i="21"/>
  <c r="E56" i="20"/>
  <c r="E56" i="23"/>
  <c r="F56" i="23" s="1"/>
  <c r="E89" i="22"/>
  <c r="F89" i="22" s="1"/>
  <c r="E88" i="23"/>
  <c r="E20" i="20"/>
  <c r="G20" i="20" s="1"/>
  <c r="E89" i="21"/>
  <c r="E19" i="26"/>
  <c r="G19" i="26" s="1"/>
  <c r="I19" i="26" s="1"/>
  <c r="J19" i="26" s="1"/>
  <c r="I15" i="17" s="1"/>
  <c r="E80" i="29"/>
  <c r="E46" i="29"/>
  <c r="E81" i="29"/>
  <c r="E22" i="29"/>
  <c r="E70" i="29"/>
  <c r="E49" i="29"/>
  <c r="E66" i="29"/>
  <c r="E77" i="29"/>
  <c r="G25" i="24"/>
  <c r="E31" i="29"/>
  <c r="E29" i="29"/>
  <c r="E48" i="29"/>
  <c r="E50" i="29"/>
  <c r="E83" i="29"/>
  <c r="E53" i="29"/>
  <c r="E86" i="29"/>
  <c r="E69" i="29"/>
  <c r="I17" i="15"/>
  <c r="F94" i="18"/>
  <c r="C44" i="15"/>
  <c r="C35" i="15"/>
  <c r="C63" i="15"/>
  <c r="C62" i="15"/>
  <c r="C67" i="15"/>
  <c r="C41" i="27"/>
  <c r="E41" i="27" s="1"/>
  <c r="C58" i="15"/>
  <c r="C38" i="15"/>
  <c r="C68" i="15"/>
  <c r="C70" i="15"/>
  <c r="C52" i="15"/>
  <c r="C71" i="15"/>
  <c r="C89" i="15"/>
  <c r="C30" i="15"/>
  <c r="C60" i="15"/>
  <c r="E37" i="15"/>
  <c r="C33" i="29" s="1"/>
  <c r="E93" i="15"/>
  <c r="C89" i="29" s="1"/>
  <c r="C66" i="15"/>
  <c r="C17" i="15"/>
  <c r="G95" i="15"/>
  <c r="G31" i="15"/>
  <c r="E27" i="29" s="1"/>
  <c r="E25" i="15"/>
  <c r="C21" i="29" s="1"/>
  <c r="C26" i="21"/>
  <c r="E26" i="21" s="1"/>
  <c r="G45" i="15"/>
  <c r="E41" i="29" s="1"/>
  <c r="G88" i="15"/>
  <c r="E84" i="29" s="1"/>
  <c r="E70" i="15"/>
  <c r="C66" i="29" s="1"/>
  <c r="C51" i="15"/>
  <c r="C76" i="15"/>
  <c r="H75" i="15"/>
  <c r="G71" i="22"/>
  <c r="E65" i="15"/>
  <c r="C61" i="29" s="1"/>
  <c r="G46" i="23"/>
  <c r="I39" i="15"/>
  <c r="C46" i="15"/>
  <c r="C57" i="15"/>
  <c r="E17" i="15"/>
  <c r="C13" i="29" s="1"/>
  <c r="F13" i="29" s="1"/>
  <c r="C50" i="15"/>
  <c r="G71" i="15"/>
  <c r="C33" i="15"/>
  <c r="I65" i="15"/>
  <c r="C25" i="15"/>
  <c r="C22" i="15"/>
  <c r="C29" i="15"/>
  <c r="H48" i="15"/>
  <c r="C27" i="15"/>
  <c r="C45" i="15"/>
  <c r="C47" i="15"/>
  <c r="C64" i="15"/>
  <c r="C54" i="15"/>
  <c r="C55" i="27"/>
  <c r="E55" i="27" s="1"/>
  <c r="F55" i="27" s="1"/>
  <c r="C94" i="15"/>
  <c r="I23" i="15"/>
  <c r="I22" i="15"/>
  <c r="C23" i="15"/>
  <c r="C81" i="15"/>
  <c r="F46" i="15"/>
  <c r="L82" i="15"/>
  <c r="L54" i="15"/>
  <c r="F78" i="15"/>
  <c r="L37" i="15"/>
  <c r="F19" i="15"/>
  <c r="G65" i="26"/>
  <c r="L66" i="15"/>
  <c r="L23" i="15"/>
  <c r="L18" i="15"/>
  <c r="F26" i="15"/>
  <c r="F96" i="15"/>
  <c r="E12" i="29"/>
  <c r="H12" i="29" s="1"/>
  <c r="H13" i="29" s="1"/>
  <c r="F65" i="26"/>
  <c r="F82" i="15"/>
  <c r="F67" i="15"/>
  <c r="L48" i="15"/>
  <c r="F29" i="15"/>
  <c r="F20" i="15"/>
  <c r="F44" i="24"/>
  <c r="L31" i="15"/>
  <c r="D27" i="29" s="1"/>
  <c r="L78" i="15"/>
  <c r="F76" i="15"/>
  <c r="G30" i="24"/>
  <c r="G48" i="24"/>
  <c r="L57" i="15"/>
  <c r="F24" i="15"/>
  <c r="D20" i="29" s="1"/>
  <c r="L65" i="15"/>
  <c r="F21" i="24"/>
  <c r="F52" i="24"/>
  <c r="L71" i="15"/>
  <c r="F44" i="15"/>
  <c r="F38" i="24"/>
  <c r="E51" i="29"/>
  <c r="G90" i="26"/>
  <c r="F53" i="26"/>
  <c r="C39" i="15"/>
  <c r="C91" i="15"/>
  <c r="C43" i="15"/>
  <c r="E54" i="20"/>
  <c r="F95" i="15"/>
  <c r="F55" i="15"/>
  <c r="C88" i="15"/>
  <c r="C42" i="15"/>
  <c r="L91" i="15"/>
  <c r="L85" i="15"/>
  <c r="L20" i="15"/>
  <c r="L51" i="15"/>
  <c r="L25" i="15"/>
  <c r="D21" i="29" s="1"/>
  <c r="L67" i="15"/>
  <c r="L92" i="15"/>
  <c r="L59" i="15"/>
  <c r="L43" i="15"/>
  <c r="L17" i="15"/>
  <c r="L83" i="15"/>
  <c r="L16" i="15"/>
  <c r="L27" i="15"/>
  <c r="L72" i="15"/>
  <c r="L42" i="15"/>
  <c r="L87" i="15"/>
  <c r="L55" i="15"/>
  <c r="L88" i="15"/>
  <c r="L38" i="15"/>
  <c r="L94" i="15"/>
  <c r="L79" i="15"/>
  <c r="L60" i="15"/>
  <c r="L95" i="15"/>
  <c r="L44" i="15"/>
  <c r="L61" i="15"/>
  <c r="L86" i="15"/>
  <c r="L90" i="15"/>
  <c r="L93" i="15"/>
  <c r="L96" i="15"/>
  <c r="L36" i="15"/>
  <c r="L68" i="15"/>
  <c r="L52" i="15"/>
  <c r="L76" i="15"/>
  <c r="L50" i="15"/>
  <c r="D46" i="29" s="1"/>
  <c r="L19" i="15"/>
  <c r="L28" i="15"/>
  <c r="L26" i="15"/>
  <c r="L84" i="15"/>
  <c r="L75" i="15"/>
  <c r="L35" i="15"/>
  <c r="L89" i="15"/>
  <c r="F36" i="15"/>
  <c r="F41" i="26"/>
  <c r="F92" i="15"/>
  <c r="L47" i="15"/>
  <c r="D43" i="29" s="1"/>
  <c r="F40" i="26"/>
  <c r="L62" i="15"/>
  <c r="F40" i="15"/>
  <c r="L49" i="15"/>
  <c r="D45" i="29" s="1"/>
  <c r="G39" i="26"/>
  <c r="L80" i="15"/>
  <c r="F85" i="15"/>
  <c r="E88" i="29"/>
  <c r="L32" i="15"/>
  <c r="F43" i="15"/>
  <c r="F35" i="24"/>
  <c r="G90" i="24"/>
  <c r="F45" i="15"/>
  <c r="G33" i="26"/>
  <c r="F18" i="15"/>
  <c r="F42" i="15"/>
  <c r="G67" i="24"/>
  <c r="G55" i="24"/>
  <c r="L53" i="15"/>
  <c r="D49" i="29" s="1"/>
  <c r="F89" i="15"/>
  <c r="F77" i="15"/>
  <c r="D73" i="29" s="1"/>
  <c r="F39" i="15"/>
  <c r="G88" i="24"/>
  <c r="F91" i="15"/>
  <c r="F39" i="26"/>
  <c r="L74" i="15"/>
  <c r="F60" i="15"/>
  <c r="F92" i="24"/>
  <c r="L56" i="15"/>
  <c r="F58" i="15"/>
  <c r="L73" i="15"/>
  <c r="G22" i="24"/>
  <c r="G26" i="24"/>
  <c r="F87" i="15"/>
  <c r="F64" i="15"/>
  <c r="E55" i="29"/>
  <c r="E63" i="29"/>
  <c r="E18" i="29"/>
  <c r="E79" i="29"/>
  <c r="E87" i="29"/>
  <c r="F73" i="15"/>
  <c r="C49" i="15"/>
  <c r="C28" i="15"/>
  <c r="C37" i="15"/>
  <c r="C48" i="15"/>
  <c r="C72" i="15"/>
  <c r="C32" i="15"/>
  <c r="F79" i="15"/>
  <c r="F56" i="15"/>
  <c r="L64" i="15"/>
  <c r="L30" i="15"/>
  <c r="F37" i="15"/>
  <c r="F28" i="15"/>
  <c r="F63" i="15"/>
  <c r="F59" i="15"/>
  <c r="F16" i="15"/>
  <c r="L40" i="15"/>
  <c r="F21" i="15"/>
  <c r="G41" i="24"/>
  <c r="L41" i="15"/>
  <c r="F68" i="15"/>
  <c r="F22" i="24"/>
  <c r="F61" i="15"/>
  <c r="F26" i="24"/>
  <c r="E43" i="29"/>
  <c r="E20" i="29"/>
  <c r="F72" i="15"/>
  <c r="F41" i="15"/>
  <c r="D37" i="29" s="1"/>
  <c r="F62" i="15"/>
  <c r="F84" i="22"/>
  <c r="C80" i="15"/>
  <c r="C36" i="15"/>
  <c r="C83" i="15"/>
  <c r="C20" i="15"/>
  <c r="F78" i="22"/>
  <c r="E55" i="20"/>
  <c r="C55" i="15"/>
  <c r="F17" i="15"/>
  <c r="L22" i="15"/>
  <c r="F60" i="26"/>
  <c r="L21" i="15"/>
  <c r="F29" i="26"/>
  <c r="G67" i="26"/>
  <c r="L58" i="15"/>
  <c r="F23" i="15"/>
  <c r="F83" i="15"/>
  <c r="L39" i="15"/>
  <c r="L29" i="15"/>
  <c r="F33" i="15"/>
  <c r="D29" i="29" s="1"/>
  <c r="F30" i="15"/>
  <c r="C73" i="15"/>
  <c r="F75" i="15"/>
  <c r="L63" i="15"/>
  <c r="F71" i="15"/>
  <c r="D67" i="29" s="1"/>
  <c r="F48" i="15"/>
  <c r="F70" i="15"/>
  <c r="F93" i="15"/>
  <c r="F84" i="15"/>
  <c r="G60" i="26"/>
  <c r="G29" i="26"/>
  <c r="F32" i="15"/>
  <c r="F67" i="26"/>
  <c r="F88" i="15"/>
  <c r="G70" i="26"/>
  <c r="L69" i="15"/>
  <c r="G50" i="26"/>
  <c r="F27" i="15"/>
  <c r="C96" i="15"/>
  <c r="F90" i="15"/>
  <c r="F35" i="15"/>
  <c r="F74" i="15"/>
  <c r="F69" i="15"/>
  <c r="L46" i="15"/>
  <c r="L70" i="15"/>
  <c r="F80" i="15"/>
  <c r="G21" i="24"/>
  <c r="F70" i="26"/>
  <c r="L45" i="15"/>
  <c r="F34" i="15"/>
  <c r="D30" i="29" s="1"/>
  <c r="F50" i="26"/>
  <c r="E52" i="29"/>
  <c r="F54" i="15"/>
  <c r="D97" i="25"/>
  <c r="E97" i="25" s="1"/>
  <c r="D69" i="25"/>
  <c r="E69" i="25" s="1"/>
  <c r="D52" i="25"/>
  <c r="E52" i="25" s="1"/>
  <c r="D23" i="25"/>
  <c r="E23" i="25" s="1"/>
  <c r="G23" i="25" s="1"/>
  <c r="D65" i="25"/>
  <c r="E65" i="25" s="1"/>
  <c r="D72" i="25"/>
  <c r="E72" i="25" s="1"/>
  <c r="D92" i="25"/>
  <c r="E92" i="25" s="1"/>
  <c r="G92" i="25" s="1"/>
  <c r="D33" i="25"/>
  <c r="E33" i="25" s="1"/>
  <c r="D70" i="25"/>
  <c r="E70" i="25" s="1"/>
  <c r="D87" i="25"/>
  <c r="E87" i="25" s="1"/>
  <c r="D94" i="25"/>
  <c r="E94" i="25" s="1"/>
  <c r="D31" i="25"/>
  <c r="E31" i="25" s="1"/>
  <c r="D41" i="25"/>
  <c r="E41" i="25" s="1"/>
  <c r="D96" i="25"/>
  <c r="E96" i="25" s="1"/>
  <c r="D50" i="25"/>
  <c r="E50" i="25" s="1"/>
  <c r="D66" i="25"/>
  <c r="E66" i="25" s="1"/>
  <c r="D82" i="25"/>
  <c r="E82" i="25" s="1"/>
  <c r="D93" i="25"/>
  <c r="D99" i="25"/>
  <c r="E99" i="25" s="1"/>
  <c r="D24" i="25"/>
  <c r="E24" i="25" s="1"/>
  <c r="D63" i="25"/>
  <c r="E63" i="25" s="1"/>
  <c r="D76" i="25"/>
  <c r="E76" i="25" s="1"/>
  <c r="F76" i="25" s="1"/>
  <c r="D86" i="25"/>
  <c r="E86" i="25" s="1"/>
  <c r="F86" i="25" s="1"/>
  <c r="D26" i="25"/>
  <c r="E26" i="25" s="1"/>
  <c r="D35" i="25"/>
  <c r="E35" i="25" s="1"/>
  <c r="D71" i="25"/>
  <c r="E71" i="25" s="1"/>
  <c r="D83" i="25"/>
  <c r="E83" i="25" s="1"/>
  <c r="D98" i="25"/>
  <c r="E98" i="25" s="1"/>
  <c r="D91" i="25"/>
  <c r="E91" i="25" s="1"/>
  <c r="G91" i="25" s="1"/>
  <c r="D57" i="25"/>
  <c r="E57" i="25" s="1"/>
  <c r="D68" i="25"/>
  <c r="E68" i="25" s="1"/>
  <c r="D85" i="25"/>
  <c r="E85" i="25" s="1"/>
  <c r="D75" i="25"/>
  <c r="E75" i="25" s="1"/>
  <c r="G75" i="25" s="1"/>
  <c r="D25" i="25"/>
  <c r="E25" i="25" s="1"/>
  <c r="D27" i="25"/>
  <c r="E27" i="25" s="1"/>
  <c r="D30" i="25"/>
  <c r="E30" i="25" s="1"/>
  <c r="F30" i="25" s="1"/>
  <c r="D80" i="25"/>
  <c r="E80" i="25" s="1"/>
  <c r="D90" i="25"/>
  <c r="E90" i="25" s="1"/>
  <c r="D44" i="25"/>
  <c r="E44" i="25" s="1"/>
  <c r="G44" i="25" s="1"/>
  <c r="D62" i="25"/>
  <c r="D67" i="25"/>
  <c r="E67" i="25" s="1"/>
  <c r="F67" i="25" s="1"/>
  <c r="D74" i="25"/>
  <c r="E74" i="25" s="1"/>
  <c r="D22" i="25"/>
  <c r="D51" i="25"/>
  <c r="E51" i="25" s="1"/>
  <c r="F51" i="25" s="1"/>
  <c r="D42" i="25"/>
  <c r="E42" i="25" s="1"/>
  <c r="D84" i="25"/>
  <c r="E84" i="25" s="1"/>
  <c r="D39" i="25"/>
  <c r="E39" i="25" s="1"/>
  <c r="D64" i="25"/>
  <c r="E64" i="25" s="1"/>
  <c r="D89" i="25"/>
  <c r="E89" i="25" s="1"/>
  <c r="D38" i="25"/>
  <c r="E38" i="25" s="1"/>
  <c r="D55" i="25"/>
  <c r="E55" i="25" s="1"/>
  <c r="D61" i="25"/>
  <c r="E61" i="25" s="1"/>
  <c r="F61" i="25" s="1"/>
  <c r="D73" i="25"/>
  <c r="E73" i="25" s="1"/>
  <c r="D40" i="25"/>
  <c r="E40" i="25" s="1"/>
  <c r="G40" i="25" s="1"/>
  <c r="D78" i="25"/>
  <c r="E78" i="25" s="1"/>
  <c r="D32" i="25"/>
  <c r="E32" i="25" s="1"/>
  <c r="D56" i="25"/>
  <c r="D88" i="25"/>
  <c r="E88" i="25" s="1"/>
  <c r="D58" i="25"/>
  <c r="E58" i="25" s="1"/>
  <c r="F58" i="25" s="1"/>
  <c r="D79" i="25"/>
  <c r="E79" i="25" s="1"/>
  <c r="G79" i="25" s="1"/>
  <c r="D28" i="25"/>
  <c r="E28" i="25" s="1"/>
  <c r="D49" i="25"/>
  <c r="E49" i="25" s="1"/>
  <c r="D48" i="25"/>
  <c r="E48" i="25" s="1"/>
  <c r="D60" i="25"/>
  <c r="E60" i="25" s="1"/>
  <c r="G60" i="25" s="1"/>
  <c r="D43" i="25"/>
  <c r="E43" i="25" s="1"/>
  <c r="D37" i="25"/>
  <c r="E37" i="25" s="1"/>
  <c r="F37" i="25" s="1"/>
  <c r="D21" i="25"/>
  <c r="D53" i="25"/>
  <c r="E53" i="25" s="1"/>
  <c r="D20" i="25"/>
  <c r="E20" i="25" s="1"/>
  <c r="D54" i="25"/>
  <c r="E54" i="25" s="1"/>
  <c r="D46" i="25"/>
  <c r="E46" i="25" s="1"/>
  <c r="D29" i="25"/>
  <c r="D59" i="25"/>
  <c r="E59" i="25" s="1"/>
  <c r="G59" i="25" s="1"/>
  <c r="D34" i="25"/>
  <c r="D45" i="25"/>
  <c r="E45" i="25" s="1"/>
  <c r="F45" i="25" s="1"/>
  <c r="D77" i="25"/>
  <c r="E77" i="25" s="1"/>
  <c r="D19" i="25"/>
  <c r="E19" i="25" s="1"/>
  <c r="D95" i="25"/>
  <c r="E95" i="25" s="1"/>
  <c r="D36" i="25"/>
  <c r="E36" i="25" s="1"/>
  <c r="D47" i="25"/>
  <c r="E47" i="25" s="1"/>
  <c r="D81" i="25"/>
  <c r="E81" i="25" s="1"/>
  <c r="C56" i="15"/>
  <c r="G75" i="27"/>
  <c r="F75" i="27"/>
  <c r="H74" i="15"/>
  <c r="G63" i="15"/>
  <c r="E59" i="29" s="1"/>
  <c r="C41" i="21"/>
  <c r="E41" i="21" s="1"/>
  <c r="G41" i="21" s="1"/>
  <c r="I73" i="15"/>
  <c r="F44" i="22"/>
  <c r="C66" i="27"/>
  <c r="E66" i="27" s="1"/>
  <c r="G66" i="27" s="1"/>
  <c r="E89" i="15"/>
  <c r="C85" i="29" s="1"/>
  <c r="E18" i="15"/>
  <c r="C14" i="29" s="1"/>
  <c r="E85" i="15"/>
  <c r="C81" i="29" s="1"/>
  <c r="G38" i="15"/>
  <c r="E34" i="29" s="1"/>
  <c r="G71" i="23"/>
  <c r="G18" i="15"/>
  <c r="E14" i="29" s="1"/>
  <c r="G68" i="15"/>
  <c r="F41" i="23"/>
  <c r="C28" i="27"/>
  <c r="E28" i="27" s="1"/>
  <c r="I72" i="15"/>
  <c r="C90" i="22"/>
  <c r="E90" i="22" s="1"/>
  <c r="F90" i="22" s="1"/>
  <c r="G48" i="15"/>
  <c r="E44" i="29" s="1"/>
  <c r="I60" i="15"/>
  <c r="F70" i="22"/>
  <c r="G70" i="22"/>
  <c r="G79" i="27"/>
  <c r="F79" i="27"/>
  <c r="N29" i="6"/>
  <c r="N68" i="6"/>
  <c r="G57" i="23"/>
  <c r="C41" i="22"/>
  <c r="E41" i="22" s="1"/>
  <c r="G41" i="22" s="1"/>
  <c r="I76" i="15"/>
  <c r="I89" i="15"/>
  <c r="C52" i="27"/>
  <c r="E52" i="27" s="1"/>
  <c r="G52" i="27" s="1"/>
  <c r="H39" i="15"/>
  <c r="C30" i="27"/>
  <c r="E30" i="27" s="1"/>
  <c r="G30" i="27" s="1"/>
  <c r="C63" i="22"/>
  <c r="E63" i="22" s="1"/>
  <c r="N50" i="6"/>
  <c r="I37" i="15"/>
  <c r="H43" i="15"/>
  <c r="F25" i="27"/>
  <c r="G25" i="27"/>
  <c r="F98" i="27"/>
  <c r="G98" i="27"/>
  <c r="G28" i="21"/>
  <c r="I83" i="15"/>
  <c r="C25" i="20"/>
  <c r="E25" i="20" s="1"/>
  <c r="F25" i="20" s="1"/>
  <c r="F22" i="15"/>
  <c r="H40" i="15"/>
  <c r="H25" i="15"/>
  <c r="H83" i="15"/>
  <c r="G43" i="15"/>
  <c r="E39" i="29" s="1"/>
  <c r="F57" i="27"/>
  <c r="G57" i="27"/>
  <c r="G74" i="27"/>
  <c r="F74" i="27"/>
  <c r="F44" i="18"/>
  <c r="G79" i="15"/>
  <c r="E75" i="29" s="1"/>
  <c r="N72" i="6"/>
  <c r="F52" i="15"/>
  <c r="H65" i="15"/>
  <c r="G39" i="15"/>
  <c r="E35" i="29" s="1"/>
  <c r="G49" i="15"/>
  <c r="E45" i="29" s="1"/>
  <c r="I29" i="15"/>
  <c r="B29" i="25"/>
  <c r="C55" i="22"/>
  <c r="E55" i="22" s="1"/>
  <c r="G55" i="22" s="1"/>
  <c r="I54" i="15"/>
  <c r="F38" i="15"/>
  <c r="F65" i="15"/>
  <c r="C87" i="15"/>
  <c r="I51" i="15"/>
  <c r="N86" i="6"/>
  <c r="N69" i="6"/>
  <c r="I94" i="15"/>
  <c r="F65" i="23"/>
  <c r="F79" i="22"/>
  <c r="F48" i="22"/>
  <c r="E72" i="15"/>
  <c r="C68" i="29" s="1"/>
  <c r="I75" i="15"/>
  <c r="I44" i="15"/>
  <c r="C52" i="22"/>
  <c r="E52" i="22" s="1"/>
  <c r="G52" i="22" s="1"/>
  <c r="H72" i="15"/>
  <c r="C97" i="21"/>
  <c r="E97" i="21" s="1"/>
  <c r="G97" i="21" s="1"/>
  <c r="E94" i="15"/>
  <c r="C90" i="29" s="1"/>
  <c r="E86" i="15"/>
  <c r="C82" i="29" s="1"/>
  <c r="F28" i="23"/>
  <c r="G67" i="22"/>
  <c r="H86" i="15"/>
  <c r="G32" i="22"/>
  <c r="F66" i="15"/>
  <c r="D62" i="29" s="1"/>
  <c r="F51" i="15"/>
  <c r="G72" i="15"/>
  <c r="E68" i="29" s="1"/>
  <c r="G25" i="15"/>
  <c r="E21" i="29" s="1"/>
  <c r="G62" i="15"/>
  <c r="E58" i="29" s="1"/>
  <c r="B21" i="25"/>
  <c r="C18" i="15"/>
  <c r="G78" i="15"/>
  <c r="E74" i="29" s="1"/>
  <c r="G46" i="15"/>
  <c r="E42" i="29" s="1"/>
  <c r="G35" i="27"/>
  <c r="G78" i="22"/>
  <c r="E72" i="23"/>
  <c r="G72" i="23" s="1"/>
  <c r="G75" i="15"/>
  <c r="E71" i="29" s="1"/>
  <c r="G82" i="27"/>
  <c r="G84" i="22"/>
  <c r="H18" i="15"/>
  <c r="C79" i="15"/>
  <c r="H79" i="15"/>
  <c r="C40" i="15"/>
  <c r="I32" i="15"/>
  <c r="N22" i="6"/>
  <c r="N67" i="6"/>
  <c r="H95" i="15"/>
  <c r="C98" i="22"/>
  <c r="E98" i="22" s="1"/>
  <c r="C38" i="27"/>
  <c r="E38" i="27" s="1"/>
  <c r="I35" i="15"/>
  <c r="C26" i="22"/>
  <c r="E26" i="22" s="1"/>
  <c r="G26" i="22" s="1"/>
  <c r="H23" i="15"/>
  <c r="C73" i="27"/>
  <c r="E73" i="27" s="1"/>
  <c r="F73" i="27" s="1"/>
  <c r="I70" i="15"/>
  <c r="C97" i="20"/>
  <c r="E97" i="20" s="1"/>
  <c r="F94" i="15"/>
  <c r="C76" i="21"/>
  <c r="E76" i="21" s="1"/>
  <c r="G76" i="21" s="1"/>
  <c r="E73" i="15"/>
  <c r="C69" i="29" s="1"/>
  <c r="B62" i="25"/>
  <c r="C59" i="15"/>
  <c r="C60" i="20"/>
  <c r="E60" i="20" s="1"/>
  <c r="F57" i="15"/>
  <c r="C73" i="22"/>
  <c r="E73" i="22" s="1"/>
  <c r="H70" i="15"/>
  <c r="I31" i="15"/>
  <c r="C34" i="27"/>
  <c r="E34" i="27" s="1"/>
  <c r="G34" i="27" s="1"/>
  <c r="C34" i="22"/>
  <c r="E34" i="22" s="1"/>
  <c r="H31" i="15"/>
  <c r="B34" i="25"/>
  <c r="C31" i="15"/>
  <c r="C25" i="21"/>
  <c r="E25" i="21" s="1"/>
  <c r="E22" i="15"/>
  <c r="C18" i="29" s="1"/>
  <c r="N55" i="6"/>
  <c r="C66" i="18"/>
  <c r="E66" i="18" s="1"/>
  <c r="D63" i="15"/>
  <c r="F36" i="21"/>
  <c r="N58" i="6"/>
  <c r="N36" i="6"/>
  <c r="N79" i="6"/>
  <c r="N28" i="6"/>
  <c r="N24" i="6"/>
  <c r="N62" i="6"/>
  <c r="N31" i="6"/>
  <c r="N75" i="6"/>
  <c r="N49" i="6"/>
  <c r="N54" i="6"/>
  <c r="F22" i="23"/>
  <c r="G22" i="23"/>
  <c r="F93" i="23"/>
  <c r="G93" i="23"/>
  <c r="C36" i="18"/>
  <c r="E36" i="18" s="1"/>
  <c r="D33" i="15"/>
  <c r="G86" i="21"/>
  <c r="G19" i="27"/>
  <c r="I19" i="27" s="1"/>
  <c r="J19" i="27" s="1"/>
  <c r="H15" i="17" s="1"/>
  <c r="F19" i="27"/>
  <c r="H19" i="27" s="1"/>
  <c r="F93" i="24"/>
  <c r="G93" i="24"/>
  <c r="G34" i="20"/>
  <c r="F34" i="20"/>
  <c r="G97" i="27"/>
  <c r="F97" i="27"/>
  <c r="F72" i="27"/>
  <c r="G72" i="27"/>
  <c r="F95" i="24"/>
  <c r="G95" i="24"/>
  <c r="G74" i="22"/>
  <c r="F74" i="22"/>
  <c r="F90" i="23"/>
  <c r="G90" i="23"/>
  <c r="C75" i="18"/>
  <c r="E75" i="18" s="1"/>
  <c r="D72" i="15"/>
  <c r="F87" i="22"/>
  <c r="G87" i="22"/>
  <c r="G46" i="22"/>
  <c r="F46" i="22"/>
  <c r="I74" i="15"/>
  <c r="E77" i="27"/>
  <c r="F71" i="27"/>
  <c r="G71" i="27"/>
  <c r="F44" i="20"/>
  <c r="G44" i="20"/>
  <c r="F49" i="23"/>
  <c r="G49" i="23"/>
  <c r="G94" i="23"/>
  <c r="F94" i="23"/>
  <c r="G66" i="22"/>
  <c r="F66" i="22"/>
  <c r="G93" i="20"/>
  <c r="F93" i="20"/>
  <c r="G78" i="20"/>
  <c r="F78" i="20"/>
  <c r="F58" i="26"/>
  <c r="G58" i="26"/>
  <c r="F49" i="27"/>
  <c r="G49" i="27"/>
  <c r="G66" i="24"/>
  <c r="F66" i="24"/>
  <c r="AD31" i="5"/>
  <c r="AB31" i="5"/>
  <c r="Y31" i="5"/>
  <c r="W31" i="5"/>
  <c r="X31" i="5"/>
  <c r="Z31" i="5"/>
  <c r="AA31" i="5"/>
  <c r="F76" i="22"/>
  <c r="G76" i="22"/>
  <c r="N66" i="6"/>
  <c r="J74" i="15"/>
  <c r="E77" i="26"/>
  <c r="N42" i="6"/>
  <c r="N33" i="6"/>
  <c r="C50" i="18"/>
  <c r="E50" i="18" s="1"/>
  <c r="D47" i="15"/>
  <c r="N47" i="15" s="1"/>
  <c r="G65" i="22"/>
  <c r="F65" i="22"/>
  <c r="F25" i="26"/>
  <c r="G25" i="26"/>
  <c r="F91" i="27"/>
  <c r="G91" i="27"/>
  <c r="F79" i="24"/>
  <c r="G79" i="24"/>
  <c r="J65" i="15"/>
  <c r="E68" i="26"/>
  <c r="F69" i="24"/>
  <c r="G69" i="24"/>
  <c r="F99" i="24"/>
  <c r="G99" i="24"/>
  <c r="C41" i="18"/>
  <c r="E41" i="18" s="1"/>
  <c r="D38" i="15"/>
  <c r="C32" i="18"/>
  <c r="E32" i="18" s="1"/>
  <c r="D29" i="15"/>
  <c r="C42" i="18"/>
  <c r="E42" i="18" s="1"/>
  <c r="D39" i="15"/>
  <c r="G41" i="20"/>
  <c r="F41" i="20"/>
  <c r="G69" i="26"/>
  <c r="F69" i="26"/>
  <c r="G35" i="26"/>
  <c r="F35" i="26"/>
  <c r="C16" i="15"/>
  <c r="F47" i="24"/>
  <c r="G47" i="24"/>
  <c r="J90" i="15"/>
  <c r="E93" i="26"/>
  <c r="C20" i="18"/>
  <c r="E20" i="18" s="1"/>
  <c r="D17" i="15"/>
  <c r="F42" i="20"/>
  <c r="G42" i="20"/>
  <c r="F26" i="23"/>
  <c r="G26" i="23"/>
  <c r="F58" i="23"/>
  <c r="G58" i="23"/>
  <c r="N48" i="6"/>
  <c r="C68" i="18"/>
  <c r="E68" i="18" s="1"/>
  <c r="D65" i="15"/>
  <c r="F50" i="22"/>
  <c r="G50" i="22"/>
  <c r="G88" i="20"/>
  <c r="F88" i="20"/>
  <c r="F79" i="20"/>
  <c r="G79" i="20"/>
  <c r="G36" i="27"/>
  <c r="F36" i="27"/>
  <c r="F23" i="24"/>
  <c r="G23" i="24"/>
  <c r="N65" i="6"/>
  <c r="E87" i="23"/>
  <c r="N40" i="6"/>
  <c r="C54" i="18"/>
  <c r="E54" i="18" s="1"/>
  <c r="D51" i="15"/>
  <c r="F52" i="23"/>
  <c r="G52" i="23"/>
  <c r="F84" i="20"/>
  <c r="G84" i="20"/>
  <c r="F61" i="20"/>
  <c r="G61" i="20"/>
  <c r="F46" i="20"/>
  <c r="G46" i="20"/>
  <c r="G76" i="27"/>
  <c r="F76" i="27"/>
  <c r="F21" i="27"/>
  <c r="G21" i="27"/>
  <c r="G62" i="26"/>
  <c r="F62" i="26"/>
  <c r="C84" i="15"/>
  <c r="F62" i="23"/>
  <c r="G62" i="23"/>
  <c r="C37" i="18"/>
  <c r="E37" i="18" s="1"/>
  <c r="D34" i="15"/>
  <c r="C84" i="18"/>
  <c r="E84" i="18" s="1"/>
  <c r="D81" i="15"/>
  <c r="N81" i="15" s="1"/>
  <c r="E68" i="21"/>
  <c r="F30" i="21"/>
  <c r="G30" i="21"/>
  <c r="F47" i="27"/>
  <c r="G47" i="27"/>
  <c r="F37" i="20"/>
  <c r="G37" i="20"/>
  <c r="E22" i="20"/>
  <c r="G92" i="27"/>
  <c r="F92" i="27"/>
  <c r="E24" i="27"/>
  <c r="G43" i="27"/>
  <c r="F43" i="27"/>
  <c r="F59" i="24"/>
  <c r="G59" i="24"/>
  <c r="C85" i="15"/>
  <c r="F60" i="24"/>
  <c r="G60" i="24"/>
  <c r="G21" i="23"/>
  <c r="F21" i="23"/>
  <c r="G38" i="24"/>
  <c r="G77" i="15"/>
  <c r="E73" i="29" s="1"/>
  <c r="G69" i="15"/>
  <c r="E65" i="29" s="1"/>
  <c r="G86" i="15"/>
  <c r="E82" i="29" s="1"/>
  <c r="E40" i="29"/>
  <c r="N85" i="6"/>
  <c r="E68" i="20"/>
  <c r="F43" i="26"/>
  <c r="G43" i="26"/>
  <c r="F35" i="22"/>
  <c r="G35" i="22"/>
  <c r="F51" i="20"/>
  <c r="G51" i="20"/>
  <c r="G79" i="26"/>
  <c r="F79" i="26"/>
  <c r="G92" i="21"/>
  <c r="F92" i="21"/>
  <c r="G77" i="21"/>
  <c r="F77" i="21"/>
  <c r="F94" i="26"/>
  <c r="G94" i="26"/>
  <c r="G97" i="24"/>
  <c r="F97" i="24"/>
  <c r="G61" i="23"/>
  <c r="F61" i="23"/>
  <c r="F83" i="23"/>
  <c r="G83" i="23"/>
  <c r="G94" i="24"/>
  <c r="F94" i="24"/>
  <c r="F27" i="21"/>
  <c r="G27" i="21"/>
  <c r="G53" i="27"/>
  <c r="F53" i="27"/>
  <c r="G99" i="20"/>
  <c r="F99" i="20"/>
  <c r="F20" i="26"/>
  <c r="G20" i="26"/>
  <c r="I78" i="15"/>
  <c r="E81" i="27"/>
  <c r="G58" i="24"/>
  <c r="F58" i="24"/>
  <c r="G30" i="22"/>
  <c r="F30" i="22"/>
  <c r="F51" i="22"/>
  <c r="G51" i="22"/>
  <c r="C31" i="18"/>
  <c r="E31" i="18" s="1"/>
  <c r="D28" i="15"/>
  <c r="N64" i="6"/>
  <c r="K44" i="7"/>
  <c r="N45" i="6"/>
  <c r="E95" i="21"/>
  <c r="F48" i="21"/>
  <c r="G48" i="21"/>
  <c r="F39" i="22"/>
  <c r="G39" i="22"/>
  <c r="F73" i="26"/>
  <c r="G73" i="26"/>
  <c r="E22" i="26"/>
  <c r="G68" i="23"/>
  <c r="F68" i="23"/>
  <c r="C82" i="15"/>
  <c r="N56" i="6"/>
  <c r="C82" i="18"/>
  <c r="E82" i="18" s="1"/>
  <c r="D79" i="15"/>
  <c r="F32" i="23"/>
  <c r="G32" i="23"/>
  <c r="F58" i="27"/>
  <c r="G58" i="27"/>
  <c r="E81" i="22"/>
  <c r="G89" i="26"/>
  <c r="F89" i="26"/>
  <c r="G27" i="26"/>
  <c r="F27" i="26"/>
  <c r="F83" i="24"/>
  <c r="G83" i="24"/>
  <c r="G57" i="21"/>
  <c r="F57" i="21"/>
  <c r="C69" i="18"/>
  <c r="E69" i="18" s="1"/>
  <c r="D66" i="15"/>
  <c r="C43" i="18"/>
  <c r="E43" i="18" s="1"/>
  <c r="D40" i="15"/>
  <c r="F35" i="23"/>
  <c r="G35" i="23"/>
  <c r="E81" i="23"/>
  <c r="E24" i="20"/>
  <c r="G98" i="26"/>
  <c r="F98" i="26"/>
  <c r="F66" i="26"/>
  <c r="G66" i="26"/>
  <c r="F95" i="22"/>
  <c r="G95" i="22"/>
  <c r="H17" i="15"/>
  <c r="E20" i="22"/>
  <c r="G75" i="24"/>
  <c r="F75" i="24"/>
  <c r="N20" i="6"/>
  <c r="F36" i="23"/>
  <c r="G36" i="23"/>
  <c r="C61" i="18"/>
  <c r="E61" i="18" s="1"/>
  <c r="D58" i="15"/>
  <c r="C35" i="18"/>
  <c r="E35" i="18" s="1"/>
  <c r="D32" i="15"/>
  <c r="G54" i="21"/>
  <c r="G37" i="22"/>
  <c r="F37" i="22"/>
  <c r="E80" i="20"/>
  <c r="G64" i="22"/>
  <c r="F64" i="22"/>
  <c r="G38" i="26"/>
  <c r="F38" i="26"/>
  <c r="G71" i="24"/>
  <c r="F71" i="24"/>
  <c r="C39" i="18"/>
  <c r="E39" i="18" s="1"/>
  <c r="D36" i="15"/>
  <c r="G46" i="21"/>
  <c r="F46" i="21"/>
  <c r="N38" i="6"/>
  <c r="C83" i="18"/>
  <c r="E83" i="18" s="1"/>
  <c r="D80" i="15"/>
  <c r="C65" i="18"/>
  <c r="E65" i="18" s="1"/>
  <c r="D62" i="15"/>
  <c r="C56" i="18"/>
  <c r="E56" i="18" s="1"/>
  <c r="D53" i="15"/>
  <c r="C86" i="18"/>
  <c r="E86" i="18" s="1"/>
  <c r="D83" i="15"/>
  <c r="G60" i="21"/>
  <c r="F60" i="21"/>
  <c r="F64" i="21"/>
  <c r="E77" i="23"/>
  <c r="G44" i="27"/>
  <c r="F44" i="27"/>
  <c r="F56" i="20"/>
  <c r="G56" i="20"/>
  <c r="F47" i="20"/>
  <c r="E93" i="27"/>
  <c r="F47" i="26"/>
  <c r="G47" i="26"/>
  <c r="G78" i="24"/>
  <c r="F78" i="24"/>
  <c r="G36" i="24"/>
  <c r="F36" i="24"/>
  <c r="G98" i="23"/>
  <c r="F98" i="23"/>
  <c r="E72" i="29"/>
  <c r="E36" i="29"/>
  <c r="G19" i="15"/>
  <c r="E15" i="29" s="1"/>
  <c r="F73" i="24"/>
  <c r="F95" i="23"/>
  <c r="G95" i="23"/>
  <c r="C74" i="18"/>
  <c r="E74" i="18" s="1"/>
  <c r="D71" i="15"/>
  <c r="G21" i="22"/>
  <c r="F21" i="22"/>
  <c r="G53" i="23"/>
  <c r="F53" i="23"/>
  <c r="F26" i="26"/>
  <c r="G26" i="26"/>
  <c r="G27" i="23"/>
  <c r="F27" i="23"/>
  <c r="G50" i="27"/>
  <c r="F50" i="27"/>
  <c r="G37" i="27"/>
  <c r="F37" i="27"/>
  <c r="F72" i="21"/>
  <c r="G72" i="21"/>
  <c r="G44" i="21"/>
  <c r="F44" i="21"/>
  <c r="G33" i="21"/>
  <c r="F33" i="21"/>
  <c r="F29" i="20"/>
  <c r="G29" i="20"/>
  <c r="G51" i="27"/>
  <c r="F51" i="27"/>
  <c r="F31" i="22"/>
  <c r="G31" i="22"/>
  <c r="C29" i="18"/>
  <c r="E29" i="18" s="1"/>
  <c r="D26" i="15"/>
  <c r="C70" i="18"/>
  <c r="E70" i="18" s="1"/>
  <c r="D67" i="15"/>
  <c r="N67" i="15" s="1"/>
  <c r="F62" i="22"/>
  <c r="G62" i="22"/>
  <c r="G37" i="21"/>
  <c r="F37" i="21"/>
  <c r="F22" i="21"/>
  <c r="G22" i="21"/>
  <c r="F99" i="27"/>
  <c r="G99" i="27"/>
  <c r="F48" i="27"/>
  <c r="G48" i="27"/>
  <c r="G68" i="24"/>
  <c r="F68" i="24"/>
  <c r="G98" i="24"/>
  <c r="F98" i="24"/>
  <c r="G19" i="23"/>
  <c r="I19" i="23" s="1"/>
  <c r="J19" i="23" s="1"/>
  <c r="F19" i="23"/>
  <c r="H19" i="23" s="1"/>
  <c r="F94" i="22"/>
  <c r="G94" i="22"/>
  <c r="G92" i="22"/>
  <c r="F92" i="22"/>
  <c r="C71" i="18"/>
  <c r="E71" i="18" s="1"/>
  <c r="D68" i="15"/>
  <c r="F60" i="27"/>
  <c r="G60" i="27"/>
  <c r="F85" i="20"/>
  <c r="G85" i="20"/>
  <c r="G70" i="20"/>
  <c r="F70" i="20"/>
  <c r="G73" i="20"/>
  <c r="F73" i="20"/>
  <c r="F34" i="26"/>
  <c r="G34" i="26"/>
  <c r="F74" i="26"/>
  <c r="G74" i="26"/>
  <c r="F63" i="21"/>
  <c r="G63" i="21"/>
  <c r="G24" i="23"/>
  <c r="F24" i="23"/>
  <c r="N70" i="6"/>
  <c r="N44" i="6"/>
  <c r="G40" i="23"/>
  <c r="F40" i="23"/>
  <c r="F51" i="21"/>
  <c r="G51" i="21"/>
  <c r="F63" i="27"/>
  <c r="G63" i="27"/>
  <c r="F96" i="20"/>
  <c r="G96" i="20"/>
  <c r="F62" i="27"/>
  <c r="G62" i="27"/>
  <c r="E81" i="26"/>
  <c r="G96" i="22"/>
  <c r="F96" i="22"/>
  <c r="I77" i="15"/>
  <c r="E80" i="27"/>
  <c r="F61" i="24"/>
  <c r="G61" i="24"/>
  <c r="G94" i="20"/>
  <c r="F94" i="20"/>
  <c r="N90" i="6"/>
  <c r="N81" i="6"/>
  <c r="N27" i="6"/>
  <c r="F86" i="22"/>
  <c r="G86" i="22"/>
  <c r="E96" i="21"/>
  <c r="G38" i="23"/>
  <c r="F38" i="23"/>
  <c r="F51" i="26"/>
  <c r="G51" i="26"/>
  <c r="G91" i="26"/>
  <c r="F91" i="26"/>
  <c r="G58" i="25"/>
  <c r="F40" i="24"/>
  <c r="G40" i="24"/>
  <c r="C27" i="18"/>
  <c r="E27" i="18" s="1"/>
  <c r="D24" i="15"/>
  <c r="C89" i="18"/>
  <c r="E89" i="18" s="1"/>
  <c r="D86" i="15"/>
  <c r="N73" i="6"/>
  <c r="N71" i="6"/>
  <c r="G42" i="27"/>
  <c r="F42" i="27"/>
  <c r="F69" i="21"/>
  <c r="G69" i="21"/>
  <c r="F52" i="22"/>
  <c r="G38" i="22"/>
  <c r="F38" i="22"/>
  <c r="E96" i="26"/>
  <c r="G32" i="27"/>
  <c r="F32" i="27"/>
  <c r="F31" i="24"/>
  <c r="G31" i="24"/>
  <c r="N91" i="6"/>
  <c r="C45" i="18"/>
  <c r="E45" i="18" s="1"/>
  <c r="D42" i="15"/>
  <c r="C69" i="15"/>
  <c r="N76" i="6"/>
  <c r="N80" i="6"/>
  <c r="N15" i="6"/>
  <c r="G52" i="21"/>
  <c r="F52" i="21"/>
  <c r="F45" i="22"/>
  <c r="G45" i="22"/>
  <c r="G82" i="22"/>
  <c r="F82" i="22"/>
  <c r="E72" i="26"/>
  <c r="E77" i="22"/>
  <c r="F32" i="24"/>
  <c r="G32" i="24"/>
  <c r="F70" i="24"/>
  <c r="G70" i="24"/>
  <c r="F76" i="24"/>
  <c r="G76" i="24"/>
  <c r="F73" i="23"/>
  <c r="G73" i="23"/>
  <c r="E91" i="29"/>
  <c r="E38" i="29"/>
  <c r="E23" i="29"/>
  <c r="G73" i="24"/>
  <c r="C76" i="18"/>
  <c r="E76" i="18" s="1"/>
  <c r="D73" i="15"/>
  <c r="C40" i="18"/>
  <c r="E40" i="18" s="1"/>
  <c r="D37" i="15"/>
  <c r="F51" i="24"/>
  <c r="G51" i="24"/>
  <c r="F52" i="26"/>
  <c r="G52" i="26"/>
  <c r="G27" i="24"/>
  <c r="F27" i="24"/>
  <c r="G28" i="24"/>
  <c r="F28" i="24"/>
  <c r="C92" i="18"/>
  <c r="E92" i="18" s="1"/>
  <c r="D89" i="15"/>
  <c r="N89" i="15" s="1"/>
  <c r="G39" i="20"/>
  <c r="F39" i="20"/>
  <c r="F76" i="20"/>
  <c r="G76" i="20"/>
  <c r="F31" i="21"/>
  <c r="G31" i="21"/>
  <c r="G40" i="22"/>
  <c r="F40" i="22"/>
  <c r="G92" i="26"/>
  <c r="F92" i="26"/>
  <c r="F59" i="27"/>
  <c r="G59" i="27"/>
  <c r="G72" i="24"/>
  <c r="F72" i="24"/>
  <c r="F30" i="26"/>
  <c r="G30" i="26"/>
  <c r="A21" i="25"/>
  <c r="B21" i="23"/>
  <c r="B21" i="22"/>
  <c r="B21" i="27"/>
  <c r="B21" i="20"/>
  <c r="B21" i="24"/>
  <c r="B14" i="7"/>
  <c r="B21" i="18"/>
  <c r="B21" i="26"/>
  <c r="B21" i="21"/>
  <c r="C77" i="18"/>
  <c r="E77" i="18" s="1"/>
  <c r="D74" i="15"/>
  <c r="C51" i="18"/>
  <c r="E51" i="18" s="1"/>
  <c r="D48" i="15"/>
  <c r="G25" i="22"/>
  <c r="F25" i="22"/>
  <c r="G33" i="22"/>
  <c r="F33" i="22"/>
  <c r="G32" i="26"/>
  <c r="F32" i="26"/>
  <c r="G83" i="27"/>
  <c r="F83" i="27"/>
  <c r="G65" i="27"/>
  <c r="F65" i="27"/>
  <c r="F33" i="24"/>
  <c r="G33" i="24"/>
  <c r="I86" i="15"/>
  <c r="E89" i="27"/>
  <c r="F80" i="21"/>
  <c r="G80" i="21"/>
  <c r="C97" i="18"/>
  <c r="E97" i="18" s="1"/>
  <c r="D94" i="15"/>
  <c r="C88" i="18"/>
  <c r="E88" i="18" s="1"/>
  <c r="D85" i="15"/>
  <c r="C34" i="18"/>
  <c r="E34" i="18" s="1"/>
  <c r="D31" i="15"/>
  <c r="G65" i="20"/>
  <c r="F65" i="20"/>
  <c r="G58" i="20"/>
  <c r="F58" i="20"/>
  <c r="E24" i="22"/>
  <c r="G99" i="26"/>
  <c r="F99" i="26"/>
  <c r="G29" i="27"/>
  <c r="F29" i="27"/>
  <c r="G78" i="26"/>
  <c r="F78" i="26"/>
  <c r="N53" i="6"/>
  <c r="N82" i="6"/>
  <c r="C80" i="18"/>
  <c r="E80" i="18" s="1"/>
  <c r="D77" i="15"/>
  <c r="C78" i="18"/>
  <c r="E78" i="18" s="1"/>
  <c r="D75" i="15"/>
  <c r="F48" i="23"/>
  <c r="G48" i="23"/>
  <c r="G74" i="23"/>
  <c r="F74" i="23"/>
  <c r="F52" i="20"/>
  <c r="G52" i="20"/>
  <c r="F91" i="20"/>
  <c r="G91" i="20"/>
  <c r="F86" i="23"/>
  <c r="G86" i="23"/>
  <c r="F97" i="26"/>
  <c r="G97" i="26"/>
  <c r="C53" i="15"/>
  <c r="E56" i="25"/>
  <c r="G37" i="24"/>
  <c r="F37" i="24"/>
  <c r="F43" i="23"/>
  <c r="G43" i="23"/>
  <c r="C98" i="18"/>
  <c r="E98" i="18" s="1"/>
  <c r="D95" i="15"/>
  <c r="I19" i="24"/>
  <c r="J19" i="24" s="1"/>
  <c r="K15" i="17" s="1"/>
  <c r="C87" i="18"/>
  <c r="E87" i="18" s="1"/>
  <c r="D84" i="15"/>
  <c r="C22" i="18"/>
  <c r="E22" i="18" s="1"/>
  <c r="D19" i="15"/>
  <c r="F26" i="21"/>
  <c r="G26" i="21"/>
  <c r="F75" i="21"/>
  <c r="F90" i="20"/>
  <c r="G90" i="20"/>
  <c r="G67" i="20"/>
  <c r="F67" i="20"/>
  <c r="G36" i="20"/>
  <c r="F36" i="20"/>
  <c r="F83" i="26"/>
  <c r="G83" i="26"/>
  <c r="F64" i="24"/>
  <c r="G64" i="24"/>
  <c r="G45" i="24"/>
  <c r="F45" i="24"/>
  <c r="F42" i="23"/>
  <c r="G42" i="23"/>
  <c r="N92" i="6"/>
  <c r="E85" i="29"/>
  <c r="E28" i="29"/>
  <c r="N88" i="6"/>
  <c r="G34" i="24"/>
  <c r="C58" i="21"/>
  <c r="E58" i="21" s="1"/>
  <c r="E55" i="15"/>
  <c r="G96" i="23"/>
  <c r="F96" i="23"/>
  <c r="C63" i="18"/>
  <c r="E63" i="18" s="1"/>
  <c r="D60" i="15"/>
  <c r="F92" i="20"/>
  <c r="G92" i="20"/>
  <c r="F86" i="15"/>
  <c r="E89" i="20"/>
  <c r="D69" i="15"/>
  <c r="C72" i="18"/>
  <c r="E72" i="18" s="1"/>
  <c r="F37" i="23"/>
  <c r="G37" i="23"/>
  <c r="F84" i="27"/>
  <c r="G84" i="27"/>
  <c r="F97" i="23"/>
  <c r="G97" i="23"/>
  <c r="F84" i="24"/>
  <c r="G84" i="24"/>
  <c r="G83" i="22"/>
  <c r="F83" i="22"/>
  <c r="C62" i="18"/>
  <c r="E62" i="18" s="1"/>
  <c r="D59" i="15"/>
  <c r="C57" i="18"/>
  <c r="E57" i="18" s="1"/>
  <c r="D54" i="15"/>
  <c r="C48" i="18"/>
  <c r="E48" i="18" s="1"/>
  <c r="D45" i="15"/>
  <c r="F92" i="23"/>
  <c r="G92" i="23"/>
  <c r="E22" i="27"/>
  <c r="F19" i="26"/>
  <c r="H19" i="26" s="1"/>
  <c r="G87" i="27"/>
  <c r="F87" i="27"/>
  <c r="G54" i="26"/>
  <c r="F54" i="26"/>
  <c r="F77" i="24"/>
  <c r="G77" i="24"/>
  <c r="F81" i="24"/>
  <c r="G81" i="24"/>
  <c r="G61" i="22"/>
  <c r="F61" i="22"/>
  <c r="G69" i="22"/>
  <c r="F69" i="22"/>
  <c r="G91" i="21"/>
  <c r="F91" i="21"/>
  <c r="C38" i="18"/>
  <c r="E38" i="18" s="1"/>
  <c r="D35" i="15"/>
  <c r="F45" i="20"/>
  <c r="G45" i="20"/>
  <c r="C85" i="18"/>
  <c r="E85" i="18" s="1"/>
  <c r="D82" i="15"/>
  <c r="N60" i="6"/>
  <c r="G57" i="20"/>
  <c r="F57" i="20"/>
  <c r="F53" i="22"/>
  <c r="G53" i="22"/>
  <c r="F21" i="20"/>
  <c r="G21" i="20"/>
  <c r="F95" i="20"/>
  <c r="G95" i="20"/>
  <c r="G54" i="27"/>
  <c r="F54" i="27"/>
  <c r="G57" i="26"/>
  <c r="F57" i="26"/>
  <c r="G46" i="26"/>
  <c r="F46" i="26"/>
  <c r="F24" i="24"/>
  <c r="G24" i="24"/>
  <c r="F84" i="26"/>
  <c r="G84" i="26"/>
  <c r="F72" i="20"/>
  <c r="G72" i="20"/>
  <c r="G44" i="23"/>
  <c r="F44" i="23"/>
  <c r="N89" i="6"/>
  <c r="N52" i="6"/>
  <c r="G28" i="27"/>
  <c r="F28" i="27"/>
  <c r="E85" i="21"/>
  <c r="F96" i="27"/>
  <c r="G96" i="27"/>
  <c r="F32" i="20"/>
  <c r="G32" i="20"/>
  <c r="F31" i="27"/>
  <c r="G31" i="27"/>
  <c r="F52" i="25"/>
  <c r="J77" i="15"/>
  <c r="E80" i="26"/>
  <c r="N46" i="6"/>
  <c r="E19" i="21"/>
  <c r="N26" i="6"/>
  <c r="N17" i="6"/>
  <c r="F49" i="20"/>
  <c r="G49" i="20"/>
  <c r="G79" i="21"/>
  <c r="F79" i="21"/>
  <c r="F32" i="21"/>
  <c r="G32" i="21"/>
  <c r="F20" i="23"/>
  <c r="G20" i="23"/>
  <c r="E93" i="22"/>
  <c r="E85" i="26"/>
  <c r="F31" i="26"/>
  <c r="G31" i="26"/>
  <c r="F52" i="18"/>
  <c r="G52" i="18"/>
  <c r="G63" i="20"/>
  <c r="F63" i="20"/>
  <c r="C60" i="18"/>
  <c r="E60" i="18" s="1"/>
  <c r="D57" i="15"/>
  <c r="G98" i="20"/>
  <c r="F98" i="20"/>
  <c r="N18" i="6"/>
  <c r="N84" i="6"/>
  <c r="N19" i="6"/>
  <c r="E85" i="27"/>
  <c r="E88" i="21"/>
  <c r="G51" i="23"/>
  <c r="F51" i="23"/>
  <c r="G59" i="22"/>
  <c r="F59" i="22"/>
  <c r="F44" i="26"/>
  <c r="G44" i="26"/>
  <c r="E95" i="26"/>
  <c r="F82" i="24"/>
  <c r="G82" i="24"/>
  <c r="G64" i="20"/>
  <c r="F64" i="20"/>
  <c r="N16" i="6"/>
  <c r="N23" i="6"/>
  <c r="G84" i="23"/>
  <c r="F84" i="23"/>
  <c r="N59" i="6"/>
  <c r="N87" i="6"/>
  <c r="G60" i="22"/>
  <c r="F60" i="22"/>
  <c r="F79" i="23"/>
  <c r="G79" i="23"/>
  <c r="F21" i="26"/>
  <c r="G21" i="26"/>
  <c r="F78" i="27"/>
  <c r="G78" i="27"/>
  <c r="J85" i="15"/>
  <c r="E88" i="26"/>
  <c r="F29" i="24"/>
  <c r="G29" i="24"/>
  <c r="G45" i="23"/>
  <c r="F45" i="23"/>
  <c r="C99" i="18"/>
  <c r="E99" i="18" s="1"/>
  <c r="D96" i="15"/>
  <c r="E20" i="27"/>
  <c r="E37" i="29"/>
  <c r="N41" i="15"/>
  <c r="E64" i="29"/>
  <c r="E33" i="29"/>
  <c r="E56" i="29"/>
  <c r="C95" i="18"/>
  <c r="E95" i="18" s="1"/>
  <c r="D92" i="15"/>
  <c r="F34" i="24"/>
  <c r="G54" i="23"/>
  <c r="F54" i="23"/>
  <c r="F22" i="22"/>
  <c r="G22" i="22"/>
  <c r="C73" i="18"/>
  <c r="E73" i="18" s="1"/>
  <c r="D70" i="15"/>
  <c r="C49" i="18"/>
  <c r="E49" i="18" s="1"/>
  <c r="D46" i="15"/>
  <c r="G74" i="20"/>
  <c r="F74" i="20"/>
  <c r="F75" i="22"/>
  <c r="G75" i="22"/>
  <c r="G28" i="18"/>
  <c r="F28" i="18"/>
  <c r="F62" i="20"/>
  <c r="G62" i="20"/>
  <c r="F55" i="26"/>
  <c r="G55" i="26"/>
  <c r="F90" i="21"/>
  <c r="G90" i="21"/>
  <c r="H53" i="15"/>
  <c r="E56" i="22"/>
  <c r="F88" i="23"/>
  <c r="G88" i="23"/>
  <c r="G90" i="27"/>
  <c r="F90" i="27"/>
  <c r="F56" i="27"/>
  <c r="G56" i="27"/>
  <c r="F39" i="24"/>
  <c r="G39" i="24"/>
  <c r="F54" i="22"/>
  <c r="G54" i="22"/>
  <c r="G31" i="23"/>
  <c r="F31" i="23"/>
  <c r="F94" i="27"/>
  <c r="G94" i="27"/>
  <c r="G86" i="26"/>
  <c r="F86" i="26"/>
  <c r="G62" i="24"/>
  <c r="F62" i="24"/>
  <c r="G89" i="21"/>
  <c r="F89" i="21"/>
  <c r="N14" i="6"/>
  <c r="K20" i="7"/>
  <c r="N21" i="6"/>
  <c r="C67" i="18"/>
  <c r="E67" i="18" s="1"/>
  <c r="D64" i="15"/>
  <c r="N64" i="15" s="1"/>
  <c r="F26" i="27"/>
  <c r="G26" i="27"/>
  <c r="F93" i="21"/>
  <c r="G93" i="21"/>
  <c r="F28" i="22"/>
  <c r="G28" i="22"/>
  <c r="D33" i="29"/>
  <c r="F23" i="26"/>
  <c r="G23" i="26"/>
  <c r="G64" i="27"/>
  <c r="F64" i="27"/>
  <c r="F42" i="26"/>
  <c r="G42" i="26"/>
  <c r="F43" i="22"/>
  <c r="G43" i="22"/>
  <c r="C96" i="18"/>
  <c r="E96" i="18" s="1"/>
  <c r="D93" i="15"/>
  <c r="C59" i="18"/>
  <c r="E59" i="18" s="1"/>
  <c r="D56" i="15"/>
  <c r="G39" i="27"/>
  <c r="F39" i="27"/>
  <c r="F59" i="26"/>
  <c r="G59" i="26"/>
  <c r="G91" i="22"/>
  <c r="F91" i="22"/>
  <c r="J21" i="15"/>
  <c r="E24" i="26"/>
  <c r="G52" i="25"/>
  <c r="C77" i="15"/>
  <c r="C53" i="18"/>
  <c r="E53" i="18" s="1"/>
  <c r="D50" i="15"/>
  <c r="N50" i="15" s="1"/>
  <c r="N83" i="6"/>
  <c r="F65" i="21"/>
  <c r="G65" i="21"/>
  <c r="C33" i="18"/>
  <c r="E33" i="18" s="1"/>
  <c r="D30" i="15"/>
  <c r="N30" i="15" s="1"/>
  <c r="C24" i="18"/>
  <c r="E24" i="18" s="1"/>
  <c r="D21" i="15"/>
  <c r="G47" i="23"/>
  <c r="F47" i="23"/>
  <c r="G99" i="23"/>
  <c r="F99" i="23"/>
  <c r="G69" i="20"/>
  <c r="F54" i="20"/>
  <c r="G54" i="20"/>
  <c r="F67" i="27"/>
  <c r="G67" i="27"/>
  <c r="G49" i="26"/>
  <c r="F49" i="26"/>
  <c r="F99" i="22"/>
  <c r="G99" i="22"/>
  <c r="G91" i="24"/>
  <c r="F91" i="24"/>
  <c r="I92" i="15"/>
  <c r="E95" i="27"/>
  <c r="N74" i="6"/>
  <c r="G40" i="27"/>
  <c r="F40" i="27"/>
  <c r="E20" i="21"/>
  <c r="C25" i="18"/>
  <c r="E25" i="18" s="1"/>
  <c r="D22" i="15"/>
  <c r="C91" i="18"/>
  <c r="E91" i="18" s="1"/>
  <c r="D88" i="15"/>
  <c r="C26" i="18"/>
  <c r="E26" i="18" s="1"/>
  <c r="D23" i="15"/>
  <c r="E81" i="20"/>
  <c r="G50" i="20"/>
  <c r="F50" i="20"/>
  <c r="F27" i="20"/>
  <c r="G27" i="20"/>
  <c r="F42" i="22"/>
  <c r="G42" i="22"/>
  <c r="G75" i="26"/>
  <c r="F75" i="26"/>
  <c r="F41" i="27"/>
  <c r="G41" i="27"/>
  <c r="G35" i="25"/>
  <c r="F35" i="25"/>
  <c r="G53" i="24"/>
  <c r="F53" i="24"/>
  <c r="F83" i="20"/>
  <c r="G83" i="20"/>
  <c r="C23" i="18"/>
  <c r="E23" i="18" s="1"/>
  <c r="D20" i="15"/>
  <c r="C30" i="18"/>
  <c r="E30" i="18" s="1"/>
  <c r="D27" i="15"/>
  <c r="N27" i="15" s="1"/>
  <c r="F91" i="23"/>
  <c r="G91" i="23"/>
  <c r="C66" i="21"/>
  <c r="E66" i="21" s="1"/>
  <c r="E63" i="15"/>
  <c r="C94" i="21"/>
  <c r="E94" i="21" s="1"/>
  <c r="E91" i="15"/>
  <c r="G26" i="20"/>
  <c r="F26" i="20"/>
  <c r="F86" i="20"/>
  <c r="G86" i="20"/>
  <c r="G97" i="22"/>
  <c r="F97" i="22"/>
  <c r="F61" i="26"/>
  <c r="G61" i="26"/>
  <c r="F96" i="24"/>
  <c r="G96" i="24"/>
  <c r="F43" i="24"/>
  <c r="G43" i="24"/>
  <c r="G66" i="23"/>
  <c r="F66" i="23"/>
  <c r="N39" i="6"/>
  <c r="E19" i="29"/>
  <c r="E54" i="29"/>
  <c r="E32" i="29"/>
  <c r="E25" i="29"/>
  <c r="E24" i="29"/>
  <c r="N57" i="6"/>
  <c r="G74" i="24"/>
  <c r="F53" i="20"/>
  <c r="G53" i="20"/>
  <c r="C93" i="18"/>
  <c r="E93" i="18" s="1"/>
  <c r="D90" i="15"/>
  <c r="F38" i="20"/>
  <c r="G38" i="20"/>
  <c r="F34" i="23"/>
  <c r="G34" i="23"/>
  <c r="F56" i="26"/>
  <c r="G56" i="26"/>
  <c r="G87" i="21"/>
  <c r="F87" i="21"/>
  <c r="E93" i="25"/>
  <c r="C90" i="15"/>
  <c r="F63" i="26"/>
  <c r="G63" i="26"/>
  <c r="G60" i="23"/>
  <c r="F60" i="23"/>
  <c r="G45" i="26"/>
  <c r="F45" i="26"/>
  <c r="N32" i="6"/>
  <c r="G50" i="23"/>
  <c r="F50" i="23"/>
  <c r="G48" i="20"/>
  <c r="F48" i="20"/>
  <c r="F85" i="24"/>
  <c r="G85" i="24"/>
  <c r="F49" i="24"/>
  <c r="G49" i="24"/>
  <c r="N78" i="6"/>
  <c r="F82" i="20"/>
  <c r="G82" i="20"/>
  <c r="F64" i="26"/>
  <c r="G64" i="26"/>
  <c r="F19" i="22"/>
  <c r="H19" i="22" s="1"/>
  <c r="G19" i="22"/>
  <c r="I19" i="22" s="1"/>
  <c r="J19" i="22" s="1"/>
  <c r="G15" i="17" s="1"/>
  <c r="C79" i="18"/>
  <c r="E79" i="18" s="1"/>
  <c r="D76" i="15"/>
  <c r="C19" i="18"/>
  <c r="E19" i="18" s="1"/>
  <c r="D16" i="15"/>
  <c r="G42" i="21"/>
  <c r="F42" i="21"/>
  <c r="G39" i="21"/>
  <c r="F39" i="21"/>
  <c r="G67" i="21"/>
  <c r="F67" i="21"/>
  <c r="G36" i="22"/>
  <c r="F36" i="22"/>
  <c r="F76" i="26"/>
  <c r="G76" i="26"/>
  <c r="F72" i="22"/>
  <c r="G72" i="22"/>
  <c r="F99" i="25"/>
  <c r="G99" i="25"/>
  <c r="G42" i="24"/>
  <c r="F42" i="24"/>
  <c r="F27" i="22"/>
  <c r="G27" i="22"/>
  <c r="E22" i="25"/>
  <c r="C19" i="15"/>
  <c r="G55" i="20"/>
  <c r="F55" i="20"/>
  <c r="G30" i="23"/>
  <c r="F30" i="23"/>
  <c r="C21" i="18"/>
  <c r="E21" i="18" s="1"/>
  <c r="D18" i="15"/>
  <c r="N37" i="6"/>
  <c r="K36" i="7"/>
  <c r="N43" i="6"/>
  <c r="E81" i="21"/>
  <c r="F25" i="23"/>
  <c r="G25" i="23"/>
  <c r="G88" i="27"/>
  <c r="F88" i="27"/>
  <c r="F40" i="20"/>
  <c r="G40" i="20"/>
  <c r="G31" i="20"/>
  <c r="F31" i="20"/>
  <c r="G23" i="27"/>
  <c r="F23" i="27"/>
  <c r="E85" i="22"/>
  <c r="C65" i="15"/>
  <c r="N34" i="6"/>
  <c r="N25" i="6"/>
  <c r="N35" i="6"/>
  <c r="E68" i="22"/>
  <c r="F21" i="21"/>
  <c r="G21" i="21"/>
  <c r="G33" i="23"/>
  <c r="F33" i="23"/>
  <c r="F66" i="20"/>
  <c r="G66" i="20"/>
  <c r="F43" i="20"/>
  <c r="G43" i="20"/>
  <c r="G47" i="22"/>
  <c r="F47" i="22"/>
  <c r="G48" i="26"/>
  <c r="F48" i="26"/>
  <c r="G88" i="22"/>
  <c r="F88" i="22"/>
  <c r="G71" i="26"/>
  <c r="F71" i="26"/>
  <c r="C21" i="15"/>
  <c r="G87" i="24"/>
  <c r="F87" i="24"/>
  <c r="F89" i="23"/>
  <c r="G89" i="23"/>
  <c r="G57" i="24"/>
  <c r="F57" i="24"/>
  <c r="N13" i="6"/>
  <c r="F59" i="25"/>
  <c r="C90" i="18"/>
  <c r="E90" i="18" s="1"/>
  <c r="D87" i="15"/>
  <c r="N87" i="15" s="1"/>
  <c r="C55" i="18"/>
  <c r="E55" i="18" s="1"/>
  <c r="D52" i="15"/>
  <c r="N61" i="6"/>
  <c r="F55" i="23"/>
  <c r="G55" i="23"/>
  <c r="F98" i="21"/>
  <c r="G98" i="21"/>
  <c r="E68" i="27"/>
  <c r="G37" i="26"/>
  <c r="F37" i="26"/>
  <c r="F86" i="27"/>
  <c r="G86" i="27"/>
  <c r="F70" i="27"/>
  <c r="G70" i="27"/>
  <c r="G67" i="25"/>
  <c r="G56" i="24"/>
  <c r="F56" i="24"/>
  <c r="C92" i="15"/>
  <c r="C81" i="18"/>
  <c r="E81" i="18" s="1"/>
  <c r="D78" i="15"/>
  <c r="N78" i="15" s="1"/>
  <c r="F82" i="21"/>
  <c r="G82" i="21"/>
  <c r="C47" i="18"/>
  <c r="E47" i="18" s="1"/>
  <c r="D44" i="15"/>
  <c r="N47" i="6"/>
  <c r="G23" i="22"/>
  <c r="F23" i="22"/>
  <c r="E24" i="21"/>
  <c r="G23" i="23"/>
  <c r="F23" i="23"/>
  <c r="G33" i="27"/>
  <c r="F33" i="27"/>
  <c r="G82" i="26"/>
  <c r="F82" i="26"/>
  <c r="F36" i="26"/>
  <c r="G36" i="26"/>
  <c r="G20" i="24"/>
  <c r="F20" i="24"/>
  <c r="J84" i="15"/>
  <c r="E87" i="26"/>
  <c r="F90" i="24"/>
  <c r="G75" i="23"/>
  <c r="F75" i="23"/>
  <c r="N30" i="6"/>
  <c r="N77" i="6"/>
  <c r="G46" i="27"/>
  <c r="F46" i="27"/>
  <c r="G28" i="26"/>
  <c r="F28" i="26"/>
  <c r="G69" i="27"/>
  <c r="F69" i="27"/>
  <c r="G80" i="24"/>
  <c r="F80" i="24"/>
  <c r="G29" i="23"/>
  <c r="F29" i="23"/>
  <c r="E85" i="23"/>
  <c r="C46" i="18"/>
  <c r="E46" i="18" s="1"/>
  <c r="D43" i="15"/>
  <c r="E19" i="20"/>
  <c r="G65" i="15"/>
  <c r="E61" i="29" s="1"/>
  <c r="E67" i="29"/>
  <c r="E26" i="29"/>
  <c r="C64" i="18"/>
  <c r="E64" i="18" s="1"/>
  <c r="D61" i="15"/>
  <c r="F30" i="20"/>
  <c r="G30" i="20"/>
  <c r="G70" i="23" l="1"/>
  <c r="G63" i="23"/>
  <c r="F63" i="23"/>
  <c r="F76" i="23"/>
  <c r="G76" i="23"/>
  <c r="G59" i="23"/>
  <c r="F59" i="23"/>
  <c r="D90" i="29"/>
  <c r="G34" i="21"/>
  <c r="F60" i="25"/>
  <c r="N28" i="15"/>
  <c r="D47" i="29"/>
  <c r="F49" i="21"/>
  <c r="F38" i="21"/>
  <c r="G43" i="21"/>
  <c r="D19" i="29"/>
  <c r="G56" i="23"/>
  <c r="F23" i="20"/>
  <c r="G50" i="21"/>
  <c r="G78" i="21"/>
  <c r="G75" i="20"/>
  <c r="G84" i="21"/>
  <c r="F87" i="20"/>
  <c r="F23" i="21"/>
  <c r="G71" i="20"/>
  <c r="F33" i="20"/>
  <c r="G33" i="20"/>
  <c r="F59" i="20"/>
  <c r="F26" i="22"/>
  <c r="G35" i="20"/>
  <c r="N42" i="15"/>
  <c r="G69" i="23"/>
  <c r="N44" i="15"/>
  <c r="D83" i="29"/>
  <c r="F52" i="27"/>
  <c r="N76" i="15"/>
  <c r="G56" i="21"/>
  <c r="G29" i="21"/>
  <c r="D54" i="29"/>
  <c r="G67" i="23"/>
  <c r="F20" i="20"/>
  <c r="G73" i="27"/>
  <c r="F45" i="21"/>
  <c r="G62" i="21"/>
  <c r="N62" i="15"/>
  <c r="D59" i="29"/>
  <c r="G51" i="25"/>
  <c r="N58" i="15"/>
  <c r="N71" i="15"/>
  <c r="N54" i="15"/>
  <c r="F59" i="21"/>
  <c r="G90" i="22"/>
  <c r="F80" i="22"/>
  <c r="F80" i="23"/>
  <c r="N95" i="15"/>
  <c r="G89" i="22"/>
  <c r="F71" i="21"/>
  <c r="G40" i="21"/>
  <c r="G99" i="21"/>
  <c r="F34" i="27"/>
  <c r="N61" i="15"/>
  <c r="N45" i="15"/>
  <c r="N75" i="15"/>
  <c r="N94" i="15"/>
  <c r="N34" i="15"/>
  <c r="D78" i="29"/>
  <c r="F55" i="22"/>
  <c r="N56" i="15"/>
  <c r="N24" i="15"/>
  <c r="G86" i="25"/>
  <c r="F74" i="21"/>
  <c r="F70" i="21"/>
  <c r="F41" i="21"/>
  <c r="N68" i="15"/>
  <c r="G55" i="27"/>
  <c r="F61" i="21"/>
  <c r="D14" i="29"/>
  <c r="F44" i="25"/>
  <c r="N93" i="15"/>
  <c r="G35" i="21"/>
  <c r="N48" i="15"/>
  <c r="F41" i="22"/>
  <c r="F75" i="25"/>
  <c r="N29" i="15"/>
  <c r="F73" i="21"/>
  <c r="N70" i="15"/>
  <c r="N43" i="15"/>
  <c r="H20" i="24"/>
  <c r="I21" i="24" s="1"/>
  <c r="J21" i="24" s="1"/>
  <c r="K17" i="17" s="1"/>
  <c r="N20" i="15"/>
  <c r="I20" i="24"/>
  <c r="J20" i="24" s="1"/>
  <c r="K16" i="17" s="1"/>
  <c r="N52" i="15"/>
  <c r="F47" i="21"/>
  <c r="N26" i="15"/>
  <c r="D24" i="29"/>
  <c r="G77" i="20"/>
  <c r="F55" i="21"/>
  <c r="F83" i="21"/>
  <c r="G53" i="21"/>
  <c r="N60" i="15"/>
  <c r="N57" i="15"/>
  <c r="E34" i="25"/>
  <c r="G34" i="25" s="1"/>
  <c r="N49" i="15"/>
  <c r="D53" i="29"/>
  <c r="E21" i="25"/>
  <c r="D76" i="29"/>
  <c r="D23" i="29"/>
  <c r="G25" i="20"/>
  <c r="F23" i="25"/>
  <c r="G61" i="25"/>
  <c r="D61" i="29"/>
  <c r="D42" i="29"/>
  <c r="D89" i="29"/>
  <c r="N83" i="15"/>
  <c r="E29" i="25"/>
  <c r="G29" i="25" s="1"/>
  <c r="N74" i="15"/>
  <c r="N33" i="15"/>
  <c r="N25" i="15"/>
  <c r="N37" i="15"/>
  <c r="E62" i="25"/>
  <c r="G62" i="25" s="1"/>
  <c r="N31" i="15"/>
  <c r="D69" i="29"/>
  <c r="D82" i="29"/>
  <c r="D48" i="29"/>
  <c r="D75" i="29"/>
  <c r="D44" i="29"/>
  <c r="D60" i="29"/>
  <c r="N79" i="15"/>
  <c r="F30" i="27"/>
  <c r="D50" i="29"/>
  <c r="D12" i="29"/>
  <c r="G12" i="29" s="1"/>
  <c r="N16" i="15"/>
  <c r="O16" i="15" s="1"/>
  <c r="D52" i="29"/>
  <c r="D86" i="29"/>
  <c r="N82" i="15"/>
  <c r="D80" i="29"/>
  <c r="D68" i="29"/>
  <c r="D56" i="29"/>
  <c r="D32" i="29"/>
  <c r="N22" i="15"/>
  <c r="N40" i="15"/>
  <c r="D31" i="29"/>
  <c r="D55" i="29"/>
  <c r="F91" i="25"/>
  <c r="N35" i="15"/>
  <c r="N46" i="15"/>
  <c r="N36" i="15"/>
  <c r="H14" i="29"/>
  <c r="H15" i="29" s="1"/>
  <c r="H16" i="29" s="1"/>
  <c r="H17" i="29" s="1"/>
  <c r="H18" i="29" s="1"/>
  <c r="H19" i="29" s="1"/>
  <c r="H20" i="29" s="1"/>
  <c r="H21" i="29" s="1"/>
  <c r="H22" i="29" s="1"/>
  <c r="H23" i="29" s="1"/>
  <c r="H24" i="29" s="1"/>
  <c r="H25" i="29" s="1"/>
  <c r="H26" i="29" s="1"/>
  <c r="H27" i="29" s="1"/>
  <c r="H28" i="29" s="1"/>
  <c r="H29" i="29" s="1"/>
  <c r="H30" i="29" s="1"/>
  <c r="H31" i="29" s="1"/>
  <c r="H32" i="29" s="1"/>
  <c r="H33" i="29" s="1"/>
  <c r="H34" i="29" s="1"/>
  <c r="H35" i="29" s="1"/>
  <c r="H36" i="29" s="1"/>
  <c r="H37" i="29" s="1"/>
  <c r="H38" i="29" s="1"/>
  <c r="H39" i="29" s="1"/>
  <c r="H40" i="29" s="1"/>
  <c r="H41" i="29" s="1"/>
  <c r="H42" i="29" s="1"/>
  <c r="H43" i="29" s="1"/>
  <c r="H44" i="29" s="1"/>
  <c r="H45" i="29" s="1"/>
  <c r="H46" i="29" s="1"/>
  <c r="H47" i="29" s="1"/>
  <c r="H48" i="29" s="1"/>
  <c r="H49" i="29" s="1"/>
  <c r="H50" i="29" s="1"/>
  <c r="H51" i="29" s="1"/>
  <c r="H52" i="29" s="1"/>
  <c r="H53" i="29" s="1"/>
  <c r="H54" i="29" s="1"/>
  <c r="H55" i="29" s="1"/>
  <c r="H56" i="29" s="1"/>
  <c r="H57" i="29" s="1"/>
  <c r="H58" i="29" s="1"/>
  <c r="H59" i="29" s="1"/>
  <c r="H60" i="29" s="1"/>
  <c r="H61" i="29" s="1"/>
  <c r="H62" i="29" s="1"/>
  <c r="H63" i="29" s="1"/>
  <c r="H64" i="29" s="1"/>
  <c r="H65" i="29" s="1"/>
  <c r="H66" i="29" s="1"/>
  <c r="H67" i="29" s="1"/>
  <c r="H68" i="29" s="1"/>
  <c r="H69" i="29" s="1"/>
  <c r="H70" i="29" s="1"/>
  <c r="H71" i="29" s="1"/>
  <c r="H72" i="29" s="1"/>
  <c r="H73" i="29" s="1"/>
  <c r="H74" i="29" s="1"/>
  <c r="H75" i="29" s="1"/>
  <c r="H76" i="29" s="1"/>
  <c r="H77" i="29" s="1"/>
  <c r="H78" i="29" s="1"/>
  <c r="H79" i="29" s="1"/>
  <c r="H80" i="29" s="1"/>
  <c r="H81" i="29" s="1"/>
  <c r="H82" i="29" s="1"/>
  <c r="H83" i="29" s="1"/>
  <c r="H84" i="29" s="1"/>
  <c r="H85" i="29" s="1"/>
  <c r="H86" i="29" s="1"/>
  <c r="H87" i="29" s="1"/>
  <c r="H88" i="29" s="1"/>
  <c r="H89" i="29" s="1"/>
  <c r="H90" i="29" s="1"/>
  <c r="H91" i="29" s="1"/>
  <c r="H92" i="29" s="1"/>
  <c r="N18" i="15"/>
  <c r="N88" i="15"/>
  <c r="D74" i="29"/>
  <c r="D70" i="29"/>
  <c r="D87" i="29"/>
  <c r="D16" i="29"/>
  <c r="D22" i="29"/>
  <c r="D57" i="29"/>
  <c r="D85" i="29"/>
  <c r="D72" i="29"/>
  <c r="G32" i="25"/>
  <c r="F32" i="25"/>
  <c r="D58" i="29"/>
  <c r="F64" i="25"/>
  <c r="G64" i="25"/>
  <c r="F50" i="25"/>
  <c r="G50" i="25"/>
  <c r="F98" i="25"/>
  <c r="G98" i="25"/>
  <c r="F27" i="25"/>
  <c r="G27" i="25"/>
  <c r="G83" i="25"/>
  <c r="F83" i="25"/>
  <c r="N69" i="15"/>
  <c r="N59" i="15"/>
  <c r="G45" i="25"/>
  <c r="D26" i="29"/>
  <c r="F43" i="25"/>
  <c r="G43" i="25"/>
  <c r="F70" i="25"/>
  <c r="G70" i="25"/>
  <c r="F47" i="25"/>
  <c r="G47" i="25"/>
  <c r="F66" i="25"/>
  <c r="G66" i="25"/>
  <c r="F33" i="25"/>
  <c r="G33" i="25"/>
  <c r="F46" i="25"/>
  <c r="G46" i="25"/>
  <c r="G48" i="25"/>
  <c r="F48" i="25"/>
  <c r="G78" i="25"/>
  <c r="F78" i="25"/>
  <c r="G39" i="25"/>
  <c r="F39" i="25"/>
  <c r="F54" i="25"/>
  <c r="G54" i="25"/>
  <c r="F49" i="25"/>
  <c r="G49" i="25"/>
  <c r="F90" i="25"/>
  <c r="G90" i="25"/>
  <c r="G57" i="25"/>
  <c r="F57" i="25"/>
  <c r="G28" i="25"/>
  <c r="F28" i="25"/>
  <c r="G73" i="25"/>
  <c r="F73" i="25"/>
  <c r="G42" i="25"/>
  <c r="F42" i="25"/>
  <c r="G63" i="25"/>
  <c r="F63" i="25"/>
  <c r="G41" i="25"/>
  <c r="F41" i="25"/>
  <c r="G65" i="25"/>
  <c r="F65" i="25"/>
  <c r="F89" i="25"/>
  <c r="G89" i="25"/>
  <c r="F82" i="25"/>
  <c r="G82" i="25"/>
  <c r="G97" i="25"/>
  <c r="F97" i="25"/>
  <c r="F77" i="25"/>
  <c r="G77" i="25"/>
  <c r="F53" i="25"/>
  <c r="G53" i="25"/>
  <c r="G31" i="25"/>
  <c r="F31" i="25"/>
  <c r="G55" i="25"/>
  <c r="F55" i="25"/>
  <c r="F94" i="25"/>
  <c r="G94" i="25"/>
  <c r="F38" i="25"/>
  <c r="G38" i="25"/>
  <c r="F74" i="25"/>
  <c r="G74" i="25"/>
  <c r="G25" i="25"/>
  <c r="F25" i="25"/>
  <c r="G71" i="25"/>
  <c r="F71" i="25"/>
  <c r="G69" i="25"/>
  <c r="F69" i="25"/>
  <c r="G30" i="25"/>
  <c r="F92" i="25"/>
  <c r="N90" i="15"/>
  <c r="F79" i="25"/>
  <c r="F36" i="25"/>
  <c r="G36" i="25"/>
  <c r="D71" i="29"/>
  <c r="D79" i="29"/>
  <c r="D13" i="29"/>
  <c r="D41" i="29"/>
  <c r="D39" i="29"/>
  <c r="D36" i="29"/>
  <c r="D92" i="29"/>
  <c r="N96" i="15"/>
  <c r="I20" i="26"/>
  <c r="J20" i="26" s="1"/>
  <c r="I16" i="17" s="1"/>
  <c r="F14" i="29"/>
  <c r="F15" i="29" s="1"/>
  <c r="F16" i="29" s="1"/>
  <c r="F17" i="29" s="1"/>
  <c r="F18" i="29" s="1"/>
  <c r="F19" i="29" s="1"/>
  <c r="F20" i="29" s="1"/>
  <c r="F21" i="29" s="1"/>
  <c r="F22" i="29" s="1"/>
  <c r="F23" i="29" s="1"/>
  <c r="F24" i="29" s="1"/>
  <c r="F25" i="29" s="1"/>
  <c r="F26" i="29" s="1"/>
  <c r="F27" i="29" s="1"/>
  <c r="F28" i="29" s="1"/>
  <c r="F29" i="29" s="1"/>
  <c r="F30" i="29" s="1"/>
  <c r="F31" i="29" s="1"/>
  <c r="F32" i="29" s="1"/>
  <c r="F33" i="29" s="1"/>
  <c r="F34" i="29" s="1"/>
  <c r="F35" i="29" s="1"/>
  <c r="F36" i="29" s="1"/>
  <c r="F37" i="29" s="1"/>
  <c r="F38" i="29" s="1"/>
  <c r="F39" i="29" s="1"/>
  <c r="F40" i="29" s="1"/>
  <c r="F41" i="29" s="1"/>
  <c r="F42" i="29" s="1"/>
  <c r="F43" i="29" s="1"/>
  <c r="F44" i="29" s="1"/>
  <c r="F45" i="29" s="1"/>
  <c r="F46" i="29" s="1"/>
  <c r="F47" i="29" s="1"/>
  <c r="F48" i="29" s="1"/>
  <c r="F49" i="29" s="1"/>
  <c r="F50" i="29" s="1"/>
  <c r="D25" i="29"/>
  <c r="F40" i="25"/>
  <c r="F66" i="27"/>
  <c r="D34" i="29"/>
  <c r="D18" i="29"/>
  <c r="D81" i="29"/>
  <c r="D51" i="29"/>
  <c r="D40" i="29"/>
  <c r="F76" i="21"/>
  <c r="N80" i="15"/>
  <c r="D65" i="29"/>
  <c r="D84" i="29"/>
  <c r="D66" i="29"/>
  <c r="D64" i="29"/>
  <c r="D88" i="29"/>
  <c r="D91" i="29"/>
  <c r="D63" i="29"/>
  <c r="N21" i="15"/>
  <c r="G37" i="25"/>
  <c r="G76" i="25"/>
  <c r="F97" i="21"/>
  <c r="N73" i="15"/>
  <c r="D38" i="29"/>
  <c r="F84" i="25"/>
  <c r="G84" i="25"/>
  <c r="D28" i="29"/>
  <c r="D15" i="29"/>
  <c r="G26" i="25"/>
  <c r="F26" i="25"/>
  <c r="D17" i="29"/>
  <c r="D35" i="29"/>
  <c r="N38" i="15"/>
  <c r="F63" i="22"/>
  <c r="G63" i="22"/>
  <c r="N23" i="15"/>
  <c r="F29" i="25"/>
  <c r="N66" i="15"/>
  <c r="N39" i="15"/>
  <c r="F72" i="23"/>
  <c r="N72" i="15"/>
  <c r="F98" i="22"/>
  <c r="G98" i="22"/>
  <c r="N32" i="15"/>
  <c r="N51" i="15"/>
  <c r="F25" i="21"/>
  <c r="G25" i="21"/>
  <c r="F73" i="22"/>
  <c r="G73" i="22"/>
  <c r="F97" i="20"/>
  <c r="G97" i="20"/>
  <c r="G60" i="20"/>
  <c r="F60" i="20"/>
  <c r="F34" i="22"/>
  <c r="G34" i="22"/>
  <c r="F66" i="18"/>
  <c r="G66" i="18"/>
  <c r="G38" i="27"/>
  <c r="F38" i="27"/>
  <c r="I20" i="23"/>
  <c r="J20" i="23" s="1"/>
  <c r="L13" i="29" s="1"/>
  <c r="G25" i="18"/>
  <c r="F25" i="18"/>
  <c r="F19" i="18"/>
  <c r="H19" i="18" s="1"/>
  <c r="G19" i="18"/>
  <c r="I19" i="18" s="1"/>
  <c r="J19" i="18" s="1"/>
  <c r="C15" i="17" s="1"/>
  <c r="F24" i="26"/>
  <c r="G24" i="26"/>
  <c r="F96" i="18"/>
  <c r="G96" i="18"/>
  <c r="F85" i="21"/>
  <c r="G85" i="21"/>
  <c r="G22" i="27"/>
  <c r="F22" i="27"/>
  <c r="F31" i="18"/>
  <c r="G31" i="18"/>
  <c r="F19" i="20"/>
  <c r="H19" i="20" s="1"/>
  <c r="I20" i="20" s="1"/>
  <c r="J20" i="20" s="1"/>
  <c r="G19" i="20"/>
  <c r="I19" i="20" s="1"/>
  <c r="J19" i="20" s="1"/>
  <c r="F85" i="22"/>
  <c r="G85" i="22"/>
  <c r="F21" i="18"/>
  <c r="G21" i="18"/>
  <c r="F20" i="21"/>
  <c r="G20" i="21"/>
  <c r="G73" i="18"/>
  <c r="F73" i="18"/>
  <c r="G85" i="27"/>
  <c r="F85" i="27"/>
  <c r="F60" i="18"/>
  <c r="G60" i="18"/>
  <c r="F58" i="21"/>
  <c r="G58" i="21"/>
  <c r="N84" i="15"/>
  <c r="G89" i="27"/>
  <c r="F89" i="27"/>
  <c r="G81" i="26"/>
  <c r="F81" i="26"/>
  <c r="F15" i="17"/>
  <c r="L12" i="29"/>
  <c r="G86" i="18"/>
  <c r="F86" i="18"/>
  <c r="G82" i="18"/>
  <c r="F82" i="18"/>
  <c r="F22" i="26"/>
  <c r="G22" i="26"/>
  <c r="G95" i="21"/>
  <c r="F95" i="21"/>
  <c r="F81" i="27"/>
  <c r="G81" i="27"/>
  <c r="F88" i="25"/>
  <c r="G88" i="25"/>
  <c r="G54" i="18"/>
  <c r="F54" i="18"/>
  <c r="N17" i="15"/>
  <c r="G42" i="18"/>
  <c r="F42" i="18"/>
  <c r="F77" i="26"/>
  <c r="G77" i="26"/>
  <c r="F88" i="21"/>
  <c r="G88" i="21"/>
  <c r="C51" i="29"/>
  <c r="N55" i="15"/>
  <c r="F81" i="18"/>
  <c r="G81" i="18"/>
  <c r="F22" i="25"/>
  <c r="G22" i="25"/>
  <c r="F79" i="18"/>
  <c r="G79" i="18"/>
  <c r="F81" i="20"/>
  <c r="G81" i="20"/>
  <c r="G24" i="18"/>
  <c r="F24" i="18"/>
  <c r="F85" i="26"/>
  <c r="G85" i="26"/>
  <c r="F57" i="18"/>
  <c r="G57" i="18"/>
  <c r="G87" i="18"/>
  <c r="F87" i="18"/>
  <c r="F24" i="22"/>
  <c r="G24" i="22"/>
  <c r="G34" i="18"/>
  <c r="F34" i="18"/>
  <c r="F51" i="18"/>
  <c r="G51" i="18"/>
  <c r="G76" i="18"/>
  <c r="F76" i="18"/>
  <c r="G72" i="25"/>
  <c r="F72" i="25"/>
  <c r="G74" i="18"/>
  <c r="F74" i="18"/>
  <c r="N53" i="15"/>
  <c r="F80" i="20"/>
  <c r="G80" i="20"/>
  <c r="F35" i="18"/>
  <c r="G35" i="18"/>
  <c r="F22" i="20"/>
  <c r="G22" i="20"/>
  <c r="F20" i="18"/>
  <c r="G20" i="18"/>
  <c r="G19" i="21"/>
  <c r="I19" i="21" s="1"/>
  <c r="J19" i="21" s="1"/>
  <c r="F19" i="21"/>
  <c r="H19" i="21" s="1"/>
  <c r="F48" i="18"/>
  <c r="G48" i="18"/>
  <c r="F81" i="23"/>
  <c r="G81" i="23"/>
  <c r="G46" i="18"/>
  <c r="F46" i="18"/>
  <c r="G47" i="18"/>
  <c r="F47" i="18"/>
  <c r="F95" i="25"/>
  <c r="G95" i="25"/>
  <c r="F90" i="18"/>
  <c r="G90" i="18"/>
  <c r="G30" i="18"/>
  <c r="F30" i="18"/>
  <c r="F67" i="18"/>
  <c r="G67" i="18"/>
  <c r="F93" i="22"/>
  <c r="G93" i="22"/>
  <c r="G80" i="26"/>
  <c r="F80" i="26"/>
  <c r="F72" i="18"/>
  <c r="G72" i="18"/>
  <c r="N85" i="15"/>
  <c r="A22" i="25"/>
  <c r="B22" i="24"/>
  <c r="B22" i="23"/>
  <c r="B22" i="26"/>
  <c r="B22" i="18"/>
  <c r="B22" i="22"/>
  <c r="B22" i="27"/>
  <c r="B22" i="21"/>
  <c r="B22" i="20"/>
  <c r="B15" i="7"/>
  <c r="N86" i="15"/>
  <c r="F70" i="18"/>
  <c r="G70" i="18"/>
  <c r="F77" i="23"/>
  <c r="G77" i="23"/>
  <c r="F56" i="18"/>
  <c r="G56" i="18"/>
  <c r="F81" i="22"/>
  <c r="G81" i="22"/>
  <c r="G68" i="21"/>
  <c r="F68" i="21"/>
  <c r="G87" i="23"/>
  <c r="F87" i="23"/>
  <c r="G93" i="26"/>
  <c r="F93" i="26"/>
  <c r="F32" i="18"/>
  <c r="G32" i="18"/>
  <c r="G56" i="22"/>
  <c r="F56" i="22"/>
  <c r="F27" i="18"/>
  <c r="G27" i="18"/>
  <c r="F33" i="18"/>
  <c r="G33" i="18"/>
  <c r="G53" i="18"/>
  <c r="F53" i="18"/>
  <c r="G56" i="25"/>
  <c r="F56" i="25"/>
  <c r="F78" i="18"/>
  <c r="G78" i="18"/>
  <c r="G88" i="18"/>
  <c r="F88" i="18"/>
  <c r="G77" i="18"/>
  <c r="F77" i="18"/>
  <c r="F89" i="18"/>
  <c r="G89" i="18"/>
  <c r="F80" i="27"/>
  <c r="G80" i="27"/>
  <c r="F93" i="27"/>
  <c r="G93" i="27"/>
  <c r="F61" i="18"/>
  <c r="G61" i="18"/>
  <c r="G85" i="25"/>
  <c r="F85" i="25"/>
  <c r="F68" i="20"/>
  <c r="G68" i="20"/>
  <c r="F89" i="20"/>
  <c r="G89" i="20"/>
  <c r="G69" i="18"/>
  <c r="F69" i="18"/>
  <c r="F24" i="21"/>
  <c r="G24" i="21"/>
  <c r="G24" i="25"/>
  <c r="F24" i="25"/>
  <c r="G93" i="25"/>
  <c r="F93" i="25"/>
  <c r="F94" i="21"/>
  <c r="G94" i="21"/>
  <c r="G23" i="18"/>
  <c r="F23" i="18"/>
  <c r="F80" i="25"/>
  <c r="G80" i="25"/>
  <c r="G88" i="26"/>
  <c r="F88" i="26"/>
  <c r="F38" i="18"/>
  <c r="G38" i="18"/>
  <c r="F62" i="18"/>
  <c r="G62" i="18"/>
  <c r="F63" i="18"/>
  <c r="G63" i="18"/>
  <c r="N77" i="15"/>
  <c r="G40" i="18"/>
  <c r="F40" i="18"/>
  <c r="G96" i="21"/>
  <c r="F96" i="21"/>
  <c r="F29" i="18"/>
  <c r="G29" i="18"/>
  <c r="G65" i="18"/>
  <c r="F65" i="18"/>
  <c r="F84" i="18"/>
  <c r="G84" i="18"/>
  <c r="G41" i="18"/>
  <c r="F41" i="18"/>
  <c r="G68" i="26"/>
  <c r="F68" i="26"/>
  <c r="F77" i="27"/>
  <c r="G77" i="27"/>
  <c r="G99" i="18"/>
  <c r="F99" i="18"/>
  <c r="G22" i="18"/>
  <c r="F22" i="18"/>
  <c r="G96" i="26"/>
  <c r="F96" i="26"/>
  <c r="G85" i="23"/>
  <c r="F85" i="23"/>
  <c r="C87" i="29"/>
  <c r="N91" i="15"/>
  <c r="F26" i="18"/>
  <c r="G26" i="18"/>
  <c r="G96" i="25"/>
  <c r="F96" i="25"/>
  <c r="G68" i="27"/>
  <c r="F68" i="27"/>
  <c r="G68" i="22"/>
  <c r="F68" i="22"/>
  <c r="F68" i="25"/>
  <c r="G68" i="25"/>
  <c r="C59" i="29"/>
  <c r="N63" i="15"/>
  <c r="G91" i="18"/>
  <c r="F91" i="18"/>
  <c r="F95" i="27"/>
  <c r="G95" i="27"/>
  <c r="G59" i="18"/>
  <c r="F59" i="18"/>
  <c r="N92" i="15"/>
  <c r="F20" i="27"/>
  <c r="H20" i="27" s="1"/>
  <c r="I21" i="27" s="1"/>
  <c r="J21" i="27" s="1"/>
  <c r="H17" i="17" s="1"/>
  <c r="G20" i="27"/>
  <c r="I20" i="27" s="1"/>
  <c r="J20" i="27" s="1"/>
  <c r="H16" i="17" s="1"/>
  <c r="G95" i="26"/>
  <c r="F95" i="26"/>
  <c r="G81" i="25"/>
  <c r="F81" i="25"/>
  <c r="H20" i="23"/>
  <c r="I21" i="23" s="1"/>
  <c r="J21" i="23" s="1"/>
  <c r="F85" i="18"/>
  <c r="G85" i="18"/>
  <c r="G80" i="18"/>
  <c r="F80" i="18"/>
  <c r="G97" i="18"/>
  <c r="F97" i="18"/>
  <c r="G92" i="18"/>
  <c r="F92" i="18"/>
  <c r="F77" i="22"/>
  <c r="G77" i="22"/>
  <c r="F20" i="22"/>
  <c r="H20" i="22" s="1"/>
  <c r="I21" i="22" s="1"/>
  <c r="J21" i="22" s="1"/>
  <c r="G17" i="17" s="1"/>
  <c r="G20" i="22"/>
  <c r="I20" i="22" s="1"/>
  <c r="J20" i="22" s="1"/>
  <c r="G16" i="17" s="1"/>
  <c r="G43" i="18"/>
  <c r="F43" i="18"/>
  <c r="G87" i="25"/>
  <c r="F87" i="25"/>
  <c r="N65" i="15"/>
  <c r="F50" i="18"/>
  <c r="G50" i="18"/>
  <c r="F75" i="18"/>
  <c r="G75" i="18"/>
  <c r="F36" i="18"/>
  <c r="G36" i="18"/>
  <c r="F71" i="18"/>
  <c r="G71" i="18"/>
  <c r="G64" i="18"/>
  <c r="F64" i="18"/>
  <c r="G81" i="21"/>
  <c r="F81" i="21"/>
  <c r="F87" i="26"/>
  <c r="G87" i="26"/>
  <c r="G55" i="18"/>
  <c r="F55" i="18"/>
  <c r="G93" i="18"/>
  <c r="F93" i="18"/>
  <c r="G66" i="21"/>
  <c r="F66" i="21"/>
  <c r="G49" i="18"/>
  <c r="F49" i="18"/>
  <c r="F95" i="18"/>
  <c r="G95" i="18"/>
  <c r="F20" i="25"/>
  <c r="G20" i="25"/>
  <c r="N19" i="15"/>
  <c r="G98" i="18"/>
  <c r="F98" i="18"/>
  <c r="G72" i="26"/>
  <c r="F72" i="26"/>
  <c r="F45" i="18"/>
  <c r="G45" i="18"/>
  <c r="G83" i="18"/>
  <c r="F83" i="18"/>
  <c r="G39" i="18"/>
  <c r="F39" i="18"/>
  <c r="F24" i="20"/>
  <c r="G24" i="20"/>
  <c r="H20" i="26"/>
  <c r="I21" i="26" s="1"/>
  <c r="J21" i="26" s="1"/>
  <c r="I17" i="17" s="1"/>
  <c r="G24" i="27"/>
  <c r="F24" i="27"/>
  <c r="F37" i="18"/>
  <c r="G37" i="18"/>
  <c r="F68" i="18"/>
  <c r="G68" i="18"/>
  <c r="F19" i="25"/>
  <c r="H19" i="25" s="1"/>
  <c r="G19" i="25"/>
  <c r="I19" i="25" s="1"/>
  <c r="J19" i="25" s="1"/>
  <c r="J15" i="17" s="1"/>
  <c r="F34" i="25" l="1"/>
  <c r="G13" i="29"/>
  <c r="G14" i="29" s="1"/>
  <c r="G15" i="29" s="1"/>
  <c r="G16" i="29" s="1"/>
  <c r="G17" i="29" s="1"/>
  <c r="G18" i="29" s="1"/>
  <c r="G19" i="29" s="1"/>
  <c r="G20" i="29" s="1"/>
  <c r="G21" i="29" s="1"/>
  <c r="G22" i="29" s="1"/>
  <c r="G23" i="29" s="1"/>
  <c r="G24" i="29" s="1"/>
  <c r="G25" i="29" s="1"/>
  <c r="G26" i="29" s="1"/>
  <c r="G27" i="29" s="1"/>
  <c r="G28" i="29" s="1"/>
  <c r="G29" i="29" s="1"/>
  <c r="G30" i="29" s="1"/>
  <c r="G31" i="29" s="1"/>
  <c r="G32" i="29" s="1"/>
  <c r="G33" i="29" s="1"/>
  <c r="G34" i="29" s="1"/>
  <c r="G35" i="29" s="1"/>
  <c r="G36" i="29" s="1"/>
  <c r="G37" i="29" s="1"/>
  <c r="G38" i="29" s="1"/>
  <c r="G39" i="29" s="1"/>
  <c r="G40" i="29" s="1"/>
  <c r="G41" i="29" s="1"/>
  <c r="G42" i="29" s="1"/>
  <c r="G43" i="29" s="1"/>
  <c r="G44" i="29" s="1"/>
  <c r="G45" i="29" s="1"/>
  <c r="G46" i="29" s="1"/>
  <c r="G47" i="29" s="1"/>
  <c r="G48" i="29" s="1"/>
  <c r="G49" i="29" s="1"/>
  <c r="G50" i="29" s="1"/>
  <c r="G51" i="29" s="1"/>
  <c r="G52" i="29" s="1"/>
  <c r="G53" i="29" s="1"/>
  <c r="G54" i="29" s="1"/>
  <c r="G55" i="29" s="1"/>
  <c r="G56" i="29" s="1"/>
  <c r="G57" i="29" s="1"/>
  <c r="G58" i="29" s="1"/>
  <c r="G59" i="29" s="1"/>
  <c r="G60" i="29" s="1"/>
  <c r="G61" i="29" s="1"/>
  <c r="G62" i="29" s="1"/>
  <c r="G63" i="29" s="1"/>
  <c r="G64" i="29" s="1"/>
  <c r="G65" i="29" s="1"/>
  <c r="G66" i="29" s="1"/>
  <c r="G67" i="29" s="1"/>
  <c r="G68" i="29" s="1"/>
  <c r="G69" i="29" s="1"/>
  <c r="G70" i="29" s="1"/>
  <c r="G71" i="29" s="1"/>
  <c r="G72" i="29" s="1"/>
  <c r="G73" i="29" s="1"/>
  <c r="G74" i="29" s="1"/>
  <c r="G75" i="29" s="1"/>
  <c r="G76" i="29" s="1"/>
  <c r="G77" i="29" s="1"/>
  <c r="G78" i="29" s="1"/>
  <c r="G79" i="29" s="1"/>
  <c r="G80" i="29" s="1"/>
  <c r="G81" i="29" s="1"/>
  <c r="G82" i="29" s="1"/>
  <c r="G83" i="29" s="1"/>
  <c r="G84" i="29" s="1"/>
  <c r="G85" i="29" s="1"/>
  <c r="G86" i="29" s="1"/>
  <c r="G87" i="29" s="1"/>
  <c r="G88" i="29" s="1"/>
  <c r="G89" i="29" s="1"/>
  <c r="G90" i="29" s="1"/>
  <c r="G91" i="29" s="1"/>
  <c r="G92" i="29" s="1"/>
  <c r="H21" i="24"/>
  <c r="H22" i="24" s="1"/>
  <c r="F62" i="25"/>
  <c r="F21" i="25"/>
  <c r="G21" i="25"/>
  <c r="F16" i="17"/>
  <c r="O17" i="15"/>
  <c r="O18" i="15" s="1"/>
  <c r="O19" i="15" s="1"/>
  <c r="O20" i="15" s="1"/>
  <c r="O21" i="15" s="1"/>
  <c r="O22" i="15" s="1"/>
  <c r="O23" i="15" s="1"/>
  <c r="O24" i="15" s="1"/>
  <c r="O25" i="15" s="1"/>
  <c r="O26" i="15" s="1"/>
  <c r="O27" i="15" s="1"/>
  <c r="O28" i="15" s="1"/>
  <c r="O29" i="15" s="1"/>
  <c r="O30" i="15" s="1"/>
  <c r="O31" i="15" s="1"/>
  <c r="O32" i="15" s="1"/>
  <c r="O33" i="15" s="1"/>
  <c r="O34" i="15" s="1"/>
  <c r="O35" i="15" s="1"/>
  <c r="O36" i="15" s="1"/>
  <c r="O37" i="15" s="1"/>
  <c r="O38" i="15" s="1"/>
  <c r="O39" i="15" s="1"/>
  <c r="O40" i="15" s="1"/>
  <c r="O41" i="15" s="1"/>
  <c r="O42" i="15" s="1"/>
  <c r="O43" i="15" s="1"/>
  <c r="O44" i="15" s="1"/>
  <c r="O45" i="15" s="1"/>
  <c r="O46" i="15" s="1"/>
  <c r="O47" i="15" s="1"/>
  <c r="O48" i="15" s="1"/>
  <c r="O49" i="15" s="1"/>
  <c r="O50" i="15" s="1"/>
  <c r="O51" i="15" s="1"/>
  <c r="O52" i="15" s="1"/>
  <c r="O53" i="15" s="1"/>
  <c r="O54" i="15" s="1"/>
  <c r="O55" i="15" s="1"/>
  <c r="O56" i="15" s="1"/>
  <c r="O57" i="15" s="1"/>
  <c r="O58" i="15" s="1"/>
  <c r="O59" i="15" s="1"/>
  <c r="O60" i="15" s="1"/>
  <c r="O61" i="15" s="1"/>
  <c r="O62" i="15" s="1"/>
  <c r="O63" i="15" s="1"/>
  <c r="O64" i="15" s="1"/>
  <c r="O65" i="15" s="1"/>
  <c r="O66" i="15" s="1"/>
  <c r="O67" i="15" s="1"/>
  <c r="O68" i="15" s="1"/>
  <c r="O69" i="15" s="1"/>
  <c r="O70" i="15" s="1"/>
  <c r="O71" i="15" s="1"/>
  <c r="O72" i="15" s="1"/>
  <c r="O73" i="15" s="1"/>
  <c r="O74" i="15" s="1"/>
  <c r="O75" i="15" s="1"/>
  <c r="O76" i="15" s="1"/>
  <c r="O77" i="15" s="1"/>
  <c r="O78" i="15" s="1"/>
  <c r="O79" i="15" s="1"/>
  <c r="O80" i="15" s="1"/>
  <c r="O81" i="15" s="1"/>
  <c r="O82" i="15" s="1"/>
  <c r="O83" i="15" s="1"/>
  <c r="O84" i="15" s="1"/>
  <c r="O85" i="15" s="1"/>
  <c r="O86" i="15" s="1"/>
  <c r="O87" i="15" s="1"/>
  <c r="O88" i="15" s="1"/>
  <c r="O89" i="15" s="1"/>
  <c r="O90" i="15" s="1"/>
  <c r="O91" i="15" s="1"/>
  <c r="O92" i="15" s="1"/>
  <c r="O93" i="15" s="1"/>
  <c r="O94" i="15" s="1"/>
  <c r="O95" i="15" s="1"/>
  <c r="O96" i="15" s="1"/>
  <c r="H20" i="18"/>
  <c r="I21" i="18" s="1"/>
  <c r="J21" i="18" s="1"/>
  <c r="C17" i="17" s="1"/>
  <c r="I20" i="21"/>
  <c r="J20" i="21" s="1"/>
  <c r="D16" i="17" s="1"/>
  <c r="F51" i="29"/>
  <c r="F52" i="29" s="1"/>
  <c r="F53" i="29" s="1"/>
  <c r="F54" i="29" s="1"/>
  <c r="F55" i="29" s="1"/>
  <c r="F56" i="29" s="1"/>
  <c r="F57" i="29" s="1"/>
  <c r="F58" i="29" s="1"/>
  <c r="F59" i="29" s="1"/>
  <c r="F60" i="29" s="1"/>
  <c r="F61" i="29" s="1"/>
  <c r="F62" i="29" s="1"/>
  <c r="F63" i="29" s="1"/>
  <c r="F64" i="29" s="1"/>
  <c r="F65" i="29" s="1"/>
  <c r="F66" i="29" s="1"/>
  <c r="F67" i="29" s="1"/>
  <c r="F68" i="29" s="1"/>
  <c r="F69" i="29" s="1"/>
  <c r="F70" i="29" s="1"/>
  <c r="F71" i="29" s="1"/>
  <c r="F72" i="29" s="1"/>
  <c r="F73" i="29" s="1"/>
  <c r="F74" i="29" s="1"/>
  <c r="F75" i="29" s="1"/>
  <c r="F76" i="29" s="1"/>
  <c r="F77" i="29" s="1"/>
  <c r="F78" i="29" s="1"/>
  <c r="F79" i="29" s="1"/>
  <c r="F80" i="29" s="1"/>
  <c r="F81" i="29" s="1"/>
  <c r="F82" i="29" s="1"/>
  <c r="F83" i="29" s="1"/>
  <c r="F84" i="29" s="1"/>
  <c r="F85" i="29" s="1"/>
  <c r="F86" i="29" s="1"/>
  <c r="F87" i="29" s="1"/>
  <c r="F88" i="29" s="1"/>
  <c r="F89" i="29" s="1"/>
  <c r="F90" i="29" s="1"/>
  <c r="F91" i="29" s="1"/>
  <c r="F92" i="29" s="1"/>
  <c r="H21" i="22"/>
  <c r="I22" i="22" s="1"/>
  <c r="J22" i="22" s="1"/>
  <c r="G18" i="17" s="1"/>
  <c r="I20" i="25"/>
  <c r="J20" i="25" s="1"/>
  <c r="J16" i="17" s="1"/>
  <c r="H20" i="20"/>
  <c r="H20" i="25"/>
  <c r="J12" i="29"/>
  <c r="D15" i="17"/>
  <c r="H21" i="26"/>
  <c r="I22" i="26" s="1"/>
  <c r="J22" i="26" s="1"/>
  <c r="I18" i="17" s="1"/>
  <c r="K12" i="29"/>
  <c r="E15" i="17"/>
  <c r="I22" i="24"/>
  <c r="J22" i="24" s="1"/>
  <c r="K18" i="17" s="1"/>
  <c r="K13" i="29"/>
  <c r="E16" i="17"/>
  <c r="I20" i="18"/>
  <c r="J20" i="18" s="1"/>
  <c r="C16" i="17" s="1"/>
  <c r="H21" i="27"/>
  <c r="I22" i="27" s="1"/>
  <c r="J22" i="27" s="1"/>
  <c r="H18" i="17" s="1"/>
  <c r="B23" i="27"/>
  <c r="B23" i="21"/>
  <c r="B16" i="7"/>
  <c r="B23" i="18"/>
  <c r="B23" i="24"/>
  <c r="B23" i="23"/>
  <c r="B23" i="22"/>
  <c r="B23" i="26"/>
  <c r="B23" i="20"/>
  <c r="A23" i="25"/>
  <c r="H20" i="21"/>
  <c r="F17" i="17"/>
  <c r="L14" i="29"/>
  <c r="H21" i="23"/>
  <c r="H22" i="26" l="1"/>
  <c r="I23" i="26" s="1"/>
  <c r="J23" i="26" s="1"/>
  <c r="I19" i="17" s="1"/>
  <c r="I21" i="25"/>
  <c r="J21" i="25" s="1"/>
  <c r="J17" i="17" s="1"/>
  <c r="J13" i="29"/>
  <c r="H21" i="18"/>
  <c r="I22" i="18" s="1"/>
  <c r="J22" i="18" s="1"/>
  <c r="C18" i="17" s="1"/>
  <c r="H22" i="22"/>
  <c r="H23" i="22" s="1"/>
  <c r="H21" i="25"/>
  <c r="H22" i="27"/>
  <c r="I23" i="27" s="1"/>
  <c r="J23" i="27" s="1"/>
  <c r="H19" i="17" s="1"/>
  <c r="I21" i="20"/>
  <c r="J21" i="20" s="1"/>
  <c r="H21" i="20"/>
  <c r="L15" i="17"/>
  <c r="O15" i="17" s="1"/>
  <c r="L16" i="17"/>
  <c r="E13" i="28" s="1"/>
  <c r="I21" i="21"/>
  <c r="J21" i="21" s="1"/>
  <c r="H21" i="21"/>
  <c r="B24" i="24"/>
  <c r="B24" i="26"/>
  <c r="B24" i="27"/>
  <c r="B24" i="21"/>
  <c r="B24" i="23"/>
  <c r="B17" i="7"/>
  <c r="A24" i="25"/>
  <c r="B24" i="18"/>
  <c r="B24" i="22"/>
  <c r="B24" i="20"/>
  <c r="I23" i="24"/>
  <c r="J23" i="24" s="1"/>
  <c r="K19" i="17" s="1"/>
  <c r="H23" i="24"/>
  <c r="I22" i="23"/>
  <c r="J22" i="23" s="1"/>
  <c r="H22" i="23"/>
  <c r="H22" i="18" l="1"/>
  <c r="I23" i="18" s="1"/>
  <c r="J23" i="18" s="1"/>
  <c r="C19" i="17" s="1"/>
  <c r="H23" i="26"/>
  <c r="I24" i="26" s="1"/>
  <c r="J24" i="26" s="1"/>
  <c r="I20" i="17" s="1"/>
  <c r="I23" i="22"/>
  <c r="J23" i="22" s="1"/>
  <c r="G19" i="17" s="1"/>
  <c r="I22" i="25"/>
  <c r="J22" i="25" s="1"/>
  <c r="J18" i="17" s="1"/>
  <c r="H22" i="25"/>
  <c r="O16" i="17"/>
  <c r="E12" i="28"/>
  <c r="H23" i="27"/>
  <c r="I24" i="27" s="1"/>
  <c r="J24" i="27" s="1"/>
  <c r="H20" i="17" s="1"/>
  <c r="O13" i="29"/>
  <c r="M13" i="29"/>
  <c r="N13" i="29"/>
  <c r="E17" i="17"/>
  <c r="K14" i="29"/>
  <c r="I22" i="20"/>
  <c r="J22" i="20" s="1"/>
  <c r="H22" i="20"/>
  <c r="D17" i="17"/>
  <c r="J14" i="29"/>
  <c r="I23" i="23"/>
  <c r="J23" i="23" s="1"/>
  <c r="H23" i="23"/>
  <c r="F18" i="17"/>
  <c r="L15" i="29"/>
  <c r="A25" i="25"/>
  <c r="B25" i="23"/>
  <c r="B25" i="21"/>
  <c r="B25" i="20"/>
  <c r="B25" i="27"/>
  <c r="B25" i="18"/>
  <c r="B25" i="24"/>
  <c r="B18" i="7"/>
  <c r="B25" i="22"/>
  <c r="B25" i="26"/>
  <c r="I22" i="21"/>
  <c r="J22" i="21" s="1"/>
  <c r="H22" i="21"/>
  <c r="I24" i="24"/>
  <c r="J24" i="24" s="1"/>
  <c r="K20" i="17" s="1"/>
  <c r="H24" i="24"/>
  <c r="I24" i="22"/>
  <c r="J24" i="22" s="1"/>
  <c r="G20" i="17" s="1"/>
  <c r="H24" i="22"/>
  <c r="H23" i="18" l="1"/>
  <c r="I24" i="18" s="1"/>
  <c r="J24" i="18" s="1"/>
  <c r="C20" i="17" s="1"/>
  <c r="H24" i="26"/>
  <c r="I25" i="26" s="1"/>
  <c r="J25" i="26" s="1"/>
  <c r="I21" i="17" s="1"/>
  <c r="H24" i="27"/>
  <c r="I25" i="27" s="1"/>
  <c r="J25" i="27" s="1"/>
  <c r="H21" i="17" s="1"/>
  <c r="O12" i="29"/>
  <c r="M12" i="29"/>
  <c r="I23" i="25"/>
  <c r="J23" i="25" s="1"/>
  <c r="J19" i="17" s="1"/>
  <c r="H23" i="25"/>
  <c r="N12" i="29"/>
  <c r="L17" i="17"/>
  <c r="E14" i="28" s="1"/>
  <c r="M14" i="29" s="1"/>
  <c r="I23" i="20"/>
  <c r="J23" i="20" s="1"/>
  <c r="H23" i="20"/>
  <c r="K15" i="29"/>
  <c r="E18" i="17"/>
  <c r="I25" i="24"/>
  <c r="J25" i="24" s="1"/>
  <c r="K21" i="17" s="1"/>
  <c r="H25" i="24"/>
  <c r="I24" i="23"/>
  <c r="J24" i="23" s="1"/>
  <c r="H24" i="23"/>
  <c r="B19" i="7"/>
  <c r="A26" i="25"/>
  <c r="B26" i="27"/>
  <c r="B26" i="23"/>
  <c r="B26" i="24"/>
  <c r="B26" i="21"/>
  <c r="B26" i="20"/>
  <c r="B26" i="18"/>
  <c r="B26" i="22"/>
  <c r="B26" i="26"/>
  <c r="D18" i="17"/>
  <c r="J15" i="29"/>
  <c r="L16" i="29"/>
  <c r="F19" i="17"/>
  <c r="I23" i="21"/>
  <c r="J23" i="21" s="1"/>
  <c r="H23" i="21"/>
  <c r="I25" i="22"/>
  <c r="J25" i="22" s="1"/>
  <c r="G21" i="17" s="1"/>
  <c r="H25" i="22"/>
  <c r="H25" i="26" l="1"/>
  <c r="H24" i="18"/>
  <c r="I25" i="18" s="1"/>
  <c r="J25" i="18" s="1"/>
  <c r="C21" i="17" s="1"/>
  <c r="H25" i="27"/>
  <c r="H26" i="27" s="1"/>
  <c r="O17" i="17"/>
  <c r="H24" i="25"/>
  <c r="I24" i="25"/>
  <c r="J24" i="25" s="1"/>
  <c r="J20" i="17" s="1"/>
  <c r="L18" i="17"/>
  <c r="O18" i="17" s="1"/>
  <c r="K16" i="29"/>
  <c r="E19" i="17"/>
  <c r="I24" i="20"/>
  <c r="J24" i="20" s="1"/>
  <c r="H24" i="20"/>
  <c r="I25" i="23"/>
  <c r="J25" i="23" s="1"/>
  <c r="H25" i="23"/>
  <c r="F20" i="17"/>
  <c r="L17" i="29"/>
  <c r="O14" i="29"/>
  <c r="N14" i="29"/>
  <c r="I26" i="22"/>
  <c r="J26" i="22" s="1"/>
  <c r="G22" i="17" s="1"/>
  <c r="H26" i="22"/>
  <c r="I24" i="21"/>
  <c r="J24" i="21" s="1"/>
  <c r="H24" i="21"/>
  <c r="I26" i="26"/>
  <c r="J26" i="26" s="1"/>
  <c r="I22" i="17" s="1"/>
  <c r="H26" i="26"/>
  <c r="D19" i="17"/>
  <c r="J16" i="29"/>
  <c r="I26" i="24"/>
  <c r="J26" i="24" s="1"/>
  <c r="K22" i="17" s="1"/>
  <c r="H26" i="24"/>
  <c r="B27" i="22"/>
  <c r="B27" i="24"/>
  <c r="B27" i="18"/>
  <c r="B27" i="27"/>
  <c r="B27" i="26"/>
  <c r="B27" i="21"/>
  <c r="B20" i="7"/>
  <c r="B27" i="23"/>
  <c r="B27" i="20"/>
  <c r="A27" i="25"/>
  <c r="H25" i="18" l="1"/>
  <c r="I26" i="27"/>
  <c r="J26" i="27" s="1"/>
  <c r="H22" i="17" s="1"/>
  <c r="L19" i="17"/>
  <c r="O19" i="17" s="1"/>
  <c r="E15" i="28"/>
  <c r="N15" i="29" s="1"/>
  <c r="I25" i="25"/>
  <c r="J25" i="25" s="1"/>
  <c r="J21" i="17" s="1"/>
  <c r="H25" i="25"/>
  <c r="H25" i="20"/>
  <c r="I25" i="20"/>
  <c r="J25" i="20" s="1"/>
  <c r="K17" i="29"/>
  <c r="E20" i="17"/>
  <c r="I27" i="26"/>
  <c r="J27" i="26" s="1"/>
  <c r="I23" i="17" s="1"/>
  <c r="H27" i="26"/>
  <c r="I27" i="24"/>
  <c r="J27" i="24" s="1"/>
  <c r="K23" i="17" s="1"/>
  <c r="H27" i="24"/>
  <c r="I25" i="21"/>
  <c r="J25" i="21" s="1"/>
  <c r="H25" i="21"/>
  <c r="I27" i="27"/>
  <c r="J27" i="27" s="1"/>
  <c r="H23" i="17" s="1"/>
  <c r="H27" i="27"/>
  <c r="A28" i="25"/>
  <c r="B28" i="18"/>
  <c r="B28" i="24"/>
  <c r="B28" i="20"/>
  <c r="B21" i="7"/>
  <c r="B28" i="27"/>
  <c r="B28" i="23"/>
  <c r="B28" i="26"/>
  <c r="B28" i="22"/>
  <c r="B28" i="21"/>
  <c r="I26" i="18"/>
  <c r="J26" i="18" s="1"/>
  <c r="C22" i="17" s="1"/>
  <c r="H26" i="18"/>
  <c r="D20" i="17"/>
  <c r="J17" i="29"/>
  <c r="I27" i="22"/>
  <c r="J27" i="22" s="1"/>
  <c r="G23" i="17" s="1"/>
  <c r="H27" i="22"/>
  <c r="I26" i="23"/>
  <c r="J26" i="23" s="1"/>
  <c r="H26" i="23"/>
  <c r="L18" i="29"/>
  <c r="F21" i="17"/>
  <c r="E16" i="28" l="1"/>
  <c r="N16" i="29" s="1"/>
  <c r="M15" i="29"/>
  <c r="O15" i="29"/>
  <c r="L20" i="17"/>
  <c r="O20" i="17" s="1"/>
  <c r="I26" i="25"/>
  <c r="J26" i="25" s="1"/>
  <c r="J22" i="17" s="1"/>
  <c r="H26" i="25"/>
  <c r="I26" i="20"/>
  <c r="J26" i="20" s="1"/>
  <c r="H26" i="20"/>
  <c r="E21" i="17"/>
  <c r="K18" i="29"/>
  <c r="I27" i="23"/>
  <c r="J27" i="23" s="1"/>
  <c r="H27" i="23"/>
  <c r="I27" i="18"/>
  <c r="J27" i="18" s="1"/>
  <c r="C23" i="17" s="1"/>
  <c r="H27" i="18"/>
  <c r="I26" i="21"/>
  <c r="J26" i="21" s="1"/>
  <c r="H26" i="21"/>
  <c r="D21" i="17"/>
  <c r="J18" i="29"/>
  <c r="I28" i="26"/>
  <c r="J28" i="26" s="1"/>
  <c r="I24" i="17" s="1"/>
  <c r="H28" i="26"/>
  <c r="I28" i="27"/>
  <c r="J28" i="27" s="1"/>
  <c r="H24" i="17" s="1"/>
  <c r="H28" i="27"/>
  <c r="L19" i="29"/>
  <c r="F22" i="17"/>
  <c r="I28" i="24"/>
  <c r="J28" i="24" s="1"/>
  <c r="K24" i="17" s="1"/>
  <c r="H28" i="24"/>
  <c r="I28" i="22"/>
  <c r="J28" i="22" s="1"/>
  <c r="G24" i="17" s="1"/>
  <c r="H28" i="22"/>
  <c r="B29" i="27"/>
  <c r="B29" i="18"/>
  <c r="B29" i="26"/>
  <c r="B29" i="22"/>
  <c r="A29" i="25"/>
  <c r="B29" i="23"/>
  <c r="B22" i="7"/>
  <c r="B29" i="21"/>
  <c r="B29" i="24"/>
  <c r="B29" i="20"/>
  <c r="M16" i="29" l="1"/>
  <c r="O16" i="29"/>
  <c r="E17" i="28"/>
  <c r="M17" i="29" s="1"/>
  <c r="I27" i="25"/>
  <c r="J27" i="25" s="1"/>
  <c r="J23" i="17" s="1"/>
  <c r="H27" i="25"/>
  <c r="E22" i="17"/>
  <c r="K19" i="29"/>
  <c r="L21" i="17"/>
  <c r="O21" i="17" s="1"/>
  <c r="I27" i="20"/>
  <c r="J27" i="20" s="1"/>
  <c r="H27" i="20"/>
  <c r="I29" i="27"/>
  <c r="J29" i="27" s="1"/>
  <c r="H25" i="17" s="1"/>
  <c r="H29" i="27"/>
  <c r="I27" i="21"/>
  <c r="J27" i="21" s="1"/>
  <c r="H27" i="21"/>
  <c r="I29" i="24"/>
  <c r="J29" i="24" s="1"/>
  <c r="K25" i="17" s="1"/>
  <c r="H29" i="24"/>
  <c r="I29" i="26"/>
  <c r="J29" i="26" s="1"/>
  <c r="I25" i="17" s="1"/>
  <c r="H29" i="26"/>
  <c r="J19" i="29"/>
  <c r="D22" i="17"/>
  <c r="I28" i="18"/>
  <c r="J28" i="18" s="1"/>
  <c r="C24" i="17" s="1"/>
  <c r="H28" i="18"/>
  <c r="I29" i="22"/>
  <c r="J29" i="22" s="1"/>
  <c r="G25" i="17" s="1"/>
  <c r="H29" i="22"/>
  <c r="I28" i="23"/>
  <c r="J28" i="23" s="1"/>
  <c r="H28" i="23"/>
  <c r="B30" i="26"/>
  <c r="B30" i="18"/>
  <c r="B30" i="20"/>
  <c r="B30" i="27"/>
  <c r="B30" i="24"/>
  <c r="A30" i="25"/>
  <c r="B30" i="22"/>
  <c r="B30" i="21"/>
  <c r="B23" i="7"/>
  <c r="B30" i="23"/>
  <c r="F23" i="17"/>
  <c r="L20" i="29"/>
  <c r="N17" i="29" l="1"/>
  <c r="L22" i="17"/>
  <c r="E19" i="28" s="1"/>
  <c r="O17" i="29"/>
  <c r="E18" i="28"/>
  <c r="O18" i="29" s="1"/>
  <c r="I28" i="25"/>
  <c r="J28" i="25" s="1"/>
  <c r="J24" i="17" s="1"/>
  <c r="H28" i="25"/>
  <c r="H28" i="20"/>
  <c r="I28" i="20"/>
  <c r="J28" i="20" s="1"/>
  <c r="E23" i="17"/>
  <c r="K20" i="29"/>
  <c r="I30" i="24"/>
  <c r="J30" i="24" s="1"/>
  <c r="K26" i="17" s="1"/>
  <c r="H30" i="24"/>
  <c r="D23" i="17"/>
  <c r="J20" i="29"/>
  <c r="I28" i="21"/>
  <c r="J28" i="21" s="1"/>
  <c r="H28" i="21"/>
  <c r="I30" i="27"/>
  <c r="J30" i="27" s="1"/>
  <c r="H26" i="17" s="1"/>
  <c r="H30" i="27"/>
  <c r="I29" i="23"/>
  <c r="J29" i="23" s="1"/>
  <c r="H29" i="23"/>
  <c r="B31" i="26"/>
  <c r="B31" i="21"/>
  <c r="B31" i="27"/>
  <c r="B31" i="18"/>
  <c r="A31" i="25"/>
  <c r="B31" i="20"/>
  <c r="B31" i="22"/>
  <c r="B24" i="7"/>
  <c r="B31" i="24"/>
  <c r="B31" i="23"/>
  <c r="I30" i="22"/>
  <c r="J30" i="22" s="1"/>
  <c r="G26" i="17" s="1"/>
  <c r="H30" i="22"/>
  <c r="F24" i="17"/>
  <c r="L21" i="29"/>
  <c r="I30" i="26"/>
  <c r="J30" i="26" s="1"/>
  <c r="I26" i="17" s="1"/>
  <c r="H30" i="26"/>
  <c r="I29" i="18"/>
  <c r="J29" i="18" s="1"/>
  <c r="C25" i="17" s="1"/>
  <c r="H29" i="18"/>
  <c r="O22" i="17" l="1"/>
  <c r="N18" i="29"/>
  <c r="M18" i="29"/>
  <c r="L23" i="17"/>
  <c r="E20" i="28" s="1"/>
  <c r="M20" i="29" s="1"/>
  <c r="H29" i="25"/>
  <c r="I29" i="25"/>
  <c r="J29" i="25" s="1"/>
  <c r="J25" i="17" s="1"/>
  <c r="I29" i="20"/>
  <c r="J29" i="20" s="1"/>
  <c r="H29" i="20"/>
  <c r="K21" i="29"/>
  <c r="E24" i="17"/>
  <c r="I31" i="27"/>
  <c r="J31" i="27" s="1"/>
  <c r="H27" i="17" s="1"/>
  <c r="H31" i="27"/>
  <c r="A32" i="25"/>
  <c r="B32" i="26"/>
  <c r="B32" i="24"/>
  <c r="B32" i="20"/>
  <c r="B25" i="7"/>
  <c r="B32" i="22"/>
  <c r="B32" i="18"/>
  <c r="B32" i="21"/>
  <c r="B32" i="23"/>
  <c r="B32" i="27"/>
  <c r="I30" i="23"/>
  <c r="J30" i="23" s="1"/>
  <c r="H30" i="23"/>
  <c r="F25" i="17"/>
  <c r="L22" i="29"/>
  <c r="N19" i="29"/>
  <c r="O19" i="29"/>
  <c r="I29" i="21"/>
  <c r="J29" i="21" s="1"/>
  <c r="H29" i="21"/>
  <c r="I31" i="24"/>
  <c r="J31" i="24" s="1"/>
  <c r="K27" i="17" s="1"/>
  <c r="H31" i="24"/>
  <c r="I30" i="18"/>
  <c r="J30" i="18" s="1"/>
  <c r="C26" i="17" s="1"/>
  <c r="H30" i="18"/>
  <c r="J21" i="29"/>
  <c r="D24" i="17"/>
  <c r="I31" i="26"/>
  <c r="J31" i="26" s="1"/>
  <c r="I27" i="17" s="1"/>
  <c r="H31" i="26"/>
  <c r="M19" i="29"/>
  <c r="I31" i="22"/>
  <c r="J31" i="22" s="1"/>
  <c r="G27" i="17" s="1"/>
  <c r="H31" i="22"/>
  <c r="O23" i="17" l="1"/>
  <c r="L24" i="17"/>
  <c r="E21" i="28" s="1"/>
  <c r="M21" i="29" s="1"/>
  <c r="I30" i="25"/>
  <c r="J30" i="25" s="1"/>
  <c r="J26" i="17" s="1"/>
  <c r="H30" i="25"/>
  <c r="H30" i="20"/>
  <c r="I30" i="20"/>
  <c r="J30" i="20" s="1"/>
  <c r="K22" i="29"/>
  <c r="E25" i="17"/>
  <c r="I32" i="22"/>
  <c r="J32" i="22" s="1"/>
  <c r="G28" i="17" s="1"/>
  <c r="H32" i="22"/>
  <c r="D25" i="17"/>
  <c r="J22" i="29"/>
  <c r="I31" i="23"/>
  <c r="J31" i="23" s="1"/>
  <c r="H31" i="23"/>
  <c r="I31" i="18"/>
  <c r="J31" i="18" s="1"/>
  <c r="C27" i="17" s="1"/>
  <c r="H31" i="18"/>
  <c r="I32" i="26"/>
  <c r="J32" i="26" s="1"/>
  <c r="I28" i="17" s="1"/>
  <c r="H32" i="26"/>
  <c r="I32" i="27"/>
  <c r="J32" i="27" s="1"/>
  <c r="H28" i="17" s="1"/>
  <c r="H32" i="27"/>
  <c r="L23" i="29"/>
  <c r="F26" i="17"/>
  <c r="I32" i="24"/>
  <c r="J32" i="24" s="1"/>
  <c r="K28" i="17" s="1"/>
  <c r="H32" i="24"/>
  <c r="I30" i="21"/>
  <c r="J30" i="21" s="1"/>
  <c r="H30" i="21"/>
  <c r="B33" i="22"/>
  <c r="A33" i="25"/>
  <c r="B33" i="26"/>
  <c r="B33" i="23"/>
  <c r="B33" i="18"/>
  <c r="B33" i="20"/>
  <c r="B33" i="27"/>
  <c r="B33" i="21"/>
  <c r="B33" i="24"/>
  <c r="B26" i="7"/>
  <c r="N20" i="29"/>
  <c r="O20" i="29"/>
  <c r="O24" i="17" l="1"/>
  <c r="I31" i="25"/>
  <c r="J31" i="25" s="1"/>
  <c r="J27" i="17" s="1"/>
  <c r="H31" i="25"/>
  <c r="L25" i="17"/>
  <c r="O25" i="17" s="1"/>
  <c r="I31" i="20"/>
  <c r="J31" i="20" s="1"/>
  <c r="H31" i="20"/>
  <c r="E26" i="17"/>
  <c r="K23" i="29"/>
  <c r="B34" i="21"/>
  <c r="B34" i="24"/>
  <c r="B34" i="23"/>
  <c r="B27" i="7"/>
  <c r="A34" i="25"/>
  <c r="B34" i="27"/>
  <c r="B34" i="18"/>
  <c r="B34" i="20"/>
  <c r="B34" i="22"/>
  <c r="B34" i="26"/>
  <c r="I33" i="27"/>
  <c r="J33" i="27" s="1"/>
  <c r="H29" i="17" s="1"/>
  <c r="H33" i="27"/>
  <c r="I32" i="23"/>
  <c r="J32" i="23" s="1"/>
  <c r="H32" i="23"/>
  <c r="I31" i="21"/>
  <c r="J31" i="21" s="1"/>
  <c r="H31" i="21"/>
  <c r="I33" i="24"/>
  <c r="J33" i="24" s="1"/>
  <c r="K29" i="17" s="1"/>
  <c r="H33" i="24"/>
  <c r="I32" i="18"/>
  <c r="J32" i="18" s="1"/>
  <c r="C28" i="17" s="1"/>
  <c r="H32" i="18"/>
  <c r="L24" i="29"/>
  <c r="F27" i="17"/>
  <c r="I33" i="26"/>
  <c r="J33" i="26" s="1"/>
  <c r="I29" i="17" s="1"/>
  <c r="H33" i="26"/>
  <c r="N21" i="29"/>
  <c r="O21" i="29"/>
  <c r="I33" i="22"/>
  <c r="J33" i="22" s="1"/>
  <c r="G29" i="17" s="1"/>
  <c r="H33" i="22"/>
  <c r="J23" i="29"/>
  <c r="D26" i="17"/>
  <c r="E22" i="28" l="1"/>
  <c r="M22" i="29" s="1"/>
  <c r="H32" i="25"/>
  <c r="I32" i="25"/>
  <c r="J32" i="25" s="1"/>
  <c r="J28" i="17" s="1"/>
  <c r="L26" i="17"/>
  <c r="E23" i="28" s="1"/>
  <c r="M23" i="29" s="1"/>
  <c r="I32" i="20"/>
  <c r="J32" i="20" s="1"/>
  <c r="H32" i="20"/>
  <c r="K24" i="29"/>
  <c r="E27" i="17"/>
  <c r="I33" i="18"/>
  <c r="J33" i="18" s="1"/>
  <c r="C29" i="17" s="1"/>
  <c r="H33" i="18"/>
  <c r="I33" i="23"/>
  <c r="J33" i="23" s="1"/>
  <c r="H33" i="23"/>
  <c r="I34" i="24"/>
  <c r="J34" i="24" s="1"/>
  <c r="K30" i="17" s="1"/>
  <c r="H34" i="24"/>
  <c r="F28" i="17"/>
  <c r="L25" i="29"/>
  <c r="I34" i="22"/>
  <c r="J34" i="22" s="1"/>
  <c r="G30" i="17" s="1"/>
  <c r="H34" i="22"/>
  <c r="I34" i="27"/>
  <c r="J34" i="27" s="1"/>
  <c r="H30" i="17" s="1"/>
  <c r="H34" i="27"/>
  <c r="I32" i="21"/>
  <c r="J32" i="21" s="1"/>
  <c r="H32" i="21"/>
  <c r="B35" i="26"/>
  <c r="B35" i="27"/>
  <c r="B35" i="22"/>
  <c r="B28" i="7"/>
  <c r="B35" i="23"/>
  <c r="B35" i="20"/>
  <c r="A35" i="25"/>
  <c r="B35" i="21"/>
  <c r="B35" i="18"/>
  <c r="B35" i="24"/>
  <c r="I34" i="26"/>
  <c r="J34" i="26" s="1"/>
  <c r="I30" i="17" s="1"/>
  <c r="H34" i="26"/>
  <c r="D27" i="17"/>
  <c r="J24" i="29"/>
  <c r="O26" i="17" l="1"/>
  <c r="O22" i="29"/>
  <c r="N22" i="29"/>
  <c r="L27" i="17"/>
  <c r="E24" i="28" s="1"/>
  <c r="I33" i="25"/>
  <c r="J33" i="25" s="1"/>
  <c r="J29" i="17" s="1"/>
  <c r="H33" i="25"/>
  <c r="I33" i="20"/>
  <c r="J33" i="20" s="1"/>
  <c r="H33" i="20"/>
  <c r="E28" i="17"/>
  <c r="K25" i="29"/>
  <c r="I33" i="21"/>
  <c r="J33" i="21" s="1"/>
  <c r="H33" i="21"/>
  <c r="I35" i="24"/>
  <c r="J35" i="24" s="1"/>
  <c r="K31" i="17" s="1"/>
  <c r="H35" i="24"/>
  <c r="J25" i="29"/>
  <c r="D28" i="17"/>
  <c r="I35" i="22"/>
  <c r="J35" i="22" s="1"/>
  <c r="G31" i="17" s="1"/>
  <c r="H35" i="22"/>
  <c r="I35" i="26"/>
  <c r="J35" i="26" s="1"/>
  <c r="I31" i="17" s="1"/>
  <c r="H35" i="26"/>
  <c r="I34" i="23"/>
  <c r="J34" i="23" s="1"/>
  <c r="H34" i="23"/>
  <c r="A36" i="25"/>
  <c r="B36" i="26"/>
  <c r="B36" i="22"/>
  <c r="B36" i="20"/>
  <c r="B36" i="24"/>
  <c r="B36" i="18"/>
  <c r="B29" i="7"/>
  <c r="B36" i="27"/>
  <c r="B36" i="23"/>
  <c r="B36" i="21"/>
  <c r="L26" i="29"/>
  <c r="F29" i="17"/>
  <c r="I34" i="18"/>
  <c r="J34" i="18" s="1"/>
  <c r="C30" i="17" s="1"/>
  <c r="H34" i="18"/>
  <c r="N23" i="29"/>
  <c r="O23" i="29"/>
  <c r="I35" i="27"/>
  <c r="J35" i="27" s="1"/>
  <c r="H31" i="17" s="1"/>
  <c r="H35" i="27"/>
  <c r="O27" i="17" l="1"/>
  <c r="H34" i="25"/>
  <c r="I34" i="25"/>
  <c r="J34" i="25" s="1"/>
  <c r="J30" i="17" s="1"/>
  <c r="L28" i="17"/>
  <c r="O28" i="17" s="1"/>
  <c r="I34" i="20"/>
  <c r="J34" i="20" s="1"/>
  <c r="H34" i="20"/>
  <c r="E29" i="17"/>
  <c r="K26" i="29"/>
  <c r="F30" i="17"/>
  <c r="L27" i="29"/>
  <c r="N24" i="29"/>
  <c r="O24" i="29"/>
  <c r="M24" i="29"/>
  <c r="A37" i="25"/>
  <c r="B37" i="21"/>
  <c r="B37" i="23"/>
  <c r="B37" i="22"/>
  <c r="B37" i="27"/>
  <c r="B37" i="20"/>
  <c r="B37" i="24"/>
  <c r="B30" i="7"/>
  <c r="B37" i="18"/>
  <c r="B37" i="26"/>
  <c r="I36" i="24"/>
  <c r="J36" i="24" s="1"/>
  <c r="K32" i="17" s="1"/>
  <c r="H36" i="24"/>
  <c r="I36" i="26"/>
  <c r="J36" i="26" s="1"/>
  <c r="I32" i="17" s="1"/>
  <c r="H36" i="26"/>
  <c r="I34" i="21"/>
  <c r="J34" i="21" s="1"/>
  <c r="H34" i="21"/>
  <c r="I36" i="27"/>
  <c r="J36" i="27" s="1"/>
  <c r="H32" i="17" s="1"/>
  <c r="H36" i="27"/>
  <c r="I35" i="18"/>
  <c r="J35" i="18" s="1"/>
  <c r="C31" i="17" s="1"/>
  <c r="H35" i="18"/>
  <c r="I35" i="23"/>
  <c r="J35" i="23" s="1"/>
  <c r="H35" i="23"/>
  <c r="I36" i="22"/>
  <c r="J36" i="22" s="1"/>
  <c r="G32" i="17" s="1"/>
  <c r="H36" i="22"/>
  <c r="D29" i="17"/>
  <c r="J26" i="29"/>
  <c r="L29" i="17" l="1"/>
  <c r="E26" i="28" s="1"/>
  <c r="M26" i="29" s="1"/>
  <c r="E25" i="28"/>
  <c r="N25" i="29" s="1"/>
  <c r="I35" i="25"/>
  <c r="J35" i="25" s="1"/>
  <c r="J31" i="17" s="1"/>
  <c r="H35" i="25"/>
  <c r="H35" i="20"/>
  <c r="I35" i="20"/>
  <c r="J35" i="20" s="1"/>
  <c r="K27" i="29"/>
  <c r="E30" i="17"/>
  <c r="I36" i="23"/>
  <c r="J36" i="23" s="1"/>
  <c r="H36" i="23"/>
  <c r="F31" i="17"/>
  <c r="L28" i="29"/>
  <c r="I36" i="18"/>
  <c r="J36" i="18" s="1"/>
  <c r="C32" i="17" s="1"/>
  <c r="H36" i="18"/>
  <c r="I35" i="21"/>
  <c r="J35" i="21" s="1"/>
  <c r="H35" i="21"/>
  <c r="D30" i="17"/>
  <c r="J27" i="29"/>
  <c r="I37" i="27"/>
  <c r="J37" i="27" s="1"/>
  <c r="H33" i="17" s="1"/>
  <c r="H37" i="27"/>
  <c r="B38" i="27"/>
  <c r="A38" i="25"/>
  <c r="B38" i="21"/>
  <c r="B38" i="24"/>
  <c r="B38" i="23"/>
  <c r="B38" i="26"/>
  <c r="B38" i="18"/>
  <c r="B31" i="7"/>
  <c r="B38" i="20"/>
  <c r="B38" i="22"/>
  <c r="I37" i="26"/>
  <c r="J37" i="26" s="1"/>
  <c r="I33" i="17" s="1"/>
  <c r="H37" i="26"/>
  <c r="I37" i="22"/>
  <c r="J37" i="22" s="1"/>
  <c r="G33" i="17" s="1"/>
  <c r="H37" i="22"/>
  <c r="I37" i="24"/>
  <c r="J37" i="24" s="1"/>
  <c r="K33" i="17" s="1"/>
  <c r="H37" i="24"/>
  <c r="O25" i="29" l="1"/>
  <c r="O29" i="17"/>
  <c r="M25" i="29"/>
  <c r="H36" i="25"/>
  <c r="I36" i="25"/>
  <c r="J36" i="25" s="1"/>
  <c r="J32" i="17" s="1"/>
  <c r="L30" i="17"/>
  <c r="O30" i="17" s="1"/>
  <c r="E31" i="17"/>
  <c r="K28" i="29"/>
  <c r="I36" i="20"/>
  <c r="J36" i="20" s="1"/>
  <c r="H36" i="20"/>
  <c r="I38" i="22"/>
  <c r="J38" i="22" s="1"/>
  <c r="G34" i="17" s="1"/>
  <c r="H38" i="22"/>
  <c r="N26" i="29"/>
  <c r="O26" i="29"/>
  <c r="I38" i="24"/>
  <c r="J38" i="24" s="1"/>
  <c r="K34" i="17" s="1"/>
  <c r="H38" i="24"/>
  <c r="B39" i="26"/>
  <c r="B39" i="20"/>
  <c r="B39" i="22"/>
  <c r="B39" i="27"/>
  <c r="B32" i="7"/>
  <c r="B39" i="18"/>
  <c r="A39" i="25"/>
  <c r="B39" i="23"/>
  <c r="B39" i="21"/>
  <c r="B39" i="24"/>
  <c r="I38" i="26"/>
  <c r="J38" i="26" s="1"/>
  <c r="I34" i="17" s="1"/>
  <c r="H38" i="26"/>
  <c r="D31" i="17"/>
  <c r="J28" i="29"/>
  <c r="I37" i="23"/>
  <c r="J37" i="23" s="1"/>
  <c r="H37" i="23"/>
  <c r="I38" i="27"/>
  <c r="J38" i="27" s="1"/>
  <c r="H34" i="17" s="1"/>
  <c r="H38" i="27"/>
  <c r="I36" i="21"/>
  <c r="J36" i="21" s="1"/>
  <c r="H36" i="21"/>
  <c r="I37" i="18"/>
  <c r="J37" i="18" s="1"/>
  <c r="C33" i="17" s="1"/>
  <c r="H37" i="18"/>
  <c r="L29" i="29"/>
  <c r="F32" i="17"/>
  <c r="E27" i="28" l="1"/>
  <c r="M27" i="29" s="1"/>
  <c r="I37" i="25"/>
  <c r="J37" i="25" s="1"/>
  <c r="J33" i="17" s="1"/>
  <c r="H37" i="25"/>
  <c r="L31" i="17"/>
  <c r="O31" i="17" s="1"/>
  <c r="I37" i="20"/>
  <c r="J37" i="20" s="1"/>
  <c r="H37" i="20"/>
  <c r="E32" i="17"/>
  <c r="K29" i="29"/>
  <c r="I38" i="23"/>
  <c r="J38" i="23" s="1"/>
  <c r="H38" i="23"/>
  <c r="I39" i="24"/>
  <c r="J39" i="24" s="1"/>
  <c r="K35" i="17" s="1"/>
  <c r="H39" i="24"/>
  <c r="I38" i="18"/>
  <c r="J38" i="18" s="1"/>
  <c r="C34" i="17" s="1"/>
  <c r="H38" i="18"/>
  <c r="L30" i="29"/>
  <c r="F33" i="17"/>
  <c r="I39" i="22"/>
  <c r="J39" i="22" s="1"/>
  <c r="G35" i="17" s="1"/>
  <c r="H39" i="22"/>
  <c r="B40" i="18"/>
  <c r="B40" i="24"/>
  <c r="B40" i="26"/>
  <c r="B40" i="27"/>
  <c r="B40" i="21"/>
  <c r="B40" i="23"/>
  <c r="B33" i="7"/>
  <c r="B40" i="20"/>
  <c r="A40" i="25"/>
  <c r="B40" i="22"/>
  <c r="I37" i="21"/>
  <c r="J37" i="21" s="1"/>
  <c r="H37" i="21"/>
  <c r="I39" i="26"/>
  <c r="J39" i="26" s="1"/>
  <c r="I35" i="17" s="1"/>
  <c r="H39" i="26"/>
  <c r="D32" i="17"/>
  <c r="J29" i="29"/>
  <c r="I39" i="27"/>
  <c r="J39" i="27" s="1"/>
  <c r="H35" i="17" s="1"/>
  <c r="H39" i="27"/>
  <c r="O27" i="29" l="1"/>
  <c r="N27" i="29"/>
  <c r="E28" i="28"/>
  <c r="M28" i="29" s="1"/>
  <c r="I38" i="25"/>
  <c r="J38" i="25" s="1"/>
  <c r="J34" i="17" s="1"/>
  <c r="H38" i="25"/>
  <c r="L32" i="17"/>
  <c r="E29" i="28" s="1"/>
  <c r="M29" i="29" s="1"/>
  <c r="I38" i="20"/>
  <c r="J38" i="20" s="1"/>
  <c r="H38" i="20"/>
  <c r="E33" i="17"/>
  <c r="K30" i="29"/>
  <c r="J30" i="29"/>
  <c r="D33" i="17"/>
  <c r="I38" i="21"/>
  <c r="J38" i="21" s="1"/>
  <c r="H38" i="21"/>
  <c r="I40" i="24"/>
  <c r="J40" i="24" s="1"/>
  <c r="K36" i="17" s="1"/>
  <c r="H40" i="24"/>
  <c r="B41" i="22"/>
  <c r="B41" i="24"/>
  <c r="A41" i="25"/>
  <c r="B41" i="23"/>
  <c r="B41" i="21"/>
  <c r="B34" i="7"/>
  <c r="B41" i="26"/>
  <c r="B41" i="27"/>
  <c r="B41" i="20"/>
  <c r="B41" i="18"/>
  <c r="I39" i="23"/>
  <c r="J39" i="23" s="1"/>
  <c r="H39" i="23"/>
  <c r="I40" i="26"/>
  <c r="J40" i="26" s="1"/>
  <c r="I36" i="17" s="1"/>
  <c r="H40" i="26"/>
  <c r="I40" i="22"/>
  <c r="J40" i="22" s="1"/>
  <c r="G36" i="17" s="1"/>
  <c r="H40" i="22"/>
  <c r="F34" i="17"/>
  <c r="L31" i="29"/>
  <c r="I40" i="27"/>
  <c r="J40" i="27" s="1"/>
  <c r="H36" i="17" s="1"/>
  <c r="H40" i="27"/>
  <c r="I39" i="18"/>
  <c r="J39" i="18" s="1"/>
  <c r="C35" i="17" s="1"/>
  <c r="H39" i="18"/>
  <c r="O32" i="17" l="1"/>
  <c r="O28" i="29"/>
  <c r="N28" i="29"/>
  <c r="H39" i="25"/>
  <c r="I39" i="25"/>
  <c r="J39" i="25" s="1"/>
  <c r="J35" i="17" s="1"/>
  <c r="L33" i="17"/>
  <c r="O33" i="17" s="1"/>
  <c r="I39" i="20"/>
  <c r="J39" i="20" s="1"/>
  <c r="H39" i="20"/>
  <c r="E34" i="17"/>
  <c r="K31" i="29"/>
  <c r="I41" i="27"/>
  <c r="J41" i="27" s="1"/>
  <c r="H37" i="17" s="1"/>
  <c r="H41" i="27"/>
  <c r="N29" i="29"/>
  <c r="O29" i="29"/>
  <c r="I41" i="26"/>
  <c r="J41" i="26" s="1"/>
  <c r="I37" i="17" s="1"/>
  <c r="H41" i="26"/>
  <c r="F35" i="17"/>
  <c r="L32" i="29"/>
  <c r="I39" i="21"/>
  <c r="J39" i="21" s="1"/>
  <c r="H39" i="21"/>
  <c r="D34" i="17"/>
  <c r="J31" i="29"/>
  <c r="I40" i="18"/>
  <c r="J40" i="18" s="1"/>
  <c r="C36" i="17" s="1"/>
  <c r="H40" i="18"/>
  <c r="B42" i="24"/>
  <c r="B42" i="21"/>
  <c r="B42" i="26"/>
  <c r="B42" i="18"/>
  <c r="B42" i="22"/>
  <c r="B42" i="20"/>
  <c r="B35" i="7"/>
  <c r="B42" i="23"/>
  <c r="A42" i="25"/>
  <c r="B42" i="27"/>
  <c r="I40" i="23"/>
  <c r="J40" i="23" s="1"/>
  <c r="H40" i="23"/>
  <c r="I41" i="22"/>
  <c r="J41" i="22" s="1"/>
  <c r="G37" i="17" s="1"/>
  <c r="H41" i="22"/>
  <c r="I41" i="24"/>
  <c r="J41" i="24" s="1"/>
  <c r="K37" i="17" s="1"/>
  <c r="H41" i="24"/>
  <c r="L34" i="17" l="1"/>
  <c r="E31" i="28" s="1"/>
  <c r="M31" i="29" s="1"/>
  <c r="E30" i="28"/>
  <c r="N30" i="29" s="1"/>
  <c r="I40" i="25"/>
  <c r="J40" i="25" s="1"/>
  <c r="J36" i="17" s="1"/>
  <c r="H40" i="25"/>
  <c r="I40" i="20"/>
  <c r="J40" i="20" s="1"/>
  <c r="H40" i="20"/>
  <c r="E35" i="17"/>
  <c r="K32" i="29"/>
  <c r="I40" i="21"/>
  <c r="J40" i="21" s="1"/>
  <c r="H40" i="21"/>
  <c r="D35" i="17"/>
  <c r="J32" i="29"/>
  <c r="I42" i="27"/>
  <c r="J42" i="27" s="1"/>
  <c r="H38" i="17" s="1"/>
  <c r="H42" i="27"/>
  <c r="I42" i="22"/>
  <c r="J42" i="22" s="1"/>
  <c r="G38" i="17" s="1"/>
  <c r="H42" i="22"/>
  <c r="I41" i="18"/>
  <c r="J41" i="18" s="1"/>
  <c r="C37" i="17" s="1"/>
  <c r="H41" i="18"/>
  <c r="I41" i="23"/>
  <c r="J41" i="23" s="1"/>
  <c r="H41" i="23"/>
  <c r="A43" i="25"/>
  <c r="B43" i="20"/>
  <c r="B43" i="26"/>
  <c r="B43" i="21"/>
  <c r="B43" i="22"/>
  <c r="B36" i="7"/>
  <c r="B43" i="24"/>
  <c r="B43" i="23"/>
  <c r="B43" i="18"/>
  <c r="B43" i="27"/>
  <c r="F36" i="17"/>
  <c r="L33" i="29"/>
  <c r="I42" i="24"/>
  <c r="J42" i="24" s="1"/>
  <c r="K38" i="17" s="1"/>
  <c r="H42" i="24"/>
  <c r="I42" i="26"/>
  <c r="J42" i="26" s="1"/>
  <c r="I38" i="17" s="1"/>
  <c r="H42" i="26"/>
  <c r="O30" i="29" l="1"/>
  <c r="O34" i="17"/>
  <c r="M30" i="29"/>
  <c r="I41" i="25"/>
  <c r="J41" i="25" s="1"/>
  <c r="J37" i="17" s="1"/>
  <c r="H41" i="25"/>
  <c r="L35" i="17"/>
  <c r="E32" i="28" s="1"/>
  <c r="M32" i="29" s="1"/>
  <c r="I41" i="20"/>
  <c r="J41" i="20" s="1"/>
  <c r="H41" i="20"/>
  <c r="K33" i="29"/>
  <c r="E36" i="17"/>
  <c r="N31" i="29"/>
  <c r="O31" i="29"/>
  <c r="I43" i="22"/>
  <c r="J43" i="22" s="1"/>
  <c r="G39" i="17" s="1"/>
  <c r="H43" i="22"/>
  <c r="I43" i="27"/>
  <c r="J43" i="27" s="1"/>
  <c r="H39" i="17" s="1"/>
  <c r="H43" i="27"/>
  <c r="I43" i="26"/>
  <c r="J43" i="26" s="1"/>
  <c r="I39" i="17" s="1"/>
  <c r="H43" i="26"/>
  <c r="I43" i="24"/>
  <c r="J43" i="24" s="1"/>
  <c r="K39" i="17" s="1"/>
  <c r="H43" i="24"/>
  <c r="B44" i="27"/>
  <c r="B44" i="21"/>
  <c r="B44" i="23"/>
  <c r="B37" i="7"/>
  <c r="A44" i="25"/>
  <c r="B44" i="26"/>
  <c r="B44" i="24"/>
  <c r="B44" i="20"/>
  <c r="B44" i="18"/>
  <c r="B44" i="22"/>
  <c r="I42" i="23"/>
  <c r="J42" i="23" s="1"/>
  <c r="H42" i="23"/>
  <c r="F37" i="17"/>
  <c r="L34" i="29"/>
  <c r="I41" i="21"/>
  <c r="J41" i="21" s="1"/>
  <c r="H41" i="21"/>
  <c r="I42" i="18"/>
  <c r="J42" i="18" s="1"/>
  <c r="C38" i="17" s="1"/>
  <c r="H42" i="18"/>
  <c r="D36" i="17"/>
  <c r="J33" i="29"/>
  <c r="L36" i="17" l="1"/>
  <c r="O36" i="17" s="1"/>
  <c r="I42" i="25"/>
  <c r="J42" i="25" s="1"/>
  <c r="J38" i="17" s="1"/>
  <c r="H42" i="25"/>
  <c r="O35" i="17"/>
  <c r="I42" i="20"/>
  <c r="J42" i="20" s="1"/>
  <c r="H42" i="20"/>
  <c r="E37" i="17"/>
  <c r="K34" i="29"/>
  <c r="I44" i="22"/>
  <c r="J44" i="22" s="1"/>
  <c r="G40" i="17" s="1"/>
  <c r="H44" i="22"/>
  <c r="I42" i="21"/>
  <c r="J42" i="21" s="1"/>
  <c r="H42" i="21"/>
  <c r="B45" i="20"/>
  <c r="B45" i="21"/>
  <c r="A45" i="25"/>
  <c r="B45" i="27"/>
  <c r="B45" i="18"/>
  <c r="B38" i="7"/>
  <c r="B45" i="23"/>
  <c r="B45" i="22"/>
  <c r="B45" i="26"/>
  <c r="B45" i="24"/>
  <c r="I43" i="18"/>
  <c r="J43" i="18" s="1"/>
  <c r="C39" i="17" s="1"/>
  <c r="H43" i="18"/>
  <c r="F38" i="17"/>
  <c r="L35" i="29"/>
  <c r="N32" i="29"/>
  <c r="O32" i="29"/>
  <c r="I44" i="26"/>
  <c r="J44" i="26" s="1"/>
  <c r="I40" i="17" s="1"/>
  <c r="H44" i="26"/>
  <c r="I43" i="23"/>
  <c r="J43" i="23" s="1"/>
  <c r="H43" i="23"/>
  <c r="I44" i="24"/>
  <c r="J44" i="24" s="1"/>
  <c r="K40" i="17" s="1"/>
  <c r="H44" i="24"/>
  <c r="J34" i="29"/>
  <c r="D37" i="17"/>
  <c r="I44" i="27"/>
  <c r="J44" i="27" s="1"/>
  <c r="H40" i="17" s="1"/>
  <c r="H44" i="27"/>
  <c r="E33" i="28" l="1"/>
  <c r="N33" i="29" s="1"/>
  <c r="I43" i="25"/>
  <c r="J43" i="25" s="1"/>
  <c r="J39" i="17" s="1"/>
  <c r="H43" i="25"/>
  <c r="L37" i="17"/>
  <c r="E34" i="28" s="1"/>
  <c r="M34" i="29" s="1"/>
  <c r="H43" i="20"/>
  <c r="I43" i="20"/>
  <c r="J43" i="20" s="1"/>
  <c r="K35" i="29"/>
  <c r="E38" i="17"/>
  <c r="I43" i="21"/>
  <c r="J43" i="21" s="1"/>
  <c r="H43" i="21"/>
  <c r="D38" i="17"/>
  <c r="J35" i="29"/>
  <c r="I44" i="23"/>
  <c r="J44" i="23" s="1"/>
  <c r="H44" i="23"/>
  <c r="I44" i="18"/>
  <c r="J44" i="18" s="1"/>
  <c r="C40" i="17" s="1"/>
  <c r="H44" i="18"/>
  <c r="B46" i="22"/>
  <c r="B46" i="20"/>
  <c r="B39" i="7"/>
  <c r="B46" i="27"/>
  <c r="B46" i="23"/>
  <c r="B46" i="26"/>
  <c r="B46" i="18"/>
  <c r="B46" i="24"/>
  <c r="B46" i="21"/>
  <c r="A46" i="25"/>
  <c r="F39" i="17"/>
  <c r="L36" i="29"/>
  <c r="I45" i="26"/>
  <c r="J45" i="26" s="1"/>
  <c r="I41" i="17" s="1"/>
  <c r="H45" i="26"/>
  <c r="I45" i="27"/>
  <c r="J45" i="27" s="1"/>
  <c r="H41" i="17" s="1"/>
  <c r="H45" i="27"/>
  <c r="I45" i="24"/>
  <c r="J45" i="24" s="1"/>
  <c r="K41" i="17" s="1"/>
  <c r="H45" i="24"/>
  <c r="I45" i="22"/>
  <c r="J45" i="22" s="1"/>
  <c r="G41" i="17" s="1"/>
  <c r="H45" i="22"/>
  <c r="M33" i="29" l="1"/>
  <c r="O33" i="29"/>
  <c r="O37" i="17"/>
  <c r="I44" i="25"/>
  <c r="J44" i="25" s="1"/>
  <c r="J40" i="17" s="1"/>
  <c r="H44" i="25"/>
  <c r="E39" i="17"/>
  <c r="K36" i="29"/>
  <c r="L38" i="17"/>
  <c r="O38" i="17" s="1"/>
  <c r="I44" i="20"/>
  <c r="J44" i="20" s="1"/>
  <c r="H44" i="20"/>
  <c r="I46" i="27"/>
  <c r="J46" i="27" s="1"/>
  <c r="H42" i="17" s="1"/>
  <c r="H46" i="27"/>
  <c r="I46" i="26"/>
  <c r="J46" i="26" s="1"/>
  <c r="I42" i="17" s="1"/>
  <c r="H46" i="26"/>
  <c r="I45" i="18"/>
  <c r="J45" i="18" s="1"/>
  <c r="C41" i="17" s="1"/>
  <c r="H45" i="18"/>
  <c r="B47" i="18"/>
  <c r="B47" i="24"/>
  <c r="B47" i="23"/>
  <c r="A47" i="25"/>
  <c r="B47" i="20"/>
  <c r="B47" i="26"/>
  <c r="B47" i="21"/>
  <c r="B40" i="7"/>
  <c r="B47" i="22"/>
  <c r="B47" i="27"/>
  <c r="I46" i="24"/>
  <c r="J46" i="24" s="1"/>
  <c r="K42" i="17" s="1"/>
  <c r="H46" i="24"/>
  <c r="I46" i="22"/>
  <c r="J46" i="22" s="1"/>
  <c r="G42" i="17" s="1"/>
  <c r="H46" i="22"/>
  <c r="N34" i="29"/>
  <c r="O34" i="29"/>
  <c r="I45" i="23"/>
  <c r="J45" i="23" s="1"/>
  <c r="H45" i="23"/>
  <c r="I44" i="21"/>
  <c r="J44" i="21" s="1"/>
  <c r="H44" i="21"/>
  <c r="F40" i="17"/>
  <c r="L37" i="29"/>
  <c r="D39" i="17"/>
  <c r="J36" i="29"/>
  <c r="E35" i="28" l="1"/>
  <c r="M35" i="29" s="1"/>
  <c r="I45" i="25"/>
  <c r="J45" i="25" s="1"/>
  <c r="J41" i="17" s="1"/>
  <c r="H45" i="25"/>
  <c r="L39" i="17"/>
  <c r="E36" i="28" s="1"/>
  <c r="I45" i="20"/>
  <c r="J45" i="20" s="1"/>
  <c r="H45" i="20"/>
  <c r="K37" i="29"/>
  <c r="E40" i="17"/>
  <c r="B48" i="23"/>
  <c r="B41" i="7"/>
  <c r="A48" i="25"/>
  <c r="B48" i="22"/>
  <c r="B48" i="26"/>
  <c r="B48" i="27"/>
  <c r="B48" i="21"/>
  <c r="B48" i="24"/>
  <c r="B48" i="18"/>
  <c r="B48" i="20"/>
  <c r="I46" i="18"/>
  <c r="J46" i="18" s="1"/>
  <c r="C42" i="17" s="1"/>
  <c r="H46" i="18"/>
  <c r="I47" i="26"/>
  <c r="J47" i="26" s="1"/>
  <c r="I43" i="17" s="1"/>
  <c r="H47" i="26"/>
  <c r="I47" i="22"/>
  <c r="J47" i="22" s="1"/>
  <c r="G43" i="17" s="1"/>
  <c r="H47" i="22"/>
  <c r="I45" i="21"/>
  <c r="J45" i="21" s="1"/>
  <c r="H45" i="21"/>
  <c r="D40" i="17"/>
  <c r="J37" i="29"/>
  <c r="I46" i="23"/>
  <c r="J46" i="23" s="1"/>
  <c r="H46" i="23"/>
  <c r="I47" i="24"/>
  <c r="J47" i="24" s="1"/>
  <c r="K43" i="17" s="1"/>
  <c r="H47" i="24"/>
  <c r="I47" i="27"/>
  <c r="J47" i="27" s="1"/>
  <c r="H43" i="17" s="1"/>
  <c r="H47" i="27"/>
  <c r="F41" i="17"/>
  <c r="L38" i="29"/>
  <c r="O39" i="17" l="1"/>
  <c r="O35" i="29"/>
  <c r="N35" i="29"/>
  <c r="I46" i="25"/>
  <c r="J46" i="25" s="1"/>
  <c r="J42" i="17" s="1"/>
  <c r="H46" i="25"/>
  <c r="L40" i="17"/>
  <c r="E37" i="28" s="1"/>
  <c r="H46" i="20"/>
  <c r="I46" i="20"/>
  <c r="J46" i="20" s="1"/>
  <c r="K38" i="29"/>
  <c r="E41" i="17"/>
  <c r="I46" i="21"/>
  <c r="J46" i="21" s="1"/>
  <c r="H46" i="21"/>
  <c r="D41" i="17"/>
  <c r="J38" i="29"/>
  <c r="I47" i="18"/>
  <c r="J47" i="18" s="1"/>
  <c r="C43" i="17" s="1"/>
  <c r="H47" i="18"/>
  <c r="B49" i="22"/>
  <c r="B49" i="24"/>
  <c r="A49" i="25"/>
  <c r="B49" i="21"/>
  <c r="B49" i="26"/>
  <c r="B42" i="7"/>
  <c r="B49" i="20"/>
  <c r="B49" i="27"/>
  <c r="B49" i="23"/>
  <c r="B49" i="18"/>
  <c r="N36" i="29"/>
  <c r="O36" i="29"/>
  <c r="I48" i="26"/>
  <c r="J48" i="26" s="1"/>
  <c r="I44" i="17" s="1"/>
  <c r="H48" i="26"/>
  <c r="I48" i="22"/>
  <c r="J48" i="22" s="1"/>
  <c r="G44" i="17" s="1"/>
  <c r="H48" i="22"/>
  <c r="M36" i="29"/>
  <c r="I47" i="23"/>
  <c r="J47" i="23" s="1"/>
  <c r="H47" i="23"/>
  <c r="F42" i="17"/>
  <c r="L39" i="29"/>
  <c r="I48" i="27"/>
  <c r="J48" i="27" s="1"/>
  <c r="H44" i="17" s="1"/>
  <c r="H48" i="27"/>
  <c r="I48" i="24"/>
  <c r="J48" i="24" s="1"/>
  <c r="K44" i="17" s="1"/>
  <c r="H48" i="24"/>
  <c r="O40" i="17" l="1"/>
  <c r="L41" i="17"/>
  <c r="O41" i="17" s="1"/>
  <c r="H47" i="25"/>
  <c r="I47" i="25"/>
  <c r="J47" i="25" s="1"/>
  <c r="J43" i="17" s="1"/>
  <c r="E42" i="17"/>
  <c r="K39" i="29"/>
  <c r="I47" i="20"/>
  <c r="J47" i="20" s="1"/>
  <c r="H47" i="20"/>
  <c r="I48" i="18"/>
  <c r="J48" i="18" s="1"/>
  <c r="C44" i="17" s="1"/>
  <c r="H48" i="18"/>
  <c r="F43" i="17"/>
  <c r="L40" i="29"/>
  <c r="I49" i="27"/>
  <c r="J49" i="27" s="1"/>
  <c r="H45" i="17" s="1"/>
  <c r="H49" i="27"/>
  <c r="I48" i="23"/>
  <c r="J48" i="23" s="1"/>
  <c r="H48" i="23"/>
  <c r="B50" i="27"/>
  <c r="B50" i="24"/>
  <c r="B50" i="23"/>
  <c r="B50" i="26"/>
  <c r="B50" i="18"/>
  <c r="B50" i="20"/>
  <c r="B50" i="21"/>
  <c r="A50" i="25"/>
  <c r="B50" i="22"/>
  <c r="B43" i="7"/>
  <c r="I49" i="22"/>
  <c r="J49" i="22" s="1"/>
  <c r="G45" i="17" s="1"/>
  <c r="H49" i="22"/>
  <c r="I47" i="21"/>
  <c r="J47" i="21" s="1"/>
  <c r="H47" i="21"/>
  <c r="N37" i="29"/>
  <c r="O37" i="29"/>
  <c r="I49" i="24"/>
  <c r="J49" i="24" s="1"/>
  <c r="K45" i="17" s="1"/>
  <c r="H49" i="24"/>
  <c r="M37" i="29"/>
  <c r="I49" i="26"/>
  <c r="J49" i="26" s="1"/>
  <c r="I45" i="17" s="1"/>
  <c r="H49" i="26"/>
  <c r="D42" i="17"/>
  <c r="J39" i="29"/>
  <c r="L42" i="17" l="1"/>
  <c r="O42" i="17" s="1"/>
  <c r="E38" i="28"/>
  <c r="N38" i="29" s="1"/>
  <c r="I48" i="25"/>
  <c r="J48" i="25" s="1"/>
  <c r="J44" i="17" s="1"/>
  <c r="H48" i="25"/>
  <c r="H48" i="20"/>
  <c r="I48" i="20"/>
  <c r="J48" i="20" s="1"/>
  <c r="K40" i="29"/>
  <c r="E43" i="17"/>
  <c r="I50" i="22"/>
  <c r="J50" i="22" s="1"/>
  <c r="G46" i="17" s="1"/>
  <c r="H50" i="22"/>
  <c r="I50" i="27"/>
  <c r="J50" i="27" s="1"/>
  <c r="H46" i="17" s="1"/>
  <c r="H50" i="27"/>
  <c r="I49" i="18"/>
  <c r="J49" i="18" s="1"/>
  <c r="C45" i="17" s="1"/>
  <c r="H49" i="18"/>
  <c r="A51" i="25"/>
  <c r="B51" i="21"/>
  <c r="B51" i="22"/>
  <c r="B51" i="23"/>
  <c r="B51" i="24"/>
  <c r="B51" i="26"/>
  <c r="B44" i="7"/>
  <c r="B51" i="20"/>
  <c r="B51" i="18"/>
  <c r="B51" i="27"/>
  <c r="F44" i="17"/>
  <c r="L41" i="29"/>
  <c r="I48" i="21"/>
  <c r="J48" i="21" s="1"/>
  <c r="H48" i="21"/>
  <c r="I50" i="24"/>
  <c r="J50" i="24" s="1"/>
  <c r="K46" i="17" s="1"/>
  <c r="H50" i="24"/>
  <c r="I49" i="23"/>
  <c r="J49" i="23" s="1"/>
  <c r="H49" i="23"/>
  <c r="I50" i="26"/>
  <c r="J50" i="26" s="1"/>
  <c r="I46" i="17" s="1"/>
  <c r="H50" i="26"/>
  <c r="J40" i="29"/>
  <c r="D43" i="17"/>
  <c r="E39" i="28" l="1"/>
  <c r="M39" i="29" s="1"/>
  <c r="L43" i="17"/>
  <c r="O43" i="17" s="1"/>
  <c r="M38" i="29"/>
  <c r="O38" i="29"/>
  <c r="H49" i="25"/>
  <c r="I49" i="25"/>
  <c r="J49" i="25" s="1"/>
  <c r="J45" i="17" s="1"/>
  <c r="E44" i="17"/>
  <c r="K41" i="29"/>
  <c r="I49" i="20"/>
  <c r="J49" i="20" s="1"/>
  <c r="H49" i="20"/>
  <c r="D44" i="17"/>
  <c r="J41" i="29"/>
  <c r="I49" i="21"/>
  <c r="J49" i="21" s="1"/>
  <c r="H49" i="21"/>
  <c r="I51" i="26"/>
  <c r="J51" i="26" s="1"/>
  <c r="I47" i="17" s="1"/>
  <c r="H51" i="26"/>
  <c r="I50" i="23"/>
  <c r="J50" i="23" s="1"/>
  <c r="H50" i="23"/>
  <c r="I50" i="18"/>
  <c r="J50" i="18" s="1"/>
  <c r="C46" i="17" s="1"/>
  <c r="H50" i="18"/>
  <c r="B52" i="23"/>
  <c r="A52" i="25"/>
  <c r="B52" i="22"/>
  <c r="B52" i="27"/>
  <c r="B52" i="21"/>
  <c r="B52" i="26"/>
  <c r="B52" i="20"/>
  <c r="B52" i="18"/>
  <c r="B52" i="24"/>
  <c r="B45" i="7"/>
  <c r="I51" i="22"/>
  <c r="J51" i="22" s="1"/>
  <c r="G47" i="17" s="1"/>
  <c r="H51" i="22"/>
  <c r="L42" i="29"/>
  <c r="F45" i="17"/>
  <c r="I51" i="24"/>
  <c r="J51" i="24" s="1"/>
  <c r="K47" i="17" s="1"/>
  <c r="H51" i="24"/>
  <c r="I51" i="27"/>
  <c r="J51" i="27" s="1"/>
  <c r="H47" i="17" s="1"/>
  <c r="H51" i="27"/>
  <c r="E40" i="28" l="1"/>
  <c r="N40" i="29" s="1"/>
  <c r="O39" i="29"/>
  <c r="N39" i="29"/>
  <c r="L44" i="17"/>
  <c r="O44" i="17" s="1"/>
  <c r="I50" i="25"/>
  <c r="J50" i="25" s="1"/>
  <c r="J46" i="17" s="1"/>
  <c r="H50" i="25"/>
  <c r="H50" i="20"/>
  <c r="I50" i="20"/>
  <c r="J50" i="20" s="1"/>
  <c r="K42" i="29"/>
  <c r="E45" i="17"/>
  <c r="I51" i="18"/>
  <c r="J51" i="18" s="1"/>
  <c r="C47" i="17" s="1"/>
  <c r="H51" i="18"/>
  <c r="I50" i="21"/>
  <c r="J50" i="21" s="1"/>
  <c r="H50" i="21"/>
  <c r="I52" i="26"/>
  <c r="J52" i="26" s="1"/>
  <c r="I48" i="17" s="1"/>
  <c r="H52" i="26"/>
  <c r="J42" i="29"/>
  <c r="D45" i="17"/>
  <c r="B46" i="7"/>
  <c r="B53" i="18"/>
  <c r="B53" i="24"/>
  <c r="B53" i="21"/>
  <c r="B53" i="27"/>
  <c r="B53" i="20"/>
  <c r="B53" i="26"/>
  <c r="A53" i="25"/>
  <c r="B53" i="23"/>
  <c r="B53" i="22"/>
  <c r="I51" i="23"/>
  <c r="J51" i="23" s="1"/>
  <c r="H51" i="23"/>
  <c r="I52" i="22"/>
  <c r="J52" i="22" s="1"/>
  <c r="G48" i="17" s="1"/>
  <c r="H52" i="22"/>
  <c r="I52" i="27"/>
  <c r="J52" i="27" s="1"/>
  <c r="H48" i="17" s="1"/>
  <c r="H52" i="27"/>
  <c r="I52" i="24"/>
  <c r="J52" i="24" s="1"/>
  <c r="K48" i="17" s="1"/>
  <c r="H52" i="24"/>
  <c r="L43" i="29"/>
  <c r="F46" i="17"/>
  <c r="M40" i="29"/>
  <c r="O40" i="29" l="1"/>
  <c r="E41" i="28"/>
  <c r="M41" i="29" s="1"/>
  <c r="L45" i="17"/>
  <c r="E42" i="28" s="1"/>
  <c r="M42" i="29" s="1"/>
  <c r="I51" i="25"/>
  <c r="J51" i="25" s="1"/>
  <c r="J47" i="17" s="1"/>
  <c r="H51" i="25"/>
  <c r="E46" i="17"/>
  <c r="K43" i="29"/>
  <c r="I51" i="20"/>
  <c r="J51" i="20" s="1"/>
  <c r="H51" i="20"/>
  <c r="I53" i="24"/>
  <c r="J53" i="24" s="1"/>
  <c r="K49" i="17" s="1"/>
  <c r="H53" i="24"/>
  <c r="I51" i="21"/>
  <c r="J51" i="21" s="1"/>
  <c r="H51" i="21"/>
  <c r="J43" i="29"/>
  <c r="D46" i="17"/>
  <c r="I52" i="23"/>
  <c r="J52" i="23" s="1"/>
  <c r="H52" i="23"/>
  <c r="I52" i="18"/>
  <c r="J52" i="18" s="1"/>
  <c r="C48" i="17" s="1"/>
  <c r="H52" i="18"/>
  <c r="F47" i="17"/>
  <c r="L44" i="29"/>
  <c r="I53" i="22"/>
  <c r="J53" i="22" s="1"/>
  <c r="G49" i="17" s="1"/>
  <c r="H53" i="22"/>
  <c r="I53" i="26"/>
  <c r="J53" i="26" s="1"/>
  <c r="I49" i="17" s="1"/>
  <c r="H53" i="26"/>
  <c r="I53" i="27"/>
  <c r="J53" i="27" s="1"/>
  <c r="H49" i="17" s="1"/>
  <c r="H53" i="27"/>
  <c r="B54" i="22"/>
  <c r="B47" i="7"/>
  <c r="A54" i="25"/>
  <c r="B54" i="26"/>
  <c r="B54" i="18"/>
  <c r="B54" i="24"/>
  <c r="B54" i="20"/>
  <c r="B54" i="27"/>
  <c r="B54" i="21"/>
  <c r="B54" i="23"/>
  <c r="N41" i="29" l="1"/>
  <c r="O41" i="29"/>
  <c r="O45" i="17"/>
  <c r="I52" i="25"/>
  <c r="J52" i="25" s="1"/>
  <c r="J48" i="17" s="1"/>
  <c r="H52" i="25"/>
  <c r="L46" i="17"/>
  <c r="O46" i="17" s="1"/>
  <c r="I52" i="20"/>
  <c r="J52" i="20" s="1"/>
  <c r="H52" i="20"/>
  <c r="E47" i="17"/>
  <c r="K44" i="29"/>
  <c r="I53" i="23"/>
  <c r="J53" i="23" s="1"/>
  <c r="H53" i="23"/>
  <c r="L45" i="29"/>
  <c r="F48" i="17"/>
  <c r="I54" i="24"/>
  <c r="J54" i="24" s="1"/>
  <c r="K50" i="17" s="1"/>
  <c r="H54" i="24"/>
  <c r="I53" i="18"/>
  <c r="J53" i="18" s="1"/>
  <c r="C49" i="17" s="1"/>
  <c r="H53" i="18"/>
  <c r="I52" i="21"/>
  <c r="J52" i="21" s="1"/>
  <c r="H52" i="21"/>
  <c r="D47" i="17"/>
  <c r="J44" i="29"/>
  <c r="I54" i="26"/>
  <c r="J54" i="26" s="1"/>
  <c r="I50" i="17" s="1"/>
  <c r="H54" i="26"/>
  <c r="B55" i="21"/>
  <c r="A55" i="25"/>
  <c r="B55" i="23"/>
  <c r="B55" i="22"/>
  <c r="B55" i="18"/>
  <c r="B55" i="26"/>
  <c r="B55" i="27"/>
  <c r="B48" i="7"/>
  <c r="B55" i="24"/>
  <c r="B55" i="20"/>
  <c r="I54" i="22"/>
  <c r="J54" i="22" s="1"/>
  <c r="G50" i="17" s="1"/>
  <c r="H54" i="22"/>
  <c r="I54" i="27"/>
  <c r="J54" i="27" s="1"/>
  <c r="H50" i="17" s="1"/>
  <c r="H54" i="27"/>
  <c r="N42" i="29"/>
  <c r="O42" i="29"/>
  <c r="E43" i="28" l="1"/>
  <c r="M43" i="29" s="1"/>
  <c r="L47" i="17"/>
  <c r="O47" i="17" s="1"/>
  <c r="I53" i="25"/>
  <c r="J53" i="25" s="1"/>
  <c r="J49" i="17" s="1"/>
  <c r="H53" i="25"/>
  <c r="H53" i="20"/>
  <c r="I53" i="20"/>
  <c r="J53" i="20" s="1"/>
  <c r="K45" i="29"/>
  <c r="E48" i="17"/>
  <c r="I54" i="18"/>
  <c r="J54" i="18" s="1"/>
  <c r="C50" i="17" s="1"/>
  <c r="H54" i="18"/>
  <c r="I55" i="22"/>
  <c r="J55" i="22" s="1"/>
  <c r="G51" i="17" s="1"/>
  <c r="H55" i="22"/>
  <c r="I55" i="27"/>
  <c r="J55" i="27" s="1"/>
  <c r="H51" i="17" s="1"/>
  <c r="H55" i="27"/>
  <c r="I55" i="24"/>
  <c r="J55" i="24" s="1"/>
  <c r="K51" i="17" s="1"/>
  <c r="H55" i="24"/>
  <c r="B56" i="18"/>
  <c r="B56" i="27"/>
  <c r="B56" i="21"/>
  <c r="B49" i="7"/>
  <c r="B56" i="20"/>
  <c r="B56" i="24"/>
  <c r="B56" i="23"/>
  <c r="A56" i="25"/>
  <c r="B56" i="26"/>
  <c r="B56" i="22"/>
  <c r="I55" i="26"/>
  <c r="J55" i="26" s="1"/>
  <c r="I51" i="17" s="1"/>
  <c r="H55" i="26"/>
  <c r="I53" i="21"/>
  <c r="J53" i="21" s="1"/>
  <c r="H53" i="21"/>
  <c r="I54" i="23"/>
  <c r="J54" i="23" s="1"/>
  <c r="H54" i="23"/>
  <c r="D48" i="17"/>
  <c r="J45" i="29"/>
  <c r="L46" i="29"/>
  <c r="F49" i="17"/>
  <c r="O43" i="29" l="1"/>
  <c r="N43" i="29"/>
  <c r="E44" i="28"/>
  <c r="M44" i="29" s="1"/>
  <c r="L48" i="17"/>
  <c r="O48" i="17" s="1"/>
  <c r="I54" i="25"/>
  <c r="J54" i="25" s="1"/>
  <c r="J50" i="17" s="1"/>
  <c r="H54" i="25"/>
  <c r="E49" i="17"/>
  <c r="K46" i="29"/>
  <c r="H54" i="20"/>
  <c r="I54" i="20"/>
  <c r="J54" i="20" s="1"/>
  <c r="B57" i="24"/>
  <c r="B57" i="23"/>
  <c r="B57" i="20"/>
  <c r="B57" i="22"/>
  <c r="B57" i="27"/>
  <c r="B50" i="7"/>
  <c r="A57" i="25"/>
  <c r="B57" i="21"/>
  <c r="B57" i="18"/>
  <c r="B57" i="26"/>
  <c r="I55" i="23"/>
  <c r="J55" i="23" s="1"/>
  <c r="H55" i="23"/>
  <c r="I56" i="22"/>
  <c r="J56" i="22" s="1"/>
  <c r="G52" i="17" s="1"/>
  <c r="H56" i="22"/>
  <c r="L47" i="29"/>
  <c r="F50" i="17"/>
  <c r="I54" i="21"/>
  <c r="J54" i="21" s="1"/>
  <c r="H54" i="21"/>
  <c r="I55" i="18"/>
  <c r="J55" i="18" s="1"/>
  <c r="C51" i="17" s="1"/>
  <c r="H55" i="18"/>
  <c r="I56" i="26"/>
  <c r="J56" i="26" s="1"/>
  <c r="I52" i="17" s="1"/>
  <c r="H56" i="26"/>
  <c r="I56" i="24"/>
  <c r="J56" i="24" s="1"/>
  <c r="K52" i="17" s="1"/>
  <c r="H56" i="24"/>
  <c r="J46" i="29"/>
  <c r="D49" i="17"/>
  <c r="I56" i="27"/>
  <c r="J56" i="27" s="1"/>
  <c r="H52" i="17" s="1"/>
  <c r="H56" i="27"/>
  <c r="L49" i="17" l="1"/>
  <c r="N44" i="29"/>
  <c r="O44" i="29"/>
  <c r="E45" i="28"/>
  <c r="M45" i="29" s="1"/>
  <c r="H55" i="25"/>
  <c r="I55" i="25"/>
  <c r="J55" i="25" s="1"/>
  <c r="J51" i="17" s="1"/>
  <c r="E50" i="17"/>
  <c r="K47" i="29"/>
  <c r="I55" i="20"/>
  <c r="J55" i="20" s="1"/>
  <c r="H55" i="20"/>
  <c r="I56" i="23"/>
  <c r="J56" i="23" s="1"/>
  <c r="H56" i="23"/>
  <c r="F51" i="17"/>
  <c r="L48" i="29"/>
  <c r="I56" i="18"/>
  <c r="J56" i="18" s="1"/>
  <c r="C52" i="17" s="1"/>
  <c r="H56" i="18"/>
  <c r="E46" i="28"/>
  <c r="M46" i="29" s="1"/>
  <c r="O49" i="17"/>
  <c r="I55" i="21"/>
  <c r="J55" i="21" s="1"/>
  <c r="H55" i="21"/>
  <c r="I57" i="22"/>
  <c r="J57" i="22" s="1"/>
  <c r="G53" i="17" s="1"/>
  <c r="H57" i="22"/>
  <c r="D50" i="17"/>
  <c r="J47" i="29"/>
  <c r="I57" i="24"/>
  <c r="J57" i="24" s="1"/>
  <c r="K53" i="17" s="1"/>
  <c r="H57" i="24"/>
  <c r="A58" i="25"/>
  <c r="B58" i="23"/>
  <c r="B51" i="7"/>
  <c r="B58" i="22"/>
  <c r="B58" i="20"/>
  <c r="B58" i="27"/>
  <c r="B58" i="21"/>
  <c r="B58" i="18"/>
  <c r="B58" i="24"/>
  <c r="B58" i="26"/>
  <c r="I57" i="26"/>
  <c r="J57" i="26" s="1"/>
  <c r="I53" i="17" s="1"/>
  <c r="H57" i="26"/>
  <c r="I57" i="27"/>
  <c r="J57" i="27" s="1"/>
  <c r="H53" i="17" s="1"/>
  <c r="H57" i="27"/>
  <c r="L50" i="17" l="1"/>
  <c r="O50" i="17" s="1"/>
  <c r="O45" i="29"/>
  <c r="N45" i="29"/>
  <c r="I56" i="25"/>
  <c r="J56" i="25" s="1"/>
  <c r="J52" i="17" s="1"/>
  <c r="H56" i="25"/>
  <c r="H56" i="20"/>
  <c r="I56" i="20"/>
  <c r="J56" i="20" s="1"/>
  <c r="E51" i="17"/>
  <c r="K48" i="29"/>
  <c r="I58" i="22"/>
  <c r="J58" i="22" s="1"/>
  <c r="G54" i="17" s="1"/>
  <c r="H58" i="22"/>
  <c r="I57" i="18"/>
  <c r="J57" i="18" s="1"/>
  <c r="C53" i="17" s="1"/>
  <c r="H57" i="18"/>
  <c r="I56" i="21"/>
  <c r="J56" i="21" s="1"/>
  <c r="H56" i="21"/>
  <c r="J48" i="29"/>
  <c r="D51" i="17"/>
  <c r="A59" i="25"/>
  <c r="B59" i="20"/>
  <c r="B59" i="22"/>
  <c r="B59" i="21"/>
  <c r="B59" i="26"/>
  <c r="B52" i="7"/>
  <c r="B59" i="24"/>
  <c r="B59" i="18"/>
  <c r="B59" i="27"/>
  <c r="B59" i="23"/>
  <c r="I58" i="26"/>
  <c r="J58" i="26" s="1"/>
  <c r="I54" i="17" s="1"/>
  <c r="H58" i="26"/>
  <c r="I58" i="27"/>
  <c r="J58" i="27" s="1"/>
  <c r="H54" i="17" s="1"/>
  <c r="H58" i="27"/>
  <c r="I57" i="23"/>
  <c r="J57" i="23" s="1"/>
  <c r="H57" i="23"/>
  <c r="I58" i="24"/>
  <c r="J58" i="24" s="1"/>
  <c r="K54" i="17" s="1"/>
  <c r="H58" i="24"/>
  <c r="N46" i="29"/>
  <c r="O46" i="29"/>
  <c r="L49" i="29"/>
  <c r="F52" i="17"/>
  <c r="E47" i="28" l="1"/>
  <c r="M47" i="29" s="1"/>
  <c r="L51" i="17"/>
  <c r="E48" i="28" s="1"/>
  <c r="I57" i="25"/>
  <c r="J57" i="25" s="1"/>
  <c r="J53" i="17" s="1"/>
  <c r="H57" i="25"/>
  <c r="E52" i="17"/>
  <c r="K49" i="29"/>
  <c r="I57" i="20"/>
  <c r="J57" i="20" s="1"/>
  <c r="H57" i="20"/>
  <c r="D52" i="17"/>
  <c r="J49" i="29"/>
  <c r="I59" i="27"/>
  <c r="J59" i="27" s="1"/>
  <c r="H55" i="17" s="1"/>
  <c r="H59" i="27"/>
  <c r="I58" i="18"/>
  <c r="J58" i="18" s="1"/>
  <c r="C54" i="17" s="1"/>
  <c r="H58" i="18"/>
  <c r="I59" i="24"/>
  <c r="J59" i="24" s="1"/>
  <c r="K55" i="17" s="1"/>
  <c r="H59" i="24"/>
  <c r="N47" i="29"/>
  <c r="O47" i="29"/>
  <c r="I59" i="22"/>
  <c r="J59" i="22" s="1"/>
  <c r="G55" i="17" s="1"/>
  <c r="H59" i="22"/>
  <c r="B60" i="27"/>
  <c r="B60" i="21"/>
  <c r="B60" i="23"/>
  <c r="B53" i="7"/>
  <c r="A60" i="25"/>
  <c r="B60" i="26"/>
  <c r="B60" i="18"/>
  <c r="B60" i="24"/>
  <c r="B60" i="22"/>
  <c r="B60" i="20"/>
  <c r="I58" i="23"/>
  <c r="J58" i="23" s="1"/>
  <c r="H58" i="23"/>
  <c r="I59" i="26"/>
  <c r="J59" i="26" s="1"/>
  <c r="I55" i="17" s="1"/>
  <c r="H59" i="26"/>
  <c r="F53" i="17"/>
  <c r="L50" i="29"/>
  <c r="I57" i="21"/>
  <c r="J57" i="21" s="1"/>
  <c r="H57" i="21"/>
  <c r="L52" i="17" l="1"/>
  <c r="E49" i="28" s="1"/>
  <c r="M49" i="29" s="1"/>
  <c r="O51" i="17"/>
  <c r="I58" i="25"/>
  <c r="J58" i="25" s="1"/>
  <c r="J54" i="17" s="1"/>
  <c r="H58" i="25"/>
  <c r="I58" i="20"/>
  <c r="J58" i="20" s="1"/>
  <c r="H58" i="20"/>
  <c r="E53" i="17"/>
  <c r="K50" i="29"/>
  <c r="I60" i="27"/>
  <c r="J60" i="27" s="1"/>
  <c r="H56" i="17" s="1"/>
  <c r="H60" i="27"/>
  <c r="I60" i="22"/>
  <c r="J60" i="22" s="1"/>
  <c r="G56" i="17" s="1"/>
  <c r="H60" i="22"/>
  <c r="B61" i="26"/>
  <c r="B61" i="24"/>
  <c r="B61" i="22"/>
  <c r="B61" i="20"/>
  <c r="A61" i="25"/>
  <c r="B61" i="27"/>
  <c r="B54" i="7"/>
  <c r="B61" i="21"/>
  <c r="B61" i="18"/>
  <c r="B61" i="23"/>
  <c r="N48" i="29"/>
  <c r="O48" i="29"/>
  <c r="I60" i="24"/>
  <c r="J60" i="24" s="1"/>
  <c r="K56" i="17" s="1"/>
  <c r="H60" i="24"/>
  <c r="F54" i="17"/>
  <c r="L51" i="29"/>
  <c r="M48" i="29"/>
  <c r="I59" i="23"/>
  <c r="J59" i="23" s="1"/>
  <c r="H59" i="23"/>
  <c r="I58" i="21"/>
  <c r="J58" i="21" s="1"/>
  <c r="H58" i="21"/>
  <c r="I60" i="26"/>
  <c r="J60" i="26" s="1"/>
  <c r="I56" i="17" s="1"/>
  <c r="H60" i="26"/>
  <c r="D53" i="17"/>
  <c r="J50" i="29"/>
  <c r="I59" i="18"/>
  <c r="J59" i="18" s="1"/>
  <c r="C55" i="17" s="1"/>
  <c r="H59" i="18"/>
  <c r="O52" i="17" l="1"/>
  <c r="I59" i="25"/>
  <c r="J59" i="25" s="1"/>
  <c r="J55" i="17" s="1"/>
  <c r="H59" i="25"/>
  <c r="L53" i="17"/>
  <c r="O53" i="17" s="1"/>
  <c r="I59" i="20"/>
  <c r="J59" i="20" s="1"/>
  <c r="H59" i="20"/>
  <c r="K51" i="29"/>
  <c r="E54" i="17"/>
  <c r="I59" i="21"/>
  <c r="J59" i="21" s="1"/>
  <c r="H59" i="21"/>
  <c r="I61" i="24"/>
  <c r="J61" i="24" s="1"/>
  <c r="K57" i="17" s="1"/>
  <c r="H61" i="24"/>
  <c r="I61" i="22"/>
  <c r="J61" i="22" s="1"/>
  <c r="G57" i="17" s="1"/>
  <c r="H61" i="22"/>
  <c r="I61" i="26"/>
  <c r="J61" i="26" s="1"/>
  <c r="I57" i="17" s="1"/>
  <c r="H61" i="26"/>
  <c r="I60" i="23"/>
  <c r="J60" i="23" s="1"/>
  <c r="H60" i="23"/>
  <c r="B62" i="20"/>
  <c r="B62" i="27"/>
  <c r="B62" i="23"/>
  <c r="B62" i="24"/>
  <c r="A62" i="25"/>
  <c r="B62" i="18"/>
  <c r="B62" i="26"/>
  <c r="B62" i="21"/>
  <c r="B62" i="22"/>
  <c r="B55" i="7"/>
  <c r="F55" i="17"/>
  <c r="L52" i="29"/>
  <c r="I61" i="27"/>
  <c r="J61" i="27" s="1"/>
  <c r="H57" i="17" s="1"/>
  <c r="H61" i="27"/>
  <c r="D54" i="17"/>
  <c r="J51" i="29"/>
  <c r="N49" i="29"/>
  <c r="O49" i="29"/>
  <c r="I60" i="18"/>
  <c r="J60" i="18" s="1"/>
  <c r="C56" i="17" s="1"/>
  <c r="H60" i="18"/>
  <c r="E50" i="28" l="1"/>
  <c r="O50" i="29" s="1"/>
  <c r="L54" i="17"/>
  <c r="E51" i="28" s="1"/>
  <c r="M51" i="29" s="1"/>
  <c r="I60" i="25"/>
  <c r="J60" i="25" s="1"/>
  <c r="J56" i="17" s="1"/>
  <c r="H60" i="25"/>
  <c r="H60" i="20"/>
  <c r="I60" i="20"/>
  <c r="J60" i="20" s="1"/>
  <c r="K52" i="29"/>
  <c r="E55" i="17"/>
  <c r="I62" i="22"/>
  <c r="J62" i="22" s="1"/>
  <c r="G58" i="17" s="1"/>
  <c r="H62" i="22"/>
  <c r="B63" i="22"/>
  <c r="B63" i="27"/>
  <c r="B63" i="18"/>
  <c r="A63" i="25"/>
  <c r="B63" i="26"/>
  <c r="B56" i="7"/>
  <c r="B63" i="24"/>
  <c r="B63" i="21"/>
  <c r="B63" i="23"/>
  <c r="B63" i="20"/>
  <c r="I62" i="24"/>
  <c r="J62" i="24" s="1"/>
  <c r="K58" i="17" s="1"/>
  <c r="H62" i="24"/>
  <c r="I61" i="18"/>
  <c r="J61" i="18" s="1"/>
  <c r="C57" i="17" s="1"/>
  <c r="H61" i="18"/>
  <c r="I62" i="27"/>
  <c r="J62" i="27" s="1"/>
  <c r="H58" i="17" s="1"/>
  <c r="H62" i="27"/>
  <c r="I61" i="23"/>
  <c r="J61" i="23" s="1"/>
  <c r="H61" i="23"/>
  <c r="I60" i="21"/>
  <c r="J60" i="21" s="1"/>
  <c r="H60" i="21"/>
  <c r="L53" i="29"/>
  <c r="F56" i="17"/>
  <c r="J52" i="29"/>
  <c r="D55" i="17"/>
  <c r="I62" i="26"/>
  <c r="J62" i="26" s="1"/>
  <c r="I58" i="17" s="1"/>
  <c r="H62" i="26"/>
  <c r="M50" i="29" l="1"/>
  <c r="N50" i="29"/>
  <c r="O54" i="17"/>
  <c r="L55" i="17"/>
  <c r="E52" i="28" s="1"/>
  <c r="M52" i="29" s="1"/>
  <c r="H61" i="25"/>
  <c r="I61" i="25"/>
  <c r="J61" i="25" s="1"/>
  <c r="J57" i="17" s="1"/>
  <c r="E56" i="17"/>
  <c r="K53" i="29"/>
  <c r="H61" i="20"/>
  <c r="I61" i="20"/>
  <c r="J61" i="20" s="1"/>
  <c r="I61" i="21"/>
  <c r="J61" i="21" s="1"/>
  <c r="H61" i="21"/>
  <c r="D56" i="17"/>
  <c r="J53" i="29"/>
  <c r="N51" i="29"/>
  <c r="O51" i="29"/>
  <c r="I62" i="23"/>
  <c r="J62" i="23" s="1"/>
  <c r="H62" i="23"/>
  <c r="I62" i="18"/>
  <c r="J62" i="18" s="1"/>
  <c r="C58" i="17" s="1"/>
  <c r="H62" i="18"/>
  <c r="B64" i="22"/>
  <c r="B64" i="18"/>
  <c r="B64" i="27"/>
  <c r="B64" i="21"/>
  <c r="B64" i="20"/>
  <c r="B64" i="24"/>
  <c r="B64" i="23"/>
  <c r="B64" i="26"/>
  <c r="B57" i="7"/>
  <c r="A64" i="25"/>
  <c r="I63" i="22"/>
  <c r="J63" i="22" s="1"/>
  <c r="G59" i="17" s="1"/>
  <c r="H63" i="22"/>
  <c r="F57" i="17"/>
  <c r="L54" i="29"/>
  <c r="I63" i="27"/>
  <c r="J63" i="27" s="1"/>
  <c r="H59" i="17" s="1"/>
  <c r="H63" i="27"/>
  <c r="I63" i="24"/>
  <c r="J63" i="24" s="1"/>
  <c r="K59" i="17" s="1"/>
  <c r="H63" i="24"/>
  <c r="I63" i="26"/>
  <c r="J63" i="26" s="1"/>
  <c r="I59" i="17" s="1"/>
  <c r="H63" i="26"/>
  <c r="O55" i="17" l="1"/>
  <c r="L56" i="17"/>
  <c r="O56" i="17" s="1"/>
  <c r="H62" i="25"/>
  <c r="I62" i="25"/>
  <c r="J62" i="25" s="1"/>
  <c r="J58" i="17" s="1"/>
  <c r="E57" i="17"/>
  <c r="K54" i="29"/>
  <c r="H62" i="20"/>
  <c r="I62" i="20"/>
  <c r="J62" i="20" s="1"/>
  <c r="I63" i="18"/>
  <c r="J63" i="18" s="1"/>
  <c r="C59" i="17" s="1"/>
  <c r="H63" i="18"/>
  <c r="I64" i="24"/>
  <c r="J64" i="24" s="1"/>
  <c r="K60" i="17" s="1"/>
  <c r="H64" i="24"/>
  <c r="I63" i="23"/>
  <c r="J63" i="23" s="1"/>
  <c r="H63" i="23"/>
  <c r="L55" i="29"/>
  <c r="F58" i="17"/>
  <c r="I62" i="21"/>
  <c r="J62" i="21" s="1"/>
  <c r="H62" i="21"/>
  <c r="I64" i="27"/>
  <c r="J64" i="27" s="1"/>
  <c r="H60" i="17" s="1"/>
  <c r="H64" i="27"/>
  <c r="D57" i="17"/>
  <c r="L57" i="17" s="1"/>
  <c r="J54" i="29"/>
  <c r="I64" i="26"/>
  <c r="J64" i="26" s="1"/>
  <c r="I60" i="17" s="1"/>
  <c r="H64" i="26"/>
  <c r="N52" i="29"/>
  <c r="O52" i="29"/>
  <c r="I64" i="22"/>
  <c r="J64" i="22" s="1"/>
  <c r="G60" i="17" s="1"/>
  <c r="H64" i="22"/>
  <c r="B65" i="26"/>
  <c r="B65" i="23"/>
  <c r="B58" i="7"/>
  <c r="B65" i="20"/>
  <c r="B65" i="27"/>
  <c r="B65" i="22"/>
  <c r="B65" i="24"/>
  <c r="A65" i="25"/>
  <c r="B65" i="21"/>
  <c r="B65" i="18"/>
  <c r="E53" i="28" l="1"/>
  <c r="M53" i="29" s="1"/>
  <c r="H63" i="25"/>
  <c r="I63" i="25"/>
  <c r="J63" i="25" s="1"/>
  <c r="J59" i="17" s="1"/>
  <c r="E58" i="17"/>
  <c r="K55" i="29"/>
  <c r="H63" i="20"/>
  <c r="I63" i="20"/>
  <c r="J63" i="20" s="1"/>
  <c r="L56" i="29"/>
  <c r="F59" i="17"/>
  <c r="I65" i="24"/>
  <c r="J65" i="24" s="1"/>
  <c r="K61" i="17" s="1"/>
  <c r="H65" i="24"/>
  <c r="D58" i="17"/>
  <c r="J55" i="29"/>
  <c r="I65" i="22"/>
  <c r="J65" i="22" s="1"/>
  <c r="G61" i="17" s="1"/>
  <c r="H65" i="22"/>
  <c r="B66" i="21"/>
  <c r="B66" i="27"/>
  <c r="B66" i="26"/>
  <c r="B66" i="18"/>
  <c r="A66" i="25"/>
  <c r="B66" i="23"/>
  <c r="B66" i="24"/>
  <c r="B59" i="7"/>
  <c r="B66" i="22"/>
  <c r="B66" i="20"/>
  <c r="I65" i="26"/>
  <c r="J65" i="26" s="1"/>
  <c r="I61" i="17" s="1"/>
  <c r="H65" i="26"/>
  <c r="E54" i="28"/>
  <c r="M54" i="29" s="1"/>
  <c r="O57" i="17"/>
  <c r="I64" i="18"/>
  <c r="J64" i="18" s="1"/>
  <c r="C60" i="17" s="1"/>
  <c r="H64" i="18"/>
  <c r="I63" i="21"/>
  <c r="J63" i="21" s="1"/>
  <c r="H63" i="21"/>
  <c r="I65" i="27"/>
  <c r="J65" i="27" s="1"/>
  <c r="H61" i="17" s="1"/>
  <c r="H65" i="27"/>
  <c r="I64" i="23"/>
  <c r="J64" i="23" s="1"/>
  <c r="H64" i="23"/>
  <c r="O53" i="29" l="1"/>
  <c r="N53" i="29"/>
  <c r="L58" i="17"/>
  <c r="E55" i="28" s="1"/>
  <c r="H64" i="25"/>
  <c r="I64" i="25"/>
  <c r="J64" i="25" s="1"/>
  <c r="J60" i="17" s="1"/>
  <c r="E59" i="17"/>
  <c r="K56" i="29"/>
  <c r="I64" i="20"/>
  <c r="J64" i="20" s="1"/>
  <c r="H64" i="20"/>
  <c r="I66" i="26"/>
  <c r="J66" i="26" s="1"/>
  <c r="I62" i="17" s="1"/>
  <c r="H66" i="26"/>
  <c r="D59" i="17"/>
  <c r="J56" i="29"/>
  <c r="I65" i="18"/>
  <c r="J65" i="18" s="1"/>
  <c r="C61" i="17" s="1"/>
  <c r="H65" i="18"/>
  <c r="I66" i="24"/>
  <c r="J66" i="24" s="1"/>
  <c r="K62" i="17" s="1"/>
  <c r="H66" i="24"/>
  <c r="I66" i="27"/>
  <c r="J66" i="27" s="1"/>
  <c r="H62" i="17" s="1"/>
  <c r="H66" i="27"/>
  <c r="I64" i="21"/>
  <c r="J64" i="21" s="1"/>
  <c r="H64" i="21"/>
  <c r="B60" i="7"/>
  <c r="B67" i="18"/>
  <c r="B67" i="26"/>
  <c r="B67" i="22"/>
  <c r="B67" i="23"/>
  <c r="B67" i="20"/>
  <c r="B67" i="24"/>
  <c r="A67" i="25"/>
  <c r="B67" i="21"/>
  <c r="B67" i="27"/>
  <c r="I65" i="23"/>
  <c r="J65" i="23" s="1"/>
  <c r="H65" i="23"/>
  <c r="I66" i="22"/>
  <c r="J66" i="22" s="1"/>
  <c r="G62" i="17" s="1"/>
  <c r="H66" i="22"/>
  <c r="L57" i="29"/>
  <c r="F60" i="17"/>
  <c r="N54" i="29"/>
  <c r="O54" i="29"/>
  <c r="L59" i="17" l="1"/>
  <c r="O59" i="17" s="1"/>
  <c r="O58" i="17"/>
  <c r="H65" i="25"/>
  <c r="I65" i="25"/>
  <c r="J65" i="25" s="1"/>
  <c r="J61" i="17" s="1"/>
  <c r="I65" i="20"/>
  <c r="J65" i="20" s="1"/>
  <c r="H65" i="20"/>
  <c r="K57" i="29"/>
  <c r="E60" i="17"/>
  <c r="I66" i="23"/>
  <c r="J66" i="23" s="1"/>
  <c r="H66" i="23"/>
  <c r="F61" i="17"/>
  <c r="L58" i="29"/>
  <c r="I67" i="24"/>
  <c r="J67" i="24" s="1"/>
  <c r="K63" i="17" s="1"/>
  <c r="H67" i="24"/>
  <c r="N55" i="29"/>
  <c r="O55" i="29"/>
  <c r="M55" i="29"/>
  <c r="B68" i="23"/>
  <c r="B68" i="26"/>
  <c r="B68" i="24"/>
  <c r="B68" i="27"/>
  <c r="B61" i="7"/>
  <c r="A68" i="25"/>
  <c r="B68" i="20"/>
  <c r="B68" i="21"/>
  <c r="B68" i="18"/>
  <c r="B68" i="22"/>
  <c r="I66" i="18"/>
  <c r="J66" i="18" s="1"/>
  <c r="C62" i="17" s="1"/>
  <c r="H66" i="18"/>
  <c r="I65" i="21"/>
  <c r="J65" i="21" s="1"/>
  <c r="H65" i="21"/>
  <c r="I67" i="26"/>
  <c r="J67" i="26" s="1"/>
  <c r="I63" i="17" s="1"/>
  <c r="H67" i="26"/>
  <c r="I67" i="27"/>
  <c r="J67" i="27" s="1"/>
  <c r="H63" i="17" s="1"/>
  <c r="H67" i="27"/>
  <c r="I67" i="22"/>
  <c r="J67" i="22" s="1"/>
  <c r="G63" i="17" s="1"/>
  <c r="H67" i="22"/>
  <c r="D60" i="17"/>
  <c r="J57" i="29"/>
  <c r="E56" i="28" l="1"/>
  <c r="M56" i="29" s="1"/>
  <c r="I66" i="25"/>
  <c r="J66" i="25" s="1"/>
  <c r="J62" i="17" s="1"/>
  <c r="H66" i="25"/>
  <c r="L60" i="17"/>
  <c r="O60" i="17" s="1"/>
  <c r="I66" i="20"/>
  <c r="J66" i="20" s="1"/>
  <c r="H66" i="20"/>
  <c r="E61" i="17"/>
  <c r="K58" i="29"/>
  <c r="I68" i="24"/>
  <c r="J68" i="24" s="1"/>
  <c r="K64" i="17" s="1"/>
  <c r="H68" i="24"/>
  <c r="I68" i="22"/>
  <c r="J68" i="22" s="1"/>
  <c r="G64" i="17" s="1"/>
  <c r="H68" i="22"/>
  <c r="I67" i="18"/>
  <c r="J67" i="18" s="1"/>
  <c r="C63" i="17" s="1"/>
  <c r="H67" i="18"/>
  <c r="I67" i="23"/>
  <c r="J67" i="23" s="1"/>
  <c r="H67" i="23"/>
  <c r="F62" i="17"/>
  <c r="L59" i="29"/>
  <c r="I66" i="21"/>
  <c r="J66" i="21" s="1"/>
  <c r="H66" i="21"/>
  <c r="I68" i="27"/>
  <c r="J68" i="27" s="1"/>
  <c r="H64" i="17" s="1"/>
  <c r="H68" i="27"/>
  <c r="D61" i="17"/>
  <c r="J58" i="29"/>
  <c r="I68" i="26"/>
  <c r="J68" i="26" s="1"/>
  <c r="I64" i="17" s="1"/>
  <c r="H68" i="26"/>
  <c r="B69" i="23"/>
  <c r="B62" i="7"/>
  <c r="B69" i="22"/>
  <c r="A69" i="25"/>
  <c r="B69" i="21"/>
  <c r="B69" i="20"/>
  <c r="B69" i="18"/>
  <c r="B69" i="24"/>
  <c r="B69" i="27"/>
  <c r="B69" i="26"/>
  <c r="N56" i="29" l="1"/>
  <c r="O56" i="29"/>
  <c r="E57" i="28"/>
  <c r="O57" i="29" s="1"/>
  <c r="I67" i="25"/>
  <c r="J67" i="25" s="1"/>
  <c r="J63" i="17" s="1"/>
  <c r="H67" i="25"/>
  <c r="H67" i="20"/>
  <c r="I67" i="20"/>
  <c r="J67" i="20" s="1"/>
  <c r="L61" i="17"/>
  <c r="E58" i="28" s="1"/>
  <c r="K59" i="29"/>
  <c r="E62" i="17"/>
  <c r="D62" i="17"/>
  <c r="J59" i="29"/>
  <c r="I69" i="22"/>
  <c r="J69" i="22" s="1"/>
  <c r="G65" i="17" s="1"/>
  <c r="H69" i="22"/>
  <c r="I69" i="26"/>
  <c r="J69" i="26" s="1"/>
  <c r="I65" i="17" s="1"/>
  <c r="H69" i="26"/>
  <c r="I68" i="23"/>
  <c r="J68" i="23" s="1"/>
  <c r="H68" i="23"/>
  <c r="I69" i="24"/>
  <c r="J69" i="24" s="1"/>
  <c r="K65" i="17" s="1"/>
  <c r="H69" i="24"/>
  <c r="I69" i="27"/>
  <c r="J69" i="27" s="1"/>
  <c r="H65" i="17" s="1"/>
  <c r="H69" i="27"/>
  <c r="L60" i="29"/>
  <c r="F63" i="17"/>
  <c r="B70" i="27"/>
  <c r="B70" i="24"/>
  <c r="B70" i="23"/>
  <c r="B70" i="26"/>
  <c r="B70" i="22"/>
  <c r="B70" i="20"/>
  <c r="B63" i="7"/>
  <c r="A70" i="25"/>
  <c r="B70" i="21"/>
  <c r="B70" i="18"/>
  <c r="I68" i="18"/>
  <c r="J68" i="18" s="1"/>
  <c r="C64" i="17" s="1"/>
  <c r="H68" i="18"/>
  <c r="I67" i="21"/>
  <c r="J67" i="21" s="1"/>
  <c r="H67" i="21"/>
  <c r="M57" i="29" l="1"/>
  <c r="N57" i="29"/>
  <c r="L62" i="17"/>
  <c r="E59" i="28" s="1"/>
  <c r="M59" i="29" s="1"/>
  <c r="H68" i="25"/>
  <c r="I68" i="25"/>
  <c r="J68" i="25" s="1"/>
  <c r="J64" i="17" s="1"/>
  <c r="O61" i="17"/>
  <c r="E63" i="17"/>
  <c r="K60" i="29"/>
  <c r="I68" i="20"/>
  <c r="J68" i="20" s="1"/>
  <c r="H68" i="20"/>
  <c r="N58" i="29"/>
  <c r="O58" i="29"/>
  <c r="I69" i="23"/>
  <c r="J69" i="23" s="1"/>
  <c r="H69" i="23"/>
  <c r="B71" i="27"/>
  <c r="B71" i="21"/>
  <c r="B71" i="24"/>
  <c r="B71" i="23"/>
  <c r="B71" i="20"/>
  <c r="A71" i="25"/>
  <c r="B71" i="26"/>
  <c r="B71" i="18"/>
  <c r="B71" i="22"/>
  <c r="B64" i="7"/>
  <c r="I70" i="26"/>
  <c r="J70" i="26" s="1"/>
  <c r="I66" i="17" s="1"/>
  <c r="H70" i="26"/>
  <c r="I70" i="27"/>
  <c r="J70" i="27" s="1"/>
  <c r="H66" i="17" s="1"/>
  <c r="H70" i="27"/>
  <c r="I70" i="22"/>
  <c r="J70" i="22" s="1"/>
  <c r="G66" i="17" s="1"/>
  <c r="H70" i="22"/>
  <c r="F64" i="17"/>
  <c r="L61" i="29"/>
  <c r="I69" i="18"/>
  <c r="J69" i="18" s="1"/>
  <c r="C65" i="17" s="1"/>
  <c r="H69" i="18"/>
  <c r="I68" i="21"/>
  <c r="J68" i="21" s="1"/>
  <c r="H68" i="21"/>
  <c r="I70" i="24"/>
  <c r="J70" i="24" s="1"/>
  <c r="K66" i="17" s="1"/>
  <c r="H70" i="24"/>
  <c r="D63" i="17"/>
  <c r="L63" i="17" s="1"/>
  <c r="J60" i="29"/>
  <c r="M58" i="29"/>
  <c r="O62" i="17" l="1"/>
  <c r="I69" i="25"/>
  <c r="J69" i="25" s="1"/>
  <c r="J65" i="17" s="1"/>
  <c r="H69" i="25"/>
  <c r="H69" i="20"/>
  <c r="I69" i="20"/>
  <c r="J69" i="20" s="1"/>
  <c r="E64" i="17"/>
  <c r="K61" i="29"/>
  <c r="I69" i="21"/>
  <c r="J69" i="21" s="1"/>
  <c r="H69" i="21"/>
  <c r="I70" i="23"/>
  <c r="J70" i="23" s="1"/>
  <c r="H70" i="23"/>
  <c r="F65" i="17"/>
  <c r="L62" i="29"/>
  <c r="I71" i="27"/>
  <c r="J71" i="27" s="1"/>
  <c r="H67" i="17" s="1"/>
  <c r="H71" i="27"/>
  <c r="D64" i="17"/>
  <c r="J61" i="29"/>
  <c r="I70" i="18"/>
  <c r="J70" i="18" s="1"/>
  <c r="C66" i="17" s="1"/>
  <c r="H70" i="18"/>
  <c r="N59" i="29"/>
  <c r="O59" i="29"/>
  <c r="I71" i="24"/>
  <c r="J71" i="24" s="1"/>
  <c r="K67" i="17" s="1"/>
  <c r="H71" i="24"/>
  <c r="B72" i="27"/>
  <c r="B72" i="21"/>
  <c r="A72" i="25"/>
  <c r="B72" i="24"/>
  <c r="B72" i="23"/>
  <c r="B65" i="7"/>
  <c r="B72" i="22"/>
  <c r="B72" i="26"/>
  <c r="B72" i="20"/>
  <c r="B72" i="18"/>
  <c r="E60" i="28"/>
  <c r="M60" i="29" s="1"/>
  <c r="O63" i="17"/>
  <c r="I71" i="26"/>
  <c r="J71" i="26" s="1"/>
  <c r="I67" i="17" s="1"/>
  <c r="H71" i="26"/>
  <c r="I71" i="22"/>
  <c r="J71" i="22" s="1"/>
  <c r="G67" i="17" s="1"/>
  <c r="H71" i="22"/>
  <c r="I70" i="25" l="1"/>
  <c r="J70" i="25" s="1"/>
  <c r="J66" i="17" s="1"/>
  <c r="H70" i="25"/>
  <c r="E65" i="17"/>
  <c r="K62" i="29"/>
  <c r="L64" i="17"/>
  <c r="O64" i="17" s="1"/>
  <c r="I70" i="20"/>
  <c r="J70" i="20" s="1"/>
  <c r="H70" i="20"/>
  <c r="I71" i="23"/>
  <c r="J71" i="23" s="1"/>
  <c r="H71" i="23"/>
  <c r="F66" i="17"/>
  <c r="L63" i="29"/>
  <c r="I72" i="27"/>
  <c r="J72" i="27" s="1"/>
  <c r="H68" i="17" s="1"/>
  <c r="H72" i="27"/>
  <c r="I70" i="21"/>
  <c r="J70" i="21" s="1"/>
  <c r="H70" i="21"/>
  <c r="I72" i="26"/>
  <c r="J72" i="26" s="1"/>
  <c r="I68" i="17" s="1"/>
  <c r="H72" i="26"/>
  <c r="A73" i="25"/>
  <c r="B73" i="23"/>
  <c r="B73" i="21"/>
  <c r="B73" i="20"/>
  <c r="B73" i="27"/>
  <c r="B73" i="18"/>
  <c r="B73" i="24"/>
  <c r="B66" i="7"/>
  <c r="B73" i="22"/>
  <c r="B73" i="26"/>
  <c r="N60" i="29"/>
  <c r="O60" i="29"/>
  <c r="D65" i="17"/>
  <c r="L65" i="17" s="1"/>
  <c r="J62" i="29"/>
  <c r="I72" i="24"/>
  <c r="J72" i="24" s="1"/>
  <c r="K68" i="17" s="1"/>
  <c r="H72" i="24"/>
  <c r="I72" i="22"/>
  <c r="J72" i="22" s="1"/>
  <c r="G68" i="17" s="1"/>
  <c r="H72" i="22"/>
  <c r="I71" i="18"/>
  <c r="J71" i="18" s="1"/>
  <c r="C67" i="17" s="1"/>
  <c r="H71" i="18"/>
  <c r="E61" i="28" l="1"/>
  <c r="M61" i="29" s="1"/>
  <c r="I71" i="25"/>
  <c r="J71" i="25" s="1"/>
  <c r="J67" i="17" s="1"/>
  <c r="H71" i="25"/>
  <c r="I71" i="20"/>
  <c r="J71" i="20" s="1"/>
  <c r="H71" i="20"/>
  <c r="E66" i="17"/>
  <c r="K63" i="29"/>
  <c r="I71" i="21"/>
  <c r="J71" i="21" s="1"/>
  <c r="H71" i="21"/>
  <c r="D66" i="17"/>
  <c r="J63" i="29"/>
  <c r="I72" i="23"/>
  <c r="J72" i="23" s="1"/>
  <c r="H72" i="23"/>
  <c r="I73" i="22"/>
  <c r="J73" i="22" s="1"/>
  <c r="G69" i="17" s="1"/>
  <c r="H73" i="22"/>
  <c r="I73" i="27"/>
  <c r="J73" i="27" s="1"/>
  <c r="H69" i="17" s="1"/>
  <c r="H73" i="27"/>
  <c r="F67" i="17"/>
  <c r="L64" i="29"/>
  <c r="E62" i="28"/>
  <c r="M62" i="29" s="1"/>
  <c r="O65" i="17"/>
  <c r="I73" i="24"/>
  <c r="J73" i="24" s="1"/>
  <c r="K69" i="17" s="1"/>
  <c r="H73" i="24"/>
  <c r="B74" i="23"/>
  <c r="B74" i="24"/>
  <c r="B74" i="21"/>
  <c r="B74" i="26"/>
  <c r="B74" i="18"/>
  <c r="B74" i="22"/>
  <c r="B74" i="20"/>
  <c r="B74" i="27"/>
  <c r="B67" i="7"/>
  <c r="A74" i="25"/>
  <c r="I73" i="26"/>
  <c r="J73" i="26" s="1"/>
  <c r="I69" i="17" s="1"/>
  <c r="H73" i="26"/>
  <c r="I72" i="18"/>
  <c r="J72" i="18" s="1"/>
  <c r="C68" i="17" s="1"/>
  <c r="H72" i="18"/>
  <c r="O61" i="29" l="1"/>
  <c r="N61" i="29"/>
  <c r="I72" i="25"/>
  <c r="J72" i="25" s="1"/>
  <c r="J68" i="17" s="1"/>
  <c r="H72" i="25"/>
  <c r="I72" i="20"/>
  <c r="J72" i="20" s="1"/>
  <c r="H72" i="20"/>
  <c r="L66" i="17"/>
  <c r="O66" i="17" s="1"/>
  <c r="E67" i="17"/>
  <c r="K64" i="29"/>
  <c r="F68" i="17"/>
  <c r="L65" i="29"/>
  <c r="I74" i="27"/>
  <c r="J74" i="27" s="1"/>
  <c r="H70" i="17" s="1"/>
  <c r="H74" i="27"/>
  <c r="I72" i="21"/>
  <c r="J72" i="21" s="1"/>
  <c r="H72" i="21"/>
  <c r="I74" i="26"/>
  <c r="J74" i="26" s="1"/>
  <c r="I70" i="17" s="1"/>
  <c r="H74" i="26"/>
  <c r="D67" i="17"/>
  <c r="J64" i="29"/>
  <c r="B75" i="18"/>
  <c r="B75" i="27"/>
  <c r="B75" i="23"/>
  <c r="A75" i="25"/>
  <c r="B75" i="20"/>
  <c r="B75" i="26"/>
  <c r="B75" i="21"/>
  <c r="B75" i="24"/>
  <c r="B75" i="22"/>
  <c r="B68" i="7"/>
  <c r="I73" i="18"/>
  <c r="J73" i="18" s="1"/>
  <c r="C69" i="17" s="1"/>
  <c r="H73" i="18"/>
  <c r="I74" i="24"/>
  <c r="J74" i="24" s="1"/>
  <c r="K70" i="17" s="1"/>
  <c r="H74" i="24"/>
  <c r="I74" i="22"/>
  <c r="J74" i="22" s="1"/>
  <c r="G70" i="17" s="1"/>
  <c r="H74" i="22"/>
  <c r="N62" i="29"/>
  <c r="O62" i="29"/>
  <c r="I73" i="23"/>
  <c r="J73" i="23" s="1"/>
  <c r="H73" i="23"/>
  <c r="E63" i="28" l="1"/>
  <c r="O63" i="29" s="1"/>
  <c r="H73" i="25"/>
  <c r="I73" i="25"/>
  <c r="J73" i="25" s="1"/>
  <c r="J69" i="17" s="1"/>
  <c r="L67" i="17"/>
  <c r="O67" i="17" s="1"/>
  <c r="I73" i="20"/>
  <c r="J73" i="20" s="1"/>
  <c r="H73" i="20"/>
  <c r="K65" i="29"/>
  <c r="E68" i="17"/>
  <c r="I75" i="27"/>
  <c r="J75" i="27" s="1"/>
  <c r="H71" i="17" s="1"/>
  <c r="H75" i="27"/>
  <c r="I75" i="22"/>
  <c r="J75" i="22" s="1"/>
  <c r="G71" i="17" s="1"/>
  <c r="H75" i="22"/>
  <c r="B76" i="18"/>
  <c r="B76" i="24"/>
  <c r="B76" i="20"/>
  <c r="B76" i="27"/>
  <c r="B76" i="21"/>
  <c r="B76" i="23"/>
  <c r="B69" i="7"/>
  <c r="B76" i="22"/>
  <c r="A76" i="25"/>
  <c r="B76" i="26"/>
  <c r="I75" i="24"/>
  <c r="J75" i="24" s="1"/>
  <c r="K71" i="17" s="1"/>
  <c r="H75" i="24"/>
  <c r="I75" i="26"/>
  <c r="J75" i="26" s="1"/>
  <c r="I71" i="17" s="1"/>
  <c r="H75" i="26"/>
  <c r="I74" i="23"/>
  <c r="J74" i="23" s="1"/>
  <c r="H74" i="23"/>
  <c r="I74" i="18"/>
  <c r="J74" i="18" s="1"/>
  <c r="C70" i="17" s="1"/>
  <c r="H74" i="18"/>
  <c r="I73" i="21"/>
  <c r="J73" i="21" s="1"/>
  <c r="H73" i="21"/>
  <c r="L66" i="29"/>
  <c r="F69" i="17"/>
  <c r="J65" i="29"/>
  <c r="D68" i="17"/>
  <c r="N63" i="29" l="1"/>
  <c r="M63" i="29"/>
  <c r="L68" i="17"/>
  <c r="E65" i="28" s="1"/>
  <c r="M65" i="29" s="1"/>
  <c r="E64" i="28"/>
  <c r="M64" i="29" s="1"/>
  <c r="I74" i="25"/>
  <c r="J74" i="25" s="1"/>
  <c r="J70" i="17" s="1"/>
  <c r="H74" i="25"/>
  <c r="I74" i="20"/>
  <c r="J74" i="20" s="1"/>
  <c r="H74" i="20"/>
  <c r="K66" i="29"/>
  <c r="E69" i="17"/>
  <c r="I76" i="26"/>
  <c r="J76" i="26" s="1"/>
  <c r="I72" i="17" s="1"/>
  <c r="H76" i="26"/>
  <c r="I76" i="24"/>
  <c r="J76" i="24" s="1"/>
  <c r="K72" i="17" s="1"/>
  <c r="H76" i="24"/>
  <c r="B77" i="20"/>
  <c r="B77" i="21"/>
  <c r="A77" i="25"/>
  <c r="B77" i="22"/>
  <c r="B77" i="27"/>
  <c r="B77" i="18"/>
  <c r="B77" i="24"/>
  <c r="B77" i="23"/>
  <c r="B70" i="7"/>
  <c r="B77" i="26"/>
  <c r="I76" i="22"/>
  <c r="J76" i="22" s="1"/>
  <c r="G72" i="17" s="1"/>
  <c r="H76" i="22"/>
  <c r="I75" i="23"/>
  <c r="J75" i="23" s="1"/>
  <c r="H75" i="23"/>
  <c r="L67" i="29"/>
  <c r="F70" i="17"/>
  <c r="I76" i="27"/>
  <c r="J76" i="27" s="1"/>
  <c r="H72" i="17" s="1"/>
  <c r="H76" i="27"/>
  <c r="I74" i="21"/>
  <c r="J74" i="21" s="1"/>
  <c r="H74" i="21"/>
  <c r="D69" i="17"/>
  <c r="J66" i="29"/>
  <c r="I75" i="18"/>
  <c r="J75" i="18" s="1"/>
  <c r="C71" i="17" s="1"/>
  <c r="H75" i="18"/>
  <c r="O64" i="29" l="1"/>
  <c r="N64" i="29"/>
  <c r="O68" i="17"/>
  <c r="I75" i="25"/>
  <c r="J75" i="25" s="1"/>
  <c r="J71" i="17" s="1"/>
  <c r="H75" i="25"/>
  <c r="L69" i="17"/>
  <c r="E66" i="28" s="1"/>
  <c r="M66" i="29" s="1"/>
  <c r="H75" i="20"/>
  <c r="I75" i="20"/>
  <c r="J75" i="20" s="1"/>
  <c r="K67" i="29"/>
  <c r="E70" i="17"/>
  <c r="I76" i="23"/>
  <c r="J76" i="23" s="1"/>
  <c r="H76" i="23"/>
  <c r="I77" i="24"/>
  <c r="J77" i="24" s="1"/>
  <c r="K73" i="17" s="1"/>
  <c r="H77" i="24"/>
  <c r="N65" i="29"/>
  <c r="O65" i="29"/>
  <c r="B71" i="7"/>
  <c r="B78" i="27"/>
  <c r="B78" i="23"/>
  <c r="B78" i="21"/>
  <c r="B78" i="24"/>
  <c r="A78" i="25"/>
  <c r="B78" i="20"/>
  <c r="B78" i="26"/>
  <c r="B78" i="22"/>
  <c r="B78" i="18"/>
  <c r="I75" i="21"/>
  <c r="J75" i="21" s="1"/>
  <c r="H75" i="21"/>
  <c r="F71" i="17"/>
  <c r="L68" i="29"/>
  <c r="J67" i="29"/>
  <c r="D70" i="17"/>
  <c r="I76" i="18"/>
  <c r="J76" i="18" s="1"/>
  <c r="C72" i="17" s="1"/>
  <c r="H76" i="18"/>
  <c r="I77" i="27"/>
  <c r="J77" i="27" s="1"/>
  <c r="H73" i="17" s="1"/>
  <c r="H77" i="27"/>
  <c r="I77" i="22"/>
  <c r="J77" i="22" s="1"/>
  <c r="G73" i="17" s="1"/>
  <c r="H77" i="22"/>
  <c r="I77" i="26"/>
  <c r="J77" i="26" s="1"/>
  <c r="I73" i="17" s="1"/>
  <c r="H77" i="26"/>
  <c r="O69" i="17" l="1"/>
  <c r="I76" i="25"/>
  <c r="J76" i="25" s="1"/>
  <c r="J72" i="17" s="1"/>
  <c r="H76" i="25"/>
  <c r="L70" i="17"/>
  <c r="E67" i="28" s="1"/>
  <c r="M67" i="29" s="1"/>
  <c r="K68" i="29"/>
  <c r="E71" i="17"/>
  <c r="I76" i="20"/>
  <c r="J76" i="20" s="1"/>
  <c r="H76" i="20"/>
  <c r="I78" i="22"/>
  <c r="J78" i="22" s="1"/>
  <c r="G74" i="17" s="1"/>
  <c r="H78" i="22"/>
  <c r="I78" i="27"/>
  <c r="J78" i="27" s="1"/>
  <c r="H74" i="17" s="1"/>
  <c r="H78" i="27"/>
  <c r="I78" i="24"/>
  <c r="J78" i="24" s="1"/>
  <c r="K74" i="17" s="1"/>
  <c r="H78" i="24"/>
  <c r="N66" i="29"/>
  <c r="O66" i="29"/>
  <c r="B72" i="7"/>
  <c r="B79" i="18"/>
  <c r="B79" i="24"/>
  <c r="B79" i="23"/>
  <c r="A79" i="25"/>
  <c r="B79" i="20"/>
  <c r="B79" i="27"/>
  <c r="B79" i="26"/>
  <c r="B79" i="21"/>
  <c r="B79" i="22"/>
  <c r="I78" i="26"/>
  <c r="J78" i="26" s="1"/>
  <c r="I74" i="17" s="1"/>
  <c r="H78" i="26"/>
  <c r="I77" i="18"/>
  <c r="J77" i="18" s="1"/>
  <c r="C73" i="17" s="1"/>
  <c r="H77" i="18"/>
  <c r="I76" i="21"/>
  <c r="J76" i="21" s="1"/>
  <c r="H76" i="21"/>
  <c r="I77" i="23"/>
  <c r="J77" i="23" s="1"/>
  <c r="H77" i="23"/>
  <c r="D71" i="17"/>
  <c r="J68" i="29"/>
  <c r="F72" i="17"/>
  <c r="L69" i="29"/>
  <c r="O70" i="17" l="1"/>
  <c r="L71" i="17"/>
  <c r="E68" i="28" s="1"/>
  <c r="M68" i="29" s="1"/>
  <c r="I77" i="25"/>
  <c r="J77" i="25" s="1"/>
  <c r="J73" i="17" s="1"/>
  <c r="H77" i="25"/>
  <c r="I77" i="20"/>
  <c r="J77" i="20" s="1"/>
  <c r="H77" i="20"/>
  <c r="K69" i="29"/>
  <c r="E72" i="17"/>
  <c r="I79" i="27"/>
  <c r="J79" i="27" s="1"/>
  <c r="H75" i="17" s="1"/>
  <c r="H79" i="27"/>
  <c r="I79" i="26"/>
  <c r="J79" i="26" s="1"/>
  <c r="I75" i="17" s="1"/>
  <c r="H79" i="26"/>
  <c r="F73" i="17"/>
  <c r="L70" i="29"/>
  <c r="B80" i="27"/>
  <c r="B80" i="21"/>
  <c r="B80" i="23"/>
  <c r="B73" i="7"/>
  <c r="A80" i="25"/>
  <c r="B80" i="26"/>
  <c r="B80" i="24"/>
  <c r="B80" i="22"/>
  <c r="B80" i="18"/>
  <c r="B80" i="20"/>
  <c r="N67" i="29"/>
  <c r="O67" i="29"/>
  <c r="I78" i="23"/>
  <c r="J78" i="23" s="1"/>
  <c r="H78" i="23"/>
  <c r="I77" i="21"/>
  <c r="J77" i="21" s="1"/>
  <c r="H77" i="21"/>
  <c r="I79" i="24"/>
  <c r="J79" i="24" s="1"/>
  <c r="K75" i="17" s="1"/>
  <c r="H79" i="24"/>
  <c r="I79" i="22"/>
  <c r="J79" i="22" s="1"/>
  <c r="G75" i="17" s="1"/>
  <c r="H79" i="22"/>
  <c r="D72" i="17"/>
  <c r="J69" i="29"/>
  <c r="I78" i="18"/>
  <c r="J78" i="18" s="1"/>
  <c r="C74" i="17" s="1"/>
  <c r="H78" i="18"/>
  <c r="O71" i="17" l="1"/>
  <c r="I78" i="25"/>
  <c r="J78" i="25" s="1"/>
  <c r="J74" i="17" s="1"/>
  <c r="H78" i="25"/>
  <c r="L72" i="17"/>
  <c r="O72" i="17" s="1"/>
  <c r="I78" i="20"/>
  <c r="J78" i="20" s="1"/>
  <c r="H78" i="20"/>
  <c r="K70" i="29"/>
  <c r="E73" i="17"/>
  <c r="I80" i="22"/>
  <c r="J80" i="22" s="1"/>
  <c r="G76" i="17" s="1"/>
  <c r="H80" i="22"/>
  <c r="I79" i="23"/>
  <c r="J79" i="23" s="1"/>
  <c r="H79" i="23"/>
  <c r="I80" i="26"/>
  <c r="J80" i="26" s="1"/>
  <c r="I76" i="17" s="1"/>
  <c r="H80" i="26"/>
  <c r="B81" i="26"/>
  <c r="B81" i="27"/>
  <c r="B81" i="18"/>
  <c r="B74" i="7"/>
  <c r="B81" i="20"/>
  <c r="B81" i="22"/>
  <c r="B81" i="21"/>
  <c r="B81" i="24"/>
  <c r="A81" i="25"/>
  <c r="B81" i="23"/>
  <c r="I80" i="24"/>
  <c r="J80" i="24" s="1"/>
  <c r="K76" i="17" s="1"/>
  <c r="H80" i="24"/>
  <c r="I80" i="27"/>
  <c r="J80" i="27" s="1"/>
  <c r="H76" i="17" s="1"/>
  <c r="H80" i="27"/>
  <c r="F74" i="17"/>
  <c r="L71" i="29"/>
  <c r="I79" i="18"/>
  <c r="J79" i="18" s="1"/>
  <c r="C75" i="17" s="1"/>
  <c r="H79" i="18"/>
  <c r="N68" i="29"/>
  <c r="O68" i="29"/>
  <c r="I78" i="21"/>
  <c r="J78" i="21" s="1"/>
  <c r="H78" i="21"/>
  <c r="J70" i="29"/>
  <c r="D73" i="17"/>
  <c r="E69" i="28" l="1"/>
  <c r="O69" i="29" s="1"/>
  <c r="H79" i="25"/>
  <c r="I79" i="25"/>
  <c r="J79" i="25" s="1"/>
  <c r="J75" i="17" s="1"/>
  <c r="L73" i="17"/>
  <c r="O73" i="17" s="1"/>
  <c r="I79" i="20"/>
  <c r="J79" i="20" s="1"/>
  <c r="H79" i="20"/>
  <c r="K71" i="29"/>
  <c r="E74" i="17"/>
  <c r="I81" i="26"/>
  <c r="J81" i="26" s="1"/>
  <c r="I77" i="17" s="1"/>
  <c r="H81" i="26"/>
  <c r="I81" i="27"/>
  <c r="J81" i="27" s="1"/>
  <c r="H77" i="17" s="1"/>
  <c r="H81" i="27"/>
  <c r="I80" i="23"/>
  <c r="J80" i="23" s="1"/>
  <c r="H80" i="23"/>
  <c r="I81" i="24"/>
  <c r="J81" i="24" s="1"/>
  <c r="K77" i="17" s="1"/>
  <c r="H81" i="24"/>
  <c r="L72" i="29"/>
  <c r="F75" i="17"/>
  <c r="I79" i="21"/>
  <c r="J79" i="21" s="1"/>
  <c r="H79" i="21"/>
  <c r="B75" i="7"/>
  <c r="B82" i="21"/>
  <c r="B82" i="27"/>
  <c r="B82" i="24"/>
  <c r="B82" i="23"/>
  <c r="B82" i="20"/>
  <c r="B82" i="26"/>
  <c r="B82" i="22"/>
  <c r="A82" i="25"/>
  <c r="B82" i="18"/>
  <c r="I81" i="22"/>
  <c r="J81" i="22" s="1"/>
  <c r="G77" i="17" s="1"/>
  <c r="H81" i="22"/>
  <c r="E70" i="28"/>
  <c r="M70" i="29" s="1"/>
  <c r="D74" i="17"/>
  <c r="J71" i="29"/>
  <c r="I80" i="18"/>
  <c r="J80" i="18" s="1"/>
  <c r="C76" i="17" s="1"/>
  <c r="H80" i="18"/>
  <c r="N69" i="29" l="1"/>
  <c r="M69" i="29"/>
  <c r="H80" i="25"/>
  <c r="I80" i="25"/>
  <c r="J80" i="25" s="1"/>
  <c r="J76" i="17" s="1"/>
  <c r="I80" i="20"/>
  <c r="J80" i="20" s="1"/>
  <c r="H80" i="20"/>
  <c r="K72" i="29"/>
  <c r="E75" i="17"/>
  <c r="L74" i="17"/>
  <c r="O74" i="17" s="1"/>
  <c r="I80" i="21"/>
  <c r="J80" i="21" s="1"/>
  <c r="H80" i="21"/>
  <c r="I82" i="22"/>
  <c r="J82" i="22" s="1"/>
  <c r="G78" i="17" s="1"/>
  <c r="H82" i="22"/>
  <c r="I81" i="23"/>
  <c r="J81" i="23" s="1"/>
  <c r="H81" i="23"/>
  <c r="I82" i="24"/>
  <c r="J82" i="24" s="1"/>
  <c r="K78" i="17" s="1"/>
  <c r="H82" i="24"/>
  <c r="L73" i="29"/>
  <c r="F76" i="17"/>
  <c r="I82" i="26"/>
  <c r="J82" i="26" s="1"/>
  <c r="I78" i="17" s="1"/>
  <c r="H82" i="26"/>
  <c r="J72" i="29"/>
  <c r="D75" i="17"/>
  <c r="I82" i="27"/>
  <c r="J82" i="27" s="1"/>
  <c r="H78" i="17" s="1"/>
  <c r="H82" i="27"/>
  <c r="N70" i="29"/>
  <c r="O70" i="29"/>
  <c r="I81" i="18"/>
  <c r="J81" i="18" s="1"/>
  <c r="C77" i="17" s="1"/>
  <c r="H81" i="18"/>
  <c r="B83" i="26"/>
  <c r="B83" i="27"/>
  <c r="B83" i="22"/>
  <c r="B83" i="23"/>
  <c r="B83" i="20"/>
  <c r="A83" i="25"/>
  <c r="B83" i="21"/>
  <c r="B76" i="7"/>
  <c r="B83" i="18"/>
  <c r="B83" i="24"/>
  <c r="L75" i="17" l="1"/>
  <c r="O75" i="17" s="1"/>
  <c r="E71" i="28"/>
  <c r="M71" i="29" s="1"/>
  <c r="H81" i="25"/>
  <c r="I81" i="25"/>
  <c r="J81" i="25" s="1"/>
  <c r="J77" i="17" s="1"/>
  <c r="I81" i="20"/>
  <c r="J81" i="20" s="1"/>
  <c r="H81" i="20"/>
  <c r="K73" i="29"/>
  <c r="E76" i="17"/>
  <c r="L74" i="29"/>
  <c r="F77" i="17"/>
  <c r="I83" i="26"/>
  <c r="J83" i="26" s="1"/>
  <c r="I79" i="17" s="1"/>
  <c r="H83" i="26"/>
  <c r="I83" i="22"/>
  <c r="J83" i="22" s="1"/>
  <c r="G79" i="17" s="1"/>
  <c r="H83" i="22"/>
  <c r="I83" i="27"/>
  <c r="J83" i="27" s="1"/>
  <c r="H79" i="17" s="1"/>
  <c r="H83" i="27"/>
  <c r="I83" i="24"/>
  <c r="J83" i="24" s="1"/>
  <c r="K79" i="17" s="1"/>
  <c r="H83" i="24"/>
  <c r="I81" i="21"/>
  <c r="J81" i="21" s="1"/>
  <c r="H81" i="21"/>
  <c r="I82" i="23"/>
  <c r="J82" i="23" s="1"/>
  <c r="H82" i="23"/>
  <c r="B84" i="20"/>
  <c r="B84" i="27"/>
  <c r="B84" i="21"/>
  <c r="B84" i="23"/>
  <c r="B77" i="7"/>
  <c r="B84" i="22"/>
  <c r="B84" i="18"/>
  <c r="A84" i="25"/>
  <c r="B84" i="26"/>
  <c r="B84" i="24"/>
  <c r="I82" i="18"/>
  <c r="J82" i="18" s="1"/>
  <c r="C78" i="17" s="1"/>
  <c r="H82" i="18"/>
  <c r="J73" i="29"/>
  <c r="D76" i="17"/>
  <c r="O71" i="29" l="1"/>
  <c r="E72" i="28"/>
  <c r="M72" i="29" s="1"/>
  <c r="N71" i="29"/>
  <c r="I82" i="25"/>
  <c r="J82" i="25" s="1"/>
  <c r="J78" i="17" s="1"/>
  <c r="H82" i="25"/>
  <c r="L76" i="17"/>
  <c r="E73" i="28" s="1"/>
  <c r="I82" i="20"/>
  <c r="J82" i="20" s="1"/>
  <c r="H82" i="20"/>
  <c r="E77" i="17"/>
  <c r="K74" i="29"/>
  <c r="D77" i="17"/>
  <c r="J74" i="29"/>
  <c r="I84" i="24"/>
  <c r="J84" i="24" s="1"/>
  <c r="K80" i="17" s="1"/>
  <c r="H84" i="24"/>
  <c r="I83" i="18"/>
  <c r="J83" i="18" s="1"/>
  <c r="C79" i="17" s="1"/>
  <c r="H83" i="18"/>
  <c r="I84" i="27"/>
  <c r="J84" i="27" s="1"/>
  <c r="H80" i="17" s="1"/>
  <c r="H84" i="27"/>
  <c r="I84" i="26"/>
  <c r="J84" i="26" s="1"/>
  <c r="I80" i="17" s="1"/>
  <c r="H84" i="26"/>
  <c r="I82" i="21"/>
  <c r="J82" i="21" s="1"/>
  <c r="H82" i="21"/>
  <c r="B85" i="23"/>
  <c r="B85" i="27"/>
  <c r="B85" i="20"/>
  <c r="B78" i="7"/>
  <c r="B85" i="18"/>
  <c r="B85" i="26"/>
  <c r="B85" i="21"/>
  <c r="B85" i="22"/>
  <c r="A85" i="25"/>
  <c r="B85" i="24"/>
  <c r="I83" i="23"/>
  <c r="J83" i="23" s="1"/>
  <c r="H83" i="23"/>
  <c r="F78" i="17"/>
  <c r="L75" i="29"/>
  <c r="I84" i="22"/>
  <c r="J84" i="22" s="1"/>
  <c r="G80" i="17" s="1"/>
  <c r="H84" i="22"/>
  <c r="N72" i="29" l="1"/>
  <c r="O72" i="29"/>
  <c r="O76" i="17"/>
  <c r="L77" i="17"/>
  <c r="O77" i="17" s="1"/>
  <c r="H83" i="25"/>
  <c r="I83" i="25"/>
  <c r="J83" i="25" s="1"/>
  <c r="J79" i="17" s="1"/>
  <c r="H83" i="20"/>
  <c r="I83" i="20"/>
  <c r="J83" i="20" s="1"/>
  <c r="K75" i="29"/>
  <c r="E78" i="17"/>
  <c r="I85" i="24"/>
  <c r="J85" i="24" s="1"/>
  <c r="K81" i="17" s="1"/>
  <c r="H85" i="24"/>
  <c r="D78" i="17"/>
  <c r="J75" i="29"/>
  <c r="I85" i="27"/>
  <c r="J85" i="27" s="1"/>
  <c r="H81" i="17" s="1"/>
  <c r="H85" i="27"/>
  <c r="N73" i="29"/>
  <c r="O73" i="29"/>
  <c r="I84" i="18"/>
  <c r="J84" i="18" s="1"/>
  <c r="C80" i="17" s="1"/>
  <c r="H84" i="18"/>
  <c r="I83" i="21"/>
  <c r="J83" i="21" s="1"/>
  <c r="H83" i="21"/>
  <c r="L76" i="29"/>
  <c r="F79" i="17"/>
  <c r="I84" i="23"/>
  <c r="J84" i="23" s="1"/>
  <c r="H84" i="23"/>
  <c r="B86" i="22"/>
  <c r="B79" i="7"/>
  <c r="B86" i="27"/>
  <c r="A86" i="25"/>
  <c r="B86" i="26"/>
  <c r="B86" i="18"/>
  <c r="B86" i="20"/>
  <c r="B86" i="21"/>
  <c r="B86" i="23"/>
  <c r="B86" i="24"/>
  <c r="I85" i="22"/>
  <c r="J85" i="22" s="1"/>
  <c r="G81" i="17" s="1"/>
  <c r="H85" i="22"/>
  <c r="M73" i="29"/>
  <c r="I85" i="26"/>
  <c r="J85" i="26" s="1"/>
  <c r="I81" i="17" s="1"/>
  <c r="H85" i="26"/>
  <c r="E74" i="28" l="1"/>
  <c r="M74" i="29" s="1"/>
  <c r="L78" i="17"/>
  <c r="E75" i="28" s="1"/>
  <c r="H84" i="25"/>
  <c r="I84" i="25"/>
  <c r="J84" i="25" s="1"/>
  <c r="J80" i="17" s="1"/>
  <c r="K76" i="29"/>
  <c r="E79" i="17"/>
  <c r="I84" i="20"/>
  <c r="J84" i="20" s="1"/>
  <c r="H84" i="20"/>
  <c r="I85" i="23"/>
  <c r="J85" i="23" s="1"/>
  <c r="H85" i="23"/>
  <c r="B87" i="21"/>
  <c r="A87" i="25"/>
  <c r="B87" i="23"/>
  <c r="B87" i="18"/>
  <c r="B87" i="22"/>
  <c r="B87" i="26"/>
  <c r="B80" i="7"/>
  <c r="B87" i="27"/>
  <c r="B87" i="24"/>
  <c r="B87" i="20"/>
  <c r="I84" i="21"/>
  <c r="J84" i="21" s="1"/>
  <c r="H84" i="21"/>
  <c r="I86" i="24"/>
  <c r="J86" i="24" s="1"/>
  <c r="K82" i="17" s="1"/>
  <c r="H86" i="24"/>
  <c r="F80" i="17"/>
  <c r="L77" i="29"/>
  <c r="I86" i="22"/>
  <c r="J86" i="22" s="1"/>
  <c r="G82" i="17" s="1"/>
  <c r="H86" i="22"/>
  <c r="D79" i="17"/>
  <c r="J76" i="29"/>
  <c r="I86" i="27"/>
  <c r="J86" i="27" s="1"/>
  <c r="H82" i="17" s="1"/>
  <c r="H86" i="27"/>
  <c r="I86" i="26"/>
  <c r="J86" i="26" s="1"/>
  <c r="I82" i="17" s="1"/>
  <c r="H86" i="26"/>
  <c r="I85" i="18"/>
  <c r="J85" i="18" s="1"/>
  <c r="C81" i="17" s="1"/>
  <c r="H85" i="18"/>
  <c r="O74" i="29" l="1"/>
  <c r="N74" i="29"/>
  <c r="O78" i="17"/>
  <c r="L79" i="17"/>
  <c r="O79" i="17" s="1"/>
  <c r="I85" i="25"/>
  <c r="J85" i="25" s="1"/>
  <c r="J81" i="17" s="1"/>
  <c r="H85" i="25"/>
  <c r="I85" i="20"/>
  <c r="J85" i="20" s="1"/>
  <c r="H85" i="20"/>
  <c r="K77" i="29"/>
  <c r="E80" i="17"/>
  <c r="I87" i="24"/>
  <c r="J87" i="24" s="1"/>
  <c r="K83" i="17" s="1"/>
  <c r="H87" i="24"/>
  <c r="A88" i="25"/>
  <c r="B88" i="18"/>
  <c r="B81" i="7"/>
  <c r="B88" i="24"/>
  <c r="B88" i="27"/>
  <c r="B88" i="23"/>
  <c r="B88" i="20"/>
  <c r="B88" i="26"/>
  <c r="B88" i="21"/>
  <c r="B88" i="22"/>
  <c r="N75" i="29"/>
  <c r="O75" i="29"/>
  <c r="I85" i="21"/>
  <c r="J85" i="21" s="1"/>
  <c r="H85" i="21"/>
  <c r="I87" i="22"/>
  <c r="J87" i="22" s="1"/>
  <c r="G83" i="17" s="1"/>
  <c r="H87" i="22"/>
  <c r="J77" i="29"/>
  <c r="D80" i="17"/>
  <c r="M75" i="29"/>
  <c r="I86" i="23"/>
  <c r="J86" i="23" s="1"/>
  <c r="H86" i="23"/>
  <c r="I87" i="26"/>
  <c r="J87" i="26" s="1"/>
  <c r="I83" i="17" s="1"/>
  <c r="H87" i="26"/>
  <c r="I86" i="18"/>
  <c r="J86" i="18" s="1"/>
  <c r="C82" i="17" s="1"/>
  <c r="H86" i="18"/>
  <c r="I87" i="27"/>
  <c r="J87" i="27" s="1"/>
  <c r="H83" i="17" s="1"/>
  <c r="H87" i="27"/>
  <c r="F81" i="17"/>
  <c r="L78" i="29"/>
  <c r="E76" i="28" l="1"/>
  <c r="M76" i="29" s="1"/>
  <c r="L80" i="17"/>
  <c r="O80" i="17" s="1"/>
  <c r="H86" i="25"/>
  <c r="I86" i="25"/>
  <c r="J86" i="25" s="1"/>
  <c r="J82" i="17" s="1"/>
  <c r="I86" i="20"/>
  <c r="J86" i="20" s="1"/>
  <c r="H86" i="20"/>
  <c r="E81" i="17"/>
  <c r="K78" i="29"/>
  <c r="I88" i="27"/>
  <c r="J88" i="27" s="1"/>
  <c r="H84" i="17" s="1"/>
  <c r="H88" i="27"/>
  <c r="B89" i="27"/>
  <c r="B89" i="18"/>
  <c r="B89" i="24"/>
  <c r="B89" i="20"/>
  <c r="B82" i="7"/>
  <c r="B89" i="21"/>
  <c r="A89" i="25"/>
  <c r="B89" i="26"/>
  <c r="B89" i="22"/>
  <c r="B89" i="23"/>
  <c r="I86" i="21"/>
  <c r="J86" i="21" s="1"/>
  <c r="H86" i="21"/>
  <c r="I87" i="18"/>
  <c r="J87" i="18" s="1"/>
  <c r="C83" i="17" s="1"/>
  <c r="H87" i="18"/>
  <c r="I88" i="26"/>
  <c r="J88" i="26" s="1"/>
  <c r="I84" i="17" s="1"/>
  <c r="H88" i="26"/>
  <c r="I88" i="24"/>
  <c r="J88" i="24" s="1"/>
  <c r="K84" i="17" s="1"/>
  <c r="H88" i="24"/>
  <c r="F82" i="17"/>
  <c r="L79" i="29"/>
  <c r="J78" i="29"/>
  <c r="D81" i="17"/>
  <c r="I87" i="23"/>
  <c r="J87" i="23" s="1"/>
  <c r="H87" i="23"/>
  <c r="I88" i="22"/>
  <c r="J88" i="22" s="1"/>
  <c r="G84" i="17" s="1"/>
  <c r="H88" i="22"/>
  <c r="N76" i="29" l="1"/>
  <c r="O76" i="29"/>
  <c r="E77" i="28"/>
  <c r="M77" i="29" s="1"/>
  <c r="H87" i="25"/>
  <c r="I87" i="25"/>
  <c r="J87" i="25" s="1"/>
  <c r="J83" i="17" s="1"/>
  <c r="L81" i="17"/>
  <c r="O81" i="17" s="1"/>
  <c r="I87" i="20"/>
  <c r="J87" i="20" s="1"/>
  <c r="H87" i="20"/>
  <c r="E82" i="17"/>
  <c r="K79" i="29"/>
  <c r="I89" i="26"/>
  <c r="J89" i="26" s="1"/>
  <c r="I85" i="17" s="1"/>
  <c r="H89" i="26"/>
  <c r="I88" i="18"/>
  <c r="J88" i="18" s="1"/>
  <c r="C84" i="17" s="1"/>
  <c r="H88" i="18"/>
  <c r="I88" i="23"/>
  <c r="J88" i="23" s="1"/>
  <c r="H88" i="23"/>
  <c r="B90" i="23"/>
  <c r="B90" i="26"/>
  <c r="B90" i="18"/>
  <c r="B90" i="21"/>
  <c r="B90" i="24"/>
  <c r="B90" i="27"/>
  <c r="B90" i="22"/>
  <c r="B90" i="20"/>
  <c r="A90" i="25"/>
  <c r="B83" i="7"/>
  <c r="I89" i="22"/>
  <c r="J89" i="22" s="1"/>
  <c r="G85" i="17" s="1"/>
  <c r="H89" i="22"/>
  <c r="I87" i="21"/>
  <c r="J87" i="21" s="1"/>
  <c r="H87" i="21"/>
  <c r="I89" i="27"/>
  <c r="J89" i="27" s="1"/>
  <c r="H85" i="17" s="1"/>
  <c r="H89" i="27"/>
  <c r="F83" i="17"/>
  <c r="L80" i="29"/>
  <c r="I89" i="24"/>
  <c r="J89" i="24" s="1"/>
  <c r="K85" i="17" s="1"/>
  <c r="H89" i="24"/>
  <c r="J79" i="29"/>
  <c r="D82" i="17"/>
  <c r="O77" i="29" l="1"/>
  <c r="N77" i="29"/>
  <c r="E78" i="28"/>
  <c r="O78" i="29" s="1"/>
  <c r="H88" i="25"/>
  <c r="I88" i="25"/>
  <c r="J88" i="25" s="1"/>
  <c r="J84" i="17" s="1"/>
  <c r="L82" i="17"/>
  <c r="O82" i="17" s="1"/>
  <c r="I88" i="20"/>
  <c r="J88" i="20" s="1"/>
  <c r="H88" i="20"/>
  <c r="K80" i="29"/>
  <c r="E83" i="17"/>
  <c r="I90" i="24"/>
  <c r="J90" i="24" s="1"/>
  <c r="K86" i="17" s="1"/>
  <c r="H90" i="24"/>
  <c r="I90" i="26"/>
  <c r="J90" i="26" s="1"/>
  <c r="I86" i="17" s="1"/>
  <c r="H90" i="26"/>
  <c r="D83" i="17"/>
  <c r="J80" i="29"/>
  <c r="I89" i="23"/>
  <c r="J89" i="23" s="1"/>
  <c r="H89" i="23"/>
  <c r="F84" i="17"/>
  <c r="L81" i="29"/>
  <c r="I90" i="27"/>
  <c r="J90" i="27" s="1"/>
  <c r="H86" i="17" s="1"/>
  <c r="H90" i="27"/>
  <c r="I89" i="18"/>
  <c r="J89" i="18" s="1"/>
  <c r="C85" i="17" s="1"/>
  <c r="H89" i="18"/>
  <c r="I90" i="22"/>
  <c r="J90" i="22" s="1"/>
  <c r="G86" i="17" s="1"/>
  <c r="H90" i="22"/>
  <c r="B91" i="23"/>
  <c r="A91" i="25"/>
  <c r="B91" i="20"/>
  <c r="B91" i="26"/>
  <c r="B91" i="21"/>
  <c r="B84" i="7"/>
  <c r="B91" i="22"/>
  <c r="B91" i="24"/>
  <c r="B91" i="27"/>
  <c r="B91" i="18"/>
  <c r="I88" i="21"/>
  <c r="J88" i="21" s="1"/>
  <c r="H88" i="21"/>
  <c r="E79" i="28" l="1"/>
  <c r="M79" i="29" s="1"/>
  <c r="N78" i="29"/>
  <c r="M78" i="29"/>
  <c r="I89" i="25"/>
  <c r="J89" i="25" s="1"/>
  <c r="J85" i="17" s="1"/>
  <c r="H89" i="25"/>
  <c r="L83" i="17"/>
  <c r="O83" i="17" s="1"/>
  <c r="I89" i="20"/>
  <c r="J89" i="20" s="1"/>
  <c r="H89" i="20"/>
  <c r="E84" i="17"/>
  <c r="K81" i="29"/>
  <c r="I91" i="26"/>
  <c r="J91" i="26" s="1"/>
  <c r="I87" i="17" s="1"/>
  <c r="H91" i="26"/>
  <c r="B92" i="23"/>
  <c r="B92" i="27"/>
  <c r="B85" i="7"/>
  <c r="A92" i="25"/>
  <c r="B92" i="24"/>
  <c r="B92" i="26"/>
  <c r="B92" i="18"/>
  <c r="B92" i="20"/>
  <c r="B92" i="22"/>
  <c r="B92" i="21"/>
  <c r="I89" i="21"/>
  <c r="J89" i="21" s="1"/>
  <c r="H89" i="21"/>
  <c r="O79" i="29"/>
  <c r="I90" i="23"/>
  <c r="J90" i="23" s="1"/>
  <c r="H90" i="23"/>
  <c r="I90" i="18"/>
  <c r="J90" i="18" s="1"/>
  <c r="C86" i="17" s="1"/>
  <c r="H90" i="18"/>
  <c r="L82" i="29"/>
  <c r="F85" i="17"/>
  <c r="I91" i="22"/>
  <c r="J91" i="22" s="1"/>
  <c r="G87" i="17" s="1"/>
  <c r="H91" i="22"/>
  <c r="I91" i="24"/>
  <c r="J91" i="24" s="1"/>
  <c r="K87" i="17" s="1"/>
  <c r="H91" i="24"/>
  <c r="D84" i="17"/>
  <c r="J81" i="29"/>
  <c r="I91" i="27"/>
  <c r="J91" i="27" s="1"/>
  <c r="H87" i="17" s="1"/>
  <c r="H91" i="27"/>
  <c r="N79" i="29" l="1"/>
  <c r="L84" i="17"/>
  <c r="E81" i="28" s="1"/>
  <c r="M81" i="29" s="1"/>
  <c r="E80" i="28"/>
  <c r="M80" i="29" s="1"/>
  <c r="I90" i="25"/>
  <c r="J90" i="25" s="1"/>
  <c r="J86" i="17" s="1"/>
  <c r="H90" i="25"/>
  <c r="H90" i="20"/>
  <c r="I90" i="20"/>
  <c r="J90" i="20" s="1"/>
  <c r="K82" i="29"/>
  <c r="E85" i="17"/>
  <c r="B93" i="21"/>
  <c r="A93" i="25"/>
  <c r="B93" i="18"/>
  <c r="B93" i="27"/>
  <c r="B93" i="22"/>
  <c r="B93" i="24"/>
  <c r="B86" i="7"/>
  <c r="B93" i="23"/>
  <c r="B93" i="26"/>
  <c r="B93" i="20"/>
  <c r="I91" i="23"/>
  <c r="J91" i="23" s="1"/>
  <c r="H91" i="23"/>
  <c r="I92" i="26"/>
  <c r="J92" i="26" s="1"/>
  <c r="I88" i="17" s="1"/>
  <c r="H92" i="26"/>
  <c r="F86" i="17"/>
  <c r="L83" i="29"/>
  <c r="I92" i="24"/>
  <c r="J92" i="24" s="1"/>
  <c r="K88" i="17" s="1"/>
  <c r="H92" i="24"/>
  <c r="I92" i="22"/>
  <c r="J92" i="22" s="1"/>
  <c r="G88" i="17" s="1"/>
  <c r="H92" i="22"/>
  <c r="D85" i="17"/>
  <c r="J82" i="29"/>
  <c r="I91" i="18"/>
  <c r="J91" i="18" s="1"/>
  <c r="C87" i="17" s="1"/>
  <c r="H91" i="18"/>
  <c r="I92" i="27"/>
  <c r="J92" i="27" s="1"/>
  <c r="H88" i="17" s="1"/>
  <c r="H92" i="27"/>
  <c r="I90" i="21"/>
  <c r="J90" i="21" s="1"/>
  <c r="H90" i="21"/>
  <c r="O84" i="17" l="1"/>
  <c r="O80" i="29"/>
  <c r="N80" i="29"/>
  <c r="I91" i="25"/>
  <c r="J91" i="25" s="1"/>
  <c r="J87" i="17" s="1"/>
  <c r="H91" i="25"/>
  <c r="E86" i="17"/>
  <c r="K83" i="29"/>
  <c r="L85" i="17"/>
  <c r="O85" i="17" s="1"/>
  <c r="I91" i="20"/>
  <c r="J91" i="20" s="1"/>
  <c r="H91" i="20"/>
  <c r="I93" i="24"/>
  <c r="J93" i="24" s="1"/>
  <c r="K89" i="17" s="1"/>
  <c r="H93" i="24"/>
  <c r="I92" i="18"/>
  <c r="J92" i="18" s="1"/>
  <c r="C88" i="17" s="1"/>
  <c r="H92" i="18"/>
  <c r="I93" i="26"/>
  <c r="J93" i="26" s="1"/>
  <c r="I89" i="17" s="1"/>
  <c r="H93" i="26"/>
  <c r="B94" i="22"/>
  <c r="B94" i="24"/>
  <c r="B94" i="20"/>
  <c r="B87" i="7"/>
  <c r="A94" i="25"/>
  <c r="B94" i="18"/>
  <c r="B94" i="27"/>
  <c r="B94" i="23"/>
  <c r="B94" i="21"/>
  <c r="B94" i="26"/>
  <c r="F87" i="17"/>
  <c r="L84" i="29"/>
  <c r="I93" i="27"/>
  <c r="J93" i="27" s="1"/>
  <c r="H89" i="17" s="1"/>
  <c r="H93" i="27"/>
  <c r="N81" i="29"/>
  <c r="O81" i="29"/>
  <c r="D86" i="17"/>
  <c r="J83" i="29"/>
  <c r="I93" i="22"/>
  <c r="J93" i="22" s="1"/>
  <c r="G89" i="17" s="1"/>
  <c r="H93" i="22"/>
  <c r="I91" i="21"/>
  <c r="J91" i="21" s="1"/>
  <c r="H91" i="21"/>
  <c r="I92" i="23"/>
  <c r="J92" i="23" s="1"/>
  <c r="H92" i="23"/>
  <c r="E82" i="28" l="1"/>
  <c r="M82" i="29" s="1"/>
  <c r="L86" i="17"/>
  <c r="E83" i="28" s="1"/>
  <c r="M83" i="29" s="1"/>
  <c r="I92" i="25"/>
  <c r="J92" i="25" s="1"/>
  <c r="J88" i="17" s="1"/>
  <c r="H92" i="25"/>
  <c r="I92" i="20"/>
  <c r="J92" i="20" s="1"/>
  <c r="H92" i="20"/>
  <c r="E87" i="17"/>
  <c r="K84" i="29"/>
  <c r="I94" i="26"/>
  <c r="J94" i="26" s="1"/>
  <c r="I90" i="17" s="1"/>
  <c r="H94" i="26"/>
  <c r="I94" i="22"/>
  <c r="J94" i="22" s="1"/>
  <c r="G90" i="17" s="1"/>
  <c r="H94" i="22"/>
  <c r="I94" i="27"/>
  <c r="J94" i="27" s="1"/>
  <c r="H90" i="17" s="1"/>
  <c r="H94" i="27"/>
  <c r="I93" i="18"/>
  <c r="J93" i="18" s="1"/>
  <c r="C89" i="17" s="1"/>
  <c r="H93" i="18"/>
  <c r="I92" i="21"/>
  <c r="J92" i="21" s="1"/>
  <c r="H92" i="21"/>
  <c r="I93" i="23"/>
  <c r="J93" i="23" s="1"/>
  <c r="H93" i="23"/>
  <c r="B95" i="23"/>
  <c r="B95" i="18"/>
  <c r="A95" i="25"/>
  <c r="B95" i="20"/>
  <c r="B95" i="26"/>
  <c r="B95" i="21"/>
  <c r="B95" i="27"/>
  <c r="B88" i="7"/>
  <c r="B95" i="22"/>
  <c r="B95" i="24"/>
  <c r="I94" i="24"/>
  <c r="J94" i="24" s="1"/>
  <c r="K90" i="17" s="1"/>
  <c r="H94" i="24"/>
  <c r="D87" i="17"/>
  <c r="J84" i="29"/>
  <c r="L85" i="29"/>
  <c r="F88" i="17"/>
  <c r="O82" i="29" l="1"/>
  <c r="N82" i="29"/>
  <c r="O86" i="17"/>
  <c r="H93" i="25"/>
  <c r="I93" i="25"/>
  <c r="J93" i="25" s="1"/>
  <c r="J89" i="17" s="1"/>
  <c r="L87" i="17"/>
  <c r="E84" i="28" s="1"/>
  <c r="M84" i="29" s="1"/>
  <c r="H93" i="20"/>
  <c r="I93" i="20"/>
  <c r="J93" i="20" s="1"/>
  <c r="K85" i="29"/>
  <c r="E88" i="17"/>
  <c r="I95" i="27"/>
  <c r="J95" i="27" s="1"/>
  <c r="H91" i="17" s="1"/>
  <c r="H95" i="27"/>
  <c r="I95" i="22"/>
  <c r="J95" i="22" s="1"/>
  <c r="G91" i="17" s="1"/>
  <c r="H95" i="22"/>
  <c r="B96" i="22"/>
  <c r="B96" i="18"/>
  <c r="B96" i="24"/>
  <c r="B96" i="20"/>
  <c r="B96" i="27"/>
  <c r="B96" i="21"/>
  <c r="B96" i="26"/>
  <c r="B96" i="23"/>
  <c r="A96" i="25"/>
  <c r="B89" i="7"/>
  <c r="I94" i="23"/>
  <c r="J94" i="23" s="1"/>
  <c r="H94" i="23"/>
  <c r="N83" i="29"/>
  <c r="O83" i="29"/>
  <c r="L86" i="29"/>
  <c r="F89" i="17"/>
  <c r="I95" i="24"/>
  <c r="J95" i="24" s="1"/>
  <c r="K91" i="17" s="1"/>
  <c r="H95" i="24"/>
  <c r="I93" i="21"/>
  <c r="J93" i="21" s="1"/>
  <c r="H93" i="21"/>
  <c r="I94" i="18"/>
  <c r="J94" i="18" s="1"/>
  <c r="C90" i="17" s="1"/>
  <c r="H94" i="18"/>
  <c r="I95" i="26"/>
  <c r="J95" i="26" s="1"/>
  <c r="I91" i="17" s="1"/>
  <c r="H95" i="26"/>
  <c r="J85" i="29"/>
  <c r="D88" i="17"/>
  <c r="O87" i="17" l="1"/>
  <c r="L88" i="17"/>
  <c r="E85" i="28" s="1"/>
  <c r="M85" i="29" s="1"/>
  <c r="I94" i="25"/>
  <c r="J94" i="25" s="1"/>
  <c r="J90" i="17" s="1"/>
  <c r="H94" i="25"/>
  <c r="E89" i="17"/>
  <c r="K86" i="29"/>
  <c r="H94" i="20"/>
  <c r="I94" i="20"/>
  <c r="J94" i="20" s="1"/>
  <c r="I96" i="26"/>
  <c r="J96" i="26" s="1"/>
  <c r="I92" i="17" s="1"/>
  <c r="H96" i="26"/>
  <c r="B90" i="7"/>
  <c r="B97" i="20"/>
  <c r="B97" i="24"/>
  <c r="B97" i="23"/>
  <c r="A97" i="25"/>
  <c r="B97" i="18"/>
  <c r="B97" i="21"/>
  <c r="B97" i="26"/>
  <c r="B97" i="22"/>
  <c r="B97" i="27"/>
  <c r="N84" i="29"/>
  <c r="O84" i="29"/>
  <c r="I96" i="22"/>
  <c r="J96" i="22" s="1"/>
  <c r="G92" i="17" s="1"/>
  <c r="H96" i="22"/>
  <c r="I95" i="18"/>
  <c r="J95" i="18" s="1"/>
  <c r="C91" i="17" s="1"/>
  <c r="H95" i="18"/>
  <c r="I94" i="21"/>
  <c r="J94" i="21" s="1"/>
  <c r="H94" i="21"/>
  <c r="J86" i="29"/>
  <c r="D89" i="17"/>
  <c r="I95" i="23"/>
  <c r="J95" i="23" s="1"/>
  <c r="H95" i="23"/>
  <c r="I96" i="27"/>
  <c r="J96" i="27" s="1"/>
  <c r="H92" i="17" s="1"/>
  <c r="H96" i="27"/>
  <c r="I96" i="24"/>
  <c r="J96" i="24" s="1"/>
  <c r="K92" i="17" s="1"/>
  <c r="H96" i="24"/>
  <c r="F90" i="17"/>
  <c r="L87" i="29"/>
  <c r="L89" i="17" l="1"/>
  <c r="O88" i="17"/>
  <c r="H95" i="25"/>
  <c r="I95" i="25"/>
  <c r="J95" i="25" s="1"/>
  <c r="J91" i="17" s="1"/>
  <c r="E90" i="17"/>
  <c r="K87" i="29"/>
  <c r="I95" i="20"/>
  <c r="J95" i="20" s="1"/>
  <c r="H95" i="20"/>
  <c r="I97" i="22"/>
  <c r="J97" i="22" s="1"/>
  <c r="G93" i="17" s="1"/>
  <c r="H97" i="22"/>
  <c r="B91" i="7"/>
  <c r="A98" i="25"/>
  <c r="B98" i="21"/>
  <c r="B98" i="27"/>
  <c r="B98" i="20"/>
  <c r="B98" i="24"/>
  <c r="B98" i="23"/>
  <c r="B98" i="22"/>
  <c r="B98" i="26"/>
  <c r="B98" i="18"/>
  <c r="O89" i="17"/>
  <c r="E86" i="28"/>
  <c r="M86" i="29" s="1"/>
  <c r="I96" i="18"/>
  <c r="J96" i="18" s="1"/>
  <c r="C92" i="17" s="1"/>
  <c r="H96" i="18"/>
  <c r="I97" i="27"/>
  <c r="J97" i="27" s="1"/>
  <c r="H93" i="17" s="1"/>
  <c r="H97" i="27"/>
  <c r="I97" i="24"/>
  <c r="J97" i="24" s="1"/>
  <c r="K93" i="17" s="1"/>
  <c r="H97" i="24"/>
  <c r="I96" i="23"/>
  <c r="J96" i="23" s="1"/>
  <c r="H96" i="23"/>
  <c r="I95" i="21"/>
  <c r="J95" i="21" s="1"/>
  <c r="H95" i="21"/>
  <c r="I97" i="26"/>
  <c r="J97" i="26" s="1"/>
  <c r="I93" i="17" s="1"/>
  <c r="H97" i="26"/>
  <c r="N85" i="29"/>
  <c r="O85" i="29"/>
  <c r="F91" i="17"/>
  <c r="L88" i="29"/>
  <c r="D90" i="17"/>
  <c r="L90" i="17" s="1"/>
  <c r="J87" i="29"/>
  <c r="I96" i="25" l="1"/>
  <c r="J96" i="25" s="1"/>
  <c r="J92" i="17" s="1"/>
  <c r="H96" i="25"/>
  <c r="I96" i="20"/>
  <c r="J96" i="20" s="1"/>
  <c r="H96" i="20"/>
  <c r="K88" i="29"/>
  <c r="E91" i="17"/>
  <c r="D91" i="17"/>
  <c r="J88" i="29"/>
  <c r="I97" i="18"/>
  <c r="J97" i="18" s="1"/>
  <c r="C93" i="17" s="1"/>
  <c r="H97" i="18"/>
  <c r="F92" i="17"/>
  <c r="L89" i="29"/>
  <c r="B99" i="21"/>
  <c r="B99" i="27"/>
  <c r="A99" i="25"/>
  <c r="B99" i="22"/>
  <c r="B99" i="26"/>
  <c r="B99" i="24"/>
  <c r="B99" i="23"/>
  <c r="B99" i="20"/>
  <c r="B99" i="18"/>
  <c r="I98" i="24"/>
  <c r="J98" i="24" s="1"/>
  <c r="K94" i="17" s="1"/>
  <c r="H98" i="24"/>
  <c r="I98" i="26"/>
  <c r="J98" i="26" s="1"/>
  <c r="I94" i="17" s="1"/>
  <c r="H98" i="26"/>
  <c r="I98" i="22"/>
  <c r="J98" i="22" s="1"/>
  <c r="G94" i="17" s="1"/>
  <c r="H98" i="22"/>
  <c r="I98" i="27"/>
  <c r="J98" i="27" s="1"/>
  <c r="H94" i="17" s="1"/>
  <c r="H98" i="27"/>
  <c r="I97" i="23"/>
  <c r="J97" i="23" s="1"/>
  <c r="H97" i="23"/>
  <c r="E87" i="28"/>
  <c r="M87" i="29" s="1"/>
  <c r="O90" i="17"/>
  <c r="I96" i="21"/>
  <c r="J96" i="21" s="1"/>
  <c r="H96" i="21"/>
  <c r="N86" i="29"/>
  <c r="O86" i="29"/>
  <c r="I97" i="25" l="1"/>
  <c r="J97" i="25" s="1"/>
  <c r="J93" i="17" s="1"/>
  <c r="H97" i="25"/>
  <c r="L91" i="17"/>
  <c r="E88" i="28" s="1"/>
  <c r="I97" i="20"/>
  <c r="J97" i="20" s="1"/>
  <c r="H97" i="20"/>
  <c r="K89" i="29"/>
  <c r="E92" i="17"/>
  <c r="I97" i="21"/>
  <c r="J97" i="21" s="1"/>
  <c r="H97" i="21"/>
  <c r="I99" i="26"/>
  <c r="J99" i="26" s="1"/>
  <c r="I95" i="17" s="1"/>
  <c r="H99" i="26"/>
  <c r="D92" i="17"/>
  <c r="J89" i="29"/>
  <c r="I98" i="18"/>
  <c r="J98" i="18" s="1"/>
  <c r="C94" i="17" s="1"/>
  <c r="H98" i="18"/>
  <c r="I99" i="27"/>
  <c r="J99" i="27" s="1"/>
  <c r="H95" i="17" s="1"/>
  <c r="H99" i="27"/>
  <c r="I99" i="24"/>
  <c r="J99" i="24" s="1"/>
  <c r="K95" i="17" s="1"/>
  <c r="H99" i="24"/>
  <c r="N87" i="29"/>
  <c r="O87" i="29"/>
  <c r="I99" i="22"/>
  <c r="J99" i="22" s="1"/>
  <c r="G95" i="17" s="1"/>
  <c r="H99" i="22"/>
  <c r="I98" i="23"/>
  <c r="J98" i="23" s="1"/>
  <c r="H98" i="23"/>
  <c r="F93" i="17"/>
  <c r="L90" i="29"/>
  <c r="O91" i="17" l="1"/>
  <c r="I98" i="25"/>
  <c r="J98" i="25" s="1"/>
  <c r="J94" i="17" s="1"/>
  <c r="H98" i="25"/>
  <c r="I98" i="20"/>
  <c r="J98" i="20" s="1"/>
  <c r="H98" i="20"/>
  <c r="L92" i="17"/>
  <c r="E89" i="28" s="1"/>
  <c r="K90" i="29"/>
  <c r="E93" i="17"/>
  <c r="N88" i="29"/>
  <c r="O88" i="29"/>
  <c r="M88" i="29"/>
  <c r="I99" i="23"/>
  <c r="J99" i="23" s="1"/>
  <c r="H99" i="23"/>
  <c r="I98" i="21"/>
  <c r="J98" i="21" s="1"/>
  <c r="H98" i="21"/>
  <c r="L91" i="29"/>
  <c r="F94" i="17"/>
  <c r="I99" i="18"/>
  <c r="J99" i="18" s="1"/>
  <c r="C95" i="17" s="1"/>
  <c r="H99" i="18"/>
  <c r="J90" i="29"/>
  <c r="D93" i="17"/>
  <c r="O92" i="17" l="1"/>
  <c r="I99" i="25"/>
  <c r="J99" i="25" s="1"/>
  <c r="J95" i="17" s="1"/>
  <c r="H99" i="25"/>
  <c r="L93" i="17"/>
  <c r="E90" i="28" s="1"/>
  <c r="M90" i="29" s="1"/>
  <c r="I99" i="20"/>
  <c r="J99" i="20" s="1"/>
  <c r="H99" i="20"/>
  <c r="K91" i="29"/>
  <c r="E94" i="17"/>
  <c r="I99" i="21"/>
  <c r="J99" i="21" s="1"/>
  <c r="H99" i="21"/>
  <c r="N89" i="29"/>
  <c r="O89" i="29"/>
  <c r="D94" i="17"/>
  <c r="J91" i="29"/>
  <c r="L92" i="29"/>
  <c r="F95" i="17"/>
  <c r="M89" i="29"/>
  <c r="O93" i="17" l="1"/>
  <c r="L94" i="17"/>
  <c r="O94" i="17" s="1"/>
  <c r="E95" i="17"/>
  <c r="K92" i="29"/>
  <c r="N90" i="29"/>
  <c r="O90" i="29"/>
  <c r="D95" i="17"/>
  <c r="J92" i="29"/>
  <c r="L95" i="17" l="1"/>
  <c r="E91" i="28"/>
  <c r="O91" i="29" s="1"/>
  <c r="E92" i="28"/>
  <c r="M92" i="29" s="1"/>
  <c r="O95" i="17"/>
  <c r="N91" i="29"/>
  <c r="M91" i="29" l="1"/>
  <c r="N92" i="29"/>
  <c r="O92"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AEA Technology</author>
    <author>baasansuren</author>
  </authors>
  <commentList>
    <comment ref="L13" authorId="0" shapeId="0" xr:uid="{00000000-0006-0000-0100-000001000000}">
      <text>
        <r>
          <rPr>
            <sz val="8"/>
            <color indexed="81"/>
            <rFont val="Tahoma"/>
            <family val="2"/>
          </rPr>
          <t>This may include garden waste provided that a suitable value of DOC is used</t>
        </r>
      </text>
    </comment>
    <comment ref="L14" authorId="0" shapeId="0" xr:uid="{00000000-0006-0000-0100-000002000000}">
      <text>
        <r>
          <rPr>
            <sz val="8"/>
            <color indexed="81"/>
            <rFont val="Tahoma"/>
            <family val="2"/>
          </rPr>
          <t>Garden and park waste and other moderately fast degrading waste</t>
        </r>
      </text>
    </comment>
    <comment ref="L17" authorId="0" shapeId="0" xr:uid="{00000000-0006-0000-0100-000003000000}">
      <text>
        <r>
          <rPr>
            <sz val="8"/>
            <color indexed="81"/>
            <rFont val="Tahoma"/>
            <family val="2"/>
          </rPr>
          <t>Natural textiles such as wool and cotton. The default DOC value assumes 40% of textiles are synthetic materials that do not contain DOC.</t>
        </r>
      </text>
    </comment>
    <comment ref="B19" authorId="1" shapeId="0" xr:uid="{00000000-0006-0000-0100-000004000000}">
      <text>
        <r>
          <rPr>
            <sz val="9"/>
            <color indexed="81"/>
            <rFont val="Arial"/>
            <family val="2"/>
          </rPr>
          <t>Untreated sludge (wet weight). The spreadsheet can be modified to estimate emissions from treated sludge and industrial sludge using the default values provided in Table 2.4a (new) of Chapter 2, Volume 5 of the 2019 Refinement.</t>
        </r>
        <r>
          <rPr>
            <sz val="9"/>
            <color indexed="81"/>
            <rFont val="MS P ゴシック"/>
            <family val="3"/>
            <charset val="128"/>
          </rPr>
          <t xml:space="preserve">
</t>
        </r>
      </text>
    </comment>
    <comment ref="L21" authorId="0" shapeId="0" xr:uid="{00000000-0006-0000-0100-000005000000}">
      <text>
        <r>
          <rPr>
            <sz val="8"/>
            <color indexed="81"/>
            <rFont val="Tahoma"/>
            <family val="2"/>
          </rPr>
          <t>The composition of industrial waste will vary significantly by country. This DOC value should match the amounts entered (see guidelines).</t>
        </r>
      </text>
    </comment>
    <comment ref="L27" authorId="0" shapeId="0" xr:uid="{00000000-0006-0000-0100-000006000000}">
      <text>
        <r>
          <rPr>
            <sz val="8"/>
            <color indexed="81"/>
            <rFont val="Tahoma"/>
            <family val="2"/>
          </rPr>
          <t>This may include garden waste provided that a suitable value of DOC is used</t>
        </r>
      </text>
    </comment>
    <comment ref="L28" authorId="0" shapeId="0" xr:uid="{00000000-0006-0000-0100-000007000000}">
      <text>
        <r>
          <rPr>
            <sz val="8"/>
            <color indexed="81"/>
            <rFont val="Tahoma"/>
            <family val="2"/>
          </rPr>
          <t>Garden and park waste and other moderately fast degrading waste</t>
        </r>
      </text>
    </comment>
    <comment ref="L31" authorId="0" shapeId="0" xr:uid="{00000000-0006-0000-0100-000008000000}">
      <text>
        <r>
          <rPr>
            <sz val="8"/>
            <color indexed="81"/>
            <rFont val="Tahoma"/>
            <family val="2"/>
          </rPr>
          <t>Natural textiles such as wool and cotton. Synthetic textiles are assumed not to contain DOC</t>
        </r>
      </text>
    </comment>
    <comment ref="L35" authorId="0" shapeId="0" xr:uid="{00000000-0006-0000-0100-000009000000}">
      <text>
        <r>
          <rPr>
            <sz val="8"/>
            <color indexed="81"/>
            <rFont val="Tahoma"/>
            <family val="2"/>
          </rPr>
          <t>The composition of industrial waste will vary significantly by country. This DOC value should match the amounts entered (see guidelines).</t>
        </r>
      </text>
    </comment>
    <comment ref="B40" authorId="0" shapeId="0" xr:uid="{00000000-0006-0000-0100-00000A000000}">
      <text>
        <r>
          <rPr>
            <sz val="8"/>
            <color indexed="81"/>
            <rFont val="Tahoma"/>
            <family val="2"/>
          </rPr>
          <t>This is the average time before anaerobic decay begins - usually assumed to be a few months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I7" authorId="0" shapeId="0" xr:uid="{00000000-0006-0000-0B00-000001000000}">
      <text>
        <r>
          <rPr>
            <sz val="8"/>
            <color indexed="81"/>
            <rFont val="Tahoma"/>
            <family val="2"/>
          </rPr>
          <t>Transferred from parameter sheet</t>
        </r>
      </text>
    </comment>
    <comment ref="I8" authorId="0" shapeId="0" xr:uid="{00000000-0006-0000-0B00-000002000000}">
      <text>
        <r>
          <rPr>
            <sz val="8"/>
            <color indexed="81"/>
            <rFont val="Tahoma"/>
            <family val="2"/>
          </rPr>
          <t>Transferred from parameter sheet</t>
        </r>
      </text>
    </comment>
    <comment ref="I10" authorId="0" shapeId="0" xr:uid="{00000000-0006-0000-0B00-000003000000}">
      <text>
        <r>
          <rPr>
            <sz val="8"/>
            <color indexed="81"/>
            <rFont val="Tahoma"/>
            <family val="2"/>
          </rPr>
          <t xml:space="preserve">Calculates e^-k for use in columns H and I
</t>
        </r>
      </text>
    </comment>
    <comment ref="I11" authorId="0" shapeId="0" xr:uid="{00000000-0006-0000-0B00-000004000000}">
      <text>
        <r>
          <rPr>
            <sz val="8"/>
            <color indexed="81"/>
            <rFont val="Tahoma"/>
            <family val="2"/>
          </rPr>
          <t>Zero delay is equivalent to average decomposition start at beginning of month 7 (half way through the first year of deposition)</t>
        </r>
      </text>
    </comment>
    <comment ref="I12" authorId="0" shapeId="0" xr:uid="{00000000-0006-0000-0B00-000005000000}">
      <text>
        <r>
          <rPr>
            <sz val="8"/>
            <color indexed="81"/>
            <rFont val="Tahoma"/>
            <family val="2"/>
          </rPr>
          <t xml:space="preserve">Calculates e^-k*((13-M)/12) for use in columns F and G.
</t>
        </r>
      </text>
    </comment>
    <comment ref="C15" authorId="0" shapeId="0" xr:uid="{00000000-0006-0000-0B00-000006000000}">
      <text>
        <r>
          <rPr>
            <sz val="8"/>
            <color indexed="81"/>
            <rFont val="Tahoma"/>
            <family val="2"/>
          </rPr>
          <t>Transferred from activity sheet</t>
        </r>
      </text>
    </comment>
    <comment ref="D15" authorId="1" shapeId="0" xr:uid="{00000000-0006-0000-0B00-000007000000}">
      <text>
        <r>
          <rPr>
            <sz val="8"/>
            <color indexed="81"/>
            <rFont val="Tahoma"/>
            <family val="2"/>
          </rPr>
          <t>Methane correction factor from MCF sheet</t>
        </r>
        <r>
          <rPr>
            <sz val="8"/>
            <color indexed="81"/>
            <rFont val="Tahoma"/>
            <family val="2"/>
          </rPr>
          <t xml:space="preserve">
</t>
        </r>
      </text>
    </comment>
    <comment ref="E15" authorId="0" shapeId="0" xr:uid="{00000000-0006-0000-0B00-000008000000}">
      <text>
        <r>
          <rPr>
            <sz val="8"/>
            <color indexed="81"/>
            <rFont val="Tahoma"/>
            <family val="2"/>
          </rPr>
          <t>Calculates the mass of DOC in the deposited material which will actually degrade in the SWDS. Equation 4 on the Theory sheet.</t>
        </r>
      </text>
    </comment>
    <comment ref="F15" authorId="0" shapeId="0" xr:uid="{00000000-0006-0000-0B00-000009000000}">
      <text>
        <r>
          <rPr>
            <sz val="8"/>
            <color indexed="81"/>
            <rFont val="Tahoma"/>
            <family val="2"/>
          </rPr>
          <t>Calculates the mass of DDOC from material deposited in each year which is left in the SWDS at the end of the year. Equation 5 on the Theory sheet.</t>
        </r>
      </text>
    </comment>
    <comment ref="G15" authorId="0" shapeId="0" xr:uid="{00000000-0006-0000-0B00-00000A00000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H15" authorId="0" shapeId="0" xr:uid="{00000000-0006-0000-0B00-00000B000000}">
      <text>
        <r>
          <rPr>
            <sz val="8"/>
            <color indexed="81"/>
            <rFont val="Tahoma"/>
            <family val="2"/>
          </rPr>
          <t>Calculates the total amount of DDOCm left not decomposed in the SWDS at the end of the year. Equation 7 on the Theory sheet.</t>
        </r>
      </text>
    </comment>
    <comment ref="I15" authorId="0" shapeId="0" xr:uid="{00000000-0006-0000-0B00-00000C000000}">
      <text>
        <r>
          <rPr>
            <sz val="8"/>
            <color indexed="81"/>
            <rFont val="Tahoma"/>
            <family val="2"/>
          </rPr>
          <t>Calculates the total mass of DDOC dedomposed to methane and carbon dioxide each year. Equation 8 on the Theory sheet.</t>
        </r>
      </text>
    </comment>
    <comment ref="J15" authorId="0" shapeId="0" xr:uid="{00000000-0006-0000-0B00-00000D00000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I7" authorId="0" shapeId="0" xr:uid="{00000000-0006-0000-0C00-000001000000}">
      <text>
        <r>
          <rPr>
            <sz val="8"/>
            <color indexed="81"/>
            <rFont val="Tahoma"/>
            <family val="2"/>
          </rPr>
          <t>Transferred from parameter sheet</t>
        </r>
      </text>
    </comment>
    <comment ref="I8" authorId="0" shapeId="0" xr:uid="{00000000-0006-0000-0C00-000002000000}">
      <text>
        <r>
          <rPr>
            <sz val="8"/>
            <color indexed="81"/>
            <rFont val="Tahoma"/>
            <family val="2"/>
          </rPr>
          <t>Transferred from parameter sheet</t>
        </r>
      </text>
    </comment>
    <comment ref="I10" authorId="0" shapeId="0" xr:uid="{00000000-0006-0000-0C00-000003000000}">
      <text>
        <r>
          <rPr>
            <sz val="8"/>
            <color indexed="81"/>
            <rFont val="Tahoma"/>
            <family val="2"/>
          </rPr>
          <t xml:space="preserve">Calculates e^-k for use in columns H and I
</t>
        </r>
      </text>
    </comment>
    <comment ref="I11" authorId="0" shapeId="0" xr:uid="{00000000-0006-0000-0C00-000004000000}">
      <text>
        <r>
          <rPr>
            <sz val="8"/>
            <color indexed="81"/>
            <rFont val="Tahoma"/>
            <family val="2"/>
          </rPr>
          <t>Zero delay is equivalent to average decomposition start at beginning of month 7 (half way through the first year of deposition)</t>
        </r>
      </text>
    </comment>
    <comment ref="I12" authorId="0" shapeId="0" xr:uid="{00000000-0006-0000-0C00-000005000000}">
      <text>
        <r>
          <rPr>
            <sz val="8"/>
            <color indexed="81"/>
            <rFont val="Tahoma"/>
            <family val="2"/>
          </rPr>
          <t xml:space="preserve">Calculates e^-k*((13-M)/12) for use in columns F and G.
</t>
        </r>
      </text>
    </comment>
    <comment ref="C15" authorId="0" shapeId="0" xr:uid="{00000000-0006-0000-0C00-000006000000}">
      <text>
        <r>
          <rPr>
            <sz val="8"/>
            <color indexed="81"/>
            <rFont val="Tahoma"/>
            <family val="2"/>
          </rPr>
          <t>Transferred from activity sheet</t>
        </r>
      </text>
    </comment>
    <comment ref="D15" authorId="1" shapeId="0" xr:uid="{00000000-0006-0000-0C00-000007000000}">
      <text>
        <r>
          <rPr>
            <sz val="8"/>
            <color indexed="81"/>
            <rFont val="Tahoma"/>
            <family val="2"/>
          </rPr>
          <t>Methane correction factor from MCF sheet</t>
        </r>
        <r>
          <rPr>
            <sz val="8"/>
            <color indexed="81"/>
            <rFont val="Tahoma"/>
            <family val="2"/>
          </rPr>
          <t xml:space="preserve">
</t>
        </r>
      </text>
    </comment>
    <comment ref="E15" authorId="0" shapeId="0" xr:uid="{00000000-0006-0000-0C00-000008000000}">
      <text>
        <r>
          <rPr>
            <sz val="8"/>
            <color indexed="81"/>
            <rFont val="Tahoma"/>
            <family val="2"/>
          </rPr>
          <t>Calculates the mass of DOC in the deposited material which will actually degrade in the SWDS. Equation 4 on the Theory sheet.</t>
        </r>
      </text>
    </comment>
    <comment ref="F15" authorId="0" shapeId="0" xr:uid="{00000000-0006-0000-0C00-000009000000}">
      <text>
        <r>
          <rPr>
            <sz val="8"/>
            <color indexed="81"/>
            <rFont val="Tahoma"/>
            <family val="2"/>
          </rPr>
          <t>Calculates the mass of DDOC from material deposited in each year which is left in the SWDS at the end of the year. Equation 5 on the Theory sheet.</t>
        </r>
      </text>
    </comment>
    <comment ref="G15" authorId="0" shapeId="0" xr:uid="{00000000-0006-0000-0C00-00000A00000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H15" authorId="0" shapeId="0" xr:uid="{00000000-0006-0000-0C00-00000B000000}">
      <text>
        <r>
          <rPr>
            <sz val="8"/>
            <color indexed="81"/>
            <rFont val="Tahoma"/>
            <family val="2"/>
          </rPr>
          <t>Calculates the total amount of DDOCm left not decomposed in the SWDS at the end of the year. Equation 7 on the Theory sheet.</t>
        </r>
      </text>
    </comment>
    <comment ref="I15" authorId="0" shapeId="0" xr:uid="{00000000-0006-0000-0C00-00000C000000}">
      <text>
        <r>
          <rPr>
            <sz val="8"/>
            <color indexed="81"/>
            <rFont val="Tahoma"/>
            <family val="2"/>
          </rPr>
          <t>Calculates the total mass of DDOC dedomposed to methane and carbon dioxide each year. Equation 8 on the Theory sheet.</t>
        </r>
      </text>
    </comment>
    <comment ref="J15" authorId="0" shapeId="0" xr:uid="{00000000-0006-0000-0C00-00000D00000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I7" authorId="0" shapeId="0" xr:uid="{00000000-0006-0000-0D00-000001000000}">
      <text>
        <r>
          <rPr>
            <sz val="8"/>
            <color indexed="81"/>
            <rFont val="Tahoma"/>
            <family val="2"/>
          </rPr>
          <t>Transferred from parameter sheet</t>
        </r>
      </text>
    </comment>
    <comment ref="I8" authorId="0" shapeId="0" xr:uid="{00000000-0006-0000-0D00-000002000000}">
      <text>
        <r>
          <rPr>
            <sz val="8"/>
            <color indexed="81"/>
            <rFont val="Tahoma"/>
            <family val="2"/>
          </rPr>
          <t>Transferred from parameter sheet</t>
        </r>
      </text>
    </comment>
    <comment ref="I10" authorId="0" shapeId="0" xr:uid="{00000000-0006-0000-0D00-000003000000}">
      <text>
        <r>
          <rPr>
            <sz val="8"/>
            <color indexed="81"/>
            <rFont val="Tahoma"/>
            <family val="2"/>
          </rPr>
          <t xml:space="preserve">Calculates e^-k for use in columns H and I
</t>
        </r>
      </text>
    </comment>
    <comment ref="I11" authorId="0" shapeId="0" xr:uid="{00000000-0006-0000-0D00-000004000000}">
      <text>
        <r>
          <rPr>
            <sz val="8"/>
            <color indexed="81"/>
            <rFont val="Tahoma"/>
            <family val="2"/>
          </rPr>
          <t>Zero delay is equivalent to average decomposition start at beginning of month 7 (half way through the first year of deposition)</t>
        </r>
      </text>
    </comment>
    <comment ref="I12" authorId="0" shapeId="0" xr:uid="{00000000-0006-0000-0D00-000005000000}">
      <text>
        <r>
          <rPr>
            <sz val="8"/>
            <color indexed="81"/>
            <rFont val="Tahoma"/>
            <family val="2"/>
          </rPr>
          <t xml:space="preserve">Calculates e^-k*((13-M)/12) for use in columns F and G.
</t>
        </r>
      </text>
    </comment>
    <comment ref="C15" authorId="0" shapeId="0" xr:uid="{00000000-0006-0000-0D00-000006000000}">
      <text>
        <r>
          <rPr>
            <sz val="8"/>
            <color indexed="81"/>
            <rFont val="Tahoma"/>
            <family val="2"/>
          </rPr>
          <t>Transferred from activity sheet</t>
        </r>
      </text>
    </comment>
    <comment ref="D15" authorId="1" shapeId="0" xr:uid="{00000000-0006-0000-0D00-000007000000}">
      <text>
        <r>
          <rPr>
            <sz val="8"/>
            <color indexed="81"/>
            <rFont val="Tahoma"/>
            <family val="2"/>
          </rPr>
          <t>Methane correction factor from MCF sheet</t>
        </r>
        <r>
          <rPr>
            <sz val="8"/>
            <color indexed="81"/>
            <rFont val="Tahoma"/>
            <family val="2"/>
          </rPr>
          <t xml:space="preserve">
</t>
        </r>
      </text>
    </comment>
    <comment ref="E15" authorId="0" shapeId="0" xr:uid="{00000000-0006-0000-0D00-000008000000}">
      <text>
        <r>
          <rPr>
            <sz val="8"/>
            <color indexed="81"/>
            <rFont val="Tahoma"/>
            <family val="2"/>
          </rPr>
          <t>Calculates the mass of DOC in the deposited material which will actually degrade in the SWDS. Equation 4 on the Theory sheet.</t>
        </r>
      </text>
    </comment>
    <comment ref="F15" authorId="0" shapeId="0" xr:uid="{00000000-0006-0000-0D00-000009000000}">
      <text>
        <r>
          <rPr>
            <sz val="8"/>
            <color indexed="81"/>
            <rFont val="Tahoma"/>
            <family val="2"/>
          </rPr>
          <t>Calculates the mass of DDOC from material deposited in each year which is left in the SWDS at the end of the year. Equation 5 on the Theory sheet.</t>
        </r>
      </text>
    </comment>
    <comment ref="G15" authorId="0" shapeId="0" xr:uid="{00000000-0006-0000-0D00-00000A00000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H15" authorId="0" shapeId="0" xr:uid="{00000000-0006-0000-0D00-00000B000000}">
      <text>
        <r>
          <rPr>
            <sz val="8"/>
            <color indexed="81"/>
            <rFont val="Tahoma"/>
            <family val="2"/>
          </rPr>
          <t>Calculates the total amount of DDOCm left not decomposed in the SWDS at the end of the year. Equation 7 on the Theory sheet.</t>
        </r>
      </text>
    </comment>
    <comment ref="I15" authorId="0" shapeId="0" xr:uid="{00000000-0006-0000-0D00-00000C000000}">
      <text>
        <r>
          <rPr>
            <sz val="8"/>
            <color indexed="81"/>
            <rFont val="Tahoma"/>
            <family val="2"/>
          </rPr>
          <t>Calculates the total mass of DDOC dedomposed to methane and carbon dioxide each year. Equation 8 on the Theory sheet.</t>
        </r>
      </text>
    </comment>
    <comment ref="J15" authorId="0" shapeId="0" xr:uid="{00000000-0006-0000-0D00-00000D00000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I7" authorId="0" shapeId="0" xr:uid="{00000000-0006-0000-0E00-000001000000}">
      <text>
        <r>
          <rPr>
            <sz val="8"/>
            <color indexed="81"/>
            <rFont val="Tahoma"/>
            <family val="2"/>
          </rPr>
          <t>Transferred from parameter sheet</t>
        </r>
      </text>
    </comment>
    <comment ref="I8" authorId="0" shapeId="0" xr:uid="{00000000-0006-0000-0E00-000002000000}">
      <text>
        <r>
          <rPr>
            <sz val="8"/>
            <color indexed="81"/>
            <rFont val="Tahoma"/>
            <family val="2"/>
          </rPr>
          <t>Transferred from parameter sheet</t>
        </r>
      </text>
    </comment>
    <comment ref="I10" authorId="0" shapeId="0" xr:uid="{00000000-0006-0000-0E00-000003000000}">
      <text>
        <r>
          <rPr>
            <sz val="8"/>
            <color indexed="81"/>
            <rFont val="Tahoma"/>
            <family val="2"/>
          </rPr>
          <t xml:space="preserve">Calculates e^-k for use in columns H and I
</t>
        </r>
      </text>
    </comment>
    <comment ref="I11" authorId="0" shapeId="0" xr:uid="{00000000-0006-0000-0E00-000004000000}">
      <text>
        <r>
          <rPr>
            <sz val="8"/>
            <color indexed="81"/>
            <rFont val="Tahoma"/>
            <family val="2"/>
          </rPr>
          <t>Zero delay is equivalent to average decomposition start at beginning of month 7 (half way through the first year of deposition)</t>
        </r>
      </text>
    </comment>
    <comment ref="I12" authorId="0" shapeId="0" xr:uid="{00000000-0006-0000-0E00-000005000000}">
      <text>
        <r>
          <rPr>
            <sz val="8"/>
            <color indexed="81"/>
            <rFont val="Tahoma"/>
            <family val="2"/>
          </rPr>
          <t xml:space="preserve">Calculates e^-k*((13-M)/12) for use in columns F and G.
</t>
        </r>
      </text>
    </comment>
    <comment ref="C15" authorId="0" shapeId="0" xr:uid="{00000000-0006-0000-0E00-000006000000}">
      <text>
        <r>
          <rPr>
            <sz val="8"/>
            <color indexed="81"/>
            <rFont val="Tahoma"/>
            <family val="2"/>
          </rPr>
          <t>Transferred from activity sheet</t>
        </r>
      </text>
    </comment>
    <comment ref="D15" authorId="1" shapeId="0" xr:uid="{00000000-0006-0000-0E00-000007000000}">
      <text>
        <r>
          <rPr>
            <sz val="8"/>
            <color indexed="81"/>
            <rFont val="Tahoma"/>
            <family val="2"/>
          </rPr>
          <t>Methane correction factor from MCF sheet</t>
        </r>
        <r>
          <rPr>
            <sz val="8"/>
            <color indexed="81"/>
            <rFont val="Tahoma"/>
            <family val="2"/>
          </rPr>
          <t xml:space="preserve">
</t>
        </r>
      </text>
    </comment>
    <comment ref="E15" authorId="0" shapeId="0" xr:uid="{00000000-0006-0000-0E00-000008000000}">
      <text>
        <r>
          <rPr>
            <sz val="8"/>
            <color indexed="81"/>
            <rFont val="Tahoma"/>
            <family val="2"/>
          </rPr>
          <t>Calculates the mass of DOC in the deposited material which will actually degrade in the SWDS. Equation 4 on the Theory sheet.</t>
        </r>
      </text>
    </comment>
    <comment ref="F15" authorId="0" shapeId="0" xr:uid="{00000000-0006-0000-0E00-000009000000}">
      <text>
        <r>
          <rPr>
            <sz val="8"/>
            <color indexed="81"/>
            <rFont val="Tahoma"/>
            <family val="2"/>
          </rPr>
          <t>Calculates the mass of DDOC from material deposited in each year which is left in the SWDS at the end of the year. Equation 5 on the Theory sheet.</t>
        </r>
      </text>
    </comment>
    <comment ref="G15" authorId="0" shapeId="0" xr:uid="{00000000-0006-0000-0E00-00000A00000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H15" authorId="0" shapeId="0" xr:uid="{00000000-0006-0000-0E00-00000B000000}">
      <text>
        <r>
          <rPr>
            <sz val="8"/>
            <color indexed="81"/>
            <rFont val="Tahoma"/>
            <family val="2"/>
          </rPr>
          <t>Calculates the total amount of DDOCm left not decomposed in the SWDS at the end of the year. Equation 7 on the Theory sheet.</t>
        </r>
      </text>
    </comment>
    <comment ref="I15" authorId="0" shapeId="0" xr:uid="{00000000-0006-0000-0E00-00000C000000}">
      <text>
        <r>
          <rPr>
            <sz val="8"/>
            <color indexed="81"/>
            <rFont val="Tahoma"/>
            <family val="2"/>
          </rPr>
          <t>Calculates the total mass of DDOC dedomposed to methane and carbon dioxide each year. Equation 8 on the Theory sheet.</t>
        </r>
      </text>
    </comment>
    <comment ref="J15" authorId="0" shapeId="0" xr:uid="{00000000-0006-0000-0E00-00000D00000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I7" authorId="0" shapeId="0" xr:uid="{00000000-0006-0000-0F00-000001000000}">
      <text>
        <r>
          <rPr>
            <sz val="8"/>
            <color indexed="81"/>
            <rFont val="Tahoma"/>
            <family val="2"/>
          </rPr>
          <t>Transferred from parameter sheet</t>
        </r>
      </text>
    </comment>
    <comment ref="I8" authorId="0" shapeId="0" xr:uid="{00000000-0006-0000-0F00-000002000000}">
      <text>
        <r>
          <rPr>
            <sz val="8"/>
            <color indexed="81"/>
            <rFont val="Tahoma"/>
            <family val="2"/>
          </rPr>
          <t>Transferred from parameter sheet</t>
        </r>
      </text>
    </comment>
    <comment ref="I10" authorId="0" shapeId="0" xr:uid="{00000000-0006-0000-0F00-000003000000}">
      <text>
        <r>
          <rPr>
            <sz val="8"/>
            <color indexed="81"/>
            <rFont val="Tahoma"/>
            <family val="2"/>
          </rPr>
          <t xml:space="preserve">Calculates e^-k for use in columns H and I
</t>
        </r>
      </text>
    </comment>
    <comment ref="I11" authorId="0" shapeId="0" xr:uid="{00000000-0006-0000-0F00-000004000000}">
      <text>
        <r>
          <rPr>
            <sz val="8"/>
            <color indexed="81"/>
            <rFont val="Tahoma"/>
            <family val="2"/>
          </rPr>
          <t>Zero delay is equivalent to average decomposition start at beginning of month 7 (half way through the first year of deposition)</t>
        </r>
      </text>
    </comment>
    <comment ref="I12" authorId="0" shapeId="0" xr:uid="{00000000-0006-0000-0F00-000005000000}">
      <text>
        <r>
          <rPr>
            <sz val="8"/>
            <color indexed="81"/>
            <rFont val="Tahoma"/>
            <family val="2"/>
          </rPr>
          <t xml:space="preserve">Calculates e^-k*((13-M)/12) for use in columns F and G.
</t>
        </r>
      </text>
    </comment>
    <comment ref="C15" authorId="0" shapeId="0" xr:uid="{00000000-0006-0000-0F00-000006000000}">
      <text>
        <r>
          <rPr>
            <sz val="8"/>
            <color indexed="81"/>
            <rFont val="Tahoma"/>
            <family val="2"/>
          </rPr>
          <t>Transferred from activity sheet</t>
        </r>
      </text>
    </comment>
    <comment ref="D15" authorId="1" shapeId="0" xr:uid="{00000000-0006-0000-0F00-000007000000}">
      <text>
        <r>
          <rPr>
            <sz val="8"/>
            <color indexed="81"/>
            <rFont val="Tahoma"/>
            <family val="2"/>
          </rPr>
          <t>Methane correction factor from MCF sheet</t>
        </r>
        <r>
          <rPr>
            <sz val="8"/>
            <color indexed="81"/>
            <rFont val="Tahoma"/>
            <family val="2"/>
          </rPr>
          <t xml:space="preserve">
</t>
        </r>
      </text>
    </comment>
    <comment ref="E15" authorId="0" shapeId="0" xr:uid="{00000000-0006-0000-0F00-000008000000}">
      <text>
        <r>
          <rPr>
            <sz val="8"/>
            <color indexed="81"/>
            <rFont val="Tahoma"/>
            <family val="2"/>
          </rPr>
          <t>Calculates the mass of DOC in the deposited material which will actually degrade in the SWDS. Equation 4 on the Theory sheet.</t>
        </r>
      </text>
    </comment>
    <comment ref="F15" authorId="0" shapeId="0" xr:uid="{00000000-0006-0000-0F00-000009000000}">
      <text>
        <r>
          <rPr>
            <sz val="8"/>
            <color indexed="81"/>
            <rFont val="Tahoma"/>
            <family val="2"/>
          </rPr>
          <t>Calculates the mass of DDOC from material deposited in each year which is left in the SWDS at the end of the year. Equation 5 on the Theory sheet.</t>
        </r>
      </text>
    </comment>
    <comment ref="G15" authorId="0" shapeId="0" xr:uid="{00000000-0006-0000-0F00-00000A00000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H15" authorId="0" shapeId="0" xr:uid="{00000000-0006-0000-0F00-00000B000000}">
      <text>
        <r>
          <rPr>
            <sz val="8"/>
            <color indexed="81"/>
            <rFont val="Tahoma"/>
            <family val="2"/>
          </rPr>
          <t>Calculates the total amount of DDOCm left not decomposed in the SWDS at the end of the year. Equation 7 on the Theory sheet.</t>
        </r>
      </text>
    </comment>
    <comment ref="I15" authorId="0" shapeId="0" xr:uid="{00000000-0006-0000-0F00-00000C000000}">
      <text>
        <r>
          <rPr>
            <sz val="8"/>
            <color indexed="81"/>
            <rFont val="Tahoma"/>
            <family val="2"/>
          </rPr>
          <t>Calculates the total mass of DDOC dedomposed to methane and carbon dioxide each year. Equation 8 on the Theory sheet.</t>
        </r>
      </text>
    </comment>
    <comment ref="J15" authorId="0" shapeId="0" xr:uid="{00000000-0006-0000-0F00-00000D00000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I7" authorId="0" shapeId="0" xr:uid="{00000000-0006-0000-1000-000001000000}">
      <text>
        <r>
          <rPr>
            <sz val="8"/>
            <color indexed="81"/>
            <rFont val="Tahoma"/>
            <family val="2"/>
          </rPr>
          <t>Transferred from parameter sheet</t>
        </r>
      </text>
    </comment>
    <comment ref="I8" authorId="0" shapeId="0" xr:uid="{00000000-0006-0000-1000-000002000000}">
      <text>
        <r>
          <rPr>
            <sz val="8"/>
            <color indexed="81"/>
            <rFont val="Tahoma"/>
            <family val="2"/>
          </rPr>
          <t>Transferred from parameter sheet</t>
        </r>
      </text>
    </comment>
    <comment ref="I10" authorId="0" shapeId="0" xr:uid="{00000000-0006-0000-1000-000003000000}">
      <text>
        <r>
          <rPr>
            <sz val="8"/>
            <color indexed="81"/>
            <rFont val="Tahoma"/>
            <family val="2"/>
          </rPr>
          <t xml:space="preserve">Calculates e^-k for use in columns H and I
</t>
        </r>
      </text>
    </comment>
    <comment ref="I11" authorId="0" shapeId="0" xr:uid="{00000000-0006-0000-1000-000004000000}">
      <text>
        <r>
          <rPr>
            <sz val="8"/>
            <color indexed="81"/>
            <rFont val="Tahoma"/>
            <family val="2"/>
          </rPr>
          <t>Zero delay is equivalent to average decomposition start at beginning of month 7 (half way through the first year of deposition)</t>
        </r>
      </text>
    </comment>
    <comment ref="I12" authorId="0" shapeId="0" xr:uid="{00000000-0006-0000-1000-000005000000}">
      <text>
        <r>
          <rPr>
            <sz val="8"/>
            <color indexed="81"/>
            <rFont val="Tahoma"/>
            <family val="2"/>
          </rPr>
          <t xml:space="preserve">Calculates e^-k*((13-M)/12) for use in columns F and G.
</t>
        </r>
      </text>
    </comment>
    <comment ref="C15" authorId="0" shapeId="0" xr:uid="{00000000-0006-0000-1000-000006000000}">
      <text>
        <r>
          <rPr>
            <sz val="8"/>
            <color indexed="81"/>
            <rFont val="Tahoma"/>
            <family val="2"/>
          </rPr>
          <t>Transferred from activity sheet</t>
        </r>
      </text>
    </comment>
    <comment ref="D15" authorId="1" shapeId="0" xr:uid="{00000000-0006-0000-1000-000007000000}">
      <text>
        <r>
          <rPr>
            <sz val="8"/>
            <color indexed="81"/>
            <rFont val="Tahoma"/>
            <family val="2"/>
          </rPr>
          <t>Methane correction factor from MCF sheet</t>
        </r>
        <r>
          <rPr>
            <sz val="8"/>
            <color indexed="81"/>
            <rFont val="Tahoma"/>
            <family val="2"/>
          </rPr>
          <t xml:space="preserve">
</t>
        </r>
      </text>
    </comment>
    <comment ref="E15" authorId="0" shapeId="0" xr:uid="{00000000-0006-0000-1000-000008000000}">
      <text>
        <r>
          <rPr>
            <sz val="8"/>
            <color indexed="81"/>
            <rFont val="Tahoma"/>
            <family val="2"/>
          </rPr>
          <t>Calculates the mass of DOC in the deposited material which will actually degrade in the SWDS. Equation 4 on the Theory sheet.</t>
        </r>
      </text>
    </comment>
    <comment ref="F15" authorId="0" shapeId="0" xr:uid="{00000000-0006-0000-1000-000009000000}">
      <text>
        <r>
          <rPr>
            <sz val="8"/>
            <color indexed="81"/>
            <rFont val="Tahoma"/>
            <family val="2"/>
          </rPr>
          <t>Calculates the mass of DDOC from material deposited in each year which is left in the SWDS at the end of the year. Equation 5 on the Theory sheet.</t>
        </r>
      </text>
    </comment>
    <comment ref="G15" authorId="0" shapeId="0" xr:uid="{00000000-0006-0000-1000-00000A00000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H15" authorId="0" shapeId="0" xr:uid="{00000000-0006-0000-1000-00000B000000}">
      <text>
        <r>
          <rPr>
            <sz val="8"/>
            <color indexed="81"/>
            <rFont val="Tahoma"/>
            <family val="2"/>
          </rPr>
          <t>Calculates the total amount of DDOCm left not decomposed in the SWDS at the end of the year. Equation 7 on the Theory sheet.</t>
        </r>
      </text>
    </comment>
    <comment ref="I15" authorId="0" shapeId="0" xr:uid="{00000000-0006-0000-1000-00000C000000}">
      <text>
        <r>
          <rPr>
            <sz val="8"/>
            <color indexed="81"/>
            <rFont val="Tahoma"/>
            <family val="2"/>
          </rPr>
          <t>Calculates the total mass of DDOC dedomposed to methane and carbon dioxide each year. Equation 8 on the Theory sheet.</t>
        </r>
      </text>
    </comment>
    <comment ref="J15" authorId="0" shapeId="0" xr:uid="{00000000-0006-0000-1000-00000D00000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I7" authorId="0" shapeId="0" xr:uid="{00000000-0006-0000-1100-000001000000}">
      <text>
        <r>
          <rPr>
            <sz val="8"/>
            <color indexed="81"/>
            <rFont val="Tahoma"/>
            <family val="2"/>
          </rPr>
          <t>Transferred from parameter sheet</t>
        </r>
      </text>
    </comment>
    <comment ref="I8" authorId="0" shapeId="0" xr:uid="{00000000-0006-0000-1100-000002000000}">
      <text>
        <r>
          <rPr>
            <sz val="8"/>
            <color indexed="81"/>
            <rFont val="Tahoma"/>
            <family val="2"/>
          </rPr>
          <t>Transferred from parameter sheet</t>
        </r>
      </text>
    </comment>
    <comment ref="I10" authorId="0" shapeId="0" xr:uid="{00000000-0006-0000-1100-000003000000}">
      <text>
        <r>
          <rPr>
            <sz val="8"/>
            <color indexed="81"/>
            <rFont val="Tahoma"/>
            <family val="2"/>
          </rPr>
          <t xml:space="preserve">Calculates e^-k for use in columns H and I
</t>
        </r>
      </text>
    </comment>
    <comment ref="I11" authorId="0" shapeId="0" xr:uid="{00000000-0006-0000-1100-000004000000}">
      <text>
        <r>
          <rPr>
            <sz val="8"/>
            <color indexed="81"/>
            <rFont val="Tahoma"/>
            <family val="2"/>
          </rPr>
          <t>Zero delay is equivalent to average decomposition start at beginning of month 7 (half way through the first year of deposition)</t>
        </r>
      </text>
    </comment>
    <comment ref="I12" authorId="0" shapeId="0" xr:uid="{00000000-0006-0000-1100-000005000000}">
      <text>
        <r>
          <rPr>
            <sz val="8"/>
            <color indexed="81"/>
            <rFont val="Tahoma"/>
            <family val="2"/>
          </rPr>
          <t xml:space="preserve">Calculates e^-k*((13-M)/12) for use in columns F and G.
</t>
        </r>
      </text>
    </comment>
    <comment ref="C15" authorId="0" shapeId="0" xr:uid="{00000000-0006-0000-1100-000006000000}">
      <text>
        <r>
          <rPr>
            <sz val="8"/>
            <color indexed="81"/>
            <rFont val="Tahoma"/>
            <family val="2"/>
          </rPr>
          <t>Transferred from activity sheet</t>
        </r>
      </text>
    </comment>
    <comment ref="D15" authorId="1" shapeId="0" xr:uid="{00000000-0006-0000-1100-000007000000}">
      <text>
        <r>
          <rPr>
            <sz val="8"/>
            <color indexed="81"/>
            <rFont val="Tahoma"/>
            <family val="2"/>
          </rPr>
          <t>Methane correction factor from MCF sheet</t>
        </r>
        <r>
          <rPr>
            <sz val="8"/>
            <color indexed="81"/>
            <rFont val="Tahoma"/>
            <family val="2"/>
          </rPr>
          <t xml:space="preserve">
</t>
        </r>
      </text>
    </comment>
    <comment ref="E15" authorId="0" shapeId="0" xr:uid="{00000000-0006-0000-1100-000008000000}">
      <text>
        <r>
          <rPr>
            <sz val="8"/>
            <color indexed="81"/>
            <rFont val="Tahoma"/>
            <family val="2"/>
          </rPr>
          <t>Calculates the mass of DOC in the deposited material which will actually degrade in the SWDS. Equation 4 on the Theory sheet.</t>
        </r>
      </text>
    </comment>
    <comment ref="F15" authorId="0" shapeId="0" xr:uid="{00000000-0006-0000-1100-000009000000}">
      <text>
        <r>
          <rPr>
            <sz val="8"/>
            <color indexed="81"/>
            <rFont val="Tahoma"/>
            <family val="2"/>
          </rPr>
          <t>Calculates the mass of DDOC from material deposited in each year which is left in the SWDS at the end of the year. Equation 5 on the Theory sheet.</t>
        </r>
      </text>
    </comment>
    <comment ref="G15" authorId="0" shapeId="0" xr:uid="{00000000-0006-0000-1100-00000A00000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H15" authorId="0" shapeId="0" xr:uid="{00000000-0006-0000-1100-00000B000000}">
      <text>
        <r>
          <rPr>
            <sz val="8"/>
            <color indexed="81"/>
            <rFont val="Tahoma"/>
            <family val="2"/>
          </rPr>
          <t>Calculates the total amount of DDOCm left not decomposed in the SWDS at the end of the year. Equation 7 on the Theory sheet.</t>
        </r>
      </text>
    </comment>
    <comment ref="I15" authorId="0" shapeId="0" xr:uid="{00000000-0006-0000-1100-00000C000000}">
      <text>
        <r>
          <rPr>
            <sz val="8"/>
            <color indexed="81"/>
            <rFont val="Tahoma"/>
            <family val="2"/>
          </rPr>
          <t>Calculates the total mass of DDOC dedomposed to methane and carbon dioxide each year. Equation 8 on the Theory sheet.</t>
        </r>
      </text>
    </comment>
    <comment ref="J15" authorId="0" shapeId="0" xr:uid="{00000000-0006-0000-1100-00000D00000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H7" authorId="0" shapeId="0" xr:uid="{00000000-0006-0000-1200-000001000000}">
      <text>
        <r>
          <rPr>
            <sz val="8"/>
            <color indexed="81"/>
            <rFont val="Tahoma"/>
            <family val="2"/>
          </rPr>
          <t>Transferred from parameter sheet</t>
        </r>
      </text>
    </comment>
    <comment ref="H8" authorId="0" shapeId="0" xr:uid="{00000000-0006-0000-1200-000002000000}">
      <text>
        <r>
          <rPr>
            <sz val="8"/>
            <color indexed="81"/>
            <rFont val="Tahoma"/>
            <family val="2"/>
          </rPr>
          <t>Transferred from parameter sheet</t>
        </r>
      </text>
    </comment>
    <comment ref="H10" authorId="0" shapeId="0" xr:uid="{00000000-0006-0000-1200-000003000000}">
      <text>
        <r>
          <rPr>
            <sz val="8"/>
            <color indexed="81"/>
            <rFont val="Tahoma"/>
            <family val="2"/>
          </rPr>
          <t xml:space="preserve">Calculates e^-k for use in columns H and I
</t>
        </r>
      </text>
    </comment>
    <comment ref="H11" authorId="0" shapeId="0" xr:uid="{00000000-0006-0000-1200-000004000000}">
      <text>
        <r>
          <rPr>
            <sz val="8"/>
            <color indexed="81"/>
            <rFont val="Tahoma"/>
            <family val="2"/>
          </rPr>
          <t>Zero delay is equivalent to average decomposition start at beginning of month 7 (half way through the first year of deposition)</t>
        </r>
      </text>
    </comment>
    <comment ref="H12" authorId="0" shapeId="0" xr:uid="{00000000-0006-0000-1200-000005000000}">
      <text>
        <r>
          <rPr>
            <sz val="8"/>
            <color indexed="81"/>
            <rFont val="Tahoma"/>
            <family val="2"/>
          </rPr>
          <t xml:space="preserve">Calculates e^-k*((13-M)/12) for use in columns F and G.
</t>
        </r>
      </text>
    </comment>
    <comment ref="B15" authorId="0" shapeId="0" xr:uid="{00000000-0006-0000-1200-000006000000}">
      <text>
        <r>
          <rPr>
            <sz val="8"/>
            <color indexed="81"/>
            <rFont val="Tahoma"/>
            <family val="2"/>
          </rPr>
          <t>Transferred from activity sheet</t>
        </r>
      </text>
    </comment>
    <comment ref="C15" authorId="1" shapeId="0" xr:uid="{00000000-0006-0000-1200-000007000000}">
      <text>
        <r>
          <rPr>
            <sz val="8"/>
            <color indexed="81"/>
            <rFont val="Tahoma"/>
            <family val="2"/>
          </rPr>
          <t>Methane correction factor from MCF sheet</t>
        </r>
        <r>
          <rPr>
            <sz val="8"/>
            <color indexed="81"/>
            <rFont val="Tahoma"/>
            <family val="2"/>
          </rPr>
          <t xml:space="preserve">
</t>
        </r>
      </text>
    </comment>
    <comment ref="E15" authorId="0" shapeId="0" xr:uid="{00000000-0006-0000-1200-000008000000}">
      <text>
        <r>
          <rPr>
            <sz val="8"/>
            <color indexed="81"/>
            <rFont val="Tahoma"/>
            <family val="2"/>
          </rPr>
          <t>Calculates the mass of DOC in the deposited material which will actually degrade in the SWDS. Equation 4 on the Theory sheet.</t>
        </r>
      </text>
    </comment>
    <comment ref="F15" authorId="0" shapeId="0" xr:uid="{00000000-0006-0000-1200-000009000000}">
      <text>
        <r>
          <rPr>
            <sz val="8"/>
            <color indexed="81"/>
            <rFont val="Tahoma"/>
            <family val="2"/>
          </rPr>
          <t>Calculates the mass of DDOC from material deposited in each year which is left in the SWDS at the end of the year. Equation 5 on the Theory sheet.</t>
        </r>
      </text>
    </comment>
    <comment ref="G15" authorId="0" shapeId="0" xr:uid="{00000000-0006-0000-1200-00000A00000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H15" authorId="0" shapeId="0" xr:uid="{00000000-0006-0000-1200-00000B000000}">
      <text>
        <r>
          <rPr>
            <sz val="8"/>
            <color indexed="81"/>
            <rFont val="Tahoma"/>
            <family val="2"/>
          </rPr>
          <t>Calculates the total amount of DDOCm left not decomposed in the SWDS at the end of the year. Equation 7 on the Theory sheet.</t>
        </r>
      </text>
    </comment>
    <comment ref="I15" authorId="0" shapeId="0" xr:uid="{00000000-0006-0000-1200-00000C000000}">
      <text>
        <r>
          <rPr>
            <sz val="8"/>
            <color indexed="81"/>
            <rFont val="Tahoma"/>
            <family val="2"/>
          </rPr>
          <t>Calculates the total mass of DDOC dedomposed to methane and carbon dioxide each year. Equation 8 on the Theory sheet.</t>
        </r>
      </text>
    </comment>
    <comment ref="J15" authorId="0" shapeId="0" xr:uid="{00000000-0006-0000-1200-00000D00000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I6" authorId="0" shapeId="0" xr:uid="{00000000-0006-0000-1300-000001000000}">
      <text>
        <r>
          <rPr>
            <sz val="8"/>
            <color indexed="81"/>
            <rFont val="Tahoma"/>
            <family val="2"/>
          </rPr>
          <t>Transferred from parameter sheet</t>
        </r>
      </text>
    </comment>
    <comment ref="I7" authorId="0" shapeId="0" xr:uid="{00000000-0006-0000-1300-000002000000}">
      <text>
        <r>
          <rPr>
            <sz val="8"/>
            <color indexed="81"/>
            <rFont val="Tahoma"/>
            <family val="2"/>
          </rPr>
          <t>Transferred from parameter sheet</t>
        </r>
      </text>
    </comment>
    <comment ref="I8" authorId="0" shapeId="0" xr:uid="{00000000-0006-0000-1300-000003000000}">
      <text>
        <r>
          <rPr>
            <sz val="8"/>
            <color indexed="81"/>
            <rFont val="Tahoma"/>
            <family val="2"/>
          </rPr>
          <t>Transferred from parameter sheet</t>
        </r>
      </text>
    </comment>
    <comment ref="I10" authorId="0" shapeId="0" xr:uid="{00000000-0006-0000-1300-000004000000}">
      <text>
        <r>
          <rPr>
            <sz val="8"/>
            <color indexed="81"/>
            <rFont val="Tahoma"/>
            <family val="2"/>
          </rPr>
          <t xml:space="preserve">Calculates e^-k for use in columns H and I
</t>
        </r>
      </text>
    </comment>
    <comment ref="I11" authorId="0" shapeId="0" xr:uid="{00000000-0006-0000-1300-000005000000}">
      <text>
        <r>
          <rPr>
            <sz val="8"/>
            <color indexed="81"/>
            <rFont val="Tahoma"/>
            <family val="2"/>
          </rPr>
          <t>Zero delay is equivalent to average decomposition start at beginning of month 7 (half way through the first year of deposition)</t>
        </r>
      </text>
    </comment>
    <comment ref="I12" authorId="0" shapeId="0" xr:uid="{00000000-0006-0000-1300-000006000000}">
      <text>
        <r>
          <rPr>
            <sz val="8"/>
            <color indexed="81"/>
            <rFont val="Tahoma"/>
            <family val="2"/>
          </rPr>
          <t xml:space="preserve">Calculates e^-k*((13-M)/12) for use in columns F and G.
</t>
        </r>
      </text>
    </comment>
    <comment ref="C15" authorId="0" shapeId="0" xr:uid="{00000000-0006-0000-1300-000007000000}">
      <text>
        <r>
          <rPr>
            <sz val="8"/>
            <color indexed="81"/>
            <rFont val="Tahoma"/>
            <family val="2"/>
          </rPr>
          <t>Transferred from activity sheet</t>
        </r>
      </text>
    </comment>
    <comment ref="D15" authorId="1" shapeId="0" xr:uid="{00000000-0006-0000-1300-000008000000}">
      <text>
        <r>
          <rPr>
            <sz val="8"/>
            <color indexed="81"/>
            <rFont val="Tahoma"/>
            <family val="2"/>
          </rPr>
          <t>Methane correction factor from MCF sheet</t>
        </r>
        <r>
          <rPr>
            <sz val="8"/>
            <color indexed="81"/>
            <rFont val="Tahoma"/>
            <family val="2"/>
          </rPr>
          <t xml:space="preserve">
</t>
        </r>
      </text>
    </comment>
    <comment ref="E15" authorId="0" shapeId="0" xr:uid="{00000000-0006-0000-1300-000009000000}">
      <text>
        <r>
          <rPr>
            <sz val="8"/>
            <color indexed="81"/>
            <rFont val="Tahoma"/>
            <family val="2"/>
          </rPr>
          <t>Calculates the mass of DOC in the deposited material which will actually degrade in the SWDS. Equation 4 on the Theory sheet.</t>
        </r>
      </text>
    </comment>
    <comment ref="F15" authorId="0" shapeId="0" xr:uid="{00000000-0006-0000-1300-00000A000000}">
      <text>
        <r>
          <rPr>
            <sz val="8"/>
            <color indexed="81"/>
            <rFont val="Tahoma"/>
            <family val="2"/>
          </rPr>
          <t>Calculates the mass of DDOC from material deposited in each year which is left in the SWDS at the end of the year. Equation 5 on the Theory sheet.</t>
        </r>
      </text>
    </comment>
    <comment ref="G15" authorId="0" shapeId="0" xr:uid="{00000000-0006-0000-1300-00000B00000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H15" authorId="0" shapeId="0" xr:uid="{00000000-0006-0000-1300-00000C000000}">
      <text>
        <r>
          <rPr>
            <sz val="8"/>
            <color indexed="81"/>
            <rFont val="Tahoma"/>
            <family val="2"/>
          </rPr>
          <t>Calculates the total amount of DDOCm left not decomposed in the SWDS at the end of the year. Equation 7 on the Theory sheet.</t>
        </r>
      </text>
    </comment>
    <comment ref="I15" authorId="0" shapeId="0" xr:uid="{00000000-0006-0000-1300-00000D000000}">
      <text>
        <r>
          <rPr>
            <sz val="8"/>
            <color indexed="81"/>
            <rFont val="Tahoma"/>
            <family val="2"/>
          </rPr>
          <t>Calculates the total mass of DDOC dedomposed to methane and carbon dioxide each year. Equation 8 on the Theory sheet.</t>
        </r>
      </text>
    </comment>
    <comment ref="J15" authorId="0" shapeId="0" xr:uid="{00000000-0006-0000-1300-00000E00000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 Coburn</author>
  </authors>
  <commentList>
    <comment ref="C16" authorId="0" shapeId="0" xr:uid="{00000000-0006-0000-0200-00000100000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xr:uid="{00000000-0006-0000-0200-00000200000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xr:uid="{00000000-0006-0000-0200-00000300000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xr:uid="{00000000-0006-0000-0200-00000400000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L16" authorId="0" shapeId="0" xr:uid="{00000000-0006-0000-0200-00000500000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xr:uid="{00000000-0006-0000-0200-00000600000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N16" authorId="0" shapeId="0" xr:uid="{00000000-0006-0000-0200-00000700000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S16" authorId="0" shapeId="0" xr:uid="{00000000-0006-0000-0200-00000800000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G9" authorId="0" shapeId="0" xr:uid="{00000000-0006-0000-0300-00000100000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0" shapeId="0" xr:uid="{00000000-0006-0000-0300-000002000000}">
      <text>
        <r>
          <rPr>
            <sz val="8"/>
            <color indexed="81"/>
            <rFont val="Tahoma"/>
            <family val="2"/>
          </rPr>
          <t xml:space="preserve">Enter the population for which waste collection is organised (could be urban population)
</t>
        </r>
      </text>
    </comment>
    <comment ref="F10" authorId="0" shapeId="0" xr:uid="{00000000-0006-0000-0300-000003000000}">
      <text>
        <r>
          <rPr>
            <sz val="8"/>
            <color indexed="81"/>
            <rFont val="Tahoma"/>
            <family val="2"/>
          </rPr>
          <t>Enter the percentage of waste generated which goes to solid waste disposal sites</t>
        </r>
      </text>
    </comment>
    <comment ref="M10" authorId="0" shapeId="0" xr:uid="{00000000-0006-0000-0300-000004000000}">
      <text>
        <r>
          <rPr>
            <b/>
            <sz val="8"/>
            <color indexed="81"/>
            <rFont val="Tahoma"/>
            <family val="2"/>
          </rPr>
          <t>Inert waste, i.e. not containing degradable organic carbon, e.g. glass, metal etc. (DOC=0)</t>
        </r>
        <r>
          <rPr>
            <sz val="8"/>
            <color indexed="81"/>
            <rFont val="Tahoma"/>
            <family val="2"/>
          </rPr>
          <t xml:space="preserve">
</t>
        </r>
      </text>
    </comment>
    <comment ref="U10" authorId="0" shapeId="0" xr:uid="{00000000-0006-0000-0300-000005000000}">
      <text>
        <r>
          <rPr>
            <sz val="8"/>
            <color indexed="81"/>
            <rFont val="Tahoma"/>
            <family val="2"/>
          </rPr>
          <t>Enter the percentage of waste generated which goes to solid waste disposal sites</t>
        </r>
      </text>
    </comment>
    <comment ref="E11" authorId="0" shapeId="0" xr:uid="{00000000-0006-0000-0300-000006000000}">
      <text>
        <r>
          <rPr>
            <b/>
            <sz val="8"/>
            <color indexed="81"/>
            <rFont val="Tahoma"/>
            <family val="2"/>
          </rPr>
          <t>1 gigagram (Gg) is 1000 tonnes</t>
        </r>
        <r>
          <rPr>
            <sz val="8"/>
            <color indexed="81"/>
            <rFont val="Tahoma"/>
            <family val="2"/>
          </rPr>
          <t xml:space="preserve">
</t>
        </r>
      </text>
    </comment>
    <comment ref="T11" authorId="0" shapeId="0" xr:uid="{00000000-0006-0000-0300-00000700000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K9" authorId="0" shapeId="0" xr:uid="{00000000-0006-0000-0400-000001000000}">
      <text>
        <r>
          <rPr>
            <b/>
            <sz val="8"/>
            <color indexed="81"/>
            <rFont val="Tahoma"/>
            <family val="2"/>
          </rPr>
          <t xml:space="preserve">Inert waste are wastes that do not contain degradable organic carbon (i.e., DOC=0).   E.g., plastic, glass, metal etc. </t>
        </r>
        <r>
          <rPr>
            <sz val="8"/>
            <color indexed="81"/>
            <rFont val="Tahoma"/>
            <family val="2"/>
          </rPr>
          <t xml:space="preserve">
</t>
        </r>
      </text>
    </comment>
    <comment ref="C10" authorId="0" shapeId="0" xr:uid="{00000000-0006-0000-0400-00000200000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C11" authorId="0" shapeId="0" xr:uid="{00000000-0006-0000-0500-00000100000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O11" authorId="0" shapeId="0" xr:uid="{00000000-0006-0000-0600-00000100000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3" authorId="1" shapeId="0" xr:uid="{00000000-0006-0000-0600-00000200000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C10" authorId="0" shapeId="0" xr:uid="{00000000-0006-0000-0700-00000100000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C14" authorId="0" shapeId="0" xr:uid="{00000000-0006-0000-0800-00000100000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Jeff Coburn</author>
    <author>AEA Technology</author>
  </authors>
  <commentList>
    <comment ref="AE7" authorId="0" shapeId="0" xr:uid="{00000000-0006-0000-0A00-000001000000}">
      <text>
        <r>
          <rPr>
            <sz val="8"/>
            <color indexed="81"/>
            <rFont val="Tahoma"/>
            <family val="2"/>
          </rPr>
          <t>Includes plastic, metal, glass, ash, and other inert material (i.e., material with DOC=0).</t>
        </r>
      </text>
    </comment>
    <comment ref="G17" authorId="1" shapeId="0" xr:uid="{00000000-0006-0000-0A00-000002000000}">
      <text>
        <r>
          <rPr>
            <b/>
            <sz val="8"/>
            <color indexed="81"/>
            <rFont val="Tahoma"/>
            <family val="2"/>
          </rPr>
          <t>This cell records which climate zone is selected in the drop-down box on the parameter sheet.</t>
        </r>
      </text>
    </comment>
    <comment ref="O20" authorId="0" shapeId="0" xr:uid="{00000000-0006-0000-0A00-00000300000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<sst xmlns="http://schemas.openxmlformats.org/spreadsheetml/2006/main" count="852" uniqueCount="304">
  <si>
    <t>Managed</t>
  </si>
  <si>
    <t>Year</t>
  </si>
  <si>
    <t>Paper</t>
  </si>
  <si>
    <t>Wood</t>
  </si>
  <si>
    <t>Textile</t>
  </si>
  <si>
    <t>Methane emission</t>
  </si>
  <si>
    <t>Methane recovery</t>
  </si>
  <si>
    <t>Food waste</t>
  </si>
  <si>
    <t>National values</t>
  </si>
  <si>
    <t>Process start in deposition year. Month M</t>
  </si>
  <si>
    <t>DOC</t>
  </si>
  <si>
    <t>Amount deposited</t>
  </si>
  <si>
    <t>MCF</t>
  </si>
  <si>
    <t>Food</t>
  </si>
  <si>
    <t>DOCf</t>
  </si>
  <si>
    <t>Value</t>
  </si>
  <si>
    <t>Parameters</t>
  </si>
  <si>
    <t>Gg</t>
  </si>
  <si>
    <t>Textiles</t>
  </si>
  <si>
    <t>IPCC Spreadsheet for Estimating Methane emissions from Solid Waste Disposal Sites</t>
  </si>
  <si>
    <t>IPCC default value</t>
  </si>
  <si>
    <t>Reference and remarks</t>
  </si>
  <si>
    <t>Industrial</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</si>
  <si>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</si>
  <si>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</si>
  <si>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</si>
  <si>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</si>
  <si>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</si>
  <si>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</si>
  <si>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</si>
  <si>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</si>
  <si>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</si>
  <si>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</si>
  <si>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</si>
  <si>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</si>
  <si>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</si>
  <si>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</si>
  <si>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</si>
  <si>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</si>
  <si>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</si>
  <si>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</si>
  <si>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</si>
  <si>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</si>
  <si>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Population</t>
  </si>
  <si>
    <t>millions</t>
  </si>
  <si>
    <t>Waste per capita</t>
  </si>
  <si>
    <t>kg/cap/yr</t>
  </si>
  <si>
    <t xml:space="preserve">Enter population, waste per capita and MSW waste composition into the yellow cells.  </t>
  </si>
  <si>
    <t>% to SWDS</t>
  </si>
  <si>
    <t>Composition of waste going to solid waste disposal sites</t>
  </si>
  <si>
    <t>Inert</t>
  </si>
  <si>
    <t>Delay time (months)</t>
  </si>
  <si>
    <t>DOCf (fraction of DOC dissimilated)</t>
  </si>
  <si>
    <t>Dry temperate</t>
  </si>
  <si>
    <t>Garden</t>
  </si>
  <si>
    <t>Wood and straw</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</si>
  <si>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</si>
  <si>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</si>
  <si>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</si>
  <si>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</si>
  <si>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</si>
  <si>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</si>
  <si>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</si>
  <si>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</si>
  <si>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</si>
  <si>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</si>
  <si>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</si>
  <si>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</si>
  <si>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</si>
  <si>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</si>
  <si>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</si>
  <si>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</si>
  <si>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</si>
  <si>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</si>
  <si>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</si>
  <si>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</si>
  <si>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</si>
  <si>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</si>
  <si>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</si>
  <si>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</si>
  <si>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</si>
  <si>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</si>
  <si>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</si>
  <si>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</si>
  <si>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</si>
  <si>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</si>
  <si>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</si>
  <si>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</si>
  <si>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</si>
  <si>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</si>
  <si>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</si>
  <si>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</si>
  <si>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</si>
  <si>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</si>
  <si>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</si>
  <si>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</si>
  <si>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</si>
  <si>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</si>
  <si>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</si>
  <si>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</si>
  <si>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D</t>
  </si>
  <si>
    <t>E</t>
  </si>
  <si>
    <t>Starting year</t>
  </si>
  <si>
    <t>Methane generated</t>
  </si>
  <si>
    <t>G</t>
  </si>
  <si>
    <t>H</t>
  </si>
  <si>
    <t>Results</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</si>
  <si>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</si>
  <si>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</si>
  <si>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</si>
  <si>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</si>
  <si>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</si>
  <si>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</si>
  <si>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</si>
  <si>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</si>
  <si>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MSW</t>
  </si>
  <si>
    <t>Enter those data onto this sheet.</t>
  </si>
  <si>
    <t>&gt;1000 mm</t>
  </si>
  <si>
    <t>Moist and wet tropical</t>
  </si>
  <si>
    <t>Moist and Wet</t>
  </si>
  <si>
    <t>Country-specific parameters</t>
  </si>
  <si>
    <t>Countries with good inventory data:</t>
  </si>
  <si>
    <t>Methane calculation from:  Food waste</t>
  </si>
  <si>
    <t>Methane calculation from:  Garden / park waste</t>
  </si>
  <si>
    <t>Enter either IPCC default values or national values into the yellow MCF cells in row 12</t>
  </si>
  <si>
    <t>Uncate-gorised</t>
  </si>
  <si>
    <t>Un-managed, shallow</t>
  </si>
  <si>
    <t>Un-managed, deep</t>
  </si>
  <si>
    <t>Methane Correction Factor (MCF)</t>
  </si>
  <si>
    <t>Industrial waste activity data must be entered separately starting in Column Q.</t>
  </si>
  <si>
    <t>Calculated values for MCF</t>
  </si>
  <si>
    <t>Amount of Methane Recovered from SWDS</t>
  </si>
  <si>
    <t>Totals on each row must add up to 100% (see "distribution check" values)</t>
  </si>
  <si>
    <t xml:space="preserve">Enter the total amount of methane recovered </t>
  </si>
  <si>
    <t xml:space="preserve">from all SWDS. </t>
  </si>
  <si>
    <t>Range</t>
  </si>
  <si>
    <t>Select2:</t>
  </si>
  <si>
    <t>Default</t>
  </si>
  <si>
    <t>Default Value</t>
  </si>
  <si>
    <t>0.08-0.20</t>
  </si>
  <si>
    <t>0.36-0.45</t>
  </si>
  <si>
    <t>0.39-0.46</t>
  </si>
  <si>
    <t>0.20-0.40</t>
  </si>
  <si>
    <t>Select3</t>
  </si>
  <si>
    <t>Asia: Eastern</t>
  </si>
  <si>
    <t>Africa: Southern</t>
  </si>
  <si>
    <t>Europe: Southern</t>
  </si>
  <si>
    <t>Percent Waste Composition Data</t>
  </si>
  <si>
    <t>MSW Generation Rate (tonnes/cap/yr)</t>
  </si>
  <si>
    <t>IPCC Regional defaults</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</si>
  <si>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</si>
  <si>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</si>
  <si>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</si>
  <si>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</si>
  <si>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</si>
  <si>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 xml:space="preserve">  (weight fraction, wet basis)</t>
  </si>
  <si>
    <t>Rubber</t>
  </si>
  <si>
    <t>Selected DOC inputs</t>
  </si>
  <si>
    <t>Specified Inputs:  expanded for spreadsheet calculations</t>
  </si>
  <si>
    <t>Type of Waste</t>
  </si>
  <si>
    <t>Wood/ straw/ rubber waste</t>
  </si>
  <si>
    <t>Plastics, other inert</t>
  </si>
  <si>
    <t>Disposable nappies</t>
  </si>
  <si>
    <t>Sewage sludge</t>
  </si>
  <si>
    <t>0.18-0.32</t>
  </si>
  <si>
    <t>Bulk MSW or Industrial Waste</t>
  </si>
  <si>
    <t>0.04-0.05</t>
  </si>
  <si>
    <t>0-0.54</t>
  </si>
  <si>
    <t>Garden / park</t>
  </si>
  <si>
    <t>Nappies / Diapers</t>
  </si>
  <si>
    <t>Rubber / leather</t>
  </si>
  <si>
    <t>All other, inerts</t>
  </si>
  <si>
    <t>Bulk MSW waste</t>
  </si>
  <si>
    <t>Bulk waste data only</t>
  </si>
  <si>
    <t>Waste by composition</t>
  </si>
  <si>
    <t>Nappies</t>
  </si>
  <si>
    <t>Sludge</t>
  </si>
  <si>
    <t>Weighted average MCF for Industrial Waste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</si>
  <si>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</si>
  <si>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</si>
  <si>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</si>
  <si>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</si>
  <si>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</si>
  <si>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</si>
  <si>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Paper / card board</t>
  </si>
  <si>
    <t>Methane calculation from:  Textiles</t>
  </si>
  <si>
    <t>Methane calculation from:  Wood</t>
  </si>
  <si>
    <t>J</t>
  </si>
  <si>
    <t>Methane calculation from:  Nappies</t>
  </si>
  <si>
    <t>Default DOC</t>
  </si>
  <si>
    <t>wt. fraction</t>
  </si>
  <si>
    <t>Distribution of Waste by Waste Management Type</t>
  </si>
  <si>
    <t>Country-specific value</t>
  </si>
  <si>
    <t>"Fixed" Country-specifc value</t>
  </si>
  <si>
    <t>Distri-bution Check</t>
  </si>
  <si>
    <t>Methane calculation from:  Industrial Waste</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</si>
  <si>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</si>
  <si>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</si>
  <si>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</si>
  <si>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</si>
  <si>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</si>
  <si>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</si>
  <si>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</si>
  <si>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</si>
  <si>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</si>
  <si>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</si>
  <si>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</si>
  <si>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</si>
  <si>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</si>
  <si>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</si>
  <si>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</si>
  <si>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</si>
  <si>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</si>
  <si>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</si>
  <si>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</si>
  <si>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</si>
  <si>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</si>
  <si>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</si>
  <si>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</si>
  <si>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</si>
  <si>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</si>
  <si>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</si>
  <si>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</si>
  <si>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</si>
  <si>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</si>
  <si>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</si>
  <si>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</si>
  <si>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</si>
  <si>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Methane calculation from:  MSW</t>
  </si>
  <si>
    <t>K</t>
  </si>
  <si>
    <t>DOC:</t>
  </si>
  <si>
    <t>% paper in industrial waste</t>
  </si>
  <si>
    <t>% wood in industrial waste</t>
  </si>
  <si>
    <t>Paper C</t>
  </si>
  <si>
    <t>Wood C</t>
  </si>
  <si>
    <t>C, Industry</t>
  </si>
  <si>
    <t>Methane Recovery and methane oxidised in top layer (OX)</t>
  </si>
  <si>
    <t>Methane oxidised (OX)</t>
  </si>
  <si>
    <t>References/remarks</t>
  </si>
  <si>
    <t>Fraction</t>
  </si>
  <si>
    <t>Long-term stored C in SWDS</t>
  </si>
  <si>
    <t>Industry</t>
  </si>
  <si>
    <t>Long-term stored C</t>
  </si>
  <si>
    <t>Garden C</t>
  </si>
  <si>
    <t>In this sheet carbon long-term stored C in SWDS is calculated.</t>
  </si>
  <si>
    <t>Please enter parameters in the yellow cells.  If no national data are available, copy the IPCC default value.</t>
  </si>
  <si>
    <t>Bulk waste and waste composition options.</t>
  </si>
  <si>
    <t>Harwested Wood Products</t>
  </si>
  <si>
    <t>Long-term stored C accumulated</t>
  </si>
  <si>
    <t>Long term stored C accumulated</t>
  </si>
  <si>
    <t>CH4 generated</t>
  </si>
  <si>
    <t>Fraction recovered methane</t>
  </si>
  <si>
    <t>CH4 emitted</t>
  </si>
  <si>
    <t>Methane calculation from:  Sewage sludge</t>
  </si>
  <si>
    <t/>
  </si>
  <si>
    <t>Bulk MSW</t>
  </si>
  <si>
    <r>
      <t>IPCC</t>
    </r>
    <r>
      <rPr>
        <b/>
        <sz val="10"/>
        <rFont val="Arial"/>
        <family val="2"/>
      </rPr>
      <t xml:space="preserve"> DEFAULT METHANE GENERATION RATE CONSTANTS (1/yr)</t>
    </r>
  </si>
  <si>
    <t>0.18-0.22</t>
  </si>
  <si>
    <t>0.39</t>
  </si>
  <si>
    <t>Paper, industry subtotal</t>
  </si>
  <si>
    <t>Wood, industry subtotal</t>
  </si>
  <si>
    <t>This sheet gives information on the methane emission from HWP, and HWP C long-term stored in SWDS</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</si>
  <si>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</si>
  <si>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</si>
  <si>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</si>
  <si>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</si>
  <si>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</si>
  <si>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</si>
  <si>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</si>
  <si>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Africa: Eastern</t>
  </si>
  <si>
    <t>Africa: Middle</t>
  </si>
  <si>
    <t>Africa: Northern</t>
  </si>
  <si>
    <t>Africa: Western</t>
  </si>
  <si>
    <t>Europe: Eastern</t>
  </si>
  <si>
    <t>Europe: Northern</t>
  </si>
  <si>
    <t>Europe: Western</t>
  </si>
  <si>
    <t>America: Central</t>
  </si>
  <si>
    <t>This spreadsheet implements the Tier 1 method for estimating emissions of methane from solid waste disposal sites. For details of the method see the 2006 IPCC Guidelines for National Greenhouse Gas Inventories Volume 5 Chapter 3</t>
  </si>
  <si>
    <t>Managed well – active-aeration</t>
    <phoneticPr fontId="17" type="noConversion"/>
  </si>
  <si>
    <t>Managed poorly – active-aeration</t>
    <phoneticPr fontId="17" type="noConversion"/>
  </si>
  <si>
    <t>Managed poorly – semi-aerobic</t>
  </si>
  <si>
    <t>Managed poorly – semi-aerobic</t>
    <phoneticPr fontId="17" type="noConversion"/>
  </si>
  <si>
    <t>Managed well – semi-aerobic</t>
    <phoneticPr fontId="17" type="noConversion"/>
  </si>
  <si>
    <t>Less decomposable waste, e.g. wood, engineered wood products, branches</t>
  </si>
  <si>
    <t xml:space="preserve">Moderately decomposable waste, e.g. paper, textile, nappies </t>
  </si>
  <si>
    <t xml:space="preserve">Asia- Western </t>
  </si>
  <si>
    <t>America: Southern</t>
  </si>
  <si>
    <t>America: Northern</t>
  </si>
  <si>
    <t>Oceania: Australia and Newzealand</t>
  </si>
  <si>
    <t>Oceania: Melanesia</t>
  </si>
  <si>
    <t>Asia: Central</t>
  </si>
  <si>
    <t>Asia: South-eastern</t>
  </si>
  <si>
    <t>Asia- Southern</t>
  </si>
  <si>
    <t xml:space="preserve">Managed well – semi aerobic </t>
    <phoneticPr fontId="17" type="noConversion"/>
  </si>
  <si>
    <t>Oceania: Micronesia</t>
    <phoneticPr fontId="17" type="noConversion"/>
  </si>
  <si>
    <t>Regional Average DOC (wt fraction)</t>
    <phoneticPr fontId="17" type="noConversion"/>
  </si>
  <si>
    <t>Highly decomposable waste, e.g. food waste, grass (garden and park waste excluding tree branches)</t>
    <phoneticPr fontId="17" type="noConversion"/>
  </si>
  <si>
    <t>Caribbean</t>
    <phoneticPr fontId="17" type="noConversion"/>
  </si>
  <si>
    <t>0.08-0.17</t>
    <phoneticPr fontId="17" type="noConversion"/>
  </si>
  <si>
    <r>
      <t>IPCC</t>
    </r>
    <r>
      <rPr>
        <b/>
        <sz val="10"/>
        <rFont val="Arial"/>
        <family val="2"/>
      </rPr>
      <t xml:space="preserve"> DEFAULT DOC VALUES</t>
    </r>
    <phoneticPr fontId="17" type="noConversion"/>
  </si>
  <si>
    <t>Region</t>
    <phoneticPr fontId="17" type="noConversion"/>
  </si>
  <si>
    <r>
      <t xml:space="preserve">Managed </t>
    </r>
    <r>
      <rPr>
        <b/>
        <sz val="10"/>
        <color rgb="FFFF00FF"/>
        <rFont val="Arial"/>
        <family val="2"/>
      </rPr>
      <t>poorly</t>
    </r>
    <r>
      <rPr>
        <b/>
        <sz val="10"/>
        <color theme="4"/>
        <rFont val="Arial"/>
        <family val="2"/>
      </rPr>
      <t xml:space="preserve"> – active-aeration</t>
    </r>
    <phoneticPr fontId="17" type="noConversion"/>
  </si>
  <si>
    <r>
      <t>Oceania: Pol</t>
    </r>
    <r>
      <rPr>
        <b/>
        <sz val="10"/>
        <color rgb="FFFF00FF"/>
        <rFont val="Arial"/>
        <family val="2"/>
      </rPr>
      <t>y</t>
    </r>
    <r>
      <rPr>
        <b/>
        <sz val="10"/>
        <color rgb="FF7030A0"/>
        <rFont val="Arial"/>
        <family val="2"/>
      </rPr>
      <t>nesia</t>
    </r>
    <phoneticPr fontId="17" type="noConversion"/>
  </si>
  <si>
    <r>
      <rPr>
        <b/>
        <u/>
        <sz val="10"/>
        <color indexed="15"/>
        <rFont val="Arial"/>
        <family val="2"/>
      </rPr>
      <t xml:space="preserve">List of refinements made in IPCC Waste Model </t>
    </r>
    <r>
      <rPr>
        <sz val="10"/>
        <color indexed="15"/>
        <rFont val="Arial"/>
        <family val="2"/>
      </rPr>
      <t xml:space="preserve">
Sheet MCF
(1) “Managed – semi-aerobic” category</t>
    </r>
    <r>
      <rPr>
        <sz val="10"/>
        <color rgb="FFFF00FF"/>
        <rFont val="Arial"/>
        <family val="2"/>
      </rPr>
      <t xml:space="preserve"> in MCF worksheet </t>
    </r>
    <r>
      <rPr>
        <sz val="10"/>
        <color indexed="15"/>
        <rFont val="Arial"/>
        <family val="2"/>
      </rPr>
      <t xml:space="preserve">is split into  “Managed well – semi-aerobic” and “Managed poorly–semi-aerobic” which correspond to MCF of 0.5 and 0.7, respectively.
(2) New categories of solid waste disposal sites are added </t>
    </r>
    <r>
      <rPr>
        <sz val="10"/>
        <color rgb="FFFF00FF"/>
        <rFont val="Arial"/>
        <family val="2"/>
      </rPr>
      <t>in MCF worksheet</t>
    </r>
    <r>
      <rPr>
        <sz val="10"/>
        <color indexed="15"/>
        <rFont val="Arial"/>
        <family val="2"/>
      </rPr>
      <t xml:space="preserve">: “Managed – well active-aeration” and “Managed poorly –active-aeration” which correspond to MCF of 0.4 and 0.7, respectively.
(3) Default DOCf values are added for less, moderate and highly decomposable waste types </t>
    </r>
    <r>
      <rPr>
        <sz val="10"/>
        <color rgb="FFFF00FF"/>
        <rFont val="Arial"/>
        <family val="2"/>
      </rPr>
      <t>in Parameters worksheet</t>
    </r>
    <r>
      <rPr>
        <sz val="10"/>
        <color indexed="15"/>
        <rFont val="Arial"/>
        <family val="2"/>
      </rPr>
      <t xml:space="preserve"> and reflected in "Food", "Garden", "Paper", "Wood", "Textile", "Nappies" and "</t>
    </r>
    <r>
      <rPr>
        <sz val="10"/>
        <color rgb="FFFF00FF"/>
        <rFont val="Arial"/>
        <family val="2"/>
      </rPr>
      <t>Sludge</t>
    </r>
    <r>
      <rPr>
        <sz val="10"/>
        <color indexed="15"/>
        <rFont val="Arial"/>
        <family val="2"/>
      </rPr>
      <t xml:space="preserve">" worksheets.
(4) Regional default values of waste generation rate, waste composition and fraction of </t>
    </r>
    <r>
      <rPr>
        <sz val="10"/>
        <color rgb="FFFF00FF"/>
        <rFont val="Arial"/>
        <family val="2"/>
      </rPr>
      <t>MSW disposed</t>
    </r>
    <r>
      <rPr>
        <sz val="10"/>
        <color indexed="15"/>
        <rFont val="Arial"/>
        <family val="2"/>
      </rPr>
      <t xml:space="preserve"> to SWDS a</t>
    </r>
    <r>
      <rPr>
        <sz val="10"/>
        <color rgb="FFFF00FF"/>
        <rFont val="Arial"/>
        <family val="2"/>
      </rPr>
      <t>nd Regional average DOC</t>
    </r>
    <r>
      <rPr>
        <sz val="10"/>
        <color indexed="15"/>
        <rFont val="Arial"/>
        <family val="2"/>
      </rPr>
      <t xml:space="preserve"> changed/updated in "Defaults" worksheet. 
(5) Drop-down list for region in Parameter</t>
    </r>
    <r>
      <rPr>
        <sz val="10"/>
        <color rgb="FFFF00FF"/>
        <rFont val="Arial"/>
        <family val="2"/>
      </rPr>
      <t>s</t>
    </r>
    <r>
      <rPr>
        <sz val="10"/>
        <color indexed="15"/>
        <rFont val="Arial"/>
        <family val="2"/>
      </rPr>
      <t xml:space="preserve"> </t>
    </r>
    <r>
      <rPr>
        <sz val="10"/>
        <color rgb="FFFF00FF"/>
        <rFont val="Arial"/>
        <family val="2"/>
      </rPr>
      <t>work</t>
    </r>
    <r>
      <rPr>
        <sz val="10"/>
        <color indexed="15"/>
        <rFont val="Arial"/>
        <family val="2"/>
      </rPr>
      <t xml:space="preserve">sheet is updated.
</t>
    </r>
    <r>
      <rPr>
        <sz val="10"/>
        <color rgb="FFFF00FF"/>
        <rFont val="Arial"/>
        <family val="2"/>
      </rPr>
      <t>Where no updated default values are provided (e.g., Fraction of MSW disposed to SWDS and Regional Average DOC) in Table IPCC Regional Default Values for Waste Composition, Waste Generation, and Fraction Disposed in Defaults worksheet of the Waste model i.e. Table 2A.1 (Updated) and Table 2A.2 (New) of the 2019 Refinement, users are encouraged to use country-specific data or can use the values provided in the 2006 IPCC Guidelines if country-specific data are not available.</t>
    </r>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</si>
</sst>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
    <numFmt numFmtId="177" formatCode="#,##0.000"/>
    <numFmt numFmtId="178" formatCode="0.000"/>
    <numFmt numFmtId="179" formatCode="0.0"/>
    <numFmt numFmtId="180" formatCode="0.0%"/>
  </numFmts>
  <fonts count="36">
    <font>
      <sz val="10"/>
      <name val="Arial"/>
      <family val="2"/>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b/>
      <sz val="12"/>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9"/>
      <color indexed="81"/>
      <name val="MS P ゴシック"/>
      <family val="3"/>
      <charset val="128"/>
    </font>
    <font>
      <sz val="9"/>
      <color indexed="81"/>
      <name val="Arial"/>
      <family val="2"/>
    </font>
    <font>
      <sz val="10"/>
      <color indexed="15"/>
      <name val="Arial"/>
      <family val="2"/>
    </font>
    <font>
      <b/>
      <u/>
      <sz val="10"/>
      <color indexed="15"/>
      <name val="Arial"/>
      <family val="2"/>
    </font>
    <font>
      <sz val="10"/>
      <color theme="4"/>
      <name val="Arial"/>
      <family val="2"/>
    </font>
    <font>
      <b/>
      <sz val="10"/>
      <color theme="4"/>
      <name val="Arial"/>
      <family val="2"/>
    </font>
    <font>
      <sz val="10"/>
      <color rgb="FFFF0000"/>
      <name val="Arial"/>
      <family val="2"/>
    </font>
    <font>
      <sz val="10"/>
      <color rgb="FF7030A0"/>
      <name val="Arial"/>
      <family val="2"/>
    </font>
    <font>
      <b/>
      <sz val="10"/>
      <color rgb="FF7030A0"/>
      <name val="Arial"/>
      <family val="2"/>
    </font>
    <font>
      <sz val="10"/>
      <color rgb="FF0070C0"/>
      <name val="Arial"/>
      <family val="2"/>
    </font>
    <font>
      <sz val="10"/>
      <color rgb="FFFF00FF"/>
      <name val="Arial"/>
      <family val="2"/>
    </font>
    <font>
      <b/>
      <sz val="10"/>
      <color rgb="FFFF00FF"/>
      <name val="Arial"/>
      <family val="2"/>
    </font>
  </fonts>
  <fills count="1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5"/>
        <bgColor indexed="64"/>
      </patternFill>
    </fill>
    <fill>
      <patternFill patternType="solid">
        <fgColor indexed="43"/>
        <bgColor indexed="64"/>
      </patternFill>
    </fill>
    <fill>
      <patternFill patternType="solid">
        <fgColor rgb="FF92D050"/>
        <bgColor indexed="64"/>
      </patternFill>
    </fill>
    <fill>
      <patternFill patternType="solid">
        <fgColor rgb="FFFF99FF"/>
        <bgColor indexed="64"/>
      </patternFill>
    </fill>
    <fill>
      <patternFill patternType="solid">
        <fgColor rgb="FFFFFF00"/>
        <bgColor indexed="64"/>
      </patternFill>
    </fill>
    <fill>
      <patternFill patternType="solid">
        <fgColor rgb="FFFFCCFF"/>
        <bgColor indexed="64"/>
      </patternFill>
    </fill>
  </fills>
  <borders count="76">
    <border>
      <left/>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right style="medium">
        <color indexed="64"/>
      </right>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medium">
        <color indexed="64"/>
      </top>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applyBorder="0"/>
    <xf numFmtId="9" fontId="1" fillId="0" borderId="0" applyFont="0" applyFill="0" applyBorder="0" applyAlignment="0" applyProtection="0"/>
  </cellStyleXfs>
  <cellXfs count="732">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xf numFmtId="0" fontId="0" fillId="0" borderId="0" xfId="0" applyBorder="1" applyAlignment="1">
      <alignment horizontal="center"/>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2" borderId="7" xfId="0" applyFill="1" applyBorder="1" applyAlignment="1">
      <alignment horizontal="center" wrapText="1"/>
    </xf>
    <xf numFmtId="0" fontId="0" fillId="0" borderId="8" xfId="0" applyBorder="1"/>
    <xf numFmtId="0" fontId="0" fillId="0" borderId="9" xfId="0" applyBorder="1"/>
    <xf numFmtId="0" fontId="0" fillId="3" borderId="10" xfId="0" applyFill="1" applyBorder="1"/>
    <xf numFmtId="0" fontId="0" fillId="3" borderId="7" xfId="0" applyFill="1" applyBorder="1"/>
    <xf numFmtId="0" fontId="0" fillId="0" borderId="11" xfId="0" applyBorder="1"/>
    <xf numFmtId="0" fontId="0" fillId="0" borderId="12" xfId="0" applyBorder="1"/>
    <xf numFmtId="0" fontId="0" fillId="2" borderId="13" xfId="0" applyFill="1" applyBorder="1" applyAlignment="1">
      <alignment horizontal="center" wrapText="1"/>
    </xf>
    <xf numFmtId="0" fontId="0" fillId="3"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0" fillId="2" borderId="17" xfId="0" applyFill="1" applyBorder="1" applyAlignment="1">
      <alignment horizontal="center" wrapText="1"/>
    </xf>
    <xf numFmtId="0" fontId="2" fillId="2" borderId="18" xfId="0" applyFont="1" applyFill="1" applyBorder="1" applyAlignment="1">
      <alignment horizontal="center" wrapText="1"/>
    </xf>
    <xf numFmtId="0" fontId="2" fillId="2" borderId="14" xfId="0" applyFont="1" applyFill="1" applyBorder="1" applyAlignment="1">
      <alignment horizontal="center" wrapText="1"/>
    </xf>
    <xf numFmtId="0" fontId="2" fillId="2" borderId="4" xfId="0" applyFont="1" applyFill="1" applyBorder="1" applyAlignment="1">
      <alignment horizontal="center" wrapText="1"/>
    </xf>
    <xf numFmtId="9" fontId="0" fillId="0" borderId="10" xfId="0" applyNumberFormat="1" applyBorder="1"/>
    <xf numFmtId="9" fontId="0" fillId="0" borderId="7" xfId="0" applyNumberFormat="1" applyBorder="1"/>
    <xf numFmtId="0" fontId="0" fillId="2" borderId="19" xfId="0" applyFill="1" applyBorder="1" applyAlignment="1">
      <alignment horizontal="center" wrapText="1"/>
    </xf>
    <xf numFmtId="0" fontId="0" fillId="2" borderId="8" xfId="0" applyFill="1" applyBorder="1" applyAlignment="1">
      <alignment horizontal="center" wrapText="1"/>
    </xf>
    <xf numFmtId="9" fontId="0" fillId="0" borderId="20" xfId="0" applyNumberFormat="1" applyBorder="1"/>
    <xf numFmtId="0" fontId="0" fillId="2" borderId="21" xfId="0" applyFill="1" applyBorder="1" applyAlignment="1">
      <alignment horizontal="center" wrapText="1"/>
    </xf>
    <xf numFmtId="0" fontId="0" fillId="0" borderId="22" xfId="0" applyBorder="1"/>
    <xf numFmtId="0" fontId="0" fillId="3" borderId="21" xfId="0" applyFill="1" applyBorder="1"/>
    <xf numFmtId="0" fontId="0" fillId="0" borderId="23" xfId="0" applyBorder="1"/>
    <xf numFmtId="0" fontId="0" fillId="0" borderId="24" xfId="0" applyBorder="1"/>
    <xf numFmtId="0" fontId="0" fillId="4" borderId="11" xfId="0" applyFill="1" applyBorder="1"/>
    <xf numFmtId="2" fontId="0" fillId="0" borderId="21" xfId="0" applyNumberFormat="1" applyBorder="1"/>
    <xf numFmtId="2" fontId="0" fillId="0" borderId="25" xfId="0" applyNumberFormat="1" applyBorder="1"/>
    <xf numFmtId="0" fontId="0" fillId="0" borderId="21" xfId="0" applyBorder="1"/>
    <xf numFmtId="0" fontId="2" fillId="0" borderId="23" xfId="0" applyFont="1" applyBorder="1"/>
    <xf numFmtId="0" fontId="8" fillId="3" borderId="21" xfId="0" applyFont="1" applyFill="1" applyBorder="1"/>
    <xf numFmtId="0" fontId="0" fillId="3" borderId="20" xfId="0" applyFill="1" applyBorder="1"/>
    <xf numFmtId="0" fontId="0" fillId="2" borderId="26" xfId="0" applyFill="1" applyBorder="1" applyAlignment="1">
      <alignment horizontal="center" wrapText="1"/>
    </xf>
    <xf numFmtId="0" fontId="2" fillId="2" borderId="27" xfId="0" applyFont="1" applyFill="1" applyBorder="1" applyAlignment="1">
      <alignment horizontal="center" wrapText="1"/>
    </xf>
    <xf numFmtId="0" fontId="2" fillId="2" borderId="28" xfId="0" applyFont="1" applyFill="1" applyBorder="1" applyAlignment="1">
      <alignment horizontal="center" wrapText="1"/>
    </xf>
    <xf numFmtId="0" fontId="0" fillId="2" borderId="9" xfId="0" applyFill="1" applyBorder="1" applyAlignment="1">
      <alignment horizontal="center" wrapText="1"/>
    </xf>
    <xf numFmtId="0" fontId="2" fillId="2" borderId="29" xfId="0" applyFont="1" applyFill="1" applyBorder="1" applyAlignment="1">
      <alignment horizontal="center" wrapText="1"/>
    </xf>
    <xf numFmtId="0" fontId="2" fillId="2" borderId="30" xfId="0" applyFont="1" applyFill="1" applyBorder="1" applyAlignment="1">
      <alignment horizontal="center" wrapText="1"/>
    </xf>
    <xf numFmtId="0" fontId="0" fillId="2" borderId="22"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0" fontId="2" fillId="2" borderId="31" xfId="0" applyFont="1" applyFill="1" applyBorder="1" applyAlignment="1">
      <alignment horizontal="center" wrapText="1"/>
    </xf>
    <xf numFmtId="9" fontId="0" fillId="0" borderId="30" xfId="1" applyFont="1" applyBorder="1"/>
    <xf numFmtId="9" fontId="0" fillId="0" borderId="1" xfId="1" applyFont="1" applyBorder="1"/>
    <xf numFmtId="9" fontId="0" fillId="0" borderId="22" xfId="1" applyFont="1" applyBorder="1"/>
    <xf numFmtId="0" fontId="2" fillId="2" borderId="32" xfId="0" applyFont="1" applyFill="1" applyBorder="1"/>
    <xf numFmtId="0" fontId="0" fillId="2" borderId="21" xfId="0" applyFill="1" applyBorder="1"/>
    <xf numFmtId="0" fontId="0" fillId="2" borderId="25" xfId="0" applyFill="1" applyBorder="1"/>
    <xf numFmtId="0" fontId="0" fillId="2" borderId="33" xfId="0" applyFill="1" applyBorder="1"/>
    <xf numFmtId="0" fontId="4" fillId="0" borderId="0" xfId="0" applyFont="1" applyBorder="1"/>
    <xf numFmtId="0" fontId="0" fillId="0" borderId="30" xfId="0" applyBorder="1"/>
    <xf numFmtId="0" fontId="0" fillId="5" borderId="7" xfId="0" applyFill="1" applyBorder="1" applyProtection="1">
      <protection locked="0"/>
    </xf>
    <xf numFmtId="0" fontId="0" fillId="5" borderId="25"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2" xfId="0" applyFill="1" applyBorder="1" applyProtection="1">
      <protection locked="0"/>
    </xf>
    <xf numFmtId="0" fontId="0" fillId="5" borderId="34" xfId="0" applyFill="1" applyBorder="1" applyProtection="1">
      <protection locked="0"/>
    </xf>
    <xf numFmtId="0" fontId="0" fillId="5" borderId="35" xfId="0" applyFill="1" applyBorder="1" applyAlignment="1" applyProtection="1">
      <alignment horizontal="center" wrapText="1"/>
      <protection locked="0"/>
    </xf>
    <xf numFmtId="9" fontId="0" fillId="5" borderId="36" xfId="0" applyNumberFormat="1" applyFill="1" applyBorder="1" applyProtection="1">
      <protection locked="0"/>
    </xf>
    <xf numFmtId="9" fontId="0" fillId="5" borderId="37"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xf numFmtId="3" fontId="0" fillId="0" borderId="0" xfId="0" applyNumberFormat="1" applyBorder="1"/>
    <xf numFmtId="2" fontId="0" fillId="0" borderId="1" xfId="0" applyNumberFormat="1" applyBorder="1" applyAlignment="1">
      <alignment horizontal="center"/>
    </xf>
    <xf numFmtId="0" fontId="0" fillId="0" borderId="0" xfId="0" applyBorder="1" applyAlignment="1">
      <alignment horizontal="left"/>
    </xf>
    <xf numFmtId="0" fontId="0" fillId="2" borderId="38" xfId="0" applyFill="1" applyBorder="1" applyAlignment="1">
      <alignment horizontal="center" wrapText="1"/>
    </xf>
    <xf numFmtId="0" fontId="0" fillId="2" borderId="27" xfId="0" applyFill="1" applyBorder="1" applyAlignment="1">
      <alignment horizontal="center" wrapText="1"/>
    </xf>
    <xf numFmtId="2" fontId="0" fillId="2" borderId="27" xfId="0" applyNumberFormat="1" applyFill="1" applyBorder="1" applyAlignment="1">
      <alignment horizontal="center" wrapText="1"/>
    </xf>
    <xf numFmtId="3" fontId="0" fillId="2" borderId="27" xfId="0" applyNumberFormat="1" applyFill="1" applyBorder="1" applyAlignment="1">
      <alignment horizontal="center" wrapText="1"/>
    </xf>
    <xf numFmtId="2" fontId="0" fillId="2" borderId="6"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7" xfId="0" applyNumberFormat="1" applyFill="1" applyBorder="1" applyAlignment="1">
      <alignment horizontal="center" wrapText="1"/>
    </xf>
    <xf numFmtId="0" fontId="0" fillId="0" borderId="13" xfId="0" applyBorder="1"/>
    <xf numFmtId="2" fontId="0" fillId="0" borderId="13" xfId="0" applyNumberFormat="1" applyBorder="1"/>
    <xf numFmtId="3" fontId="0" fillId="0" borderId="13" xfId="0" applyNumberFormat="1" applyBorder="1"/>
    <xf numFmtId="3" fontId="0" fillId="0" borderId="24" xfId="0" applyNumberFormat="1" applyBorder="1"/>
    <xf numFmtId="3" fontId="0" fillId="0" borderId="27" xfId="0" applyNumberFormat="1" applyBorder="1"/>
    <xf numFmtId="2" fontId="0" fillId="0" borderId="27" xfId="0" applyNumberFormat="1" applyBorder="1"/>
    <xf numFmtId="3" fontId="0" fillId="0" borderId="39" xfId="0" applyNumberFormat="1" applyBorder="1"/>
    <xf numFmtId="2" fontId="0" fillId="0" borderId="37" xfId="0" applyNumberFormat="1" applyBorder="1"/>
    <xf numFmtId="2" fontId="0" fillId="0" borderId="6" xfId="0" applyNumberFormat="1" applyBorder="1"/>
    <xf numFmtId="3" fontId="0" fillId="0" borderId="37" xfId="0" applyNumberFormat="1" applyBorder="1"/>
    <xf numFmtId="3" fontId="0" fillId="0" borderId="6" xfId="0" applyNumberFormat="1" applyBorder="1"/>
    <xf numFmtId="0" fontId="0" fillId="0" borderId="28" xfId="0" applyBorder="1"/>
    <xf numFmtId="0" fontId="0" fillId="2" borderId="40" xfId="0" applyFill="1" applyBorder="1" applyAlignment="1">
      <alignment horizontal="center" wrapText="1"/>
    </xf>
    <xf numFmtId="0" fontId="0" fillId="6" borderId="41" xfId="0" applyFill="1" applyBorder="1"/>
    <xf numFmtId="0" fontId="0" fillId="6" borderId="33" xfId="0" applyFill="1" applyBorder="1"/>
    <xf numFmtId="0" fontId="8" fillId="3" borderId="20" xfId="0" applyFont="1" applyFill="1" applyBorder="1"/>
    <xf numFmtId="0" fontId="10" fillId="0" borderId="0" xfId="0" applyFont="1" applyAlignment="1">
      <alignment horizontal="left"/>
    </xf>
    <xf numFmtId="0" fontId="8" fillId="6" borderId="42" xfId="0" applyFont="1" applyFill="1" applyBorder="1"/>
    <xf numFmtId="0" fontId="8" fillId="0" borderId="0" xfId="0" applyFont="1" applyBorder="1"/>
    <xf numFmtId="0" fontId="12" fillId="0" borderId="0" xfId="0" applyFont="1" applyBorder="1"/>
    <xf numFmtId="0" fontId="2" fillId="6" borderId="42" xfId="0" applyFont="1" applyFill="1" applyBorder="1"/>
    <xf numFmtId="0" fontId="2" fillId="6" borderId="43" xfId="0" applyFont="1" applyFill="1" applyBorder="1"/>
    <xf numFmtId="0" fontId="2" fillId="6" borderId="44" xfId="0" applyFont="1" applyFill="1" applyBorder="1"/>
    <xf numFmtId="0" fontId="8" fillId="0" borderId="38" xfId="0" applyFont="1" applyBorder="1"/>
    <xf numFmtId="0" fontId="8" fillId="0" borderId="27" xfId="0" applyFont="1" applyBorder="1"/>
    <xf numFmtId="0" fontId="8" fillId="0" borderId="39" xfId="0" applyFont="1" applyBorder="1"/>
    <xf numFmtId="0" fontId="8" fillId="0" borderId="36" xfId="0" applyFont="1" applyBorder="1"/>
    <xf numFmtId="0" fontId="8" fillId="0" borderId="37" xfId="0" applyFont="1" applyBorder="1"/>
    <xf numFmtId="0" fontId="8" fillId="0" borderId="10" xfId="0" applyFont="1" applyBorder="1"/>
    <xf numFmtId="0" fontId="8" fillId="0" borderId="5" xfId="0" applyFont="1" applyBorder="1"/>
    <xf numFmtId="0" fontId="8" fillId="0" borderId="6" xfId="0" applyFont="1" applyBorder="1"/>
    <xf numFmtId="0" fontId="8" fillId="0" borderId="7" xfId="0" applyFont="1" applyBorder="1"/>
    <xf numFmtId="0" fontId="12" fillId="0" borderId="0" xfId="0" applyFont="1"/>
    <xf numFmtId="0" fontId="2" fillId="6" borderId="38" xfId="0" applyFont="1" applyFill="1" applyBorder="1"/>
    <xf numFmtId="0" fontId="8" fillId="0" borderId="38" xfId="0" applyFont="1" applyBorder="1" applyAlignment="1">
      <alignment horizontal="center" vertical="top" wrapText="1"/>
    </xf>
    <xf numFmtId="0" fontId="8" fillId="0" borderId="45" xfId="0" applyFont="1" applyBorder="1" applyAlignment="1">
      <alignment horizontal="center" vertical="top" wrapText="1"/>
    </xf>
    <xf numFmtId="0" fontId="8" fillId="0" borderId="8" xfId="0" applyFont="1" applyBorder="1" applyAlignment="1">
      <alignment horizontal="center" vertical="top" wrapText="1"/>
    </xf>
    <xf numFmtId="0" fontId="8" fillId="3" borderId="39" xfId="0" applyFont="1" applyFill="1" applyBorder="1"/>
    <xf numFmtId="0" fontId="0" fillId="5" borderId="39" xfId="0" applyFill="1" applyBorder="1" applyProtection="1">
      <protection locked="0"/>
    </xf>
    <xf numFmtId="0" fontId="0" fillId="4" borderId="28" xfId="0" applyFill="1" applyBorder="1"/>
    <xf numFmtId="0" fontId="0" fillId="4" borderId="12" xfId="0" applyFill="1" applyBorder="1"/>
    <xf numFmtId="0" fontId="0" fillId="4" borderId="46" xfId="0" applyFill="1" applyBorder="1"/>
    <xf numFmtId="3" fontId="0" fillId="0" borderId="38" xfId="0" applyNumberFormat="1" applyBorder="1"/>
    <xf numFmtId="3" fontId="0" fillId="0" borderId="36" xfId="0" applyNumberFormat="1" applyBorder="1"/>
    <xf numFmtId="3" fontId="0" fillId="0" borderId="10" xfId="0" applyNumberFormat="1" applyBorder="1"/>
    <xf numFmtId="3" fontId="0" fillId="0" borderId="5" xfId="0" applyNumberFormat="1" applyBorder="1"/>
    <xf numFmtId="3" fontId="0" fillId="0" borderId="7" xfId="0" applyNumberFormat="1" applyBorder="1"/>
    <xf numFmtId="0" fontId="13" fillId="2" borderId="8" xfId="0" applyFont="1" applyFill="1" applyBorder="1" applyAlignment="1">
      <alignment horizontal="center" wrapText="1"/>
    </xf>
    <xf numFmtId="0" fontId="13" fillId="2" borderId="13" xfId="0" applyFont="1" applyFill="1" applyBorder="1" applyAlignment="1">
      <alignment horizontal="center" wrapText="1"/>
    </xf>
    <xf numFmtId="2" fontId="13" fillId="2" borderId="13" xfId="0" applyNumberFormat="1" applyFont="1" applyFill="1" applyBorder="1" applyAlignment="1">
      <alignment horizontal="center" wrapText="1"/>
    </xf>
    <xf numFmtId="3" fontId="13" fillId="2" borderId="13" xfId="0" applyNumberFormat="1" applyFont="1" applyFill="1" applyBorder="1" applyAlignment="1">
      <alignment horizontal="center" wrapText="1"/>
    </xf>
    <xf numFmtId="3" fontId="13" fillId="2" borderId="24" xfId="0" applyNumberFormat="1" applyFont="1" applyFill="1" applyBorder="1" applyAlignment="1">
      <alignment horizontal="center" wrapText="1"/>
    </xf>
    <xf numFmtId="0" fontId="0" fillId="2" borderId="28" xfId="0" applyFill="1" applyBorder="1" applyAlignment="1">
      <alignment horizontal="left"/>
    </xf>
    <xf numFmtId="0" fontId="0" fillId="2" borderId="47" xfId="0" applyFill="1" applyBorder="1" applyAlignment="1">
      <alignment horizontal="left"/>
    </xf>
    <xf numFmtId="0" fontId="0" fillId="2" borderId="2" xfId="0" applyFill="1" applyBorder="1" applyAlignment="1">
      <alignment horizontal="left"/>
    </xf>
    <xf numFmtId="0" fontId="0" fillId="2" borderId="48" xfId="0" applyFill="1" applyBorder="1" applyAlignment="1">
      <alignment horizontal="left"/>
    </xf>
    <xf numFmtId="0" fontId="0" fillId="2" borderId="49" xfId="0" applyFill="1" applyBorder="1" applyAlignment="1">
      <alignment horizontal="left"/>
    </xf>
    <xf numFmtId="0" fontId="0" fillId="2" borderId="29" xfId="0" applyFill="1" applyBorder="1" applyAlignment="1">
      <alignment horizontal="left"/>
    </xf>
    <xf numFmtId="177" fontId="0" fillId="0" borderId="3" xfId="0" applyNumberFormat="1" applyBorder="1" applyAlignment="1">
      <alignment horizontal="center"/>
    </xf>
    <xf numFmtId="3" fontId="0" fillId="2" borderId="32" xfId="0" applyNumberFormat="1" applyFill="1" applyBorder="1" applyAlignment="1">
      <alignment horizontal="center" wrapText="1"/>
    </xf>
    <xf numFmtId="0" fontId="0" fillId="2" borderId="50" xfId="0" applyFill="1" applyBorder="1" applyAlignment="1">
      <alignment horizontal="left"/>
    </xf>
    <xf numFmtId="0" fontId="0" fillId="2" borderId="51" xfId="0" applyFill="1" applyBorder="1" applyAlignment="1">
      <alignment horizontal="left"/>
    </xf>
    <xf numFmtId="0" fontId="0" fillId="2" borderId="25" xfId="0" applyFill="1" applyBorder="1" applyAlignment="1">
      <alignment horizontal="left"/>
    </xf>
    <xf numFmtId="177" fontId="0" fillId="0" borderId="32" xfId="0" applyNumberFormat="1" applyBorder="1" applyAlignment="1">
      <alignment horizontal="center"/>
    </xf>
    <xf numFmtId="0" fontId="13" fillId="2" borderId="52" xfId="0" applyFont="1" applyFill="1" applyBorder="1" applyAlignment="1">
      <alignment horizontal="left"/>
    </xf>
    <xf numFmtId="0" fontId="13" fillId="2" borderId="53" xfId="0" applyFont="1" applyFill="1" applyBorder="1" applyAlignment="1">
      <alignment horizontal="left"/>
    </xf>
    <xf numFmtId="0" fontId="13" fillId="2" borderId="41" xfId="0" applyFont="1" applyFill="1" applyBorder="1" applyAlignment="1">
      <alignment horizontal="left"/>
    </xf>
    <xf numFmtId="0" fontId="2" fillId="2" borderId="38" xfId="0" applyFont="1" applyFill="1" applyBorder="1" applyAlignment="1">
      <alignment horizontal="center" wrapText="1"/>
    </xf>
    <xf numFmtId="0" fontId="2" fillId="2" borderId="39" xfId="0" applyFont="1" applyFill="1" applyBorder="1" applyAlignment="1">
      <alignment horizontal="center" wrapText="1"/>
    </xf>
    <xf numFmtId="0" fontId="0" fillId="2" borderId="54" xfId="0" applyFill="1" applyBorder="1"/>
    <xf numFmtId="0" fontId="0" fillId="2" borderId="55" xfId="0" applyFill="1" applyBorder="1"/>
    <xf numFmtId="0" fontId="0" fillId="3" borderId="50" xfId="0" applyFill="1" applyBorder="1"/>
    <xf numFmtId="0" fontId="0" fillId="3" borderId="41" xfId="0" applyFill="1" applyBorder="1"/>
    <xf numFmtId="0" fontId="2" fillId="5" borderId="21" xfId="0" applyFont="1" applyFill="1" applyBorder="1"/>
    <xf numFmtId="0" fontId="8" fillId="5" borderId="25" xfId="0" applyFont="1" applyFill="1" applyBorder="1"/>
    <xf numFmtId="0" fontId="0" fillId="0" borderId="12" xfId="0" applyBorder="1" applyProtection="1">
      <protection locked="0"/>
    </xf>
    <xf numFmtId="3" fontId="0" fillId="0" borderId="56" xfId="0" applyNumberFormat="1" applyBorder="1"/>
    <xf numFmtId="3" fontId="0" fillId="0" borderId="35" xfId="0" applyNumberFormat="1" applyBorder="1"/>
    <xf numFmtId="0" fontId="0" fillId="2" borderId="57" xfId="0" applyFill="1" applyBorder="1" applyAlignment="1">
      <alignment horizontal="center" wrapText="1"/>
    </xf>
    <xf numFmtId="0" fontId="0" fillId="5" borderId="30" xfId="0" applyFill="1" applyBorder="1" applyProtection="1">
      <protection locked="0"/>
    </xf>
    <xf numFmtId="9" fontId="0" fillId="5" borderId="28" xfId="0" applyNumberFormat="1" applyFill="1" applyBorder="1" applyProtection="1">
      <protection locked="0"/>
    </xf>
    <xf numFmtId="9" fontId="0" fillId="5" borderId="2" xfId="0" applyNumberFormat="1" applyFill="1" applyBorder="1" applyProtection="1">
      <protection locked="0"/>
    </xf>
    <xf numFmtId="9" fontId="0" fillId="5" borderId="9" xfId="0" applyNumberFormat="1" applyFill="1" applyBorder="1" applyProtection="1">
      <protection locked="0"/>
    </xf>
    <xf numFmtId="0" fontId="15" fillId="0" borderId="0" xfId="0" applyFont="1"/>
    <xf numFmtId="0" fontId="0" fillId="0" borderId="35" xfId="0" applyBorder="1"/>
    <xf numFmtId="0" fontId="2" fillId="0" borderId="0" xfId="0" applyFont="1" applyBorder="1" applyAlignment="1">
      <alignment horizontal="center" vertical="top" wrapText="1"/>
    </xf>
    <xf numFmtId="0" fontId="2" fillId="0" borderId="0" xfId="0" applyFont="1" applyBorder="1" applyAlignment="1">
      <alignment horizontal="center"/>
    </xf>
    <xf numFmtId="0" fontId="8" fillId="0" borderId="0" xfId="0" applyFont="1" applyBorder="1" applyAlignment="1">
      <alignment horizontal="center" vertical="top" wrapText="1"/>
    </xf>
    <xf numFmtId="0" fontId="8" fillId="2" borderId="0" xfId="0" applyFont="1" applyFill="1"/>
    <xf numFmtId="0" fontId="8" fillId="0" borderId="58" xfId="0" applyFont="1" applyBorder="1"/>
    <xf numFmtId="0" fontId="8" fillId="0" borderId="33" xfId="0" applyFont="1" applyBorder="1"/>
    <xf numFmtId="0" fontId="10" fillId="2" borderId="0" xfId="0" applyFont="1" applyFill="1"/>
    <xf numFmtId="0" fontId="8" fillId="6" borderId="43" xfId="0" applyFont="1" applyFill="1" applyBorder="1"/>
    <xf numFmtId="0" fontId="8" fillId="5" borderId="36" xfId="0" applyFont="1" applyFill="1" applyBorder="1" applyAlignment="1">
      <alignment horizontal="center"/>
    </xf>
    <xf numFmtId="0" fontId="8" fillId="5" borderId="5" xfId="0" applyFont="1" applyFill="1" applyBorder="1" applyAlignment="1">
      <alignment horizontal="center"/>
    </xf>
    <xf numFmtId="0" fontId="2" fillId="6" borderId="39" xfId="0" applyFont="1" applyFill="1" applyBorder="1" applyAlignment="1">
      <alignment vertical="top" wrapText="1"/>
    </xf>
    <xf numFmtId="0" fontId="2" fillId="6" borderId="7" xfId="0" applyFont="1" applyFill="1" applyBorder="1" applyAlignment="1">
      <alignment vertical="top" wrapText="1"/>
    </xf>
    <xf numFmtId="0" fontId="0" fillId="0" borderId="40" xfId="0" applyBorder="1"/>
    <xf numFmtId="0" fontId="8" fillId="3" borderId="7" xfId="0" applyFont="1" applyFill="1" applyBorder="1"/>
    <xf numFmtId="0" fontId="2" fillId="2" borderId="41" xfId="0" applyFont="1" applyFill="1" applyBorder="1" applyAlignment="1">
      <alignment horizontal="center"/>
    </xf>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59" xfId="0" applyNumberFormat="1" applyBorder="1"/>
    <xf numFmtId="0" fontId="0" fillId="5" borderId="21" xfId="0" applyFill="1" applyBorder="1" applyAlignment="1" applyProtection="1">
      <alignment wrapText="1"/>
      <protection locked="0"/>
    </xf>
    <xf numFmtId="0" fontId="0" fillId="2" borderId="24" xfId="0" applyFill="1" applyBorder="1" applyAlignment="1">
      <alignment horizontal="center" wrapText="1"/>
    </xf>
    <xf numFmtId="0" fontId="0" fillId="3" borderId="18" xfId="0" applyFill="1" applyBorder="1" applyAlignment="1">
      <alignment horizontal="center" wrapText="1"/>
    </xf>
    <xf numFmtId="0" fontId="0" fillId="5" borderId="33" xfId="0" applyFill="1" applyBorder="1" applyAlignment="1" applyProtection="1">
      <alignment horizontal="center" wrapText="1"/>
      <protection locked="0"/>
    </xf>
    <xf numFmtId="0" fontId="0" fillId="2" borderId="32" xfId="0" applyFill="1" applyBorder="1" applyAlignment="1">
      <alignment horizontal="center" wrapText="1"/>
    </xf>
    <xf numFmtId="2" fontId="0" fillId="0" borderId="3" xfId="0" applyNumberFormat="1" applyBorder="1"/>
    <xf numFmtId="0" fontId="2" fillId="2" borderId="32" xfId="0" applyFont="1" applyFill="1" applyBorder="1" applyAlignment="1">
      <alignment horizontal="center"/>
    </xf>
    <xf numFmtId="0" fontId="0" fillId="2" borderId="22" xfId="0" applyFill="1" applyBorder="1" applyAlignment="1">
      <alignment wrapText="1"/>
    </xf>
    <xf numFmtId="0" fontId="0" fillId="2" borderId="32" xfId="0" applyFill="1" applyBorder="1" applyAlignment="1">
      <alignment wrapText="1"/>
    </xf>
    <xf numFmtId="0" fontId="0" fillId="2" borderId="30" xfId="0" applyFill="1" applyBorder="1" applyAlignment="1">
      <alignment wrapText="1"/>
    </xf>
    <xf numFmtId="0" fontId="2" fillId="2" borderId="17" xfId="0" applyFont="1" applyFill="1" applyBorder="1" applyAlignment="1">
      <alignment horizontal="center"/>
    </xf>
    <xf numFmtId="0" fontId="8" fillId="0" borderId="0" xfId="0" applyFont="1" applyAlignment="1">
      <alignment wrapText="1"/>
    </xf>
    <xf numFmtId="0" fontId="0" fillId="2" borderId="60" xfId="0" applyFill="1" applyBorder="1"/>
    <xf numFmtId="0" fontId="0" fillId="2" borderId="4" xfId="0" applyFill="1" applyBorder="1"/>
    <xf numFmtId="0" fontId="8" fillId="6" borderId="0" xfId="0" applyFont="1" applyFill="1" applyBorder="1"/>
    <xf numFmtId="49" fontId="8" fillId="0" borderId="39" xfId="0" applyNumberFormat="1" applyFont="1" applyBorder="1" applyAlignment="1">
      <alignment horizontal="center" vertical="top" wrapText="1"/>
    </xf>
    <xf numFmtId="49" fontId="8" fillId="0" borderId="20" xfId="0" applyNumberFormat="1" applyFont="1" applyBorder="1" applyAlignment="1">
      <alignment horizontal="center" vertical="top" wrapText="1"/>
    </xf>
    <xf numFmtId="49" fontId="8" fillId="0" borderId="59" xfId="0" applyNumberFormat="1" applyFont="1" applyBorder="1" applyAlignment="1">
      <alignment horizontal="center" vertical="top" wrapText="1"/>
    </xf>
    <xf numFmtId="49" fontId="8" fillId="0" borderId="24" xfId="0" applyNumberFormat="1" applyFont="1" applyBorder="1" applyAlignment="1">
      <alignment horizontal="center" vertical="top" wrapText="1"/>
    </xf>
    <xf numFmtId="0" fontId="0" fillId="3" borderId="38" xfId="0" applyFill="1" applyBorder="1" applyAlignment="1">
      <alignment horizontal="right"/>
    </xf>
    <xf numFmtId="0" fontId="0" fillId="3" borderId="45" xfId="0" applyFill="1" applyBorder="1" applyAlignment="1">
      <alignment horizontal="right"/>
    </xf>
    <xf numFmtId="0" fontId="0" fillId="3" borderId="36" xfId="0" applyFill="1" applyBorder="1" applyAlignment="1">
      <alignment horizontal="right"/>
    </xf>
    <xf numFmtId="0" fontId="0" fillId="3" borderId="15" xfId="0" applyFill="1" applyBorder="1" applyAlignment="1">
      <alignment horizontal="right"/>
    </xf>
    <xf numFmtId="0" fontId="0" fillId="3" borderId="5" xfId="0" applyFill="1" applyBorder="1" applyAlignment="1">
      <alignment horizontal="right"/>
    </xf>
    <xf numFmtId="0" fontId="8" fillId="0" borderId="36" xfId="0" applyFont="1" applyBorder="1" applyAlignment="1">
      <alignment horizontal="center" vertical="top"/>
    </xf>
    <xf numFmtId="0" fontId="8" fillId="0" borderId="5" xfId="0" applyFont="1" applyBorder="1" applyAlignment="1">
      <alignment horizontal="center" vertical="top"/>
    </xf>
    <xf numFmtId="0" fontId="8" fillId="0" borderId="45" xfId="0" applyFont="1" applyBorder="1" applyAlignment="1">
      <alignment horizontal="center" vertical="top"/>
    </xf>
    <xf numFmtId="0" fontId="2" fillId="6" borderId="50" xfId="0" applyFont="1" applyFill="1" applyBorder="1" applyAlignment="1">
      <alignment vertical="top"/>
    </xf>
    <xf numFmtId="49" fontId="8" fillId="0" borderId="20" xfId="0" applyNumberFormat="1" applyFont="1" applyBorder="1" applyAlignment="1">
      <alignment horizontal="center" vertical="top"/>
    </xf>
    <xf numFmtId="49" fontId="8" fillId="0" borderId="10" xfId="0" applyNumberFormat="1" applyFont="1" applyBorder="1" applyAlignment="1">
      <alignment horizontal="center" vertical="top"/>
    </xf>
    <xf numFmtId="49" fontId="8" fillId="0" borderId="7" xfId="0" applyNumberFormat="1" applyFont="1" applyBorder="1" applyAlignment="1">
      <alignment horizontal="center" vertical="top"/>
    </xf>
    <xf numFmtId="0" fontId="8" fillId="6" borderId="54" xfId="0" applyFont="1" applyFill="1" applyBorder="1"/>
    <xf numFmtId="0" fontId="8" fillId="0" borderId="29" xfId="0" applyFont="1" applyBorder="1" applyAlignment="1">
      <alignment horizontal="center" vertical="top" wrapText="1"/>
    </xf>
    <xf numFmtId="0" fontId="8" fillId="0" borderId="61" xfId="0" applyFont="1" applyBorder="1" applyAlignment="1">
      <alignment horizontal="center" vertical="top" wrapText="1"/>
    </xf>
    <xf numFmtId="0" fontId="8" fillId="0" borderId="11" xfId="0" applyFont="1" applyBorder="1" applyAlignment="1">
      <alignment horizontal="center" vertical="top" wrapText="1"/>
    </xf>
    <xf numFmtId="49" fontId="8" fillId="0" borderId="52" xfId="0" quotePrefix="1" applyNumberFormat="1" applyFont="1" applyBorder="1" applyAlignment="1">
      <alignment horizontal="center" vertical="top" wrapText="1"/>
    </xf>
    <xf numFmtId="0" fontId="8" fillId="0" borderId="0" xfId="0" applyFont="1" applyAlignment="1">
      <alignment vertical="top"/>
    </xf>
    <xf numFmtId="0" fontId="8" fillId="6" borderId="32" xfId="0" applyFont="1" applyFill="1" applyBorder="1" applyAlignment="1">
      <alignment wrapText="1"/>
    </xf>
    <xf numFmtId="0" fontId="2" fillId="6" borderId="30" xfId="0" applyFont="1" applyFill="1" applyBorder="1" applyAlignment="1">
      <alignment vertical="top" wrapText="1"/>
    </xf>
    <xf numFmtId="0" fontId="2" fillId="6" borderId="1" xfId="0" applyFont="1" applyFill="1" applyBorder="1" applyAlignment="1">
      <alignment vertical="top" wrapText="1"/>
    </xf>
    <xf numFmtId="0" fontId="2" fillId="0" borderId="0" xfId="0" applyFont="1" applyBorder="1" applyAlignment="1">
      <alignment horizontal="left"/>
    </xf>
    <xf numFmtId="0" fontId="0" fillId="3" borderId="32" xfId="0" applyFill="1" applyBorder="1"/>
    <xf numFmtId="9" fontId="0" fillId="3" borderId="32" xfId="1" applyFont="1" applyFill="1" applyBorder="1"/>
    <xf numFmtId="9" fontId="0" fillId="3" borderId="33" xfId="1" applyFont="1" applyFill="1" applyBorder="1"/>
    <xf numFmtId="9" fontId="0" fillId="3" borderId="35" xfId="1" applyFont="1" applyFill="1" applyBorder="1"/>
    <xf numFmtId="9" fontId="0" fillId="0" borderId="32" xfId="1" applyFont="1" applyBorder="1"/>
    <xf numFmtId="0" fontId="0" fillId="3" borderId="17" xfId="0" applyFill="1" applyBorder="1"/>
    <xf numFmtId="0" fontId="2" fillId="6" borderId="36" xfId="0" applyFont="1" applyFill="1" applyBorder="1" applyAlignment="1">
      <alignment vertical="top" wrapText="1"/>
    </xf>
    <xf numFmtId="0" fontId="2" fillId="6" borderId="10" xfId="0" applyFont="1" applyFill="1" applyBorder="1" applyAlignment="1">
      <alignment vertical="top" wrapText="1"/>
    </xf>
    <xf numFmtId="0" fontId="2" fillId="6" borderId="5" xfId="0" applyFont="1" applyFill="1" applyBorder="1" applyAlignment="1">
      <alignment vertical="top" wrapText="1"/>
    </xf>
    <xf numFmtId="0" fontId="8" fillId="0" borderId="36" xfId="0" applyFont="1" applyBorder="1" applyAlignment="1">
      <alignment horizontal="center" vertical="top" wrapText="1"/>
    </xf>
    <xf numFmtId="49" fontId="8" fillId="0" borderId="10" xfId="0" applyNumberFormat="1" applyFont="1" applyBorder="1" applyAlignment="1">
      <alignment horizontal="center" vertical="top" wrapText="1"/>
    </xf>
    <xf numFmtId="0" fontId="8" fillId="0" borderId="49" xfId="0" applyFont="1" applyBorder="1" applyAlignment="1">
      <alignment horizontal="center" vertical="top" wrapText="1"/>
    </xf>
    <xf numFmtId="49" fontId="8" fillId="0" borderId="53" xfId="0" applyNumberFormat="1" applyFont="1" applyBorder="1" applyAlignment="1">
      <alignment horizontal="center" vertical="top" wrapText="1"/>
    </xf>
    <xf numFmtId="0" fontId="8" fillId="0" borderId="15" xfId="0" applyFont="1" applyBorder="1" applyAlignment="1">
      <alignment horizontal="center" vertical="top"/>
    </xf>
    <xf numFmtId="49" fontId="8" fillId="0" borderId="17" xfId="0" applyNumberFormat="1" applyFont="1" applyBorder="1" applyAlignment="1">
      <alignment horizontal="center" vertical="top"/>
    </xf>
    <xf numFmtId="0" fontId="2" fillId="6" borderId="12"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9" xfId="0" applyFont="1" applyFill="1" applyBorder="1" applyAlignment="1">
      <alignment vertical="top" wrapText="1"/>
    </xf>
    <xf numFmtId="0" fontId="2" fillId="6" borderId="33"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33" xfId="0" applyFont="1" applyFill="1" applyBorder="1" applyAlignment="1">
      <alignment vertical="top" wrapText="1"/>
    </xf>
    <xf numFmtId="0" fontId="2" fillId="6" borderId="21" xfId="0" applyFont="1" applyFill="1" applyBorder="1" applyAlignment="1">
      <alignment vertical="top" wrapText="1"/>
    </xf>
    <xf numFmtId="0" fontId="8" fillId="0" borderId="33"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5" xfId="0" applyFont="1" applyBorder="1" applyAlignment="1">
      <alignment horizontal="center" vertical="top" wrapText="1"/>
    </xf>
    <xf numFmtId="49" fontId="8" fillId="0" borderId="41" xfId="0" applyNumberFormat="1" applyFont="1" applyBorder="1" applyAlignment="1">
      <alignment horizontal="center" vertical="top" wrapText="1"/>
    </xf>
    <xf numFmtId="0" fontId="2" fillId="6" borderId="42" xfId="0" applyFont="1" applyFill="1" applyBorder="1" applyAlignment="1">
      <alignment vertical="top" wrapText="1"/>
    </xf>
    <xf numFmtId="3" fontId="0" fillId="0" borderId="0" xfId="0" applyNumberFormat="1" applyBorder="1" applyAlignment="1">
      <alignment wrapText="1"/>
    </xf>
    <xf numFmtId="0" fontId="0" fillId="2" borderId="57" xfId="0" applyFill="1" applyBorder="1" applyAlignment="1">
      <alignment horizontal="left"/>
    </xf>
    <xf numFmtId="0" fontId="0" fillId="2" borderId="62" xfId="0" applyFill="1" applyBorder="1" applyAlignment="1">
      <alignment horizontal="left"/>
    </xf>
    <xf numFmtId="0" fontId="0" fillId="2" borderId="63" xfId="0" applyFill="1" applyBorder="1" applyAlignment="1">
      <alignment horizontal="left"/>
    </xf>
    <xf numFmtId="0" fontId="13" fillId="2" borderId="64" xfId="0" applyFont="1" applyFill="1" applyBorder="1" applyAlignment="1">
      <alignment horizontal="left"/>
    </xf>
    <xf numFmtId="2" fontId="0" fillId="0" borderId="40" xfId="0" applyNumberFormat="1" applyBorder="1" applyAlignment="1">
      <alignment horizontal="center"/>
    </xf>
    <xf numFmtId="2" fontId="0" fillId="0" borderId="0" xfId="0" applyNumberFormat="1" applyBorder="1"/>
    <xf numFmtId="0" fontId="9" fillId="0" borderId="0" xfId="0" applyFont="1" applyBorder="1"/>
    <xf numFmtId="0" fontId="5" fillId="0" borderId="0" xfId="0" applyFont="1" applyBorder="1"/>
    <xf numFmtId="2" fontId="5" fillId="0" borderId="0" xfId="0" applyNumberFormat="1" applyFont="1" applyBorder="1"/>
    <xf numFmtId="3" fontId="5" fillId="0" borderId="0" xfId="0" applyNumberFormat="1" applyFont="1" applyBorder="1"/>
    <xf numFmtId="0" fontId="2" fillId="0" borderId="0" xfId="0" applyFont="1" applyBorder="1"/>
    <xf numFmtId="2" fontId="2" fillId="0" borderId="0" xfId="0" applyNumberFormat="1" applyFont="1" applyBorder="1"/>
    <xf numFmtId="3" fontId="2" fillId="0" borderId="0" xfId="0" applyNumberFormat="1" applyFont="1" applyBorder="1"/>
    <xf numFmtId="0" fontId="2" fillId="0" borderId="0" xfId="0" applyFont="1" applyBorder="1" applyAlignment="1">
      <alignment wrapText="1"/>
    </xf>
    <xf numFmtId="0" fontId="0" fillId="0" borderId="0" xfId="0" applyBorder="1" applyAlignment="1">
      <alignment wrapText="1"/>
    </xf>
    <xf numFmtId="2" fontId="0" fillId="0" borderId="0" xfId="0" applyNumberFormat="1" applyBorder="1" applyAlignment="1">
      <alignment wrapText="1"/>
    </xf>
    <xf numFmtId="0" fontId="13" fillId="0" borderId="0" xfId="0" applyFont="1" applyBorder="1"/>
    <xf numFmtId="3" fontId="0" fillId="8" borderId="30" xfId="0" applyNumberFormat="1" applyFill="1" applyBorder="1"/>
    <xf numFmtId="3" fontId="0" fillId="8" borderId="1" xfId="0" applyNumberFormat="1" applyFill="1" applyBorder="1"/>
    <xf numFmtId="3" fontId="0" fillId="8" borderId="22" xfId="0" applyNumberFormat="1" applyFill="1" applyBorder="1"/>
    <xf numFmtId="0" fontId="8" fillId="0" borderId="35" xfId="0" applyFont="1" applyBorder="1"/>
    <xf numFmtId="0" fontId="8" fillId="0" borderId="21" xfId="0" applyFont="1" applyBorder="1"/>
    <xf numFmtId="9" fontId="0" fillId="5" borderId="12" xfId="1" applyFont="1" applyFill="1" applyBorder="1" applyProtection="1">
      <protection locked="0"/>
    </xf>
    <xf numFmtId="0" fontId="0" fillId="2" borderId="58" xfId="0" applyFill="1" applyBorder="1" applyAlignment="1">
      <alignment wrapText="1"/>
    </xf>
    <xf numFmtId="9" fontId="0" fillId="5" borderId="45" xfId="0" applyNumberFormat="1" applyFill="1" applyBorder="1" applyProtection="1">
      <protection locked="0"/>
    </xf>
    <xf numFmtId="9" fontId="0" fillId="5" borderId="56" xfId="0" applyNumberFormat="1" applyFill="1" applyBorder="1" applyProtection="1">
      <protection locked="0"/>
    </xf>
    <xf numFmtId="9" fontId="0" fillId="5" borderId="36" xfId="1" applyFont="1" applyFill="1" applyBorder="1" applyAlignment="1" applyProtection="1">
      <alignment horizontal="center" wrapText="1"/>
      <protection locked="0"/>
    </xf>
    <xf numFmtId="9" fontId="0" fillId="5" borderId="37" xfId="1" applyFont="1" applyFill="1" applyBorder="1" applyAlignment="1" applyProtection="1">
      <alignment horizontal="center" wrapText="1"/>
      <protection locked="0"/>
    </xf>
    <xf numFmtId="0" fontId="0" fillId="5" borderId="1" xfId="0" applyFill="1" applyBorder="1" applyProtection="1">
      <protection locked="0"/>
    </xf>
    <xf numFmtId="0" fontId="0" fillId="5" borderId="22" xfId="0" applyFill="1" applyBorder="1" applyProtection="1">
      <protection locked="0"/>
    </xf>
    <xf numFmtId="0" fontId="0" fillId="5" borderId="1" xfId="0" applyFill="1" applyBorder="1" applyAlignment="1" applyProtection="1">
      <alignment wrapText="1"/>
      <protection locked="0"/>
    </xf>
    <xf numFmtId="0" fontId="0" fillId="5" borderId="32" xfId="0" applyFill="1" applyBorder="1" applyAlignment="1" applyProtection="1">
      <alignment wrapText="1"/>
      <protection locked="0"/>
    </xf>
    <xf numFmtId="179" fontId="0" fillId="5" borderId="3" xfId="0" applyNumberFormat="1" applyFill="1" applyBorder="1" applyProtection="1">
      <protection locked="0"/>
    </xf>
    <xf numFmtId="179" fontId="0" fillId="5" borderId="1" xfId="0" applyNumberFormat="1" applyFill="1" applyBorder="1" applyProtection="1">
      <protection locked="0"/>
    </xf>
    <xf numFmtId="0" fontId="2" fillId="2" borderId="15" xfId="0" applyFont="1" applyFill="1" applyBorder="1" applyAlignment="1">
      <alignment horizontal="center"/>
    </xf>
    <xf numFmtId="3" fontId="18" fillId="2" borderId="39" xfId="0" applyNumberFormat="1" applyFont="1" applyFill="1" applyBorder="1" applyAlignment="1">
      <alignment horizontal="center" wrapText="1"/>
    </xf>
    <xf numFmtId="0" fontId="0" fillId="2" borderId="12" xfId="0" applyFill="1" applyBorder="1" applyAlignment="1">
      <alignment horizontal="left"/>
    </xf>
    <xf numFmtId="0" fontId="0" fillId="2" borderId="65" xfId="0" applyFill="1" applyBorder="1" applyAlignment="1">
      <alignment horizontal="left"/>
    </xf>
    <xf numFmtId="0" fontId="0" fillId="2" borderId="61" xfId="0" applyFill="1" applyBorder="1" applyAlignment="1">
      <alignment horizontal="left"/>
    </xf>
    <xf numFmtId="0" fontId="13" fillId="2" borderId="59" xfId="0" applyFont="1" applyFill="1" applyBorder="1" applyAlignment="1">
      <alignment horizontal="left"/>
    </xf>
    <xf numFmtId="177" fontId="0" fillId="0" borderId="30" xfId="0" applyNumberFormat="1" applyBorder="1" applyAlignment="1">
      <alignment horizontal="center"/>
    </xf>
    <xf numFmtId="0" fontId="0" fillId="2" borderId="9" xfId="0" applyFill="1" applyBorder="1" applyAlignment="1">
      <alignment horizontal="left"/>
    </xf>
    <xf numFmtId="0" fontId="0" fillId="2" borderId="66" xfId="0" applyFill="1" applyBorder="1" applyAlignment="1">
      <alignment horizontal="left"/>
    </xf>
    <xf numFmtId="0" fontId="0" fillId="2" borderId="26" xfId="0" applyFill="1" applyBorder="1" applyAlignment="1">
      <alignment horizontal="left"/>
    </xf>
    <xf numFmtId="0" fontId="13" fillId="2" borderId="67" xfId="0" applyFont="1" applyFill="1" applyBorder="1" applyAlignment="1">
      <alignment horizontal="left"/>
    </xf>
    <xf numFmtId="176" fontId="0" fillId="0" borderId="1" xfId="0" applyNumberFormat="1" applyBorder="1" applyAlignment="1">
      <alignment horizontal="center"/>
    </xf>
    <xf numFmtId="2" fontId="0" fillId="0" borderId="22" xfId="0" applyNumberFormat="1" applyBorder="1" applyAlignment="1">
      <alignment horizontal="center"/>
    </xf>
    <xf numFmtId="2" fontId="2" fillId="0" borderId="0" xfId="0" applyNumberFormat="1" applyFont="1" applyBorder="1" applyProtection="1">
      <protection locked="0"/>
    </xf>
    <xf numFmtId="0" fontId="0" fillId="0" borderId="56" xfId="0" applyBorder="1"/>
    <xf numFmtId="0" fontId="0" fillId="5" borderId="2" xfId="0" applyFill="1" applyBorder="1" applyProtection="1">
      <protection locked="0"/>
    </xf>
    <xf numFmtId="0" fontId="0" fillId="5" borderId="9" xfId="0" applyFill="1" applyBorder="1" applyProtection="1">
      <protection locked="0"/>
    </xf>
    <xf numFmtId="2" fontId="0" fillId="0" borderId="35" xfId="0" applyNumberFormat="1" applyBorder="1"/>
    <xf numFmtId="3" fontId="0" fillId="9" borderId="37" xfId="0" applyNumberFormat="1" applyFill="1" applyBorder="1"/>
    <xf numFmtId="3" fontId="0" fillId="9" borderId="10" xfId="0" applyNumberFormat="1" applyFill="1" applyBorder="1"/>
    <xf numFmtId="3" fontId="0" fillId="9" borderId="6" xfId="0" applyNumberFormat="1" applyFill="1" applyBorder="1"/>
    <xf numFmtId="3" fontId="0" fillId="9" borderId="7" xfId="0" applyNumberFormat="1" applyFill="1" applyBorder="1"/>
    <xf numFmtId="0" fontId="0" fillId="2" borderId="25" xfId="0" applyFill="1" applyBorder="1" applyAlignment="1">
      <alignment horizontal="center" wrapText="1"/>
    </xf>
    <xf numFmtId="0" fontId="0" fillId="2" borderId="35" xfId="0" applyFill="1" applyBorder="1" applyAlignment="1">
      <alignment horizontal="center" wrapText="1"/>
    </xf>
    <xf numFmtId="3" fontId="0" fillId="2" borderId="33" xfId="0" applyNumberFormat="1" applyFill="1" applyBorder="1" applyAlignment="1">
      <alignment horizontal="center" wrapText="1"/>
    </xf>
    <xf numFmtId="0" fontId="1" fillId="2" borderId="39" xfId="0" applyFont="1" applyFill="1" applyBorder="1" applyAlignment="1">
      <alignment horizontal="center"/>
    </xf>
    <xf numFmtId="0" fontId="1" fillId="2" borderId="10" xfId="0" applyFont="1" applyFill="1" applyBorder="1" applyAlignment="1">
      <alignment horizontal="center"/>
    </xf>
    <xf numFmtId="0" fontId="1" fillId="2" borderId="7" xfId="0" applyFont="1" applyFill="1" applyBorder="1" applyAlignment="1">
      <alignment horizontal="center"/>
    </xf>
    <xf numFmtId="0" fontId="1" fillId="0" borderId="58" xfId="0" applyFont="1" applyBorder="1" applyAlignment="1">
      <alignment horizontal="center"/>
    </xf>
    <xf numFmtId="0" fontId="1" fillId="0" borderId="0" xfId="0" applyFont="1" applyBorder="1" applyAlignment="1">
      <alignment horizontal="center"/>
    </xf>
    <xf numFmtId="3" fontId="16" fillId="0" borderId="0" xfId="0" applyNumberFormat="1" applyFont="1" applyBorder="1"/>
    <xf numFmtId="3" fontId="4" fillId="0" borderId="0" xfId="0" applyNumberFormat="1" applyFont="1" applyBorder="1"/>
    <xf numFmtId="3" fontId="1" fillId="0" borderId="0" xfId="0" applyNumberFormat="1" applyFont="1" applyBorder="1"/>
    <xf numFmtId="0" fontId="15" fillId="0" borderId="0" xfId="0" applyFont="1" applyBorder="1"/>
    <xf numFmtId="0" fontId="0" fillId="0" borderId="0" xfId="0" applyBorder="1" applyAlignment="1">
      <alignment horizontal="center" wrapText="1"/>
    </xf>
    <xf numFmtId="3" fontId="2" fillId="0" borderId="32" xfId="0" applyNumberFormat="1" applyFont="1" applyBorder="1"/>
    <xf numFmtId="0" fontId="1" fillId="2" borderId="37" xfId="0" applyFont="1" applyFill="1" applyBorder="1" applyAlignment="1">
      <alignment horizontal="center"/>
    </xf>
    <xf numFmtId="3" fontId="2" fillId="2" borderId="58" xfId="0" applyNumberFormat="1" applyFont="1" applyFill="1" applyBorder="1"/>
    <xf numFmtId="0" fontId="1" fillId="2" borderId="27" xfId="0" applyFont="1" applyFill="1" applyBorder="1" applyAlignment="1">
      <alignment horizontal="center"/>
    </xf>
    <xf numFmtId="0" fontId="1" fillId="2" borderId="6" xfId="0" applyFont="1" applyFill="1" applyBorder="1" applyAlignment="1">
      <alignment horizontal="center"/>
    </xf>
    <xf numFmtId="3" fontId="0" fillId="0" borderId="68" xfId="0" applyNumberFormat="1" applyBorder="1"/>
    <xf numFmtId="3" fontId="0" fillId="0" borderId="19" xfId="0" applyNumberFormat="1" applyBorder="1"/>
    <xf numFmtId="0" fontId="0" fillId="0" borderId="69" xfId="0" applyBorder="1"/>
    <xf numFmtId="0" fontId="0" fillId="0" borderId="60" xfId="0" applyBorder="1"/>
    <xf numFmtId="0" fontId="0" fillId="2" borderId="14" xfId="0" applyFill="1" applyBorder="1"/>
    <xf numFmtId="9" fontId="0" fillId="0" borderId="70" xfId="1" applyFont="1" applyFill="1" applyBorder="1"/>
    <xf numFmtId="0" fontId="0" fillId="0" borderId="4" xfId="0" applyBorder="1"/>
    <xf numFmtId="9" fontId="0" fillId="0" borderId="35" xfId="0" applyNumberFormat="1" applyBorder="1"/>
    <xf numFmtId="3" fontId="0" fillId="0" borderId="12" xfId="0" applyNumberFormat="1" applyBorder="1"/>
    <xf numFmtId="3" fontId="0" fillId="0" borderId="0" xfId="0" applyNumberFormat="1"/>
    <xf numFmtId="0" fontId="0" fillId="2" borderId="33" xfId="0" applyFill="1" applyBorder="1" applyAlignment="1">
      <alignment horizontal="center" wrapText="1"/>
    </xf>
    <xf numFmtId="3" fontId="0" fillId="0" borderId="21" xfId="0" applyNumberFormat="1" applyBorder="1"/>
    <xf numFmtId="3" fontId="0" fillId="9" borderId="38" xfId="0" applyNumberFormat="1" applyFill="1" applyBorder="1"/>
    <xf numFmtId="3" fontId="0" fillId="9" borderId="27" xfId="0" applyNumberFormat="1" applyFill="1" applyBorder="1"/>
    <xf numFmtId="3" fontId="0" fillId="9" borderId="39" xfId="0" applyNumberFormat="1" applyFill="1" applyBorder="1"/>
    <xf numFmtId="3" fontId="0" fillId="9" borderId="36" xfId="0" applyNumberFormat="1" applyFill="1" applyBorder="1"/>
    <xf numFmtId="3" fontId="0" fillId="9" borderId="5" xfId="0" applyNumberFormat="1" applyFill="1" applyBorder="1"/>
    <xf numFmtId="0" fontId="1" fillId="0" borderId="12" xfId="0" applyFont="1" applyBorder="1" applyAlignment="1">
      <alignment horizontal="center"/>
    </xf>
    <xf numFmtId="0" fontId="1" fillId="0" borderId="2" xfId="0" applyFont="1" applyBorder="1" applyAlignment="1">
      <alignment horizontal="center"/>
    </xf>
    <xf numFmtId="0" fontId="1" fillId="0" borderId="9" xfId="0" applyFont="1" applyBorder="1" applyAlignment="1">
      <alignment horizontal="center"/>
    </xf>
    <xf numFmtId="3" fontId="1" fillId="9" borderId="38" xfId="0" applyNumberFormat="1" applyFont="1" applyFill="1" applyBorder="1" applyAlignment="1">
      <alignment horizontal="right"/>
    </xf>
    <xf numFmtId="3" fontId="1" fillId="9" borderId="36" xfId="0" applyNumberFormat="1" applyFont="1" applyFill="1" applyBorder="1" applyAlignment="1">
      <alignment horizontal="right"/>
    </xf>
    <xf numFmtId="3" fontId="1" fillId="9" borderId="5" xfId="0" applyNumberFormat="1" applyFont="1" applyFill="1" applyBorder="1" applyAlignment="1">
      <alignment horizontal="right"/>
    </xf>
    <xf numFmtId="3" fontId="0" fillId="6" borderId="38" xfId="0" applyNumberFormat="1" applyFill="1" applyBorder="1"/>
    <xf numFmtId="3" fontId="0" fillId="6" borderId="39" xfId="0" applyNumberFormat="1" applyFill="1" applyBorder="1"/>
    <xf numFmtId="3" fontId="0" fillId="6" borderId="27" xfId="0" applyNumberFormat="1" applyFill="1" applyBorder="1"/>
    <xf numFmtId="3" fontId="0" fillId="6" borderId="36" xfId="0" applyNumberFormat="1" applyFill="1" applyBorder="1"/>
    <xf numFmtId="3" fontId="0" fillId="6" borderId="10" xfId="0" applyNumberFormat="1" applyFill="1" applyBorder="1"/>
    <xf numFmtId="3" fontId="0" fillId="6" borderId="37" xfId="0" applyNumberFormat="1" applyFill="1" applyBorder="1"/>
    <xf numFmtId="3" fontId="0" fillId="6" borderId="5" xfId="0" applyNumberFormat="1" applyFill="1" applyBorder="1"/>
    <xf numFmtId="3" fontId="0" fillId="6" borderId="7" xfId="0" applyNumberFormat="1" applyFill="1" applyBorder="1"/>
    <xf numFmtId="3" fontId="0" fillId="6" borderId="6" xfId="0" applyNumberFormat="1" applyFill="1" applyBorder="1"/>
    <xf numFmtId="0" fontId="0" fillId="0" borderId="50" xfId="0" applyBorder="1"/>
    <xf numFmtId="0" fontId="0" fillId="0" borderId="25" xfId="0" applyBorder="1"/>
    <xf numFmtId="3" fontId="0" fillId="0" borderId="33" xfId="0" applyNumberFormat="1" applyBorder="1"/>
    <xf numFmtId="3" fontId="0" fillId="0" borderId="25" xfId="0" applyNumberFormat="1" applyBorder="1"/>
    <xf numFmtId="3" fontId="0" fillId="6" borderId="29" xfId="0" applyNumberFormat="1" applyFill="1" applyBorder="1"/>
    <xf numFmtId="3" fontId="0" fillId="6" borderId="49" xfId="0" applyNumberFormat="1" applyFill="1" applyBorder="1"/>
    <xf numFmtId="3" fontId="0" fillId="6" borderId="26" xfId="0" applyNumberFormat="1" applyFill="1" applyBorder="1"/>
    <xf numFmtId="0" fontId="0" fillId="0" borderId="18" xfId="0" applyBorder="1"/>
    <xf numFmtId="0" fontId="0" fillId="0" borderId="14" xfId="0" applyBorder="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0" fillId="0" borderId="0" xfId="0" applyNumberFormat="1" applyBorder="1" applyAlignment="1">
      <alignment horizontal="center"/>
    </xf>
    <xf numFmtId="3" fontId="0" fillId="4" borderId="0" xfId="0" applyNumberFormat="1" applyFill="1" applyBorder="1"/>
    <xf numFmtId="3" fontId="2" fillId="2" borderId="28" xfId="0" applyNumberFormat="1" applyFont="1" applyFill="1" applyBorder="1" applyAlignment="1">
      <alignment horizontal="center" wrapText="1"/>
    </xf>
    <xf numFmtId="3" fontId="2" fillId="2" borderId="38"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3" fontId="2" fillId="2" borderId="30" xfId="0" applyNumberFormat="1" applyFont="1" applyFill="1" applyBorder="1" applyAlignment="1">
      <alignment horizontal="center" wrapText="1"/>
    </xf>
    <xf numFmtId="3" fontId="2" fillId="4" borderId="0" xfId="0" applyNumberFormat="1" applyFont="1" applyFill="1" applyBorder="1" applyAlignment="1">
      <alignment horizontal="center" wrapText="1"/>
    </xf>
    <xf numFmtId="3" fontId="2" fillId="8" borderId="32" xfId="0" applyNumberFormat="1" applyFont="1" applyFill="1" applyBorder="1" applyAlignment="1">
      <alignment horizontal="center" wrapText="1"/>
    </xf>
    <xf numFmtId="3" fontId="13" fillId="2" borderId="54" xfId="0" applyNumberFormat="1" applyFont="1" applyFill="1" applyBorder="1" applyAlignment="1">
      <alignment horizontal="center" wrapText="1"/>
    </xf>
    <xf numFmtId="3" fontId="13" fillId="2" borderId="8" xfId="0" applyNumberFormat="1" applyFont="1" applyFill="1" applyBorder="1" applyAlignment="1">
      <alignment horizontal="center" wrapText="1"/>
    </xf>
    <xf numFmtId="3" fontId="13" fillId="2" borderId="23" xfId="0" applyNumberFormat="1" applyFont="1" applyFill="1" applyBorder="1" applyAlignment="1">
      <alignment horizontal="center" wrapText="1"/>
    </xf>
    <xf numFmtId="3" fontId="13" fillId="4" borderId="0" xfId="0" applyNumberFormat="1" applyFont="1" applyFill="1" applyBorder="1" applyAlignment="1">
      <alignment horizontal="center" wrapText="1"/>
    </xf>
    <xf numFmtId="3" fontId="13" fillId="8" borderId="32" xfId="0" applyNumberFormat="1" applyFont="1" applyFill="1" applyBorder="1" applyAlignment="1">
      <alignment horizontal="center" wrapText="1"/>
    </xf>
    <xf numFmtId="3" fontId="0" fillId="2" borderId="9"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19" xfId="0" applyNumberFormat="1" applyFill="1" applyBorder="1" applyAlignment="1">
      <alignment horizontal="center" wrapText="1"/>
    </xf>
    <xf numFmtId="3" fontId="0" fillId="2" borderId="22" xfId="0" applyNumberFormat="1" applyFill="1" applyBorder="1" applyAlignment="1">
      <alignment horizontal="center" wrapText="1"/>
    </xf>
    <xf numFmtId="3" fontId="0" fillId="4" borderId="0" xfId="0" applyNumberFormat="1" applyFill="1" applyBorder="1" applyAlignment="1">
      <alignment horizontal="center" wrapText="1"/>
    </xf>
    <xf numFmtId="3" fontId="0" fillId="8" borderId="32" xfId="0" applyNumberFormat="1" applyFill="1" applyBorder="1" applyAlignment="1">
      <alignment horizontal="center" wrapText="1"/>
    </xf>
    <xf numFmtId="3" fontId="0" fillId="0" borderId="42" xfId="0" applyNumberFormat="1" applyBorder="1" applyAlignment="1">
      <alignment wrapText="1"/>
    </xf>
    <xf numFmtId="3" fontId="0" fillId="0" borderId="33" xfId="0" applyNumberFormat="1" applyBorder="1" applyAlignment="1">
      <alignment wrapText="1"/>
    </xf>
    <xf numFmtId="3" fontId="0" fillId="0" borderId="35" xfId="0" applyNumberFormat="1" applyBorder="1" applyAlignment="1">
      <alignment wrapText="1"/>
    </xf>
    <xf numFmtId="3" fontId="0" fillId="0" borderId="32" xfId="0" applyNumberFormat="1" applyBorder="1" applyAlignment="1">
      <alignment wrapText="1"/>
    </xf>
    <xf numFmtId="3" fontId="0" fillId="0" borderId="58" xfId="0" applyNumberFormat="1" applyBorder="1" applyAlignment="1">
      <alignment wrapText="1"/>
    </xf>
    <xf numFmtId="3" fontId="0" fillId="4" borderId="0" xfId="0" applyNumberFormat="1" applyFill="1" applyBorder="1" applyAlignment="1">
      <alignment wrapText="1"/>
    </xf>
    <xf numFmtId="3" fontId="0" fillId="0" borderId="23" xfId="0" applyNumberFormat="1" applyBorder="1" applyAlignment="1">
      <alignment wrapText="1"/>
    </xf>
    <xf numFmtId="3" fontId="0" fillId="0" borderId="30" xfId="0" applyNumberFormat="1" applyBorder="1"/>
    <xf numFmtId="3" fontId="0" fillId="0" borderId="3" xfId="0" applyNumberFormat="1" applyBorder="1"/>
    <xf numFmtId="3" fontId="0" fillId="0" borderId="1" xfId="0" applyNumberFormat="1" applyBorder="1"/>
    <xf numFmtId="3" fontId="0" fillId="0" borderId="22" xfId="0" applyNumberFormat="1" applyBorder="1"/>
    <xf numFmtId="9" fontId="0" fillId="5" borderId="65" xfId="1" applyFont="1" applyFill="1" applyBorder="1" applyProtection="1">
      <protection locked="0"/>
    </xf>
    <xf numFmtId="0" fontId="0" fillId="10" borderId="30" xfId="0" applyFill="1" applyBorder="1"/>
    <xf numFmtId="0" fontId="0" fillId="10" borderId="1" xfId="0" applyFill="1" applyBorder="1"/>
    <xf numFmtId="0" fontId="0" fillId="10" borderId="22" xfId="0" applyFill="1" applyBorder="1"/>
    <xf numFmtId="3" fontId="0" fillId="0" borderId="49" xfId="0" applyNumberFormat="1" applyBorder="1"/>
    <xf numFmtId="0" fontId="0" fillId="4" borderId="30" xfId="0" applyFill="1" applyBorder="1"/>
    <xf numFmtId="0" fontId="0" fillId="4" borderId="3" xfId="0" applyFill="1" applyBorder="1"/>
    <xf numFmtId="0" fontId="0" fillId="4" borderId="34" xfId="0" applyFill="1" applyBorder="1"/>
    <xf numFmtId="3" fontId="0" fillId="0" borderId="61" xfId="0" applyNumberFormat="1" applyBorder="1"/>
    <xf numFmtId="0" fontId="0" fillId="3" borderId="17" xfId="0" quotePrefix="1" applyFill="1" applyBorder="1"/>
    <xf numFmtId="0" fontId="8" fillId="3" borderId="20" xfId="0" quotePrefix="1" applyFont="1" applyFill="1" applyBorder="1"/>
    <xf numFmtId="0" fontId="2" fillId="2" borderId="25" xfId="0" applyFont="1" applyFill="1" applyBorder="1" applyAlignment="1">
      <alignment horizontal="center" wrapText="1"/>
    </xf>
    <xf numFmtId="0" fontId="2" fillId="2" borderId="35" xfId="0" applyFont="1" applyFill="1" applyBorder="1" applyAlignment="1">
      <alignment horizontal="center" wrapText="1"/>
    </xf>
    <xf numFmtId="0" fontId="2" fillId="2" borderId="33" xfId="0" applyFont="1" applyFill="1" applyBorder="1" applyAlignment="1">
      <alignment horizontal="center" wrapText="1"/>
    </xf>
    <xf numFmtId="0" fontId="2" fillId="2" borderId="21" xfId="0" applyFont="1" applyFill="1" applyBorder="1" applyAlignment="1">
      <alignment horizontal="center" wrapText="1"/>
    </xf>
    <xf numFmtId="3" fontId="2" fillId="2" borderId="33" xfId="0" applyNumberFormat="1" applyFont="1" applyFill="1" applyBorder="1" applyAlignment="1">
      <alignment horizontal="center" wrapText="1"/>
    </xf>
    <xf numFmtId="0" fontId="2" fillId="2" borderId="41" xfId="0" applyFont="1" applyFill="1" applyBorder="1" applyAlignment="1">
      <alignment horizontal="center" wrapText="1"/>
    </xf>
    <xf numFmtId="3" fontId="0" fillId="0" borderId="45" xfId="0" applyNumberFormat="1" applyBorder="1"/>
    <xf numFmtId="0" fontId="0" fillId="0" borderId="20" xfId="0" applyBorder="1"/>
    <xf numFmtId="3" fontId="2" fillId="2" borderId="38" xfId="0" applyNumberFormat="1" applyFont="1" applyFill="1" applyBorder="1"/>
    <xf numFmtId="3" fontId="2" fillId="2" borderId="36" xfId="0" applyNumberFormat="1" applyFont="1" applyFill="1" applyBorder="1"/>
    <xf numFmtId="3" fontId="2" fillId="2" borderId="5" xfId="0" applyNumberFormat="1" applyFont="1" applyFill="1" applyBorder="1"/>
    <xf numFmtId="3" fontId="2" fillId="2" borderId="27" xfId="0" applyNumberFormat="1" applyFont="1" applyFill="1" applyBorder="1"/>
    <xf numFmtId="3" fontId="2" fillId="2" borderId="37" xfId="0" applyNumberFormat="1" applyFont="1" applyFill="1" applyBorder="1"/>
    <xf numFmtId="3" fontId="2" fillId="2" borderId="6" xfId="0" applyNumberFormat="1" applyFont="1" applyFill="1" applyBorder="1"/>
    <xf numFmtId="0" fontId="2" fillId="2" borderId="27" xfId="0" applyFont="1" applyFill="1" applyBorder="1" applyAlignment="1">
      <alignment horizontal="center"/>
    </xf>
    <xf numFmtId="0" fontId="2" fillId="2" borderId="37" xfId="0" applyFont="1" applyFill="1" applyBorder="1" applyAlignment="1">
      <alignment horizontal="center"/>
    </xf>
    <xf numFmtId="0" fontId="2" fillId="2" borderId="50" xfId="0" applyFont="1" applyFill="1" applyBorder="1" applyAlignment="1">
      <alignment horizontal="center" wrapText="1"/>
    </xf>
    <xf numFmtId="0" fontId="1" fillId="2" borderId="50" xfId="0" applyFont="1" applyFill="1" applyBorder="1" applyAlignment="1">
      <alignment horizontal="center" wrapText="1"/>
    </xf>
    <xf numFmtId="3" fontId="0" fillId="0" borderId="26" xfId="0" applyNumberFormat="1" applyBorder="1"/>
    <xf numFmtId="3" fontId="0" fillId="0" borderId="2" xfId="0" applyNumberFormat="1" applyBorder="1"/>
    <xf numFmtId="3" fontId="0" fillId="0" borderId="9" xfId="0" applyNumberFormat="1" applyBorder="1"/>
    <xf numFmtId="3" fontId="2" fillId="2" borderId="18" xfId="0" applyNumberFormat="1" applyFont="1" applyFill="1" applyBorder="1" applyAlignment="1">
      <alignment horizontal="center" wrapText="1"/>
    </xf>
    <xf numFmtId="3" fontId="2" fillId="2" borderId="14" xfId="0" applyNumberFormat="1" applyFont="1" applyFill="1" applyBorder="1" applyAlignment="1">
      <alignment horizontal="center" wrapText="1"/>
    </xf>
    <xf numFmtId="3" fontId="2" fillId="2" borderId="70" xfId="0" applyNumberFormat="1" applyFont="1" applyFill="1" applyBorder="1" applyAlignment="1">
      <alignment horizontal="center" wrapText="1"/>
    </xf>
    <xf numFmtId="3" fontId="2" fillId="2" borderId="25" xfId="0" applyNumberFormat="1" applyFont="1" applyFill="1" applyBorder="1" applyAlignment="1">
      <alignment horizontal="center" wrapText="1"/>
    </xf>
    <xf numFmtId="3" fontId="2" fillId="2" borderId="35"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2" fillId="0" borderId="55" xfId="0" applyFont="1" applyBorder="1"/>
    <xf numFmtId="0" fontId="0" fillId="0" borderId="55" xfId="0" applyBorder="1"/>
    <xf numFmtId="0" fontId="0" fillId="0" borderId="55" xfId="0" applyBorder="1" applyAlignment="1">
      <alignment horizontal="center" wrapText="1"/>
    </xf>
    <xf numFmtId="0" fontId="2" fillId="0" borderId="71" xfId="0" applyFont="1" applyBorder="1"/>
    <xf numFmtId="0" fontId="0" fillId="0" borderId="12" xfId="0" applyBorder="1" applyAlignment="1">
      <alignment horizontal="center"/>
    </xf>
    <xf numFmtId="0" fontId="0" fillId="0" borderId="2" xfId="0" applyBorder="1" applyAlignment="1">
      <alignment horizontal="center"/>
    </xf>
    <xf numFmtId="0" fontId="0" fillId="0" borderId="9" xfId="0" applyBorder="1" applyAlignment="1">
      <alignment horizontal="center"/>
    </xf>
    <xf numFmtId="1" fontId="0" fillId="0" borderId="30" xfId="0" applyNumberFormat="1" applyBorder="1" applyProtection="1">
      <protection locked="0"/>
    </xf>
    <xf numFmtId="1" fontId="0" fillId="0" borderId="1" xfId="0" applyNumberFormat="1" applyBorder="1"/>
    <xf numFmtId="1" fontId="0" fillId="0" borderId="22" xfId="0" applyNumberFormat="1" applyBorder="1"/>
    <xf numFmtId="0" fontId="21" fillId="2" borderId="58" xfId="0" applyFont="1" applyFill="1" applyBorder="1" applyAlignment="1">
      <alignment wrapText="1"/>
    </xf>
    <xf numFmtId="0" fontId="20" fillId="0" borderId="30" xfId="0" applyFont="1" applyBorder="1"/>
    <xf numFmtId="0" fontId="20" fillId="0" borderId="1" xfId="0" applyFont="1" applyBorder="1"/>
    <xf numFmtId="0" fontId="20" fillId="0" borderId="22" xfId="0" applyFont="1" applyBorder="1"/>
    <xf numFmtId="0" fontId="0" fillId="0" borderId="38" xfId="0" applyBorder="1"/>
    <xf numFmtId="0" fontId="0" fillId="0" borderId="36" xfId="0" applyBorder="1"/>
    <xf numFmtId="0" fontId="0" fillId="0" borderId="5" xfId="0" applyBorder="1"/>
    <xf numFmtId="0" fontId="0" fillId="3" borderId="31" xfId="0" applyFill="1" applyBorder="1"/>
    <xf numFmtId="0" fontId="0" fillId="3" borderId="68" xfId="0" applyFill="1" applyBorder="1"/>
    <xf numFmtId="9" fontId="0" fillId="3" borderId="39" xfId="1" applyFont="1" applyFill="1" applyBorder="1"/>
    <xf numFmtId="9" fontId="0" fillId="3" borderId="7" xfId="1" applyFont="1" applyFill="1" applyBorder="1"/>
    <xf numFmtId="0" fontId="8" fillId="0" borderId="30" xfId="0" applyFont="1" applyBorder="1"/>
    <xf numFmtId="0" fontId="8" fillId="0" borderId="22" xfId="0" applyFont="1" applyBorder="1"/>
    <xf numFmtId="0" fontId="0" fillId="3" borderId="19" xfId="0" applyFill="1" applyBorder="1"/>
    <xf numFmtId="3" fontId="2" fillId="2" borderId="31" xfId="0" applyNumberFormat="1" applyFont="1" applyFill="1" applyBorder="1" applyAlignment="1">
      <alignment horizontal="center" wrapText="1"/>
    </xf>
    <xf numFmtId="3" fontId="13" fillId="2" borderId="68" xfId="0" applyNumberFormat="1" applyFont="1" applyFill="1" applyBorder="1" applyAlignment="1">
      <alignment horizontal="center" wrapText="1"/>
    </xf>
    <xf numFmtId="3" fontId="0" fillId="0" borderId="72" xfId="0" applyNumberFormat="1" applyBorder="1" applyAlignment="1">
      <alignment wrapText="1"/>
    </xf>
    <xf numFmtId="3" fontId="0" fillId="0" borderId="31" xfId="0" applyNumberFormat="1" applyBorder="1"/>
    <xf numFmtId="3" fontId="13" fillId="2" borderId="1" xfId="0" applyNumberFormat="1" applyFont="1" applyFill="1" applyBorder="1" applyAlignment="1">
      <alignment horizontal="center" wrapText="1"/>
    </xf>
    <xf numFmtId="0" fontId="2" fillId="2" borderId="72" xfId="0" applyFont="1" applyFill="1" applyBorder="1" applyAlignment="1">
      <alignment horizontal="center" wrapText="1"/>
    </xf>
    <xf numFmtId="0" fontId="0" fillId="2" borderId="72" xfId="0" applyFill="1" applyBorder="1" applyAlignment="1">
      <alignment horizontal="center" wrapText="1"/>
    </xf>
    <xf numFmtId="0" fontId="2" fillId="2" borderId="32" xfId="0" applyFont="1" applyFill="1" applyBorder="1" applyAlignment="1">
      <alignment horizontal="center" wrapText="1"/>
    </xf>
    <xf numFmtId="3" fontId="2" fillId="2" borderId="65"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6" xfId="0" applyNumberFormat="1" applyFill="1" applyBorder="1" applyAlignment="1">
      <alignment horizontal="center" wrapText="1"/>
    </xf>
    <xf numFmtId="3" fontId="0" fillId="0" borderId="43" xfId="0" applyNumberFormat="1" applyBorder="1" applyAlignment="1">
      <alignment wrapText="1"/>
    </xf>
    <xf numFmtId="3" fontId="0" fillId="0" borderId="52" xfId="0" applyNumberFormat="1" applyBorder="1"/>
    <xf numFmtId="3" fontId="0" fillId="0" borderId="53" xfId="0" applyNumberFormat="1" applyBorder="1"/>
    <xf numFmtId="3" fontId="0" fillId="0" borderId="67" xfId="0" applyNumberFormat="1" applyBorder="1"/>
    <xf numFmtId="2" fontId="0" fillId="10" borderId="27" xfId="0" applyNumberFormat="1" applyFill="1" applyBorder="1" applyProtection="1">
      <protection locked="0"/>
    </xf>
    <xf numFmtId="2" fontId="0" fillId="10" borderId="37" xfId="0" applyNumberFormat="1" applyFill="1" applyBorder="1" applyProtection="1">
      <protection locked="0"/>
    </xf>
    <xf numFmtId="2" fontId="0" fillId="10" borderId="6" xfId="0" applyNumberFormat="1" applyFill="1" applyBorder="1" applyProtection="1">
      <protection locked="0"/>
    </xf>
    <xf numFmtId="2" fontId="0" fillId="10" borderId="29" xfId="0" applyNumberFormat="1" applyFill="1" applyBorder="1" applyProtection="1">
      <protection locked="0"/>
    </xf>
    <xf numFmtId="2" fontId="0" fillId="10" borderId="49" xfId="0" applyNumberFormat="1" applyFill="1" applyBorder="1" applyProtection="1">
      <protection locked="0"/>
    </xf>
    <xf numFmtId="2" fontId="0" fillId="10" borderId="26" xfId="0" applyNumberFormat="1" applyFill="1" applyBorder="1" applyProtection="1">
      <protection locked="0"/>
    </xf>
    <xf numFmtId="2" fontId="0" fillId="10" borderId="56" xfId="0" applyNumberFormat="1" applyFill="1" applyBorder="1" applyAlignment="1" applyProtection="1">
      <alignment horizontal="right"/>
      <protection locked="0"/>
    </xf>
    <xf numFmtId="2" fontId="0" fillId="10" borderId="6" xfId="0" applyNumberFormat="1" applyFill="1" applyBorder="1" applyAlignment="1" applyProtection="1">
      <alignment horizontal="right"/>
      <protection locked="0"/>
    </xf>
    <xf numFmtId="3" fontId="0" fillId="10" borderId="38" xfId="0" applyNumberFormat="1" applyFill="1" applyBorder="1" applyProtection="1">
      <protection locked="0"/>
    </xf>
    <xf numFmtId="3" fontId="0" fillId="10" borderId="27" xfId="0" applyNumberFormat="1" applyFill="1" applyBorder="1" applyProtection="1">
      <protection locked="0"/>
    </xf>
    <xf numFmtId="3" fontId="0" fillId="10" borderId="14" xfId="0" applyNumberFormat="1" applyFill="1" applyBorder="1" applyProtection="1">
      <protection locked="0"/>
    </xf>
    <xf numFmtId="3" fontId="0" fillId="10" borderId="39" xfId="0" applyNumberFormat="1" applyFill="1" applyBorder="1" applyProtection="1">
      <protection locked="0"/>
    </xf>
    <xf numFmtId="3" fontId="0" fillId="10" borderId="36" xfId="0" applyNumberFormat="1" applyFill="1" applyBorder="1" applyProtection="1">
      <protection locked="0"/>
    </xf>
    <xf numFmtId="3" fontId="0" fillId="10" borderId="37" xfId="0" applyNumberFormat="1" applyFill="1" applyBorder="1" applyProtection="1">
      <protection locked="0"/>
    </xf>
    <xf numFmtId="3" fontId="0" fillId="10" borderId="68" xfId="0" applyNumberFormat="1" applyFill="1" applyBorder="1" applyProtection="1">
      <protection locked="0"/>
    </xf>
    <xf numFmtId="3" fontId="0" fillId="10" borderId="20" xfId="0" applyNumberFormat="1" applyFill="1" applyBorder="1" applyProtection="1">
      <protection locked="0"/>
    </xf>
    <xf numFmtId="3" fontId="0" fillId="10" borderId="5" xfId="0" applyNumberFormat="1" applyFill="1" applyBorder="1" applyProtection="1">
      <protection locked="0"/>
    </xf>
    <xf numFmtId="3" fontId="0" fillId="10" borderId="6" xfId="0" applyNumberFormat="1" applyFill="1" applyBorder="1" applyProtection="1">
      <protection locked="0"/>
    </xf>
    <xf numFmtId="3" fontId="0" fillId="10" borderId="19" xfId="0" applyNumberFormat="1" applyFill="1" applyBorder="1" applyProtection="1">
      <protection locked="0"/>
    </xf>
    <xf numFmtId="3" fontId="0" fillId="10" borderId="7" xfId="0" applyNumberFormat="1" applyFill="1" applyBorder="1" applyProtection="1">
      <protection locked="0"/>
    </xf>
    <xf numFmtId="9" fontId="0" fillId="5" borderId="38" xfId="0" applyNumberFormat="1" applyFill="1" applyBorder="1" applyProtection="1">
      <protection locked="0"/>
    </xf>
    <xf numFmtId="179" fontId="0" fillId="5" borderId="22" xfId="0" applyNumberFormat="1" applyFill="1" applyBorder="1" applyProtection="1">
      <protection locked="0"/>
    </xf>
    <xf numFmtId="0" fontId="0" fillId="10" borderId="38" xfId="0" applyFill="1" applyBorder="1" applyProtection="1">
      <protection locked="0"/>
    </xf>
    <xf numFmtId="0" fontId="0" fillId="10" borderId="39" xfId="0" applyFill="1" applyBorder="1" applyProtection="1">
      <protection locked="0"/>
    </xf>
    <xf numFmtId="0" fontId="0" fillId="10" borderId="36" xfId="0" applyFill="1" applyBorder="1" applyProtection="1">
      <protection locked="0"/>
    </xf>
    <xf numFmtId="0" fontId="0" fillId="10" borderId="10" xfId="0" applyFill="1" applyBorder="1" applyProtection="1">
      <protection locked="0"/>
    </xf>
    <xf numFmtId="0" fontId="0" fillId="10" borderId="5" xfId="0" applyFill="1" applyBorder="1" applyProtection="1">
      <protection locked="0"/>
    </xf>
    <xf numFmtId="0" fontId="0" fillId="10" borderId="7" xfId="0" applyFill="1" applyBorder="1" applyProtection="1">
      <protection locked="0"/>
    </xf>
    <xf numFmtId="0" fontId="0" fillId="0" borderId="8" xfId="0" applyBorder="1" applyProtection="1">
      <protection locked="0"/>
    </xf>
    <xf numFmtId="0" fontId="0" fillId="0" borderId="24" xfId="0" applyBorder="1" applyProtection="1">
      <protection locked="0"/>
    </xf>
    <xf numFmtId="0" fontId="0" fillId="0" borderId="11" xfId="0" applyBorder="1" applyProtection="1">
      <protection locked="0"/>
    </xf>
    <xf numFmtId="0" fontId="2" fillId="2" borderId="33" xfId="0" applyFont="1" applyFill="1" applyBorder="1" applyProtection="1">
      <protection locked="0"/>
    </xf>
    <xf numFmtId="0" fontId="2" fillId="2" borderId="21" xfId="0" applyFont="1" applyFill="1" applyBorder="1" applyProtection="1">
      <protection locked="0"/>
    </xf>
    <xf numFmtId="0" fontId="2" fillId="2" borderId="25" xfId="0" applyFont="1" applyFill="1" applyBorder="1" applyProtection="1">
      <protection locked="0"/>
    </xf>
    <xf numFmtId="0" fontId="2" fillId="2" borderId="33" xfId="0" applyFont="1" applyFill="1" applyBorder="1" applyAlignment="1">
      <alignment horizontal="center"/>
    </xf>
    <xf numFmtId="0" fontId="2" fillId="2" borderId="21" xfId="0" applyFont="1" applyFill="1" applyBorder="1" applyAlignment="1">
      <alignment horizontal="center"/>
    </xf>
    <xf numFmtId="0" fontId="2" fillId="2" borderId="18" xfId="0" applyFont="1" applyFill="1" applyBorder="1" applyAlignment="1">
      <alignment horizontal="center"/>
    </xf>
    <xf numFmtId="0" fontId="2" fillId="2" borderId="4" xfId="0" applyFont="1" applyFill="1" applyBorder="1" applyAlignment="1">
      <alignment horizontal="center"/>
    </xf>
    <xf numFmtId="0" fontId="2" fillId="6" borderId="32" xfId="0" applyFont="1" applyFill="1" applyBorder="1" applyAlignment="1" applyProtection="1">
      <alignment horizontal="center" vertical="top" wrapText="1"/>
      <protection locked="0"/>
    </xf>
    <xf numFmtId="0" fontId="8" fillId="0" borderId="32" xfId="0" applyFont="1" applyBorder="1" applyProtection="1">
      <protection locked="0"/>
    </xf>
    <xf numFmtId="0" fontId="2" fillId="6" borderId="32" xfId="0" applyFont="1" applyFill="1" applyBorder="1" applyAlignment="1" applyProtection="1">
      <alignment horizontal="center"/>
      <protection locked="0"/>
    </xf>
    <xf numFmtId="0" fontId="8" fillId="6" borderId="34" xfId="0" applyFont="1" applyFill="1" applyBorder="1" applyAlignment="1" applyProtection="1">
      <alignment wrapText="1"/>
      <protection locked="0"/>
    </xf>
    <xf numFmtId="0" fontId="8" fillId="0" borderId="55" xfId="0" applyFont="1" applyBorder="1" applyProtection="1">
      <protection locked="0"/>
    </xf>
    <xf numFmtId="2" fontId="4" fillId="0" borderId="0" xfId="0" applyNumberFormat="1" applyFont="1"/>
    <xf numFmtId="2" fontId="0" fillId="0" borderId="0" xfId="0" applyNumberFormat="1"/>
    <xf numFmtId="2" fontId="2" fillId="2" borderId="50" xfId="0" applyNumberFormat="1" applyFont="1" applyFill="1" applyBorder="1" applyAlignment="1">
      <alignment horizontal="center" wrapText="1"/>
    </xf>
    <xf numFmtId="0" fontId="0" fillId="2" borderId="55" xfId="0" applyFill="1" applyBorder="1" applyAlignment="1">
      <alignment horizontal="center" wrapText="1"/>
    </xf>
    <xf numFmtId="0" fontId="0" fillId="2" borderId="46" xfId="0" applyFill="1" applyBorder="1" applyAlignment="1">
      <alignment horizontal="center" wrapText="1"/>
    </xf>
    <xf numFmtId="2" fontId="0" fillId="2" borderId="54" xfId="0" applyNumberFormat="1" applyFill="1" applyBorder="1" applyAlignment="1">
      <alignment horizontal="center" wrapText="1"/>
    </xf>
    <xf numFmtId="0" fontId="0" fillId="2" borderId="23" xfId="0" applyFill="1" applyBorder="1"/>
    <xf numFmtId="0" fontId="0" fillId="3" borderId="32" xfId="0" applyFill="1" applyBorder="1" applyAlignment="1">
      <alignment horizontal="center" wrapText="1"/>
    </xf>
    <xf numFmtId="0" fontId="0" fillId="2" borderId="50" xfId="0" applyFill="1" applyBorder="1" applyAlignment="1">
      <alignment horizontal="center" wrapText="1"/>
    </xf>
    <xf numFmtId="2" fontId="0" fillId="2" borderId="50" xfId="0" applyNumberFormat="1" applyFill="1" applyBorder="1" applyAlignment="1">
      <alignment horizontal="center" wrapText="1"/>
    </xf>
    <xf numFmtId="0" fontId="0" fillId="3" borderId="32" xfId="0" applyFill="1" applyBorder="1" applyAlignment="1">
      <alignment horizontal="center"/>
    </xf>
    <xf numFmtId="0" fontId="0" fillId="2" borderId="41" xfId="0" applyFill="1" applyBorder="1"/>
    <xf numFmtId="0" fontId="0" fillId="2" borderId="42" xfId="0" applyFill="1" applyBorder="1" applyAlignment="1">
      <alignment horizontal="center" wrapText="1"/>
    </xf>
    <xf numFmtId="2" fontId="0" fillId="2" borderId="42" xfId="0" applyNumberFormat="1" applyFill="1" applyBorder="1" applyAlignment="1">
      <alignment horizontal="center" wrapText="1"/>
    </xf>
    <xf numFmtId="0" fontId="0" fillId="2" borderId="30" xfId="0" applyFill="1" applyBorder="1"/>
    <xf numFmtId="0" fontId="0" fillId="2" borderId="52" xfId="0" applyFill="1" applyBorder="1"/>
    <xf numFmtId="0" fontId="0" fillId="2" borderId="67" xfId="0" applyFill="1" applyBorder="1" applyAlignment="1">
      <alignment horizontal="center" wrapText="1"/>
    </xf>
    <xf numFmtId="2" fontId="0" fillId="2" borderId="9" xfId="0" applyNumberFormat="1" applyFill="1" applyBorder="1" applyAlignment="1">
      <alignment horizontal="center" wrapText="1"/>
    </xf>
    <xf numFmtId="0" fontId="0" fillId="2" borderId="22" xfId="0" applyFill="1" applyBorder="1" applyAlignment="1">
      <alignment horizontal="center"/>
    </xf>
    <xf numFmtId="0" fontId="0" fillId="2" borderId="67" xfId="0" applyFill="1" applyBorder="1"/>
    <xf numFmtId="2" fontId="0" fillId="0" borderId="12" xfId="0" applyNumberFormat="1" applyBorder="1"/>
    <xf numFmtId="2" fontId="0" fillId="10" borderId="3" xfId="0" applyNumberFormat="1" applyFill="1" applyBorder="1"/>
    <xf numFmtId="0" fontId="0" fillId="10" borderId="59" xfId="0" applyFill="1" applyBorder="1"/>
    <xf numFmtId="0" fontId="0" fillId="10" borderId="53" xfId="0" applyFill="1" applyBorder="1"/>
    <xf numFmtId="2" fontId="0" fillId="0" borderId="9" xfId="0" applyNumberFormat="1" applyBorder="1"/>
    <xf numFmtId="2" fontId="0" fillId="10" borderId="22" xfId="0" applyNumberFormat="1" applyFill="1" applyBorder="1"/>
    <xf numFmtId="0" fontId="0" fillId="10" borderId="67" xfId="0" applyFill="1" applyBorder="1"/>
    <xf numFmtId="0" fontId="17" fillId="0" borderId="0" xfId="0" applyFont="1" applyBorder="1"/>
    <xf numFmtId="0" fontId="0" fillId="5" borderId="28" xfId="0" applyFill="1" applyBorder="1" applyProtection="1">
      <protection locked="0"/>
    </xf>
    <xf numFmtId="0" fontId="0" fillId="5" borderId="48" xfId="0" applyFill="1" applyBorder="1" applyProtection="1">
      <protection locked="0"/>
    </xf>
    <xf numFmtId="0" fontId="2" fillId="2" borderId="60" xfId="0" applyFont="1" applyFill="1" applyBorder="1"/>
    <xf numFmtId="0" fontId="0" fillId="5" borderId="51" xfId="0" applyFill="1" applyBorder="1" applyProtection="1">
      <protection locked="0"/>
    </xf>
    <xf numFmtId="0" fontId="0" fillId="2" borderId="51" xfId="0" applyFill="1" applyBorder="1" applyProtection="1">
      <protection locked="0"/>
    </xf>
    <xf numFmtId="0" fontId="0" fillId="2" borderId="43" xfId="0" applyFill="1" applyBorder="1"/>
    <xf numFmtId="0" fontId="0" fillId="5" borderId="47" xfId="0" applyFill="1" applyBorder="1" applyProtection="1">
      <protection locked="0"/>
    </xf>
    <xf numFmtId="0" fontId="0" fillId="5" borderId="65" xfId="0" applyFill="1" applyBorder="1" applyProtection="1">
      <protection locked="0"/>
    </xf>
    <xf numFmtId="0" fontId="0" fillId="5" borderId="66" xfId="0" applyFill="1" applyBorder="1" applyProtection="1">
      <protection locked="0"/>
    </xf>
    <xf numFmtId="0" fontId="0" fillId="5" borderId="32" xfId="0" applyFill="1" applyBorder="1" applyProtection="1">
      <protection locked="0"/>
    </xf>
    <xf numFmtId="0" fontId="0" fillId="2" borderId="32" xfId="0" applyFill="1" applyBorder="1"/>
    <xf numFmtId="0" fontId="0" fillId="2" borderId="58" xfId="0" applyFill="1" applyBorder="1"/>
    <xf numFmtId="0" fontId="2" fillId="2" borderId="17" xfId="0" applyFont="1" applyFill="1" applyBorder="1" applyAlignment="1">
      <alignment horizontal="left"/>
    </xf>
    <xf numFmtId="0" fontId="22" fillId="2" borderId="0" xfId="0" applyFont="1" applyFill="1"/>
    <xf numFmtId="0" fontId="23" fillId="2" borderId="0" xfId="0" applyFont="1" applyFill="1" applyAlignment="1">
      <alignment vertical="top" wrapText="1"/>
    </xf>
    <xf numFmtId="0" fontId="1" fillId="2" borderId="0" xfId="0" applyFont="1" applyFill="1"/>
    <xf numFmtId="0" fontId="2" fillId="6" borderId="50" xfId="0" applyFont="1" applyFill="1" applyBorder="1" applyAlignment="1">
      <alignment horizontal="left" vertical="top" wrapText="1" indent="1"/>
    </xf>
    <xf numFmtId="0" fontId="2" fillId="6" borderId="36" xfId="0" applyFont="1" applyFill="1" applyBorder="1" applyAlignment="1">
      <alignment vertical="center" wrapText="1"/>
    </xf>
    <xf numFmtId="0" fontId="2" fillId="11" borderId="18" xfId="0" applyFont="1" applyFill="1" applyBorder="1" applyAlignment="1">
      <alignment horizontal="center" wrapText="1"/>
    </xf>
    <xf numFmtId="0" fontId="2" fillId="11" borderId="14" xfId="0" applyFont="1" applyFill="1" applyBorder="1" applyAlignment="1">
      <alignment horizontal="center" wrapText="1"/>
    </xf>
    <xf numFmtId="0" fontId="2" fillId="11" borderId="4" xfId="0" applyFont="1" applyFill="1" applyBorder="1" applyAlignment="1">
      <alignment horizontal="center" wrapText="1"/>
    </xf>
    <xf numFmtId="0" fontId="0" fillId="0" borderId="39" xfId="0" applyBorder="1"/>
    <xf numFmtId="0" fontId="0" fillId="0" borderId="10" xfId="0" applyBorder="1"/>
    <xf numFmtId="0" fontId="0" fillId="0" borderId="17" xfId="0" applyBorder="1"/>
    <xf numFmtId="0" fontId="2" fillId="6" borderId="54" xfId="0" applyFont="1" applyFill="1" applyBorder="1" applyAlignment="1">
      <alignment vertical="top"/>
    </xf>
    <xf numFmtId="0" fontId="2" fillId="6" borderId="8" xfId="0" applyFont="1" applyFill="1" applyBorder="1" applyAlignment="1">
      <alignment horizontal="center" vertical="top" wrapText="1"/>
    </xf>
    <xf numFmtId="0" fontId="2" fillId="6" borderId="24" xfId="0" applyFont="1" applyFill="1" applyBorder="1" applyAlignment="1">
      <alignment horizontal="center" wrapText="1"/>
    </xf>
    <xf numFmtId="0" fontId="28" fillId="0" borderId="29" xfId="0" applyFont="1" applyBorder="1"/>
    <xf numFmtId="0" fontId="28" fillId="0" borderId="49" xfId="0" applyFont="1" applyBorder="1"/>
    <xf numFmtId="0" fontId="28" fillId="0" borderId="63" xfId="0" applyFont="1" applyBorder="1"/>
    <xf numFmtId="0" fontId="29" fillId="2" borderId="14" xfId="0" applyFont="1" applyFill="1" applyBorder="1" applyAlignment="1">
      <alignment horizontal="center" wrapText="1"/>
    </xf>
    <xf numFmtId="0" fontId="28" fillId="3" borderId="14" xfId="0" applyFont="1" applyFill="1" applyBorder="1" applyAlignment="1">
      <alignment horizontal="center" wrapText="1"/>
    </xf>
    <xf numFmtId="0" fontId="29" fillId="11" borderId="14" xfId="0" applyFont="1" applyFill="1" applyBorder="1" applyAlignment="1">
      <alignment horizontal="center" wrapText="1"/>
    </xf>
    <xf numFmtId="0" fontId="0" fillId="2" borderId="0" xfId="0" applyFill="1" applyAlignment="1">
      <alignment vertical="top"/>
    </xf>
    <xf numFmtId="0" fontId="30" fillId="0" borderId="0" xfId="0" applyFont="1" applyBorder="1"/>
    <xf numFmtId="0" fontId="2" fillId="6" borderId="33" xfId="0" applyFont="1" applyFill="1" applyBorder="1" applyAlignment="1">
      <alignment horizontal="center" wrapText="1"/>
    </xf>
    <xf numFmtId="0" fontId="2" fillId="6" borderId="35" xfId="0" applyFont="1" applyFill="1" applyBorder="1" applyAlignment="1">
      <alignment horizontal="center" wrapText="1"/>
    </xf>
    <xf numFmtId="0" fontId="2" fillId="6" borderId="32" xfId="0" applyFont="1" applyFill="1" applyBorder="1" applyAlignment="1">
      <alignment wrapText="1"/>
    </xf>
    <xf numFmtId="0" fontId="0" fillId="12" borderId="40" xfId="0" applyFill="1" applyBorder="1"/>
    <xf numFmtId="0" fontId="0" fillId="12" borderId="1" xfId="0" applyFill="1" applyBorder="1"/>
    <xf numFmtId="0" fontId="28" fillId="0" borderId="23" xfId="0" applyFont="1" applyBorder="1" applyAlignment="1">
      <alignment wrapText="1"/>
    </xf>
    <xf numFmtId="0" fontId="28" fillId="0" borderId="26" xfId="0" applyFont="1" applyBorder="1" applyProtection="1">
      <protection locked="0"/>
    </xf>
    <xf numFmtId="0" fontId="28" fillId="0" borderId="6" xfId="0" applyFont="1" applyBorder="1" applyProtection="1">
      <protection locked="0"/>
    </xf>
    <xf numFmtId="0" fontId="0" fillId="0" borderId="7" xfId="0" applyBorder="1"/>
    <xf numFmtId="0" fontId="31" fillId="0" borderId="61" xfId="0" applyFont="1" applyBorder="1" applyAlignment="1">
      <alignment horizontal="right" wrapText="1"/>
    </xf>
    <xf numFmtId="0" fontId="31" fillId="0" borderId="56" xfId="0" applyFont="1" applyBorder="1" applyAlignment="1">
      <alignment horizontal="right" wrapText="1"/>
    </xf>
    <xf numFmtId="179" fontId="31" fillId="0" borderId="56" xfId="0" applyNumberFormat="1" applyFont="1" applyBorder="1" applyAlignment="1">
      <alignment horizontal="right" wrapText="1"/>
    </xf>
    <xf numFmtId="179" fontId="31" fillId="0" borderId="56" xfId="0" applyNumberFormat="1" applyFont="1" applyBorder="1" applyAlignment="1">
      <alignment vertical="top"/>
    </xf>
    <xf numFmtId="0" fontId="31" fillId="0" borderId="30" xfId="0" applyFont="1" applyBorder="1" applyAlignment="1">
      <alignment horizontal="right" wrapText="1"/>
    </xf>
    <xf numFmtId="0" fontId="32" fillId="0" borderId="30" xfId="0" applyFont="1" applyBorder="1" applyAlignment="1">
      <alignment horizontal="center" wrapText="1"/>
    </xf>
    <xf numFmtId="2" fontId="31" fillId="0" borderId="3" xfId="0" applyNumberFormat="1" applyFont="1" applyBorder="1" applyAlignment="1">
      <alignment vertical="top"/>
    </xf>
    <xf numFmtId="179" fontId="31" fillId="0" borderId="45" xfId="0" applyNumberFormat="1" applyFont="1" applyBorder="1" applyAlignment="1">
      <alignment vertical="top"/>
    </xf>
    <xf numFmtId="2" fontId="31" fillId="0" borderId="45" xfId="0" applyNumberFormat="1" applyFont="1" applyBorder="1" applyAlignment="1">
      <alignment vertical="top"/>
    </xf>
    <xf numFmtId="2" fontId="31" fillId="0" borderId="20" xfId="0" applyNumberFormat="1" applyFont="1" applyBorder="1" applyAlignment="1">
      <alignment vertical="top"/>
    </xf>
    <xf numFmtId="179" fontId="31" fillId="0" borderId="36" xfId="0" applyNumberFormat="1" applyFont="1" applyBorder="1" applyAlignment="1">
      <alignment vertical="top"/>
    </xf>
    <xf numFmtId="179" fontId="31" fillId="0" borderId="37" xfId="0" applyNumberFormat="1" applyFont="1" applyBorder="1" applyAlignment="1">
      <alignment vertical="top"/>
    </xf>
    <xf numFmtId="2" fontId="31" fillId="0" borderId="36" xfId="0" applyNumberFormat="1" applyFont="1" applyBorder="1" applyAlignment="1">
      <alignment vertical="top"/>
    </xf>
    <xf numFmtId="2" fontId="31" fillId="0" borderId="10" xfId="0" applyNumberFormat="1" applyFont="1" applyBorder="1" applyAlignment="1">
      <alignment vertical="top"/>
    </xf>
    <xf numFmtId="2" fontId="31" fillId="0" borderId="1" xfId="0" applyNumberFormat="1" applyFont="1" applyBorder="1" applyAlignment="1">
      <alignment vertical="top"/>
    </xf>
    <xf numFmtId="0" fontId="31" fillId="0" borderId="37" xfId="0" applyFont="1" applyBorder="1" applyAlignment="1">
      <alignment vertical="top"/>
    </xf>
    <xf numFmtId="179" fontId="31" fillId="0" borderId="73" xfId="0" applyNumberFormat="1" applyFont="1" applyBorder="1" applyAlignment="1">
      <alignment vertical="top"/>
    </xf>
    <xf numFmtId="179" fontId="31" fillId="0" borderId="74" xfId="0" applyNumberFormat="1" applyFont="1" applyBorder="1" applyAlignment="1">
      <alignment vertical="top"/>
    </xf>
    <xf numFmtId="2" fontId="31" fillId="0" borderId="75" xfId="0" applyNumberFormat="1" applyFont="1" applyBorder="1" applyAlignment="1">
      <alignment vertical="top"/>
    </xf>
    <xf numFmtId="2" fontId="31" fillId="0" borderId="34" xfId="0" applyNumberFormat="1" applyFont="1" applyBorder="1" applyAlignment="1">
      <alignment vertical="top"/>
    </xf>
    <xf numFmtId="179" fontId="31" fillId="0" borderId="0" xfId="0" applyNumberFormat="1" applyFont="1"/>
    <xf numFmtId="0" fontId="31" fillId="0" borderId="0" xfId="0" applyFont="1"/>
    <xf numFmtId="180" fontId="31" fillId="0" borderId="0" xfId="1" applyNumberFormat="1" applyFont="1" applyAlignment="1">
      <alignment horizontal="center"/>
    </xf>
    <xf numFmtId="180" fontId="31" fillId="0" borderId="0" xfId="1" applyNumberFormat="1" applyFont="1"/>
    <xf numFmtId="0" fontId="31" fillId="0" borderId="33" xfId="0" applyFont="1" applyBorder="1"/>
    <xf numFmtId="2" fontId="31" fillId="0" borderId="35" xfId="0" applyNumberFormat="1" applyFont="1" applyBorder="1"/>
    <xf numFmtId="0" fontId="32" fillId="6" borderId="1" xfId="0" applyFont="1" applyFill="1" applyBorder="1" applyAlignment="1">
      <alignment vertical="top" wrapText="1"/>
    </xf>
    <xf numFmtId="177" fontId="31" fillId="0" borderId="22" xfId="0" applyNumberFormat="1" applyFont="1" applyBorder="1" applyAlignment="1">
      <alignment horizontal="center"/>
    </xf>
    <xf numFmtId="0" fontId="31" fillId="0" borderId="0" xfId="0" applyFont="1" applyBorder="1"/>
    <xf numFmtId="0" fontId="33" fillId="0" borderId="30" xfId="0" applyFont="1" applyBorder="1" applyAlignment="1">
      <alignment wrapText="1"/>
    </xf>
    <xf numFmtId="0" fontId="33" fillId="0" borderId="1" xfId="0" applyFont="1" applyBorder="1" applyAlignment="1">
      <alignment wrapText="1"/>
    </xf>
    <xf numFmtId="0" fontId="33" fillId="0" borderId="27" xfId="0" applyFont="1" applyBorder="1"/>
    <xf numFmtId="0" fontId="33" fillId="0" borderId="37" xfId="0" applyFont="1" applyBorder="1"/>
    <xf numFmtId="0" fontId="33" fillId="0" borderId="16" xfId="0" applyFont="1" applyBorder="1"/>
    <xf numFmtId="0" fontId="0" fillId="13" borderId="27" xfId="0" applyFill="1" applyBorder="1"/>
    <xf numFmtId="0" fontId="0" fillId="13" borderId="37" xfId="0" applyFill="1" applyBorder="1"/>
    <xf numFmtId="0" fontId="0" fillId="13" borderId="16" xfId="0" applyFill="1" applyBorder="1"/>
    <xf numFmtId="2" fontId="31" fillId="0" borderId="0" xfId="0" applyNumberFormat="1" applyFont="1"/>
    <xf numFmtId="2" fontId="31" fillId="14" borderId="1" xfId="0" applyNumberFormat="1" applyFont="1" applyFill="1" applyBorder="1" applyAlignment="1">
      <alignment vertical="top"/>
    </xf>
    <xf numFmtId="0" fontId="2" fillId="14" borderId="0" xfId="0" applyFont="1" applyFill="1"/>
    <xf numFmtId="0" fontId="34" fillId="0" borderId="18" xfId="0" applyFont="1" applyBorder="1" applyAlignment="1">
      <alignment horizontal="center" vertical="top"/>
    </xf>
    <xf numFmtId="49" fontId="34" fillId="0" borderId="4" xfId="0" applyNumberFormat="1" applyFont="1" applyBorder="1" applyAlignment="1">
      <alignment horizontal="center" vertical="top"/>
    </xf>
    <xf numFmtId="2" fontId="34" fillId="0" borderId="73" xfId="0" applyNumberFormat="1" applyFont="1" applyBorder="1" applyAlignment="1">
      <alignment vertical="top"/>
    </xf>
    <xf numFmtId="2" fontId="34" fillId="0" borderId="35" xfId="0" applyNumberFormat="1" applyFont="1" applyBorder="1"/>
    <xf numFmtId="177" fontId="34" fillId="0" borderId="22" xfId="0" applyNumberFormat="1" applyFont="1" applyBorder="1" applyAlignment="1">
      <alignment horizontal="center"/>
    </xf>
    <xf numFmtId="0" fontId="22" fillId="2" borderId="0" xfId="0" applyFont="1" applyFill="1" applyAlignment="1">
      <alignment horizontal="center"/>
    </xf>
    <xf numFmtId="0" fontId="23" fillId="2" borderId="0" xfId="0" applyFont="1" applyFill="1" applyAlignment="1">
      <alignment horizontal="center" vertical="top" wrapText="1"/>
    </xf>
    <xf numFmtId="0" fontId="26" fillId="2" borderId="0" xfId="0" applyFont="1" applyFill="1" applyAlignment="1">
      <alignment horizontal="left" vertical="top" wrapText="1"/>
    </xf>
    <xf numFmtId="0" fontId="33" fillId="2" borderId="0" xfId="0" applyFont="1" applyFill="1" applyAlignment="1">
      <alignment horizontal="left" vertical="top"/>
    </xf>
    <xf numFmtId="0" fontId="2" fillId="2" borderId="42" xfId="0" applyFont="1" applyFill="1" applyBorder="1" applyAlignment="1">
      <alignment horizontal="center" wrapText="1"/>
    </xf>
    <xf numFmtId="0" fontId="2" fillId="2" borderId="44" xfId="0" applyFont="1" applyFill="1" applyBorder="1" applyAlignment="1">
      <alignment horizontal="center" wrapText="1"/>
    </xf>
    <xf numFmtId="0" fontId="2" fillId="2" borderId="38" xfId="0" applyFont="1" applyFill="1" applyBorder="1" applyAlignment="1">
      <alignment horizontal="center"/>
    </xf>
    <xf numFmtId="0" fontId="2" fillId="2" borderId="39" xfId="0" applyFont="1" applyFill="1" applyBorder="1" applyAlignment="1">
      <alignment horizontal="center"/>
    </xf>
    <xf numFmtId="0" fontId="2" fillId="5" borderId="50" xfId="0" applyFont="1" applyFill="1" applyBorder="1" applyProtection="1">
      <protection locked="0"/>
    </xf>
    <xf numFmtId="0" fontId="2" fillId="0" borderId="51" xfId="0" applyFont="1" applyBorder="1" applyProtection="1">
      <protection locked="0"/>
    </xf>
    <xf numFmtId="0" fontId="2" fillId="0" borderId="41" xfId="0" applyFont="1" applyBorder="1" applyProtection="1">
      <protection locked="0"/>
    </xf>
    <xf numFmtId="0" fontId="2" fillId="2" borderId="28" xfId="0" applyFont="1" applyFill="1" applyBorder="1" applyAlignment="1">
      <alignment horizontal="center" wrapText="1"/>
    </xf>
    <xf numFmtId="0" fontId="2" fillId="2" borderId="47" xfId="0" applyFont="1" applyFill="1" applyBorder="1" applyAlignment="1">
      <alignment horizontal="center" wrapText="1"/>
    </xf>
    <xf numFmtId="0" fontId="2" fillId="2" borderId="52" xfId="0" applyFont="1" applyFill="1" applyBorder="1" applyAlignment="1">
      <alignment horizontal="center" wrapText="1"/>
    </xf>
    <xf numFmtId="0" fontId="4" fillId="14" borderId="0" xfId="0" applyFont="1" applyFill="1" applyAlignment="1">
      <alignment horizontal="center"/>
    </xf>
    <xf numFmtId="0" fontId="2" fillId="2" borderId="50" xfId="0" applyFont="1" applyFill="1" applyBorder="1" applyAlignment="1">
      <alignment horizontal="center"/>
    </xf>
    <xf numFmtId="0" fontId="2" fillId="2" borderId="51" xfId="0" applyFont="1" applyFill="1" applyBorder="1" applyAlignment="1">
      <alignment horizontal="center"/>
    </xf>
    <xf numFmtId="0" fontId="2" fillId="2" borderId="41" xfId="0" applyFont="1" applyFill="1" applyBorder="1" applyAlignment="1">
      <alignment horizontal="center"/>
    </xf>
    <xf numFmtId="0" fontId="2" fillId="11" borderId="50" xfId="0" applyFont="1" applyFill="1" applyBorder="1" applyAlignment="1">
      <alignment horizontal="center"/>
    </xf>
    <xf numFmtId="0" fontId="2" fillId="11" borderId="51" xfId="0" applyFont="1" applyFill="1" applyBorder="1" applyAlignment="1">
      <alignment horizontal="center"/>
    </xf>
    <xf numFmtId="0" fontId="2" fillId="11" borderId="41" xfId="0" applyFont="1" applyFill="1" applyBorder="1" applyAlignment="1">
      <alignment horizontal="center"/>
    </xf>
    <xf numFmtId="0" fontId="2" fillId="2" borderId="58"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34" xfId="0" applyFont="1" applyFill="1" applyBorder="1" applyAlignment="1">
      <alignment horizontal="center" vertical="center" wrapText="1"/>
    </xf>
    <xf numFmtId="0" fontId="2" fillId="2" borderId="17" xfId="0" applyFont="1" applyFill="1" applyBorder="1" applyAlignment="1">
      <alignment horizontal="center" wrapText="1"/>
    </xf>
    <xf numFmtId="0" fontId="2" fillId="2" borderId="75" xfId="0" applyFont="1" applyFill="1" applyBorder="1" applyAlignment="1">
      <alignment horizontal="center" wrapText="1"/>
    </xf>
    <xf numFmtId="0" fontId="2" fillId="6" borderId="50" xfId="0" applyFont="1" applyFill="1" applyBorder="1" applyAlignment="1">
      <alignment horizontal="center"/>
    </xf>
    <xf numFmtId="0" fontId="2" fillId="6" borderId="51" xfId="0" applyFont="1" applyFill="1" applyBorder="1" applyAlignment="1">
      <alignment horizontal="center"/>
    </xf>
    <xf numFmtId="0" fontId="2" fillId="0" borderId="50" xfId="0" applyFont="1" applyBorder="1" applyAlignment="1">
      <alignment horizontal="left"/>
    </xf>
    <xf numFmtId="0" fontId="2" fillId="0" borderId="51" xfId="0" applyFont="1" applyBorder="1" applyAlignment="1">
      <alignment horizontal="left"/>
    </xf>
    <xf numFmtId="0" fontId="2" fillId="0" borderId="41" xfId="0" applyFont="1" applyBorder="1" applyAlignment="1">
      <alignment horizontal="left"/>
    </xf>
    <xf numFmtId="3" fontId="2" fillId="2" borderId="50" xfId="0" applyNumberFormat="1" applyFont="1" applyFill="1" applyBorder="1" applyAlignment="1">
      <alignment horizontal="center"/>
    </xf>
    <xf numFmtId="3" fontId="2" fillId="2" borderId="51" xfId="0" applyNumberFormat="1" applyFont="1" applyFill="1" applyBorder="1" applyAlignment="1">
      <alignment horizontal="center"/>
    </xf>
    <xf numFmtId="3" fontId="2" fillId="2" borderId="41" xfId="0" applyNumberFormat="1" applyFont="1" applyFill="1" applyBorder="1" applyAlignment="1">
      <alignment horizontal="center"/>
    </xf>
    <xf numFmtId="3" fontId="2" fillId="7" borderId="50" xfId="0" applyNumberFormat="1" applyFont="1" applyFill="1" applyBorder="1" applyAlignment="1">
      <alignment horizontal="left"/>
    </xf>
    <xf numFmtId="3" fontId="2" fillId="7" borderId="51" xfId="0" applyNumberFormat="1" applyFont="1" applyFill="1" applyBorder="1" applyAlignment="1">
      <alignment horizontal="left"/>
    </xf>
    <xf numFmtId="3" fontId="2" fillId="7" borderId="41" xfId="0" applyNumberFormat="1" applyFont="1" applyFill="1" applyBorder="1" applyAlignment="1">
      <alignment horizontal="left"/>
    </xf>
    <xf numFmtId="0" fontId="2" fillId="2" borderId="33" xfId="0" applyFont="1" applyFill="1" applyBorder="1" applyAlignment="1">
      <alignment horizontal="center"/>
    </xf>
    <xf numFmtId="0" fontId="2" fillId="2" borderId="35" xfId="0" applyFont="1" applyFill="1" applyBorder="1" applyAlignment="1">
      <alignment horizontal="center"/>
    </xf>
    <xf numFmtId="0" fontId="2" fillId="2" borderId="72" xfId="0" applyFont="1" applyFill="1" applyBorder="1" applyAlignment="1">
      <alignment horizontal="center"/>
    </xf>
    <xf numFmtId="0" fontId="2" fillId="2" borderId="21" xfId="0" applyFont="1" applyFill="1" applyBorder="1" applyAlignment="1">
      <alignment horizontal="center"/>
    </xf>
    <xf numFmtId="3" fontId="2" fillId="2" borderId="25" xfId="0" applyNumberFormat="1" applyFont="1" applyFill="1" applyBorder="1" applyAlignment="1">
      <alignment horizontal="center"/>
    </xf>
    <xf numFmtId="3" fontId="2" fillId="2" borderId="35"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50" xfId="0" applyNumberFormat="1" applyFont="1" applyBorder="1" applyAlignment="1">
      <alignment horizontal="left"/>
    </xf>
    <xf numFmtId="3" fontId="2" fillId="0" borderId="51" xfId="0" applyNumberFormat="1" applyFont="1" applyBorder="1" applyAlignment="1">
      <alignment horizontal="left"/>
    </xf>
    <xf numFmtId="3" fontId="2" fillId="0" borderId="41" xfId="0" applyNumberFormat="1" applyFont="1" applyBorder="1" applyAlignment="1">
      <alignment horizontal="left"/>
    </xf>
    <xf numFmtId="3" fontId="0" fillId="0" borderId="0" xfId="0" applyNumberFormat="1" applyBorder="1" applyAlignment="1">
      <alignment horizontal="center"/>
    </xf>
    <xf numFmtId="0" fontId="0" fillId="0" borderId="0" xfId="0" applyBorder="1" applyAlignment="1">
      <alignment horizontal="center"/>
    </xf>
    <xf numFmtId="0" fontId="2" fillId="6" borderId="58" xfId="0" applyFont="1" applyFill="1" applyBorder="1" applyAlignment="1">
      <alignment horizontal="center" wrapText="1"/>
    </xf>
    <xf numFmtId="0" fontId="2" fillId="6" borderId="23" xfId="0" applyFont="1" applyFill="1" applyBorder="1" applyAlignment="1">
      <alignment horizontal="center" wrapText="1"/>
    </xf>
    <xf numFmtId="0" fontId="2" fillId="6" borderId="34" xfId="0" applyFont="1" applyFill="1" applyBorder="1" applyAlignment="1">
      <alignment horizontal="center" wrapText="1"/>
    </xf>
    <xf numFmtId="0" fontId="2" fillId="6" borderId="18" xfId="0" applyFont="1" applyFill="1" applyBorder="1" applyAlignment="1">
      <alignment horizontal="left" vertical="top" wrapText="1"/>
    </xf>
    <xf numFmtId="0" fontId="2" fillId="6" borderId="45" xfId="0" applyFont="1" applyFill="1" applyBorder="1" applyAlignment="1">
      <alignment horizontal="left" vertical="top" wrapText="1"/>
    </xf>
    <xf numFmtId="0" fontId="2" fillId="6" borderId="40" xfId="0" applyFont="1" applyFill="1" applyBorder="1" applyAlignment="1">
      <alignment horizontal="center" vertical="top" wrapText="1"/>
    </xf>
    <xf numFmtId="0" fontId="2" fillId="6" borderId="4" xfId="0" applyFont="1" applyFill="1" applyBorder="1" applyAlignment="1">
      <alignment horizontal="center" vertical="center" wrapText="1"/>
    </xf>
    <xf numFmtId="0" fontId="2" fillId="6" borderId="75"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73" xfId="0" applyFont="1" applyFill="1" applyBorder="1" applyAlignment="1">
      <alignment horizontal="center" vertical="center" wrapText="1"/>
    </xf>
    <xf numFmtId="0" fontId="2" fillId="6" borderId="42" xfId="0" applyFont="1" applyFill="1" applyBorder="1" applyAlignment="1">
      <alignment horizontal="center" vertical="center"/>
    </xf>
    <xf numFmtId="0" fontId="2" fillId="6" borderId="44" xfId="0" applyFont="1" applyFill="1" applyBorder="1" applyAlignment="1">
      <alignment horizontal="center" vertical="center"/>
    </xf>
    <xf numFmtId="0" fontId="2" fillId="6" borderId="46" xfId="0" applyFont="1" applyFill="1" applyBorder="1" applyAlignment="1">
      <alignment horizontal="center" vertical="center"/>
    </xf>
    <xf numFmtId="0" fontId="2" fillId="6" borderId="71" xfId="0" applyFont="1" applyFill="1" applyBorder="1" applyAlignment="1">
      <alignment horizontal="center" vertical="center"/>
    </xf>
    <xf numFmtId="178" fontId="8" fillId="0" borderId="19" xfId="0" applyNumberFormat="1" applyFont="1" applyBorder="1" applyAlignment="1">
      <alignment horizontal="center"/>
    </xf>
    <xf numFmtId="178" fontId="8" fillId="0" borderId="67"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31" xfId="0" applyFont="1" applyFill="1" applyBorder="1" applyAlignment="1">
      <alignment horizontal="center"/>
    </xf>
    <xf numFmtId="0" fontId="2" fillId="6" borderId="52" xfId="0" applyFont="1" applyFill="1" applyBorder="1" applyAlignment="1">
      <alignment horizontal="center"/>
    </xf>
    <xf numFmtId="178" fontId="2" fillId="6" borderId="68" xfId="0" applyNumberFormat="1" applyFont="1" applyFill="1" applyBorder="1" applyAlignment="1">
      <alignment horizontal="center"/>
    </xf>
    <xf numFmtId="178" fontId="2" fillId="6" borderId="53" xfId="0" applyNumberFormat="1" applyFont="1" applyFill="1" applyBorder="1" applyAlignment="1">
      <alignment horizontal="center"/>
    </xf>
    <xf numFmtId="178" fontId="8" fillId="0" borderId="68" xfId="0" applyNumberFormat="1" applyFont="1" applyBorder="1" applyAlignment="1">
      <alignment horizontal="center"/>
    </xf>
    <xf numFmtId="178" fontId="8" fillId="0" borderId="53" xfId="0" applyNumberFormat="1" applyFont="1" applyBorder="1" applyAlignment="1">
      <alignment horizontal="center"/>
    </xf>
    <xf numFmtId="0" fontId="2" fillId="0" borderId="0" xfId="0" applyFont="1" applyAlignment="1">
      <alignment horizontal="left" wrapText="1" shrinkToFit="1"/>
    </xf>
    <xf numFmtId="0" fontId="8" fillId="6" borderId="51" xfId="0" applyFont="1" applyFill="1" applyBorder="1" applyAlignment="1">
      <alignment horizontal="center"/>
    </xf>
    <xf numFmtId="0" fontId="2" fillId="6" borderId="28" xfId="0" applyFont="1" applyFill="1" applyBorder="1" applyAlignment="1">
      <alignment horizontal="center"/>
    </xf>
    <xf numFmtId="0" fontId="2" fillId="6" borderId="47" xfId="0" applyFont="1" applyFill="1" applyBorder="1" applyAlignment="1">
      <alignment horizontal="center"/>
    </xf>
  </cellXfs>
  <cellStyles count="2">
    <cellStyle name="パーセント" xfId="1" builtinId="5"/>
    <cellStyle name="標準" xfId="0" builtinId="0"/>
  </cellStyles>
  <dxfs count="3">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00FF"/>
      <color rgb="FFFFCCFF"/>
      <color rgb="FFFF66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trlProps/ctrlProp1.xml><?xml version="1.0" encoding="utf-8"?>
<formControlPr xmlns="http://schemas.microsoft.com/office/spreadsheetml/2009/9/main" objectType="Drop" dropLines="4" dropStyle="combo" dx="26" fmlaLink="selected" fmlaRange="Defaults!$B$18:$B$21" sel="2" val="0"/>
</file>

<file path=xl/ctrlProps/ctrlProp2.xml><?xml version="1.0" encoding="utf-8"?>
<formControlPr xmlns="http://schemas.microsoft.com/office/spreadsheetml/2009/9/main" objectType="Drop" dropLines="2" dropStyle="combo" dx="26" fmlaLink="Select2" fmlaRange="Defaults!$Q$20:$Q$21" sel="2" val="0"/>
</file>

<file path=xl/ctrlProps/ctrlProp3.xml><?xml version="1.0" encoding="utf-8"?>
<formControlPr xmlns="http://schemas.microsoft.com/office/spreadsheetml/2009/9/main" objectType="Drop" dropLines="47" dropStyle="combo" dx="26" fmlaLink="Select3" fmlaRange="Defaults!$V$8:$V$29" sel="2"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22860</xdr:colOff>
      <xdr:row>4</xdr:row>
      <xdr:rowOff>121920</xdr:rowOff>
    </xdr:to>
    <xdr:pic>
      <xdr:nvPicPr>
        <xdr:cNvPr id="11346" name="図 3" descr="NGGIP">
          <a:extLst>
            <a:ext uri="{FF2B5EF4-FFF2-40B4-BE49-F238E27FC236}">
              <a16:creationId xmlns:a16="http://schemas.microsoft.com/office/drawing/2014/main" id="{00000000-0008-0000-0000-0000522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6758940" cy="792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60960</xdr:rowOff>
        </xdr:from>
        <xdr:to>
          <xdr:col>9</xdr:col>
          <xdr:colOff>373380</xdr:colOff>
          <xdr:row>86</xdr:row>
          <xdr:rowOff>129540</xdr:rowOff>
        </xdr:to>
        <xdr:sp macro="" textlink="">
          <xdr:nvSpPr>
            <xdr:cNvPr id="11268" name="Object 4" hidden="1">
              <a:extLst>
                <a:ext uri="{63B3BB69-23CF-44E3-9099-C40C66FF867C}">
                  <a14:compatExt spid="_x0000_s11268"/>
                </a:ext>
                <a:ext uri="{FF2B5EF4-FFF2-40B4-BE49-F238E27FC236}">
                  <a16:creationId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99060</xdr:colOff>
          <xdr:row>26</xdr:row>
          <xdr:rowOff>137160</xdr:rowOff>
        </xdr:from>
        <xdr:to>
          <xdr:col>4</xdr:col>
          <xdr:colOff>0</xdr:colOff>
          <xdr:row>28</xdr:row>
          <xdr:rowOff>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99060</xdr:colOff>
          <xdr:row>9</xdr:row>
          <xdr:rowOff>137160</xdr:rowOff>
        </xdr:from>
        <xdr:to>
          <xdr:col>4</xdr:col>
          <xdr:colOff>0</xdr:colOff>
          <xdr:row>11</xdr:row>
          <xdr:rowOff>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1</xdr:row>
          <xdr:rowOff>190500</xdr:rowOff>
        </xdr:from>
        <xdr:to>
          <xdr:col>5</xdr:col>
          <xdr:colOff>1615440</xdr:colOff>
          <xdr:row>2</xdr:row>
          <xdr:rowOff>190500</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38735</xdr:colOff>
      <xdr:row>5</xdr:row>
      <xdr:rowOff>38100</xdr:rowOff>
    </xdr:from>
    <xdr:to>
      <xdr:col>8</xdr:col>
      <xdr:colOff>35</xdr:colOff>
      <xdr:row>95</xdr:row>
      <xdr:rowOff>19050</xdr:rowOff>
    </xdr:to>
    <xdr:sp macro="" textlink="">
      <xdr:nvSpPr>
        <xdr:cNvPr id="12289" name="テキスト ボックス 1">
          <a:extLst>
            <a:ext uri="{FF2B5EF4-FFF2-40B4-BE49-F238E27FC236}">
              <a16:creationId xmlns:a16="http://schemas.microsoft.com/office/drawing/2014/main" id="{00000000-0008-0000-0900-000001300000}"/>
            </a:ext>
          </a:extLst>
        </xdr:cNvPr>
        <xdr:cNvSpPr txBox="1">
          <a:spLocks noChangeArrowheads="1"/>
        </xdr:cNvSpPr>
      </xdr:nvSpPr>
      <xdr:spPr bwMode="auto">
        <a:xfrm>
          <a:off x="50800" y="673100"/>
          <a:ext cx="6089650" cy="14268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ja-JP" altLang="en-US" sz="1000" b="1" i="0" u="none" strike="noStrike" baseline="0">
              <a:solidFill>
                <a:srgbClr val="000000"/>
              </a:solidFill>
              <a:latin typeface="Arial"/>
              <a:cs typeface="Arial"/>
            </a:rPr>
            <a:t>Theory and equations</a:t>
          </a:r>
          <a:endParaRPr lang="ja-JP" altLang="en-US" sz="1000" b="0" i="0" u="none" strike="noStrike" baseline="0">
            <a:solidFill>
              <a:srgbClr val="000000"/>
            </a:solidFill>
            <a:latin typeface="Arial"/>
            <a:cs typeface="Arial"/>
          </a:endParaRP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The basic equation for the first order decay model is:</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(1)                  DDOCm = DDOCm(0) * e^-kt</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(2)                  DDOCm(1) = DDOCm(0) * e^-k</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and the mass of DDOC decomposed into CH</a:t>
          </a:r>
          <a:r>
            <a:rPr lang="ja-JP" altLang="en-US" sz="1000" b="0" i="0" u="none" strike="noStrike" baseline="-25000">
              <a:solidFill>
                <a:srgbClr val="000000"/>
              </a:solidFill>
              <a:latin typeface="Arial"/>
              <a:cs typeface="Arial"/>
            </a:rPr>
            <a:t>4</a:t>
          </a:r>
          <a:r>
            <a:rPr lang="ja-JP" altLang="en-US" sz="1000" b="0" i="0" u="none" strike="noStrike" baseline="0">
              <a:solidFill>
                <a:srgbClr val="000000"/>
              </a:solidFill>
              <a:latin typeface="Arial"/>
              <a:cs typeface="Arial"/>
            </a:rPr>
            <a:t> and CO</a:t>
          </a:r>
          <a:r>
            <a:rPr lang="ja-JP" altLang="en-US" sz="1000" b="0" i="0" u="none" strike="noStrike" baseline="-25000">
              <a:solidFill>
                <a:srgbClr val="000000"/>
              </a:solidFill>
              <a:latin typeface="Arial"/>
              <a:cs typeface="Arial"/>
            </a:rPr>
            <a:t>2</a:t>
          </a:r>
          <a:r>
            <a:rPr lang="ja-JP" altLang="en-US" sz="1000" b="0" i="0" u="none" strike="noStrike" baseline="0">
              <a:solidFill>
                <a:srgbClr val="000000"/>
              </a:solidFill>
              <a:latin typeface="Arial"/>
              <a:cs typeface="Arial"/>
            </a:rPr>
            <a:t> will be:</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(3)                 DDOCmdecomp(1) = DDOCm(0) * (1 - e^-k)</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ja-JP" altLang="en-US" sz="1000" b="0" i="0" u="none" strike="noStrike" baseline="-25000">
              <a:solidFill>
                <a:srgbClr val="000000"/>
              </a:solidFill>
              <a:latin typeface="Arial"/>
              <a:cs typeface="Arial"/>
            </a:rPr>
            <a:t>4</a:t>
          </a:r>
          <a:r>
            <a:rPr lang="ja-JP" altLang="en-US"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The default assumption is that CH</a:t>
          </a:r>
          <a:r>
            <a:rPr lang="ja-JP" altLang="en-US" sz="1000" b="0" i="0" u="none" strike="noStrike" baseline="-25000">
              <a:solidFill>
                <a:srgbClr val="000000"/>
              </a:solidFill>
              <a:latin typeface="Arial"/>
              <a:cs typeface="Arial"/>
            </a:rPr>
            <a:t>4</a:t>
          </a:r>
          <a:r>
            <a:rPr lang="ja-JP" altLang="en-US"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ja-JP" altLang="en-US" sz="1000" b="0" i="0" u="none" strike="noStrike" baseline="-25000">
              <a:solidFill>
                <a:srgbClr val="000000"/>
              </a:solidFill>
              <a:latin typeface="Arial"/>
              <a:cs typeface="Arial"/>
            </a:rPr>
            <a:t>4</a:t>
          </a:r>
          <a:r>
            <a:rPr lang="ja-JP" altLang="en-US"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ja-JP" altLang="en-US" sz="1000" b="0" i="0" u="none" strike="noStrike" baseline="-25000">
              <a:solidFill>
                <a:srgbClr val="000000"/>
              </a:solidFill>
              <a:latin typeface="Arial"/>
              <a:cs typeface="Arial"/>
            </a:rPr>
            <a:t>4</a:t>
          </a:r>
          <a:r>
            <a:rPr lang="ja-JP" altLang="en-US"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To calculate mass of decomposable DOC (DDOCm) from amount of waste material (W):</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(4)  DDOCmd(T), = W(T) •  DOC * DOCf    •  MCF</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(5) DDOCmrem(T) = DDOCmd(T) •  e^(-k • ((13-M)/12)</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The amount of deposited DDOCm decomposed during deposition year T:</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(6)  DDOCmdec(T) = DDOCmd(T) •  (1 – e^(-k • ((13-M)/12))) </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The amount of DDOCm accumulated in the SWDS at the end of year T</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(7) DDOCma(T) = DDOCmrem(T) + ( DDOCma(T-1) •  e^-k)</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The total amount of DDOCm decomposed in year T</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(8) DDOCmdecomp(T) = DDOCmdec(T)  + (DDOCma(T-1) •  (1 - e^-k)) </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The amount of CH</a:t>
          </a:r>
          <a:r>
            <a:rPr lang="ja-JP" altLang="en-US" sz="1000" b="0" i="0" u="none" strike="noStrike" baseline="-25000">
              <a:solidFill>
                <a:srgbClr val="000000"/>
              </a:solidFill>
              <a:latin typeface="Arial"/>
              <a:cs typeface="Arial"/>
            </a:rPr>
            <a:t>4</a:t>
          </a:r>
          <a:r>
            <a:rPr lang="ja-JP" altLang="en-US" sz="1000" b="0" i="0" u="none" strike="noStrike" baseline="0">
              <a:solidFill>
                <a:srgbClr val="000000"/>
              </a:solidFill>
              <a:latin typeface="Arial"/>
              <a:cs typeface="Arial"/>
            </a:rPr>
            <a:t> generated from DOC decomposed</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(9) CH</a:t>
          </a:r>
          <a:r>
            <a:rPr lang="ja-JP" altLang="en-US" sz="1000" b="0" i="0" u="none" strike="noStrike" baseline="-25000">
              <a:solidFill>
                <a:srgbClr val="000000"/>
              </a:solidFill>
              <a:latin typeface="Arial"/>
              <a:cs typeface="Arial"/>
            </a:rPr>
            <a:t>4</a:t>
          </a:r>
          <a:r>
            <a:rPr lang="ja-JP" altLang="en-US" sz="1000" b="0" i="0" u="none" strike="noStrike" baseline="0">
              <a:solidFill>
                <a:srgbClr val="000000"/>
              </a:solidFill>
              <a:latin typeface="Arial"/>
              <a:cs typeface="Arial"/>
            </a:rPr>
            <a:t> generated(T)  = DDOCmdecomp(T)   •  F  • 16/12</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The amount of CH</a:t>
          </a:r>
          <a:r>
            <a:rPr lang="ja-JP" altLang="en-US" sz="1000" b="0" i="0" u="none" strike="noStrike" baseline="-25000">
              <a:solidFill>
                <a:srgbClr val="000000"/>
              </a:solidFill>
              <a:latin typeface="Arial"/>
              <a:cs typeface="Arial"/>
            </a:rPr>
            <a:t>4</a:t>
          </a:r>
          <a:r>
            <a:rPr lang="ja-JP" altLang="en-US" sz="1000" b="0" i="0" u="none" strike="noStrike" baseline="0">
              <a:solidFill>
                <a:srgbClr val="000000"/>
              </a:solidFill>
              <a:latin typeface="Arial"/>
              <a:cs typeface="Arial"/>
            </a:rPr>
            <a:t> emitted</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(10) CH</a:t>
          </a:r>
          <a:r>
            <a:rPr lang="ja-JP" altLang="en-US" sz="1000" b="0" i="0" u="none" strike="noStrike" baseline="-25000">
              <a:solidFill>
                <a:srgbClr val="000000"/>
              </a:solidFill>
              <a:latin typeface="Arial"/>
              <a:cs typeface="Arial"/>
            </a:rPr>
            <a:t>4</a:t>
          </a:r>
          <a:r>
            <a:rPr lang="ja-JP" altLang="en-US" sz="1000" b="0" i="0" u="none" strike="noStrike" baseline="0">
              <a:solidFill>
                <a:srgbClr val="000000"/>
              </a:solidFill>
              <a:latin typeface="Arial"/>
              <a:cs typeface="Arial"/>
            </a:rPr>
            <a:t> emitted in year T = (ΣxCH</a:t>
          </a:r>
          <a:r>
            <a:rPr lang="ja-JP" altLang="en-US" sz="1000" b="0" i="0" u="none" strike="noStrike" baseline="-25000">
              <a:solidFill>
                <a:srgbClr val="000000"/>
              </a:solidFill>
              <a:latin typeface="Arial"/>
              <a:cs typeface="Arial"/>
            </a:rPr>
            <a:t>4</a:t>
          </a:r>
          <a:r>
            <a:rPr lang="ja-JP" altLang="en-US" sz="1000" b="0" i="0" u="none" strike="noStrike" baseline="0">
              <a:solidFill>
                <a:srgbClr val="000000"/>
              </a:solidFill>
              <a:latin typeface="Arial"/>
              <a:cs typeface="Arial"/>
            </a:rPr>
            <a:t> generated (x,T) – R(T)) •  (1- OX(T))</a:t>
          </a:r>
        </a:p>
        <a:p>
          <a:pPr algn="l" rtl="0">
            <a:defRPr sz="1000"/>
          </a:pPr>
          <a:endParaRPr lang="ja-JP" altLang="en-US" sz="1000" b="0" i="0" u="none" strike="noStrike" baseline="0">
            <a:solidFill>
              <a:srgbClr val="000000"/>
            </a:solidFill>
            <a:latin typeface="Arial"/>
            <a:cs typeface="Arial"/>
          </a:endParaRPr>
        </a:p>
        <a:p>
          <a:pPr algn="l" rtl="0">
            <a:defRPr sz="1000"/>
          </a:pPr>
          <a:r>
            <a:rPr lang="ja-JP" altLang="en-US" sz="1000" b="0" i="0" u="none" strike="noStrike" baseline="0">
              <a:solidFill>
                <a:srgbClr val="000000"/>
              </a:solidFill>
              <a:latin typeface="Arial"/>
              <a:cs typeface="Arial"/>
            </a:rPr>
            <a:t> Where: </a:t>
          </a:r>
        </a:p>
        <a:p>
          <a:pPr algn="l" rtl="0">
            <a:defRPr sz="1000"/>
          </a:pPr>
          <a:r>
            <a:rPr lang="ja-JP" altLang="en-US" sz="1000" b="0" i="0" u="none" strike="noStrike" baseline="0">
              <a:solidFill>
                <a:srgbClr val="000000"/>
              </a:solidFill>
              <a:latin typeface="Arial"/>
              <a:cs typeface="Arial"/>
            </a:rPr>
            <a:t>          T = the year of inventory</a:t>
          </a:r>
        </a:p>
        <a:p>
          <a:pPr algn="l" rtl="0">
            <a:defRPr sz="1000"/>
          </a:pPr>
          <a:r>
            <a:rPr lang="ja-JP" altLang="en-US" sz="1000" b="0" i="0" u="none" strike="noStrike" baseline="0">
              <a:solidFill>
                <a:srgbClr val="000000"/>
              </a:solidFill>
              <a:latin typeface="Arial"/>
              <a:cs typeface="Arial"/>
            </a:rPr>
            <a:t>          x = material fraction/waste category</a:t>
          </a:r>
        </a:p>
        <a:p>
          <a:pPr algn="l" rtl="0">
            <a:defRPr sz="1000"/>
          </a:pPr>
          <a:r>
            <a:rPr lang="ja-JP" altLang="en-US" sz="1000" b="0" i="0" u="none" strike="noStrike" baseline="0">
              <a:solidFill>
                <a:srgbClr val="000000"/>
              </a:solidFill>
              <a:latin typeface="Arial"/>
              <a:cs typeface="Arial"/>
            </a:rPr>
            <a:t>          W(T) = amount deposited in year T</a:t>
          </a:r>
        </a:p>
        <a:p>
          <a:pPr algn="l" rtl="0">
            <a:defRPr sz="1000"/>
          </a:pPr>
          <a:r>
            <a:rPr lang="ja-JP" altLang="en-US" sz="1000" b="0" i="0" u="none" strike="noStrike" baseline="0">
              <a:solidFill>
                <a:srgbClr val="000000"/>
              </a:solidFill>
              <a:latin typeface="Arial"/>
              <a:cs typeface="Arial"/>
            </a:rPr>
            <a:t>          MCF = Methane Correction Factor</a:t>
          </a:r>
        </a:p>
        <a:p>
          <a:pPr algn="l" rtl="0">
            <a:defRPr sz="1000"/>
          </a:pPr>
          <a:r>
            <a:rPr lang="ja-JP" altLang="en-US" sz="1000" b="0" i="0" u="none" strike="noStrike" baseline="0">
              <a:solidFill>
                <a:srgbClr val="000000"/>
              </a:solidFill>
              <a:latin typeface="Arial"/>
              <a:cs typeface="Arial"/>
            </a:rPr>
            <a:t>          DOC = Degradable organic carbon (under aerobic conditions)</a:t>
          </a:r>
        </a:p>
        <a:p>
          <a:pPr algn="l" rtl="0">
            <a:defRPr sz="1000"/>
          </a:pPr>
          <a:r>
            <a:rPr lang="ja-JP" altLang="en-US" sz="1000" b="0" i="0" u="none" strike="noStrike" baseline="0">
              <a:solidFill>
                <a:srgbClr val="000000"/>
              </a:solidFill>
              <a:latin typeface="Arial"/>
              <a:cs typeface="Arial"/>
            </a:rPr>
            <a:t>          DOCf = Fraction of DOC decomposing under anaerobic conditions</a:t>
          </a:r>
        </a:p>
        <a:p>
          <a:pPr algn="l" rtl="0">
            <a:defRPr sz="1000"/>
          </a:pPr>
          <a:r>
            <a:rPr lang="ja-JP" altLang="en-US" sz="1000" b="0" i="0" u="none" strike="noStrike" baseline="0">
              <a:solidFill>
                <a:srgbClr val="000000"/>
              </a:solidFill>
              <a:latin typeface="Arial"/>
              <a:cs typeface="Arial"/>
            </a:rPr>
            <a:t>          DDOC = Decomposable Degradable Organic Carbon (under anaerobic conditions)</a:t>
          </a:r>
        </a:p>
        <a:p>
          <a:pPr algn="l" rtl="0">
            <a:defRPr sz="1000"/>
          </a:pPr>
          <a:r>
            <a:rPr lang="ja-JP" altLang="en-US" sz="1000" b="0" i="0" u="none" strike="noStrike" baseline="0">
              <a:solidFill>
                <a:srgbClr val="000000"/>
              </a:solidFill>
              <a:latin typeface="Arial"/>
              <a:cs typeface="Arial"/>
            </a:rPr>
            <a:t>          DDOCmd(T) = mass of DDOC deposited year T</a:t>
          </a:r>
        </a:p>
        <a:p>
          <a:pPr algn="l" rtl="0">
            <a:defRPr sz="1000"/>
          </a:pPr>
          <a:r>
            <a:rPr lang="ja-JP" altLang="en-US" sz="1000" b="0" i="0" u="none" strike="noStrike" baseline="0">
              <a:solidFill>
                <a:srgbClr val="000000"/>
              </a:solidFill>
              <a:latin typeface="Arial"/>
              <a:cs typeface="Arial"/>
            </a:rPr>
            <a:t>          DDOCmrem(T) = mass of DDOC deposited in inventory year T, remaining not decomposed at the           </a:t>
          </a:r>
        </a:p>
        <a:p>
          <a:pPr algn="l" rtl="0">
            <a:defRPr sz="1000"/>
          </a:pPr>
          <a:r>
            <a:rPr lang="ja-JP" altLang="en-US" sz="1000" b="0" i="0" u="none" strike="noStrike" baseline="0">
              <a:solidFill>
                <a:srgbClr val="000000"/>
              </a:solidFill>
              <a:latin typeface="Arial"/>
              <a:cs typeface="Arial"/>
            </a:rPr>
            <a:t>                                   end of year.</a:t>
          </a:r>
        </a:p>
        <a:p>
          <a:pPr algn="l" rtl="0">
            <a:defRPr sz="1000"/>
          </a:pPr>
          <a:r>
            <a:rPr lang="ja-JP" altLang="en-US" sz="1000" b="0" i="0" u="none" strike="noStrike" baseline="0">
              <a:solidFill>
                <a:srgbClr val="000000"/>
              </a:solidFill>
              <a:latin typeface="Arial"/>
              <a:cs typeface="Arial"/>
            </a:rPr>
            <a:t>          DDOCmdec(T) = mass of DDOC deposited in inventory year T, decomposed during the year.</a:t>
          </a:r>
        </a:p>
        <a:p>
          <a:pPr algn="l" rtl="0">
            <a:defRPr sz="1000"/>
          </a:pPr>
          <a:r>
            <a:rPr lang="ja-JP" altLang="en-US" sz="1000" b="0" i="0" u="none" strike="noStrike" baseline="0">
              <a:solidFill>
                <a:srgbClr val="000000"/>
              </a:solidFill>
              <a:latin typeface="Arial"/>
              <a:cs typeface="Arial"/>
            </a:rPr>
            <a:t>          DDOCma(T) = total mass of DDOC left not decomposed at end of year T.        </a:t>
          </a:r>
        </a:p>
        <a:p>
          <a:pPr algn="l" rtl="0">
            <a:defRPr sz="1000"/>
          </a:pPr>
          <a:r>
            <a:rPr lang="ja-JP" altLang="en-US" sz="1000" b="0" i="0" u="none" strike="noStrike" baseline="0">
              <a:solidFill>
                <a:srgbClr val="000000"/>
              </a:solidFill>
              <a:latin typeface="Arial"/>
              <a:cs typeface="Arial"/>
            </a:rPr>
            <a:t>          DDOCma(T-1) = total mass of DDOC left not decomposed at end of year T-1.</a:t>
          </a:r>
        </a:p>
        <a:p>
          <a:pPr algn="l" rtl="0">
            <a:defRPr sz="1000"/>
          </a:pPr>
          <a:r>
            <a:rPr lang="ja-JP" altLang="en-US" sz="1000" b="0" i="0" u="none" strike="noStrike" baseline="0">
              <a:solidFill>
                <a:srgbClr val="000000"/>
              </a:solidFill>
              <a:latin typeface="Arial"/>
              <a:cs typeface="Arial"/>
            </a:rPr>
            <a:t>          DDOCmdecomp(T) = total mass of DDOC decomposed in year T.</a:t>
          </a:r>
        </a:p>
        <a:p>
          <a:pPr algn="l" rtl="0">
            <a:defRPr sz="1000"/>
          </a:pPr>
          <a:r>
            <a:rPr lang="ja-JP" altLang="en-US" sz="1000" b="0" i="0" u="none" strike="noStrike" baseline="0">
              <a:solidFill>
                <a:srgbClr val="000000"/>
              </a:solidFill>
              <a:latin typeface="Arial"/>
              <a:cs typeface="Arial"/>
            </a:rPr>
            <a:t>          CH</a:t>
          </a:r>
          <a:r>
            <a:rPr lang="ja-JP" altLang="en-US" sz="1000" b="0" i="0" u="none" strike="noStrike" baseline="-25000">
              <a:solidFill>
                <a:srgbClr val="000000"/>
              </a:solidFill>
              <a:latin typeface="Arial"/>
              <a:cs typeface="Arial"/>
            </a:rPr>
            <a:t>4</a:t>
          </a:r>
          <a:r>
            <a:rPr lang="ja-JP" altLang="en-US" sz="1000" b="0" i="0" u="none" strike="noStrike" baseline="0">
              <a:solidFill>
                <a:srgbClr val="000000"/>
              </a:solidFill>
              <a:latin typeface="Arial"/>
              <a:cs typeface="Arial"/>
            </a:rPr>
            <a:t> generated(T) = CH</a:t>
          </a:r>
          <a:r>
            <a:rPr lang="ja-JP" altLang="en-US" sz="1000" b="0" i="0" u="none" strike="noStrike" baseline="-25000">
              <a:solidFill>
                <a:srgbClr val="000000"/>
              </a:solidFill>
              <a:latin typeface="Arial"/>
              <a:cs typeface="Arial"/>
            </a:rPr>
            <a:t>4</a:t>
          </a:r>
          <a:r>
            <a:rPr lang="ja-JP" altLang="en-US" sz="1000" b="0" i="0" u="none" strike="noStrike" baseline="0">
              <a:solidFill>
                <a:srgbClr val="000000"/>
              </a:solidFill>
              <a:latin typeface="Arial"/>
              <a:cs typeface="Arial"/>
            </a:rPr>
            <a:t> generated in year T</a:t>
          </a:r>
        </a:p>
        <a:p>
          <a:pPr algn="l" rtl="0">
            <a:defRPr sz="1000"/>
          </a:pPr>
          <a:r>
            <a:rPr lang="ja-JP" altLang="en-US" sz="1000" b="0" i="0" u="none" strike="noStrike" baseline="0">
              <a:solidFill>
                <a:srgbClr val="000000"/>
              </a:solidFill>
              <a:latin typeface="Arial"/>
              <a:cs typeface="Arial"/>
            </a:rPr>
            <a:t>          F = Fraction of CH</a:t>
          </a:r>
          <a:r>
            <a:rPr lang="ja-JP" altLang="en-US" sz="1000" b="0" i="0" u="none" strike="noStrike" baseline="-25000">
              <a:solidFill>
                <a:srgbClr val="000000"/>
              </a:solidFill>
              <a:latin typeface="Arial"/>
              <a:cs typeface="Arial"/>
            </a:rPr>
            <a:t>4</a:t>
          </a:r>
          <a:r>
            <a:rPr lang="ja-JP" altLang="en-US" sz="1000" b="0" i="0" u="none" strike="noStrike" baseline="0">
              <a:solidFill>
                <a:srgbClr val="000000"/>
              </a:solidFill>
              <a:latin typeface="Arial"/>
              <a:cs typeface="Arial"/>
            </a:rPr>
            <a:t> by volume in generated landfill gas</a:t>
          </a:r>
        </a:p>
        <a:p>
          <a:pPr algn="l" rtl="0">
            <a:defRPr sz="1000"/>
          </a:pPr>
          <a:r>
            <a:rPr lang="ja-JP" altLang="en-US" sz="1000" b="0" i="0" u="none" strike="noStrike" baseline="0">
              <a:solidFill>
                <a:srgbClr val="000000"/>
              </a:solidFill>
              <a:latin typeface="Arial"/>
              <a:cs typeface="Arial"/>
            </a:rPr>
            <a:t>          16/12 = Molecular weight ratio CH4/C </a:t>
          </a:r>
        </a:p>
        <a:p>
          <a:pPr algn="l" rtl="0">
            <a:defRPr sz="1000"/>
          </a:pPr>
          <a:r>
            <a:rPr lang="ja-JP" altLang="en-US" sz="1000" b="0" i="0" u="none" strike="noStrike" baseline="0">
              <a:solidFill>
                <a:srgbClr val="000000"/>
              </a:solidFill>
              <a:latin typeface="Arial"/>
              <a:cs typeface="Arial"/>
            </a:rPr>
            <a:t>          R(T) = Recovered CH</a:t>
          </a:r>
          <a:r>
            <a:rPr lang="ja-JP" altLang="en-US" sz="1000" b="0" i="0" u="none" strike="noStrike" baseline="-25000">
              <a:solidFill>
                <a:srgbClr val="000000"/>
              </a:solidFill>
              <a:latin typeface="Arial"/>
              <a:cs typeface="Arial"/>
            </a:rPr>
            <a:t>4</a:t>
          </a:r>
          <a:r>
            <a:rPr lang="ja-JP" altLang="en-US" sz="1000" b="0" i="0" u="none" strike="noStrike" baseline="0">
              <a:solidFill>
                <a:srgbClr val="000000"/>
              </a:solidFill>
              <a:latin typeface="Arial"/>
              <a:cs typeface="Arial"/>
            </a:rPr>
            <a:t> in year T</a:t>
          </a:r>
        </a:p>
        <a:p>
          <a:pPr algn="l" rtl="0">
            <a:defRPr sz="1000"/>
          </a:pPr>
          <a:r>
            <a:rPr lang="ja-JP" altLang="en-US" sz="1000" b="0" i="0" u="none" strike="noStrike" baseline="0">
              <a:solidFill>
                <a:srgbClr val="000000"/>
              </a:solidFill>
              <a:latin typeface="Arial"/>
              <a:cs typeface="Arial"/>
            </a:rPr>
            <a:t>          OX(T) = Oxidation factor in year T (fraction)</a:t>
          </a:r>
        </a:p>
        <a:p>
          <a:pPr algn="l" rtl="0">
            <a:defRPr sz="1000"/>
          </a:pPr>
          <a:r>
            <a:rPr lang="ja-JP" altLang="en-US" sz="1000" b="0" i="0" u="none" strike="noStrike" baseline="0">
              <a:solidFill>
                <a:srgbClr val="000000"/>
              </a:solidFill>
              <a:latin typeface="Arial"/>
              <a:cs typeface="Arial"/>
            </a:rPr>
            <a:t>          k = rate of reaction constant </a:t>
          </a:r>
        </a:p>
        <a:p>
          <a:pPr algn="l" rtl="0">
            <a:defRPr sz="1000"/>
          </a:pPr>
          <a:r>
            <a:rPr lang="ja-JP" altLang="en-US" sz="1000" b="0" i="0" u="none" strike="noStrike" baseline="0">
              <a:solidFill>
                <a:srgbClr val="000000"/>
              </a:solidFill>
              <a:latin typeface="Arial"/>
              <a:cs typeface="Arial"/>
            </a:rPr>
            <a:t>          M = Month of reaction start (= delay time + 7)</a:t>
          </a:r>
        </a:p>
        <a:p>
          <a:pPr algn="l" rtl="0">
            <a:defRPr sz="1000"/>
          </a:pPr>
          <a:endParaRPr lang="ja-JP" alt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10.v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omments" Target="../comments1.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44"/>
    <pageSetUpPr fitToPage="1"/>
  </sheetPr>
  <dimension ref="B7:K135"/>
  <sheetViews>
    <sheetView topLeftCell="A60" zoomScaleNormal="100" workbookViewId="0">
      <selection activeCell="K11" sqref="K11"/>
    </sheetView>
  </sheetViews>
  <sheetFormatPr defaultColWidth="11.44140625" defaultRowHeight="13.2"/>
  <cols>
    <col min="1" max="1" width="1.6640625" style="10" customWidth="1"/>
    <col min="2" max="7" width="11.44140625" style="10" customWidth="1"/>
    <col min="8" max="8" width="18.109375" style="10" customWidth="1"/>
    <col min="9" max="16384" width="11.44140625" style="10"/>
  </cols>
  <sheetData>
    <row r="7" spans="2:11" ht="17.399999999999999">
      <c r="B7" s="655" t="s">
        <v>267</v>
      </c>
      <c r="C7" s="655"/>
      <c r="D7" s="655"/>
      <c r="E7" s="655"/>
      <c r="F7" s="655"/>
      <c r="G7" s="655"/>
      <c r="H7" s="655"/>
      <c r="I7" s="655"/>
      <c r="J7" s="579"/>
      <c r="K7" s="579"/>
    </row>
    <row r="8" spans="2:11" s="9" customFormat="1">
      <c r="B8" s="10"/>
      <c r="C8" s="10"/>
      <c r="D8" s="10"/>
      <c r="E8" s="10"/>
      <c r="F8" s="10"/>
      <c r="G8" s="10"/>
      <c r="H8" s="10"/>
      <c r="I8" s="10"/>
      <c r="J8" s="10"/>
      <c r="K8" s="10"/>
    </row>
    <row r="9" spans="2:11" ht="36" customHeight="1">
      <c r="B9" s="656" t="s">
        <v>277</v>
      </c>
      <c r="C9" s="656"/>
      <c r="D9" s="656"/>
      <c r="E9" s="656"/>
      <c r="F9" s="656"/>
      <c r="G9" s="656"/>
      <c r="H9" s="656"/>
      <c r="I9" s="656"/>
      <c r="J9" s="580"/>
      <c r="K9" s="580"/>
    </row>
    <row r="10" spans="2:11" ht="15" customHeight="1">
      <c r="I10" s="581" t="s">
        <v>268</v>
      </c>
    </row>
    <row r="11" spans="2:11" s="599" customFormat="1" ht="241.2" customHeight="1">
      <c r="B11" s="657" t="s">
        <v>303</v>
      </c>
      <c r="C11" s="658"/>
      <c r="D11" s="658"/>
      <c r="E11" s="658"/>
      <c r="F11" s="658"/>
      <c r="G11" s="658"/>
      <c r="H11" s="658"/>
      <c r="I11" s="658"/>
    </row>
    <row r="12" spans="2:11" ht="12" customHeight="1"/>
    <row r="29" ht="18.45" customHeight="1"/>
    <row r="30" ht="18.45" customHeight="1"/>
    <row r="31" ht="18.45" customHeight="1"/>
    <row r="32" ht="18.45" customHeight="1"/>
    <row r="33" ht="18.45" customHeight="1"/>
    <row r="34" ht="18.45" customHeight="1"/>
    <row r="35" ht="18.45" customHeight="1"/>
    <row r="36" ht="18.45" customHeight="1"/>
    <row r="37" ht="18.45" customHeight="1"/>
    <row r="38" ht="18.45" customHeight="1"/>
    <row r="39" ht="18.45" customHeight="1"/>
    <row r="40" ht="18.45" customHeight="1"/>
    <row r="41" ht="18.45" customHeight="1"/>
    <row r="42" ht="18.45" customHeight="1"/>
    <row r="43" ht="18.45" customHeight="1"/>
    <row r="44" ht="18.45" customHeight="1"/>
    <row r="45" ht="18.45" customHeight="1"/>
    <row r="46" ht="18.45" customHeight="1"/>
    <row r="47" ht="18.45" customHeight="1"/>
    <row r="48" ht="18.45" customHeight="1"/>
    <row r="49" ht="18.45" customHeight="1"/>
    <row r="50" ht="18.45" customHeight="1"/>
    <row r="51" ht="18.45" customHeight="1"/>
    <row r="52" ht="18.45" customHeight="1"/>
    <row r="53" ht="18.45" customHeight="1"/>
    <row r="54" ht="18.45" customHeight="1"/>
    <row r="55" ht="18.45" customHeight="1"/>
    <row r="56" ht="18.45" customHeight="1"/>
    <row r="57" ht="18.45" customHeight="1"/>
    <row r="58" ht="18.45" customHeight="1"/>
    <row r="59" ht="18.45" customHeight="1"/>
    <row r="60" ht="18.45" customHeight="1"/>
    <row r="61" ht="18.45" customHeight="1"/>
    <row r="62" ht="18.45" customHeight="1"/>
    <row r="63" ht="18.45" customHeight="1"/>
    <row r="64" ht="18.45" customHeight="1"/>
    <row r="65" ht="18.45" customHeight="1"/>
    <row r="66" ht="18.45" customHeight="1"/>
    <row r="67" ht="18.45" customHeight="1"/>
    <row r="68" ht="18.45" customHeight="1"/>
    <row r="69" ht="18.45" customHeight="1"/>
    <row r="70" ht="18.45" customHeight="1"/>
    <row r="71" ht="18.45" customHeight="1"/>
    <row r="72" ht="18.45" customHeight="1"/>
    <row r="73" ht="18.45" customHeight="1"/>
    <row r="74" ht="18.45" customHeight="1"/>
    <row r="75" ht="18.45" customHeight="1"/>
    <row r="135" spans="9:9">
      <c r="I135" s="581"/>
    </row>
  </sheetData>
  <customSheetViews>
    <customSheetView guid="{B400968E-E9A7-41C3-9739-36597C9C6BC6}" showRuler="0" topLeftCell="A24">
      <selection activeCell="J28" sqref="J28"/>
      <pageMargins left="0.75" right="0.75" top="1" bottom="1" header="0.5" footer="0.5"/>
      <pageSetup paperSize="9" scale="86" fitToHeight="3" orientation="portrait"/>
      <headerFooter alignWithMargins="0">
        <oddFooter>Page &amp;P of &amp;N</oddFooter>
      </headerFooter>
    </customSheetView>
  </customSheetViews>
  <mergeCells count="3">
    <mergeCell ref="B7:I7"/>
    <mergeCell ref="B9:I9"/>
    <mergeCell ref="B11:I11"/>
  </mergeCells>
  <phoneticPr fontId="17" type="noConversion"/>
  <pageMargins left="0.75" right="0.75" top="1" bottom="1" header="0.5" footer="0.5"/>
  <pageSetup paperSize="9" scale="86" fitToHeight="3" orientation="portrait"/>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60960</xdr:rowOff>
              </from>
              <to>
                <xdr:col>9</xdr:col>
                <xdr:colOff>373380</xdr:colOff>
                <xdr:row>86</xdr:row>
                <xdr:rowOff>129540</xdr:rowOff>
              </to>
            </anchor>
          </objectPr>
        </oleObject>
      </mc:Choice>
      <mc:Fallback>
        <oleObject progId="Word.Document.8" shapeId="11268" r:id="rId3"/>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indexed="44"/>
  </sheetPr>
  <dimension ref="B1:M5"/>
  <sheetViews>
    <sheetView showGridLines="0" workbookViewId="0">
      <selection activeCell="L78" sqref="L78"/>
    </sheetView>
  </sheetViews>
  <sheetFormatPr defaultColWidth="11.44140625" defaultRowHeight="13.2"/>
  <cols>
    <col min="1" max="1" width="1" style="10" customWidth="1"/>
    <col min="2" max="7" width="11.44140625" style="10" customWidth="1"/>
    <col min="8" max="8" width="18.109375" style="10" customWidth="1"/>
    <col min="9" max="11" width="11.44140625" style="10" customWidth="1"/>
    <col min="12" max="12" width="8.6640625" style="10" customWidth="1"/>
    <col min="13" max="13" width="11.44140625" style="10" hidden="1" customWidth="1"/>
    <col min="14" max="16384" width="11.44140625" style="10"/>
  </cols>
  <sheetData>
    <row r="1" spans="2:5" ht="6.75" customHeight="1"/>
    <row r="2" spans="2:5" ht="13.8">
      <c r="B2" s="182" t="s">
        <v>19</v>
      </c>
    </row>
    <row r="3" spans="2:5" ht="9" customHeight="1"/>
    <row r="4" spans="2:5" ht="15.6">
      <c r="B4" s="11" t="s">
        <v>246</v>
      </c>
      <c r="D4" s="179"/>
      <c r="E4" s="179"/>
    </row>
    <row r="5" spans="2:5" ht="5.25" customHeight="1">
      <c r="B5" s="179"/>
      <c r="C5" s="179"/>
      <c r="D5" s="179"/>
      <c r="E5" s="179"/>
    </row>
  </sheetData>
  <sheetProtection password="CF65" sheet="1" objects="1" scenarios="1"/>
  <customSheetViews>
    <customSheetView guid="{B400968E-E9A7-41C3-9739-36597C9C6BC6}" showGridLines="0" showRuler="0" topLeftCell="A8">
      <selection activeCell="J11" sqref="J11"/>
      <pageMargins left="0.75" right="0.75" top="1" bottom="1" header="0.5" footer="0.5"/>
      <pageSetup paperSize="9" orientation="portrait"/>
      <headerFooter alignWithMargins="0"/>
    </customSheetView>
  </customSheetViews>
  <phoneticPr fontId="17" type="noConversion"/>
  <pageMargins left="0.75" right="0.75" top="1" bottom="1" header="0.5" footer="0.5"/>
  <pageSetup paperSize="9" orientation="portrait"/>
  <headerFooter alignWithMargins="0"/>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tabColor indexed="44"/>
  </sheetPr>
  <dimension ref="A1:AI65"/>
  <sheetViews>
    <sheetView showGridLines="0" topLeftCell="S1" workbookViewId="0">
      <pane ySplit="3" topLeftCell="A4" activePane="bottomLeft" state="frozen"/>
      <selection activeCell="E19" sqref="E19"/>
      <selection pane="bottomLeft" activeCell="AJ9" sqref="AJ9"/>
    </sheetView>
  </sheetViews>
  <sheetFormatPr defaultColWidth="11.44140625" defaultRowHeight="13.2"/>
  <cols>
    <col min="1" max="1" width="2.6640625" style="13" customWidth="1"/>
    <col min="2" max="2" width="16.44140625" style="13" customWidth="1"/>
    <col min="3" max="3" width="16" style="13" customWidth="1"/>
    <col min="4" max="4" width="12.109375" style="13" customWidth="1"/>
    <col min="5" max="5" width="11.6640625" style="13" customWidth="1"/>
    <col min="6" max="6" width="9.6640625" style="13" customWidth="1"/>
    <col min="7" max="7" width="11" style="13" customWidth="1"/>
    <col min="8" max="8" width="9.6640625" style="13" customWidth="1"/>
    <col min="9" max="9" width="11.44140625" style="13" customWidth="1"/>
    <col min="10" max="10" width="9.6640625" style="13" customWidth="1"/>
    <col min="11" max="11" width="12.109375" style="13" customWidth="1"/>
    <col min="12" max="12" width="9.6640625" style="13" customWidth="1"/>
    <col min="13" max="14" width="10.6640625" style="13" customWidth="1"/>
    <col min="15" max="15" width="16.109375" style="13" customWidth="1"/>
    <col min="16" max="21" width="11.44140625" style="13" customWidth="1"/>
    <col min="22" max="22" width="19.44140625" style="208" customWidth="1"/>
    <col min="23" max="23" width="11" style="13" customWidth="1"/>
    <col min="24" max="24" width="10.109375" style="13" customWidth="1"/>
    <col min="25" max="31" width="9.6640625" style="13" customWidth="1"/>
    <col min="32" max="32" width="12.109375" style="13" customWidth="1"/>
    <col min="33" max="34" width="9.6640625" style="13" customWidth="1"/>
    <col min="35" max="16384" width="11.44140625" style="13"/>
  </cols>
  <sheetData>
    <row r="1" spans="1:35" ht="13.8">
      <c r="B1" s="107" t="s">
        <v>256</v>
      </c>
      <c r="O1" s="107" t="s">
        <v>299</v>
      </c>
      <c r="V1" s="107" t="s">
        <v>151</v>
      </c>
    </row>
    <row r="2" spans="1:35" ht="12.75" customHeight="1">
      <c r="B2" s="728" t="s">
        <v>63</v>
      </c>
      <c r="C2" s="728"/>
      <c r="D2" s="728"/>
      <c r="E2" s="728"/>
      <c r="F2" s="728"/>
      <c r="G2" s="728"/>
      <c r="H2" s="728"/>
    </row>
    <row r="3" spans="1:35" ht="13.8" thickBot="1">
      <c r="B3" s="728"/>
      <c r="C3" s="728"/>
      <c r="D3" s="728"/>
      <c r="E3" s="728"/>
      <c r="F3" s="728"/>
      <c r="G3" s="728"/>
      <c r="H3" s="728"/>
    </row>
    <row r="4" spans="1:35" ht="13.8" thickBot="1">
      <c r="R4"/>
      <c r="S4"/>
      <c r="V4" s="234" t="s">
        <v>189</v>
      </c>
      <c r="W4" s="181">
        <f>P11</f>
        <v>0.4</v>
      </c>
      <c r="X4" s="287">
        <f>P13</f>
        <v>0.24</v>
      </c>
      <c r="Y4" s="287">
        <f>P9</f>
        <v>0.15</v>
      </c>
      <c r="Z4" s="287">
        <f>P12</f>
        <v>0.43</v>
      </c>
      <c r="AA4" s="287">
        <f>P10</f>
        <v>0.2</v>
      </c>
      <c r="AB4" s="287">
        <f>P14</f>
        <v>0.24</v>
      </c>
      <c r="AC4" s="287">
        <f>P15</f>
        <v>0.05</v>
      </c>
      <c r="AD4" s="287">
        <f>P16</f>
        <v>0.39</v>
      </c>
      <c r="AE4" s="288">
        <v>0</v>
      </c>
    </row>
    <row r="5" spans="1:35" ht="13.5" customHeight="1" thickBot="1">
      <c r="B5" s="108"/>
      <c r="C5" s="183"/>
      <c r="D5" s="730" t="s">
        <v>58</v>
      </c>
      <c r="E5" s="731"/>
      <c r="F5" s="731"/>
      <c r="G5" s="723"/>
      <c r="H5" s="731" t="s">
        <v>68</v>
      </c>
      <c r="I5" s="731"/>
      <c r="J5" s="731"/>
      <c r="K5" s="723"/>
      <c r="L5" s="177"/>
      <c r="M5" s="177"/>
      <c r="N5" s="177"/>
      <c r="R5"/>
      <c r="S5"/>
      <c r="V5" s="536" t="s">
        <v>143</v>
      </c>
      <c r="W5" s="537">
        <v>2</v>
      </c>
      <c r="AF5" s="704" t="s">
        <v>148</v>
      </c>
      <c r="AG5" s="704" t="s">
        <v>152</v>
      </c>
      <c r="AH5" s="704" t="s">
        <v>295</v>
      </c>
      <c r="AI5"/>
    </row>
    <row r="6" spans="1:35" ht="13.8" thickBot="1">
      <c r="B6" s="228"/>
      <c r="C6" s="211"/>
      <c r="D6" s="709" t="s">
        <v>56</v>
      </c>
      <c r="E6" s="709"/>
      <c r="F6" s="709" t="s">
        <v>57</v>
      </c>
      <c r="G6" s="709"/>
      <c r="H6" s="709" t="s">
        <v>56</v>
      </c>
      <c r="I6" s="709"/>
      <c r="J6" s="709" t="s">
        <v>119</v>
      </c>
      <c r="K6" s="709"/>
      <c r="L6" s="177"/>
      <c r="M6" s="177"/>
      <c r="N6" s="177"/>
      <c r="P6"/>
      <c r="Q6"/>
      <c r="R6"/>
      <c r="S6"/>
      <c r="W6" s="681" t="s">
        <v>147</v>
      </c>
      <c r="X6" s="729"/>
      <c r="Y6" s="729"/>
      <c r="Z6" s="729"/>
      <c r="AA6" s="729"/>
      <c r="AB6" s="729"/>
      <c r="AC6" s="729"/>
      <c r="AD6" s="729"/>
      <c r="AE6" s="729"/>
      <c r="AF6" s="705"/>
      <c r="AG6" s="705"/>
      <c r="AH6" s="705"/>
      <c r="AI6"/>
    </row>
    <row r="7" spans="1:35" ht="27" thickBot="1">
      <c r="B7" s="714" t="s">
        <v>159</v>
      </c>
      <c r="C7" s="715"/>
      <c r="D7" s="712" t="s">
        <v>138</v>
      </c>
      <c r="E7" s="710" t="s">
        <v>135</v>
      </c>
      <c r="F7" s="712" t="s">
        <v>138</v>
      </c>
      <c r="G7" s="710" t="s">
        <v>135</v>
      </c>
      <c r="H7" s="712" t="s">
        <v>138</v>
      </c>
      <c r="I7" s="710" t="s">
        <v>135</v>
      </c>
      <c r="J7" s="712" t="s">
        <v>138</v>
      </c>
      <c r="K7" s="710" t="s">
        <v>135</v>
      </c>
      <c r="M7" s="176"/>
      <c r="N7" s="176"/>
      <c r="O7" s="224"/>
      <c r="P7" s="257" t="s">
        <v>138</v>
      </c>
      <c r="Q7" s="258" t="s">
        <v>135</v>
      </c>
      <c r="R7"/>
      <c r="S7"/>
      <c r="T7" s="233"/>
      <c r="V7" s="234"/>
      <c r="W7" s="601" t="s">
        <v>150</v>
      </c>
      <c r="X7" s="602" t="s">
        <v>18</v>
      </c>
      <c r="Y7" s="602" t="s">
        <v>7</v>
      </c>
      <c r="Z7" s="602" t="s">
        <v>3</v>
      </c>
      <c r="AA7" s="602" t="s">
        <v>168</v>
      </c>
      <c r="AB7" s="602" t="s">
        <v>169</v>
      </c>
      <c r="AC7" s="602" t="s">
        <v>163</v>
      </c>
      <c r="AD7" s="602" t="s">
        <v>170</v>
      </c>
      <c r="AE7" s="258" t="s">
        <v>171</v>
      </c>
      <c r="AF7" s="706"/>
      <c r="AG7" s="706"/>
      <c r="AH7" s="706"/>
      <c r="AI7"/>
    </row>
    <row r="8" spans="1:35" ht="13.8" thickBot="1">
      <c r="B8" s="716"/>
      <c r="C8" s="717"/>
      <c r="D8" s="713"/>
      <c r="E8" s="711"/>
      <c r="F8" s="713"/>
      <c r="G8" s="711"/>
      <c r="H8" s="713"/>
      <c r="I8" s="711"/>
      <c r="J8" s="713"/>
      <c r="K8" s="711"/>
      <c r="M8" s="176"/>
      <c r="N8" s="176"/>
      <c r="O8" s="590"/>
      <c r="P8" s="591"/>
      <c r="Q8" s="592"/>
      <c r="R8"/>
      <c r="S8"/>
      <c r="T8" s="233"/>
      <c r="U8" s="631">
        <v>1</v>
      </c>
      <c r="V8" s="603" t="s">
        <v>290</v>
      </c>
      <c r="W8" s="610">
        <v>24.7</v>
      </c>
      <c r="X8" s="611">
        <v>3.5</v>
      </c>
      <c r="Y8" s="611">
        <v>30</v>
      </c>
      <c r="Z8" s="611">
        <v>2.5</v>
      </c>
      <c r="AA8" s="611">
        <v>1.4</v>
      </c>
      <c r="AB8" s="611">
        <v>0</v>
      </c>
      <c r="AC8" s="611"/>
      <c r="AD8" s="612">
        <v>0</v>
      </c>
      <c r="AE8" s="613">
        <f>100-SUM(W8:AD8)</f>
        <v>37.9</v>
      </c>
      <c r="AF8" s="614">
        <v>0.34</v>
      </c>
      <c r="AG8" s="615"/>
      <c r="AH8" s="616">
        <f>ROUND((W8*W$4+X8*X$4+Y8*Y$4+Z8*Z$4+AA8*AA$4+AB8*AB$4+AC8*AC$4+AD8*AD$4)/100,2)</f>
        <v>0.17</v>
      </c>
      <c r="AI8"/>
    </row>
    <row r="9" spans="1:35" ht="25.5" customHeight="1">
      <c r="B9" s="707" t="s">
        <v>59</v>
      </c>
      <c r="C9" s="186" t="s">
        <v>67</v>
      </c>
      <c r="D9" s="125">
        <v>0.04</v>
      </c>
      <c r="E9" s="212" t="s">
        <v>203</v>
      </c>
      <c r="F9" s="229">
        <v>0.06</v>
      </c>
      <c r="G9" s="232" t="s">
        <v>204</v>
      </c>
      <c r="H9" s="125">
        <v>4.4999999999999998E-2</v>
      </c>
      <c r="I9" s="212" t="s">
        <v>201</v>
      </c>
      <c r="J9" s="229">
        <v>7.0000000000000007E-2</v>
      </c>
      <c r="K9" s="212" t="s">
        <v>210</v>
      </c>
      <c r="M9" s="178"/>
      <c r="N9" s="178"/>
      <c r="O9" s="253" t="s">
        <v>7</v>
      </c>
      <c r="P9" s="223">
        <v>0.15</v>
      </c>
      <c r="Q9" s="225" t="s">
        <v>139</v>
      </c>
      <c r="R9"/>
      <c r="S9"/>
      <c r="T9" s="233"/>
      <c r="U9" s="631">
        <v>2</v>
      </c>
      <c r="V9" s="235" t="s">
        <v>144</v>
      </c>
      <c r="W9" s="617">
        <v>20.399999999999999</v>
      </c>
      <c r="X9" s="613">
        <v>1</v>
      </c>
      <c r="Y9" s="613">
        <v>40.299999999999997</v>
      </c>
      <c r="Z9" s="613">
        <v>2.1</v>
      </c>
      <c r="AA9" s="613">
        <v>0</v>
      </c>
      <c r="AB9" s="613">
        <v>0</v>
      </c>
      <c r="AC9" s="613"/>
      <c r="AD9" s="613">
        <v>0</v>
      </c>
      <c r="AE9" s="613">
        <f>100-SUM(W9:AD9)</f>
        <v>36.200000000000003</v>
      </c>
      <c r="AF9" s="618">
        <v>0.48</v>
      </c>
      <c r="AG9" s="619">
        <v>0.23</v>
      </c>
      <c r="AH9" s="616">
        <f>ROUND((W9*W$4+X9*X$4+Y9*Y$4+Z9*Z$4+AA9*AA$4+AB9*AB$4+AC9*AC$4+AD9*AD$4)/100,2)</f>
        <v>0.15</v>
      </c>
      <c r="AI9"/>
    </row>
    <row r="10" spans="1:35" ht="26.4">
      <c r="B10" s="708"/>
      <c r="C10" s="245" t="s">
        <v>160</v>
      </c>
      <c r="D10" s="247">
        <v>0.02</v>
      </c>
      <c r="E10" s="248" t="s">
        <v>202</v>
      </c>
      <c r="F10" s="249">
        <v>0.03</v>
      </c>
      <c r="G10" s="250" t="s">
        <v>205</v>
      </c>
      <c r="H10" s="247">
        <v>2.5000000000000001E-2</v>
      </c>
      <c r="I10" s="248" t="s">
        <v>205</v>
      </c>
      <c r="J10" s="249">
        <v>3.5000000000000003E-2</v>
      </c>
      <c r="K10" s="248" t="s">
        <v>203</v>
      </c>
      <c r="M10" s="178"/>
      <c r="N10" s="178"/>
      <c r="O10" s="254" t="s">
        <v>54</v>
      </c>
      <c r="P10" s="221">
        <v>0.2</v>
      </c>
      <c r="Q10" s="226" t="s">
        <v>257</v>
      </c>
      <c r="R10"/>
      <c r="S10"/>
      <c r="T10" s="233"/>
      <c r="U10" s="631">
        <v>3</v>
      </c>
      <c r="V10" s="236" t="s">
        <v>291</v>
      </c>
      <c r="W10" s="620">
        <v>12.2</v>
      </c>
      <c r="X10" s="621">
        <v>0.4</v>
      </c>
      <c r="Y10" s="621">
        <v>51.6</v>
      </c>
      <c r="Z10" s="621">
        <v>0.5</v>
      </c>
      <c r="AA10" s="621">
        <v>0.6</v>
      </c>
      <c r="AB10" s="621">
        <v>0</v>
      </c>
      <c r="AC10" s="621"/>
      <c r="AD10" s="621">
        <v>0</v>
      </c>
      <c r="AE10" s="621">
        <f t="shared" ref="AE10:AE26" si="0">100-SUM(W10:AD10)</f>
        <v>34.700000000000003</v>
      </c>
      <c r="AF10" s="622">
        <v>0.48</v>
      </c>
      <c r="AG10" s="623"/>
      <c r="AH10" s="624">
        <f t="shared" ref="AH10:AH26" si="1">ROUND((W10*W$4+X10*X$4+Y10*Y$4+Z10*Z$4+AA10*AA$4+AB10*AB$4+AC10*AC$4+AD10*AD$4)/100,2)</f>
        <v>0.13</v>
      </c>
      <c r="AI10"/>
    </row>
    <row r="11" spans="1:35" ht="25.5" customHeight="1">
      <c r="B11" s="244" t="s">
        <v>60</v>
      </c>
      <c r="C11" s="245" t="s">
        <v>61</v>
      </c>
      <c r="D11" s="126">
        <v>0.05</v>
      </c>
      <c r="E11" s="213" t="s">
        <v>201</v>
      </c>
      <c r="F11" s="230">
        <v>0.1</v>
      </c>
      <c r="G11" s="214" t="s">
        <v>206</v>
      </c>
      <c r="H11" s="126">
        <v>6.5000000000000002E-2</v>
      </c>
      <c r="I11" s="213" t="s">
        <v>200</v>
      </c>
      <c r="J11" s="230">
        <v>0.17</v>
      </c>
      <c r="K11" s="213" t="s">
        <v>211</v>
      </c>
      <c r="M11" s="178"/>
      <c r="N11" s="178"/>
      <c r="O11" s="254" t="s">
        <v>2</v>
      </c>
      <c r="P11" s="221">
        <v>0.4</v>
      </c>
      <c r="Q11" s="226" t="s">
        <v>140</v>
      </c>
      <c r="R11"/>
      <c r="S11"/>
      <c r="T11" s="233"/>
      <c r="U11" s="631">
        <v>4</v>
      </c>
      <c r="V11" s="236" t="s">
        <v>292</v>
      </c>
      <c r="W11" s="620">
        <v>9.1999999999999993</v>
      </c>
      <c r="X11" s="621">
        <v>1.2</v>
      </c>
      <c r="Y11" s="621">
        <v>66.099999999999994</v>
      </c>
      <c r="Z11" s="621">
        <v>0</v>
      </c>
      <c r="AA11" s="621">
        <v>0</v>
      </c>
      <c r="AB11" s="621">
        <v>0</v>
      </c>
      <c r="AC11" s="621"/>
      <c r="AD11" s="621">
        <v>0.4</v>
      </c>
      <c r="AE11" s="621">
        <f t="shared" si="0"/>
        <v>23.099999999999994</v>
      </c>
      <c r="AF11" s="622">
        <v>0.5</v>
      </c>
      <c r="AG11" s="623"/>
      <c r="AH11" s="624">
        <f t="shared" si="1"/>
        <v>0.14000000000000001</v>
      </c>
      <c r="AI11"/>
    </row>
    <row r="12" spans="1:35" ht="25.5" customHeight="1" thickBot="1">
      <c r="B12" s="246" t="s">
        <v>62</v>
      </c>
      <c r="C12" s="187" t="s">
        <v>90</v>
      </c>
      <c r="D12" s="126">
        <v>0.06</v>
      </c>
      <c r="E12" s="213" t="s">
        <v>200</v>
      </c>
      <c r="F12" s="230">
        <v>0.185</v>
      </c>
      <c r="G12" s="214" t="s">
        <v>207</v>
      </c>
      <c r="H12" s="127">
        <v>8.5000000000000006E-2</v>
      </c>
      <c r="I12" s="215" t="s">
        <v>209</v>
      </c>
      <c r="J12" s="231">
        <v>0.4</v>
      </c>
      <c r="K12" s="215" t="s">
        <v>199</v>
      </c>
      <c r="M12" s="178"/>
      <c r="N12" s="178"/>
      <c r="O12" s="254" t="s">
        <v>55</v>
      </c>
      <c r="P12" s="221">
        <v>0.43</v>
      </c>
      <c r="Q12" s="226" t="s">
        <v>141</v>
      </c>
      <c r="R12"/>
      <c r="S12"/>
      <c r="T12" s="233"/>
      <c r="U12" s="631">
        <v>5</v>
      </c>
      <c r="V12" s="236" t="s">
        <v>285</v>
      </c>
      <c r="W12" s="620">
        <v>15.3</v>
      </c>
      <c r="X12" s="621">
        <v>3</v>
      </c>
      <c r="Y12" s="621">
        <v>42.2</v>
      </c>
      <c r="Z12" s="621">
        <v>0.8</v>
      </c>
      <c r="AA12" s="621">
        <v>3.2</v>
      </c>
      <c r="AB12" s="621">
        <v>0.4</v>
      </c>
      <c r="AC12" s="621"/>
      <c r="AD12" s="621">
        <v>0.3</v>
      </c>
      <c r="AE12" s="621">
        <f t="shared" si="0"/>
        <v>34.799999999999997</v>
      </c>
      <c r="AF12" s="622">
        <v>0.69</v>
      </c>
      <c r="AG12" s="623">
        <v>0.79</v>
      </c>
      <c r="AH12" s="624">
        <f t="shared" si="1"/>
        <v>0.14000000000000001</v>
      </c>
      <c r="AI12"/>
    </row>
    <row r="13" spans="1:35" ht="27" thickBot="1">
      <c r="B13" s="259" t="s">
        <v>165</v>
      </c>
      <c r="C13" s="260" t="s">
        <v>89</v>
      </c>
      <c r="D13" s="261">
        <v>0.05</v>
      </c>
      <c r="E13" s="262" t="s">
        <v>201</v>
      </c>
      <c r="F13" s="263">
        <v>0.09</v>
      </c>
      <c r="G13" s="264" t="s">
        <v>208</v>
      </c>
      <c r="H13" s="261">
        <v>6.5000000000000002E-2</v>
      </c>
      <c r="I13" s="262" t="s">
        <v>200</v>
      </c>
      <c r="J13" s="263">
        <v>0.17</v>
      </c>
      <c r="K13" s="262" t="s">
        <v>211</v>
      </c>
      <c r="M13" s="178"/>
      <c r="N13" s="178"/>
      <c r="O13" s="254" t="s">
        <v>18</v>
      </c>
      <c r="P13" s="221">
        <v>0.24</v>
      </c>
      <c r="Q13" s="226" t="s">
        <v>142</v>
      </c>
      <c r="R13"/>
      <c r="S13"/>
      <c r="U13" s="631">
        <v>6</v>
      </c>
      <c r="V13" s="236" t="s">
        <v>271</v>
      </c>
      <c r="W13" s="620">
        <v>12.1</v>
      </c>
      <c r="X13" s="621">
        <v>5.8</v>
      </c>
      <c r="Y13" s="621">
        <v>50.4</v>
      </c>
      <c r="Z13" s="621">
        <v>0</v>
      </c>
      <c r="AA13" s="621">
        <v>0</v>
      </c>
      <c r="AB13" s="621">
        <v>0</v>
      </c>
      <c r="AC13" s="621"/>
      <c r="AD13" s="621">
        <v>0</v>
      </c>
      <c r="AE13" s="621">
        <f t="shared" si="0"/>
        <v>31.700000000000003</v>
      </c>
      <c r="AF13" s="622">
        <v>0.41</v>
      </c>
      <c r="AG13" s="623">
        <v>0.96</v>
      </c>
      <c r="AH13" s="624">
        <f t="shared" si="1"/>
        <v>0.14000000000000001</v>
      </c>
      <c r="AI13"/>
    </row>
    <row r="14" spans="1:35" ht="26.4">
      <c r="I14" s="109"/>
      <c r="M14" s="178"/>
      <c r="N14" s="178"/>
      <c r="O14" s="255" t="s">
        <v>162</v>
      </c>
      <c r="P14" s="251">
        <v>0.24</v>
      </c>
      <c r="Q14" s="252" t="s">
        <v>164</v>
      </c>
      <c r="R14"/>
      <c r="S14"/>
      <c r="U14" s="631">
        <v>7</v>
      </c>
      <c r="V14" s="236" t="s">
        <v>269</v>
      </c>
      <c r="W14" s="620">
        <v>10.4</v>
      </c>
      <c r="X14" s="621">
        <v>3</v>
      </c>
      <c r="Y14" s="621">
        <v>44.4</v>
      </c>
      <c r="Z14" s="621">
        <v>0.5</v>
      </c>
      <c r="AA14" s="625">
        <v>6.9</v>
      </c>
      <c r="AB14" s="621">
        <v>0</v>
      </c>
      <c r="AC14" s="621"/>
      <c r="AD14" s="625">
        <v>0.4</v>
      </c>
      <c r="AE14" s="621">
        <f t="shared" si="0"/>
        <v>34.399999999999991</v>
      </c>
      <c r="AF14" s="622">
        <v>0.28999999999999998</v>
      </c>
      <c r="AG14" s="623">
        <v>0.98</v>
      </c>
      <c r="AH14" s="624">
        <f t="shared" si="1"/>
        <v>0.13</v>
      </c>
      <c r="AI14"/>
    </row>
    <row r="15" spans="1:35">
      <c r="A15" s="109"/>
      <c r="B15" s="110" t="s">
        <v>69</v>
      </c>
      <c r="C15" s="109"/>
      <c r="D15" s="109"/>
      <c r="E15" s="109"/>
      <c r="F15" s="109"/>
      <c r="G15" s="109"/>
      <c r="H15" s="109"/>
      <c r="I15" s="109"/>
      <c r="J15" s="109"/>
      <c r="K15" s="109"/>
      <c r="L15" s="109"/>
      <c r="M15" s="178"/>
      <c r="N15" s="178"/>
      <c r="O15" s="255" t="s">
        <v>163</v>
      </c>
      <c r="P15" s="251">
        <v>0.05</v>
      </c>
      <c r="Q15" s="252" t="s">
        <v>166</v>
      </c>
      <c r="R15"/>
      <c r="S15"/>
      <c r="U15" s="631">
        <v>8</v>
      </c>
      <c r="V15" s="236" t="s">
        <v>270</v>
      </c>
      <c r="W15" s="620">
        <v>8</v>
      </c>
      <c r="X15" s="621">
        <v>1.3</v>
      </c>
      <c r="Y15" s="621">
        <v>28.4</v>
      </c>
      <c r="Z15" s="621">
        <v>0</v>
      </c>
      <c r="AA15" s="621">
        <v>0</v>
      </c>
      <c r="AB15" s="621">
        <v>0</v>
      </c>
      <c r="AC15" s="621"/>
      <c r="AD15" s="621">
        <v>0</v>
      </c>
      <c r="AE15" s="621">
        <f t="shared" si="0"/>
        <v>62.3</v>
      </c>
      <c r="AF15" s="622">
        <v>0.19</v>
      </c>
      <c r="AG15" s="623">
        <v>0.95</v>
      </c>
      <c r="AH15" s="624">
        <f t="shared" si="1"/>
        <v>0.08</v>
      </c>
      <c r="AI15"/>
    </row>
    <row r="16" spans="1:35" ht="13.8" thickBot="1">
      <c r="M16" s="178"/>
      <c r="N16" s="178"/>
      <c r="O16" s="255" t="s">
        <v>156</v>
      </c>
      <c r="P16" s="251">
        <v>0.39</v>
      </c>
      <c r="Q16" s="252" t="s">
        <v>258</v>
      </c>
      <c r="R16"/>
      <c r="S16"/>
      <c r="U16" s="631">
        <v>9</v>
      </c>
      <c r="V16" s="236" t="s">
        <v>145</v>
      </c>
      <c r="W16" s="620">
        <v>14.5</v>
      </c>
      <c r="X16" s="621">
        <v>5.5</v>
      </c>
      <c r="Y16" s="621">
        <v>24</v>
      </c>
      <c r="Z16" s="621">
        <v>0</v>
      </c>
      <c r="AA16" s="621">
        <v>0</v>
      </c>
      <c r="AB16" s="621">
        <v>0</v>
      </c>
      <c r="AC16" s="621"/>
      <c r="AD16" s="621">
        <v>0</v>
      </c>
      <c r="AE16" s="621">
        <f t="shared" si="0"/>
        <v>56</v>
      </c>
      <c r="AF16" s="622">
        <v>0.33</v>
      </c>
      <c r="AG16" s="623"/>
      <c r="AH16" s="624">
        <f t="shared" si="1"/>
        <v>0.11</v>
      </c>
      <c r="AI16"/>
    </row>
    <row r="17" spans="1:35" ht="13.8" thickBot="1">
      <c r="C17" s="111" t="s">
        <v>70</v>
      </c>
      <c r="D17" s="112" t="s">
        <v>71</v>
      </c>
      <c r="E17" s="113" t="s">
        <v>72</v>
      </c>
      <c r="G17" s="533" t="s">
        <v>73</v>
      </c>
      <c r="N17" s="178"/>
      <c r="O17" s="265" t="s">
        <v>172</v>
      </c>
      <c r="P17" s="650">
        <v>0.14000000000000001</v>
      </c>
      <c r="Q17" s="651" t="s">
        <v>298</v>
      </c>
      <c r="R17"/>
      <c r="S17"/>
      <c r="U17" s="631">
        <v>10</v>
      </c>
      <c r="V17" s="236" t="s">
        <v>272</v>
      </c>
      <c r="W17" s="620">
        <v>7.5</v>
      </c>
      <c r="X17" s="621">
        <v>1.9</v>
      </c>
      <c r="Y17" s="621">
        <v>53.9</v>
      </c>
      <c r="Z17" s="621">
        <v>0</v>
      </c>
      <c r="AA17" s="621">
        <v>0</v>
      </c>
      <c r="AB17" s="621">
        <v>0</v>
      </c>
      <c r="AC17" s="621"/>
      <c r="AD17" s="621">
        <v>0</v>
      </c>
      <c r="AE17" s="621">
        <f t="shared" si="0"/>
        <v>36.700000000000003</v>
      </c>
      <c r="AF17" s="622">
        <v>0.18</v>
      </c>
      <c r="AG17" s="623">
        <v>0.64</v>
      </c>
      <c r="AH17" s="624">
        <f t="shared" si="1"/>
        <v>0.12</v>
      </c>
      <c r="AI17"/>
    </row>
    <row r="18" spans="1:35" ht="13.8" thickBot="1">
      <c r="A18" s="13">
        <v>1</v>
      </c>
      <c r="B18" s="582" t="s">
        <v>53</v>
      </c>
      <c r="C18" s="114" t="s">
        <v>74</v>
      </c>
      <c r="D18" s="115"/>
      <c r="E18" s="116" t="s">
        <v>75</v>
      </c>
      <c r="G18" s="534">
        <v>2</v>
      </c>
      <c r="M18" s="109"/>
      <c r="O18" s="256" t="s">
        <v>26</v>
      </c>
      <c r="P18" s="222">
        <v>0.15</v>
      </c>
      <c r="Q18" s="227" t="s">
        <v>167</v>
      </c>
      <c r="R18"/>
      <c r="S18"/>
      <c r="U18" s="631">
        <v>11</v>
      </c>
      <c r="V18" s="236" t="s">
        <v>273</v>
      </c>
      <c r="W18" s="620">
        <v>17.100000000000001</v>
      </c>
      <c r="X18" s="621">
        <v>3.1</v>
      </c>
      <c r="Y18" s="621">
        <v>31.8</v>
      </c>
      <c r="Z18" s="621">
        <v>2.5</v>
      </c>
      <c r="AA18" s="621">
        <v>2.4</v>
      </c>
      <c r="AB18" s="621">
        <v>0.1</v>
      </c>
      <c r="AC18" s="621"/>
      <c r="AD18" s="621">
        <v>0.5</v>
      </c>
      <c r="AE18" s="621">
        <f t="shared" si="0"/>
        <v>42.5</v>
      </c>
      <c r="AF18" s="622">
        <v>0.37</v>
      </c>
      <c r="AG18" s="623">
        <v>0.71</v>
      </c>
      <c r="AH18" s="624">
        <f t="shared" si="1"/>
        <v>0.14000000000000001</v>
      </c>
      <c r="AI18"/>
    </row>
    <row r="19" spans="1:35" ht="13.8" thickBot="1">
      <c r="A19" s="13">
        <v>2</v>
      </c>
      <c r="B19" s="582" t="s">
        <v>76</v>
      </c>
      <c r="C19" s="117" t="s">
        <v>74</v>
      </c>
      <c r="D19" s="118"/>
      <c r="E19" s="119" t="s">
        <v>77</v>
      </c>
      <c r="U19" s="631">
        <v>12</v>
      </c>
      <c r="V19" s="236" t="s">
        <v>274</v>
      </c>
      <c r="W19" s="620">
        <v>13.8</v>
      </c>
      <c r="X19" s="621">
        <v>3.2</v>
      </c>
      <c r="Y19" s="621">
        <v>30.3</v>
      </c>
      <c r="Z19" s="621">
        <v>1.8</v>
      </c>
      <c r="AA19" s="621">
        <v>5.2</v>
      </c>
      <c r="AB19" s="621">
        <v>1.2</v>
      </c>
      <c r="AC19" s="621"/>
      <c r="AD19" s="621">
        <v>0</v>
      </c>
      <c r="AE19" s="621">
        <f t="shared" si="0"/>
        <v>44.5</v>
      </c>
      <c r="AF19" s="622">
        <v>0.48</v>
      </c>
      <c r="AG19" s="623">
        <v>0.47</v>
      </c>
      <c r="AH19" s="624">
        <f t="shared" si="1"/>
        <v>0.13</v>
      </c>
      <c r="AI19"/>
    </row>
    <row r="20" spans="1:35" s="109" customFormat="1" ht="13.8" thickBot="1">
      <c r="A20" s="13">
        <v>3</v>
      </c>
      <c r="B20" s="582" t="s">
        <v>78</v>
      </c>
      <c r="C20" s="117" t="s">
        <v>79</v>
      </c>
      <c r="D20" s="118" t="s">
        <v>80</v>
      </c>
      <c r="E20" s="119"/>
      <c r="F20" s="13"/>
      <c r="G20" s="13"/>
      <c r="H20" s="13"/>
      <c r="I20" s="13"/>
      <c r="J20" s="13"/>
      <c r="K20" s="13"/>
      <c r="L20" s="13"/>
      <c r="M20" s="13"/>
      <c r="O20" s="535" t="s">
        <v>136</v>
      </c>
      <c r="P20" s="13">
        <v>1</v>
      </c>
      <c r="Q20" s="13" t="s">
        <v>174</v>
      </c>
      <c r="R20" s="13"/>
      <c r="S20" s="13"/>
      <c r="U20" s="631">
        <v>13</v>
      </c>
      <c r="V20" s="236" t="s">
        <v>146</v>
      </c>
      <c r="W20" s="620">
        <v>21.4</v>
      </c>
      <c r="X20" s="621">
        <v>2.8</v>
      </c>
      <c r="Y20" s="621">
        <v>35.799999999999997</v>
      </c>
      <c r="Z20" s="621">
        <v>1.2</v>
      </c>
      <c r="AA20" s="621">
        <v>1.4</v>
      </c>
      <c r="AB20" s="621">
        <v>1.1000000000000001</v>
      </c>
      <c r="AC20" s="621"/>
      <c r="AD20" s="621">
        <v>0.2</v>
      </c>
      <c r="AE20" s="621">
        <f t="shared" si="0"/>
        <v>36.099999999999994</v>
      </c>
      <c r="AF20" s="622">
        <v>0.47</v>
      </c>
      <c r="AG20" s="623">
        <v>0.76</v>
      </c>
      <c r="AH20" s="624">
        <f t="shared" si="1"/>
        <v>0.16</v>
      </c>
      <c r="AI20"/>
    </row>
    <row r="21" spans="1:35" ht="27" thickBot="1">
      <c r="A21" s="109">
        <v>4</v>
      </c>
      <c r="B21" s="582" t="s">
        <v>118</v>
      </c>
      <c r="C21" s="120" t="s">
        <v>79</v>
      </c>
      <c r="D21" s="121" t="s">
        <v>117</v>
      </c>
      <c r="E21" s="122"/>
      <c r="O21" s="534">
        <v>2</v>
      </c>
      <c r="P21" s="13">
        <v>2</v>
      </c>
      <c r="Q21" s="13" t="s">
        <v>173</v>
      </c>
      <c r="U21" s="631">
        <v>14</v>
      </c>
      <c r="V21" s="236" t="s">
        <v>275</v>
      </c>
      <c r="W21" s="620">
        <v>17.2</v>
      </c>
      <c r="X21" s="621">
        <v>5.9</v>
      </c>
      <c r="Y21" s="621">
        <v>33.200000000000003</v>
      </c>
      <c r="Z21" s="621">
        <v>2.2999999999999998</v>
      </c>
      <c r="AA21" s="621">
        <v>2.7</v>
      </c>
      <c r="AB21" s="621">
        <v>3</v>
      </c>
      <c r="AC21" s="621"/>
      <c r="AD21" s="621">
        <v>0</v>
      </c>
      <c r="AE21" s="621">
        <f t="shared" si="0"/>
        <v>35.699999999999989</v>
      </c>
      <c r="AF21" s="622">
        <v>0.59</v>
      </c>
      <c r="AG21" s="623">
        <v>0.08</v>
      </c>
      <c r="AH21" s="624">
        <f t="shared" si="1"/>
        <v>0.16</v>
      </c>
      <c r="AI21"/>
    </row>
    <row r="22" spans="1:35">
      <c r="A22" s="109"/>
      <c r="B22" s="176"/>
      <c r="C22" s="109"/>
      <c r="D22" s="109"/>
      <c r="E22" s="109"/>
      <c r="S22" s="109"/>
      <c r="U22" s="631">
        <v>15</v>
      </c>
      <c r="V22" s="236" t="s">
        <v>297</v>
      </c>
      <c r="W22" s="620"/>
      <c r="X22" s="621"/>
      <c r="Y22" s="621"/>
      <c r="Z22" s="621"/>
      <c r="AA22" s="621"/>
      <c r="AB22" s="621"/>
      <c r="AC22" s="621"/>
      <c r="AD22" s="621"/>
      <c r="AE22" s="621"/>
      <c r="AF22" s="622">
        <v>0.78</v>
      </c>
      <c r="AG22" s="623"/>
      <c r="AH22" s="648"/>
      <c r="AI22"/>
    </row>
    <row r="23" spans="1:35">
      <c r="U23" s="631">
        <v>16</v>
      </c>
      <c r="V23" s="236" t="s">
        <v>276</v>
      </c>
      <c r="W23" s="620">
        <v>12.6</v>
      </c>
      <c r="X23" s="621">
        <v>2.2000000000000002</v>
      </c>
      <c r="Y23" s="621">
        <v>62.7</v>
      </c>
      <c r="Z23" s="621">
        <v>0.3</v>
      </c>
      <c r="AA23" s="621">
        <v>0</v>
      </c>
      <c r="AB23" s="621">
        <v>0</v>
      </c>
      <c r="AC23" s="621"/>
      <c r="AD23" s="621">
        <v>0</v>
      </c>
      <c r="AE23" s="621">
        <f t="shared" si="0"/>
        <v>22.200000000000003</v>
      </c>
      <c r="AF23" s="622">
        <v>0.57999999999999996</v>
      </c>
      <c r="AG23" s="623">
        <v>0.81</v>
      </c>
      <c r="AH23" s="624">
        <f t="shared" si="1"/>
        <v>0.15</v>
      </c>
      <c r="AI23"/>
    </row>
    <row r="24" spans="1:35">
      <c r="B24" s="13" t="s">
        <v>64</v>
      </c>
      <c r="U24" s="631">
        <v>17</v>
      </c>
      <c r="V24" s="236" t="s">
        <v>286</v>
      </c>
      <c r="W24" s="620">
        <v>12.4</v>
      </c>
      <c r="X24" s="621">
        <v>1.7</v>
      </c>
      <c r="Y24" s="621">
        <v>54.1</v>
      </c>
      <c r="Z24" s="621">
        <v>0</v>
      </c>
      <c r="AA24" s="621">
        <v>3.3</v>
      </c>
      <c r="AB24" s="621">
        <v>1.9</v>
      </c>
      <c r="AC24" s="621"/>
      <c r="AD24" s="621">
        <v>0.6</v>
      </c>
      <c r="AE24" s="621">
        <f t="shared" si="0"/>
        <v>26</v>
      </c>
      <c r="AF24" s="622">
        <v>0.43</v>
      </c>
      <c r="AG24" s="623">
        <v>0.75</v>
      </c>
      <c r="AH24" s="624">
        <f t="shared" si="1"/>
        <v>0.15</v>
      </c>
      <c r="AI24"/>
    </row>
    <row r="25" spans="1:35">
      <c r="B25" s="13" t="s">
        <v>65</v>
      </c>
      <c r="U25" s="631">
        <v>18</v>
      </c>
      <c r="V25" s="236" t="s">
        <v>287</v>
      </c>
      <c r="W25" s="620">
        <v>23.3</v>
      </c>
      <c r="X25" s="621">
        <v>3.9</v>
      </c>
      <c r="Y25" s="621">
        <v>20.2</v>
      </c>
      <c r="Z25" s="621">
        <v>4.0999999999999996</v>
      </c>
      <c r="AA25" s="621">
        <v>6.8</v>
      </c>
      <c r="AB25" s="621">
        <v>0</v>
      </c>
      <c r="AC25" s="621"/>
      <c r="AD25" s="621">
        <v>1.6</v>
      </c>
      <c r="AE25" s="621">
        <f t="shared" si="0"/>
        <v>40.1</v>
      </c>
      <c r="AF25" s="622">
        <v>0.96</v>
      </c>
      <c r="AG25" s="623">
        <v>0.83</v>
      </c>
      <c r="AH25" s="624">
        <f t="shared" si="1"/>
        <v>0.17</v>
      </c>
      <c r="AI25"/>
    </row>
    <row r="26" spans="1:35" ht="26.4">
      <c r="B26" s="13" t="s">
        <v>66</v>
      </c>
      <c r="U26" s="631">
        <v>19</v>
      </c>
      <c r="V26" s="236" t="s">
        <v>288</v>
      </c>
      <c r="W26" s="620">
        <v>6.8</v>
      </c>
      <c r="X26" s="621">
        <v>3.9</v>
      </c>
      <c r="Y26" s="621">
        <v>27.3</v>
      </c>
      <c r="Z26" s="621">
        <v>6.45</v>
      </c>
      <c r="AA26" s="621">
        <v>13.4</v>
      </c>
      <c r="AB26" s="621">
        <v>3.7</v>
      </c>
      <c r="AC26" s="621"/>
      <c r="AD26" s="621">
        <v>0.6</v>
      </c>
      <c r="AE26" s="621">
        <f t="shared" si="0"/>
        <v>37.849999999999994</v>
      </c>
      <c r="AF26" s="622">
        <v>0.6</v>
      </c>
      <c r="AG26" s="623">
        <v>0.69</v>
      </c>
      <c r="AH26" s="624">
        <f t="shared" si="1"/>
        <v>0.14000000000000001</v>
      </c>
      <c r="AI26"/>
    </row>
    <row r="27" spans="1:35">
      <c r="B27" s="720" t="s">
        <v>81</v>
      </c>
      <c r="C27" s="720"/>
      <c r="D27" s="720"/>
      <c r="E27" s="720"/>
      <c r="F27" s="720"/>
      <c r="G27" s="720"/>
      <c r="H27" s="720"/>
      <c r="U27" s="631">
        <v>20</v>
      </c>
      <c r="V27" s="236" t="s">
        <v>289</v>
      </c>
      <c r="W27" s="620"/>
      <c r="X27" s="621"/>
      <c r="Y27" s="621"/>
      <c r="Z27" s="621"/>
      <c r="AA27" s="621"/>
      <c r="AB27" s="621"/>
      <c r="AC27" s="621"/>
      <c r="AD27" s="621"/>
      <c r="AE27" s="621"/>
      <c r="AF27" s="622">
        <v>1.18</v>
      </c>
      <c r="AG27" s="623"/>
      <c r="AH27" s="624"/>
      <c r="AI27"/>
    </row>
    <row r="28" spans="1:35">
      <c r="B28" s="721"/>
      <c r="C28" s="721"/>
      <c r="D28" s="721"/>
      <c r="E28" s="721"/>
      <c r="F28" s="721"/>
      <c r="G28" s="721"/>
      <c r="H28" s="721"/>
      <c r="U28" s="631">
        <v>21</v>
      </c>
      <c r="V28" s="636" t="s">
        <v>294</v>
      </c>
      <c r="W28" s="620"/>
      <c r="X28" s="621"/>
      <c r="Y28" s="621"/>
      <c r="Z28" s="621"/>
      <c r="AA28" s="621"/>
      <c r="AB28" s="621"/>
      <c r="AC28" s="621"/>
      <c r="AD28" s="621"/>
      <c r="AE28" s="621"/>
      <c r="AF28" s="622"/>
      <c r="AG28" s="623"/>
      <c r="AH28" s="624"/>
    </row>
    <row r="29" spans="1:35" ht="13.8" thickBot="1">
      <c r="B29" s="721"/>
      <c r="C29" s="721"/>
      <c r="D29" s="721"/>
      <c r="E29" s="721"/>
      <c r="F29" s="721"/>
      <c r="G29" s="721"/>
      <c r="H29" s="721"/>
      <c r="U29" s="631">
        <v>22</v>
      </c>
      <c r="V29" s="636" t="s">
        <v>302</v>
      </c>
      <c r="W29" s="626"/>
      <c r="X29" s="627"/>
      <c r="Y29" s="627"/>
      <c r="Z29" s="627"/>
      <c r="AA29" s="627"/>
      <c r="AB29" s="627"/>
      <c r="AC29" s="627"/>
      <c r="AD29" s="627"/>
      <c r="AE29" s="627"/>
      <c r="AF29" s="652">
        <v>1.35</v>
      </c>
      <c r="AG29" s="628"/>
      <c r="AH29" s="629"/>
    </row>
    <row r="30" spans="1:35">
      <c r="B30" s="721"/>
      <c r="C30" s="721"/>
      <c r="D30" s="721"/>
      <c r="E30" s="721"/>
      <c r="F30" s="721"/>
      <c r="G30" s="721"/>
      <c r="H30" s="721"/>
      <c r="W30" s="630">
        <f>AVERAGE(W8:W29)</f>
        <v>14.383333333333335</v>
      </c>
      <c r="X30" s="630">
        <f t="shared" ref="X30:AE30" si="2">AVERAGE(X8:X29)</f>
        <v>2.9611111111111112</v>
      </c>
      <c r="Y30" s="630">
        <f t="shared" si="2"/>
        <v>40.372222222222227</v>
      </c>
      <c r="Z30" s="630">
        <f t="shared" si="2"/>
        <v>1.3916666666666666</v>
      </c>
      <c r="AA30" s="630">
        <f t="shared" si="2"/>
        <v>2.6277777777777778</v>
      </c>
      <c r="AB30" s="630">
        <f t="shared" si="2"/>
        <v>0.6333333333333333</v>
      </c>
      <c r="AC30" s="630"/>
      <c r="AD30" s="630">
        <f t="shared" si="2"/>
        <v>0.25555555555555554</v>
      </c>
      <c r="AE30" s="630">
        <f t="shared" si="2"/>
        <v>37.375</v>
      </c>
      <c r="AF30" s="630">
        <f>SUM(W30:AE30)</f>
        <v>100</v>
      </c>
      <c r="AG30" s="631"/>
      <c r="AH30" s="647">
        <f>MIN(AH8:AH29)</f>
        <v>0.08</v>
      </c>
    </row>
    <row r="31" spans="1:35">
      <c r="B31" s="721"/>
      <c r="C31" s="721"/>
      <c r="D31" s="721"/>
      <c r="E31" s="721"/>
      <c r="F31" s="721"/>
      <c r="G31" s="721"/>
      <c r="H31" s="721"/>
      <c r="W31" s="632">
        <f>W30/$AF$30</f>
        <v>0.14383333333333334</v>
      </c>
      <c r="X31" s="633">
        <f t="shared" ref="X31:AE31" si="3">X30/$AF$30</f>
        <v>2.9611111111111112E-2</v>
      </c>
      <c r="Y31" s="633">
        <f t="shared" si="3"/>
        <v>0.40372222222222226</v>
      </c>
      <c r="Z31" s="633">
        <f t="shared" si="3"/>
        <v>1.3916666666666666E-2</v>
      </c>
      <c r="AA31" s="633">
        <f t="shared" si="3"/>
        <v>2.6277777777777778E-2</v>
      </c>
      <c r="AB31" s="633">
        <f t="shared" si="3"/>
        <v>6.3333333333333332E-3</v>
      </c>
      <c r="AC31" s="633"/>
      <c r="AD31" s="633">
        <f t="shared" si="3"/>
        <v>2.5555555555555553E-3</v>
      </c>
      <c r="AE31" s="633">
        <f t="shared" si="3"/>
        <v>0.37375000000000003</v>
      </c>
      <c r="AF31" s="631"/>
      <c r="AG31" s="631"/>
      <c r="AH31" s="647">
        <f>MAX(AH8:AH29)</f>
        <v>0.17</v>
      </c>
    </row>
    <row r="32" spans="1:35" ht="13.8" thickBot="1">
      <c r="W32" s="631"/>
      <c r="X32" s="631"/>
      <c r="Y32" s="631"/>
      <c r="Z32" s="631"/>
      <c r="AA32" s="631"/>
      <c r="AB32" s="631"/>
      <c r="AC32" s="631"/>
      <c r="AD32" s="631"/>
      <c r="AE32" s="631"/>
      <c r="AF32" s="631"/>
      <c r="AG32" s="631"/>
      <c r="AH32" s="631"/>
    </row>
    <row r="33" spans="2:34" ht="13.8" thickBot="1">
      <c r="B33" s="123" t="s">
        <v>82</v>
      </c>
      <c r="W33" s="631"/>
      <c r="X33" s="631"/>
      <c r="Y33" s="631"/>
      <c r="Z33" s="631"/>
      <c r="AA33" s="631"/>
      <c r="AB33" s="631"/>
      <c r="AC33" s="631"/>
      <c r="AD33" s="631"/>
      <c r="AE33" s="634" t="s">
        <v>212</v>
      </c>
      <c r="AF33" s="635">
        <f>AVERAGE(AF8:AF29)</f>
        <v>0.55619047619047612</v>
      </c>
      <c r="AG33" s="635">
        <f>AVERAGE(AG8:AG29)</f>
        <v>0.68928571428571417</v>
      </c>
      <c r="AH33" s="653">
        <f>AVERAGE(AH8:AH29)</f>
        <v>0.13944444444444443</v>
      </c>
    </row>
    <row r="35" spans="2:34">
      <c r="B35" s="13" t="s">
        <v>83</v>
      </c>
    </row>
    <row r="37" spans="2:34">
      <c r="B37" s="5" t="s">
        <v>84</v>
      </c>
    </row>
    <row r="38" spans="2:34" ht="13.8" thickBot="1"/>
    <row r="39" spans="2:34" ht="15.6">
      <c r="B39" s="124" t="s">
        <v>85</v>
      </c>
      <c r="C39" s="722" t="s">
        <v>86</v>
      </c>
      <c r="D39" s="723"/>
    </row>
    <row r="40" spans="2:34">
      <c r="B40" s="184">
        <v>35</v>
      </c>
      <c r="C40" s="726">
        <f>LN(2)/B40</f>
        <v>1.980420515885558E-2</v>
      </c>
      <c r="D40" s="727"/>
    </row>
    <row r="41" spans="2:34" ht="28.8">
      <c r="B41" s="583" t="s">
        <v>87</v>
      </c>
      <c r="C41" s="724" t="s">
        <v>88</v>
      </c>
      <c r="D41" s="725"/>
    </row>
    <row r="42" spans="2:34" ht="13.8" thickBot="1">
      <c r="B42" s="185">
        <v>0.05</v>
      </c>
      <c r="C42" s="718">
        <f>LN(2)/B42</f>
        <v>13.862943611198904</v>
      </c>
      <c r="D42" s="719"/>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row r="65" spans="2:8">
      <c r="B65"/>
      <c r="C65"/>
      <c r="D65"/>
      <c r="E65"/>
      <c r="F65"/>
      <c r="G65"/>
      <c r="H65"/>
    </row>
  </sheetData>
  <customSheetViews>
    <customSheetView guid="{B400968E-E9A7-41C3-9739-36597C9C6BC6}" showGridLines="0" showRuler="0">
      <pane ySplit="3" topLeftCell="A4" activePane="bottomLeft" state="frozen"/>
      <selection pane="bottomLeft" activeCell="A4" sqref="A4"/>
      <pageMargins left="0.75" right="0.69" top="1" bottom="1" header="0.5" footer="0.5"/>
      <pageSetup orientation="portrait"/>
      <headerFooter alignWithMargins="0"/>
    </customSheetView>
  </customSheetViews>
  <mergeCells count="26">
    <mergeCell ref="B2:H3"/>
    <mergeCell ref="D6:E6"/>
    <mergeCell ref="F6:G6"/>
    <mergeCell ref="W6:AE6"/>
    <mergeCell ref="D5:G5"/>
    <mergeCell ref="H5:K5"/>
    <mergeCell ref="C42:D42"/>
    <mergeCell ref="B27:H31"/>
    <mergeCell ref="C39:D39"/>
    <mergeCell ref="C41:D41"/>
    <mergeCell ref="C40:D40"/>
    <mergeCell ref="AG5:AG7"/>
    <mergeCell ref="AH5:AH7"/>
    <mergeCell ref="B9:B10"/>
    <mergeCell ref="H6:I6"/>
    <mergeCell ref="J6:K6"/>
    <mergeCell ref="G7:G8"/>
    <mergeCell ref="H7:H8"/>
    <mergeCell ref="I7:I8"/>
    <mergeCell ref="J7:J8"/>
    <mergeCell ref="K7:K8"/>
    <mergeCell ref="AF5:AF7"/>
    <mergeCell ref="B7:C8"/>
    <mergeCell ref="D7:D8"/>
    <mergeCell ref="E7:E8"/>
    <mergeCell ref="F7:F8"/>
  </mergeCells>
  <phoneticPr fontId="17" type="noConversion"/>
  <pageMargins left="0.75" right="0.69" top="1" bottom="1" header="0.5" footer="0.5"/>
  <pageSetup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2:L99"/>
  <sheetViews>
    <sheetView showGridLines="0" tabSelected="1" topLeftCell="A7" workbookViewId="0">
      <selection activeCell="N15" sqref="N15"/>
    </sheetView>
  </sheetViews>
  <sheetFormatPr defaultColWidth="11.44140625" defaultRowHeight="13.2"/>
  <cols>
    <col min="1" max="1" width="3.44140625" style="6" customWidth="1"/>
    <col min="2" max="2" width="5.33203125" style="6" customWidth="1"/>
    <col min="3" max="3" width="9" style="6" customWidth="1"/>
    <col min="4" max="4" width="7.44140625" style="272" customWidth="1"/>
    <col min="5" max="6" width="10.6640625" style="6" customWidth="1"/>
    <col min="7" max="7" width="10.109375" style="6" customWidth="1"/>
    <col min="8" max="8" width="14.44140625" style="6" customWidth="1"/>
    <col min="9" max="9" width="12" style="6" customWidth="1"/>
    <col min="10" max="10" width="10.33203125" style="6" customWidth="1"/>
    <col min="11" max="16384" width="11.44140625" style="6"/>
  </cols>
  <sheetData>
    <row r="2" spans="1:10" ht="15.6">
      <c r="B2" s="273" t="s">
        <v>122</v>
      </c>
      <c r="C2" s="274"/>
      <c r="D2" s="275"/>
      <c r="E2" s="276"/>
      <c r="F2" s="276"/>
      <c r="G2" s="276"/>
      <c r="H2" s="276"/>
      <c r="I2" s="276"/>
      <c r="J2" s="276"/>
    </row>
    <row r="3" spans="1:10" ht="15">
      <c r="B3" s="174" t="str">
        <f>IF(Select2=2,"This sheet applies only to the waste compositon option and can be deleted when the bulk waste option has been chosen","")</f>
        <v>This sheet applies only to the waste compositon option and can be deleted when the bulk waste option has been chosen</v>
      </c>
      <c r="C3" s="274"/>
      <c r="D3" s="275"/>
      <c r="E3" s="276"/>
      <c r="F3" s="276"/>
      <c r="G3" s="276"/>
      <c r="H3" s="276"/>
      <c r="I3" s="276"/>
      <c r="J3" s="276"/>
    </row>
    <row r="4" spans="1:10" ht="16.2" thickBot="1">
      <c r="B4" s="67"/>
      <c r="C4" s="277"/>
      <c r="D4" s="314"/>
      <c r="E4" s="279"/>
      <c r="F4" s="279"/>
      <c r="G4" s="279"/>
      <c r="H4" s="279"/>
      <c r="I4" s="279"/>
      <c r="J4" s="279"/>
    </row>
    <row r="5" spans="1:10" ht="27" thickBot="1">
      <c r="B5" s="280"/>
      <c r="C5" s="281"/>
      <c r="D5" s="282"/>
      <c r="E5" s="266"/>
      <c r="F5" s="266"/>
      <c r="G5" s="266"/>
      <c r="H5" s="266"/>
      <c r="I5" s="150" t="s">
        <v>8</v>
      </c>
      <c r="J5" s="266"/>
    </row>
    <row r="6" spans="1:10">
      <c r="B6" s="280"/>
      <c r="C6" s="281"/>
      <c r="D6" s="143" t="s">
        <v>10</v>
      </c>
      <c r="E6" s="144"/>
      <c r="F6" s="144"/>
      <c r="G6" s="148"/>
      <c r="H6" s="155" t="s">
        <v>10</v>
      </c>
      <c r="I6" s="329">
        <f>Parameters!M13</f>
        <v>0</v>
      </c>
      <c r="J6" s="266"/>
    </row>
    <row r="7" spans="1:10" ht="13.8" thickBot="1">
      <c r="B7" s="280"/>
      <c r="C7" s="281"/>
      <c r="D7" s="308" t="s">
        <v>14</v>
      </c>
      <c r="E7" s="309"/>
      <c r="F7" s="309"/>
      <c r="G7" s="310"/>
      <c r="H7" s="311" t="s">
        <v>14</v>
      </c>
      <c r="I7" s="637">
        <f>Parameters!E26</f>
        <v>0.7</v>
      </c>
      <c r="J7" s="266"/>
    </row>
    <row r="8" spans="1:10">
      <c r="D8" s="143" t="s">
        <v>226</v>
      </c>
      <c r="E8" s="144"/>
      <c r="F8" s="144"/>
      <c r="G8" s="148"/>
      <c r="H8" s="155" t="s">
        <v>222</v>
      </c>
      <c r="I8" s="149">
        <f>Parameters!M27</f>
        <v>0.09</v>
      </c>
      <c r="J8" s="81"/>
    </row>
    <row r="9" spans="1:10" ht="15.6">
      <c r="D9" s="303" t="s">
        <v>224</v>
      </c>
      <c r="E9" s="304"/>
      <c r="F9" s="304"/>
      <c r="G9" s="305"/>
      <c r="H9" s="306" t="s">
        <v>223</v>
      </c>
      <c r="I9" s="312">
        <f>LN(2)/$I$8</f>
        <v>7.7016353395549482</v>
      </c>
      <c r="J9" s="81"/>
    </row>
    <row r="10" spans="1:10">
      <c r="D10" s="145" t="s">
        <v>95</v>
      </c>
      <c r="E10" s="146"/>
      <c r="F10" s="146"/>
      <c r="G10" s="147"/>
      <c r="H10" s="156" t="s">
        <v>179</v>
      </c>
      <c r="I10" s="82">
        <f>EXP(-$I$8)</f>
        <v>0.91393118527122819</v>
      </c>
      <c r="J10" s="81"/>
    </row>
    <row r="11" spans="1:10">
      <c r="D11" s="145" t="s">
        <v>9</v>
      </c>
      <c r="E11" s="146"/>
      <c r="F11" s="146"/>
      <c r="G11" s="147"/>
      <c r="H11" s="156" t="s">
        <v>94</v>
      </c>
      <c r="I11" s="82">
        <v>13</v>
      </c>
      <c r="J11" s="81"/>
    </row>
    <row r="12" spans="1:10" ht="13.8" thickBot="1">
      <c r="D12" s="267" t="s">
        <v>96</v>
      </c>
      <c r="E12" s="268"/>
      <c r="F12" s="268"/>
      <c r="G12" s="269"/>
      <c r="H12" s="270" t="s">
        <v>213</v>
      </c>
      <c r="I12" s="271">
        <f>EXP(-$I$8*((13-I11)/12))</f>
        <v>1</v>
      </c>
      <c r="J12" s="81"/>
    </row>
    <row r="13" spans="1:10" ht="13.8" thickBot="1">
      <c r="C13" s="83"/>
      <c r="D13" s="151" t="s">
        <v>97</v>
      </c>
      <c r="E13" s="152"/>
      <c r="F13" s="152"/>
      <c r="G13" s="153"/>
      <c r="H13" s="157" t="s">
        <v>93</v>
      </c>
      <c r="I13" s="154">
        <f>CH4_fraction</f>
        <v>0.5</v>
      </c>
      <c r="J13" s="81"/>
    </row>
    <row r="14" spans="1:10" ht="13.8" thickBot="1">
      <c r="E14" s="81"/>
      <c r="F14" s="81"/>
      <c r="G14" s="81"/>
      <c r="H14" s="81"/>
      <c r="I14" s="81"/>
      <c r="J14" s="81"/>
    </row>
    <row r="15" spans="1:10" ht="66">
      <c r="B15" s="84" t="s">
        <v>1</v>
      </c>
      <c r="C15" s="85" t="s">
        <v>11</v>
      </c>
      <c r="D15" s="86" t="s">
        <v>12</v>
      </c>
      <c r="E15" s="87" t="s">
        <v>214</v>
      </c>
      <c r="F15" s="87" t="s">
        <v>215</v>
      </c>
      <c r="G15" s="87" t="s">
        <v>216</v>
      </c>
      <c r="H15" s="87" t="s">
        <v>217</v>
      </c>
      <c r="I15" s="87" t="s">
        <v>218</v>
      </c>
      <c r="J15" s="302" t="s">
        <v>219</v>
      </c>
    </row>
    <row r="16" spans="1:10" ht="23.4">
      <c r="A16" s="283"/>
      <c r="B16" s="138"/>
      <c r="C16" s="139" t="s">
        <v>220</v>
      </c>
      <c r="D16" s="140" t="s">
        <v>12</v>
      </c>
      <c r="E16" s="141" t="s">
        <v>221</v>
      </c>
      <c r="F16" s="141" t="s">
        <v>180</v>
      </c>
      <c r="G16" s="141" t="s">
        <v>181</v>
      </c>
      <c r="H16" s="141" t="s">
        <v>182</v>
      </c>
      <c r="I16" s="141" t="s">
        <v>225</v>
      </c>
      <c r="J16" s="142" t="s">
        <v>183</v>
      </c>
    </row>
    <row r="17" spans="2:12" ht="13.8" thickBot="1">
      <c r="B17" s="16"/>
      <c r="C17" s="17" t="s">
        <v>17</v>
      </c>
      <c r="D17" s="88" t="s">
        <v>23</v>
      </c>
      <c r="E17" s="89" t="s">
        <v>17</v>
      </c>
      <c r="F17" s="89" t="s">
        <v>17</v>
      </c>
      <c r="G17" s="89" t="s">
        <v>17</v>
      </c>
      <c r="H17" s="89" t="s">
        <v>17</v>
      </c>
      <c r="I17" s="89" t="s">
        <v>17</v>
      </c>
      <c r="J17" s="90" t="s">
        <v>17</v>
      </c>
    </row>
    <row r="18" spans="2:12" ht="13.8" thickBot="1">
      <c r="B18" s="19"/>
      <c r="C18" s="91"/>
      <c r="D18" s="92"/>
      <c r="E18" s="168"/>
      <c r="F18" s="93"/>
      <c r="G18" s="93"/>
      <c r="H18" s="93"/>
      <c r="I18" s="93"/>
      <c r="J18" s="94"/>
    </row>
    <row r="19" spans="2:12">
      <c r="B19" s="130">
        <f>Amnt_Deposited!B11</f>
        <v>1950</v>
      </c>
      <c r="C19" s="133">
        <f>Amnt_Deposited!C11</f>
        <v>444.91199999999998</v>
      </c>
      <c r="D19" s="495">
        <f>MCF!X18</f>
        <v>0.70499999999999996</v>
      </c>
      <c r="E19" s="167">
        <f>C19*$I$6*$I$7*D19</f>
        <v>0</v>
      </c>
      <c r="F19" s="95">
        <f t="shared" ref="F19:F82" si="0">E19*$I$12</f>
        <v>0</v>
      </c>
      <c r="G19" s="95">
        <f>E19*(1-$I$12)</f>
        <v>0</v>
      </c>
      <c r="H19" s="95">
        <f>F19+H18*$I$10</f>
        <v>0</v>
      </c>
      <c r="I19" s="95">
        <f>H18*(1-$I$10)+G19</f>
        <v>0</v>
      </c>
      <c r="J19" s="97">
        <f>I19*CH4_fraction*conv</f>
        <v>0</v>
      </c>
    </row>
    <row r="20" spans="2:12">
      <c r="B20" s="131">
        <f>Amnt_Deposited!B12</f>
        <v>1951</v>
      </c>
      <c r="C20" s="134">
        <f>Amnt_Deposited!C12</f>
        <v>444.91199999999998</v>
      </c>
      <c r="D20" s="496">
        <f>MCF!X19</f>
        <v>0.70499999999999996</v>
      </c>
      <c r="E20" s="167">
        <f t="shared" ref="E20:E83" si="1">C20*$I$6*$I$7*D20</f>
        <v>0</v>
      </c>
      <c r="F20" s="100">
        <f t="shared" si="0"/>
        <v>0</v>
      </c>
      <c r="G20" s="100">
        <f t="shared" ref="G20:G83" si="2">E20*(1-$I$12)</f>
        <v>0</v>
      </c>
      <c r="H20" s="100">
        <f t="shared" ref="H20:H83" si="3">F20+H19*$I$10</f>
        <v>0</v>
      </c>
      <c r="I20" s="100">
        <f t="shared" ref="I20:I83" si="4">H19*(1-$I$10)+G20</f>
        <v>0</v>
      </c>
      <c r="J20" s="135">
        <f>I20*CH4_fraction*conv</f>
        <v>0</v>
      </c>
      <c r="L20" s="81"/>
    </row>
    <row r="21" spans="2:12">
      <c r="B21" s="131">
        <f>Amnt_Deposited!B13</f>
        <v>1952</v>
      </c>
      <c r="C21" s="134">
        <f>Amnt_Deposited!C13</f>
        <v>444.91199999999998</v>
      </c>
      <c r="D21" s="496">
        <f>MCF!X20</f>
        <v>0.70499999999999996</v>
      </c>
      <c r="E21" s="167">
        <f t="shared" si="1"/>
        <v>0</v>
      </c>
      <c r="F21" s="100">
        <f t="shared" si="0"/>
        <v>0</v>
      </c>
      <c r="G21" s="100">
        <f t="shared" si="2"/>
        <v>0</v>
      </c>
      <c r="H21" s="100">
        <f t="shared" si="3"/>
        <v>0</v>
      </c>
      <c r="I21" s="100">
        <f t="shared" si="4"/>
        <v>0</v>
      </c>
      <c r="J21" s="135">
        <f t="shared" ref="J21:J84" si="5">I21*CH4_fraction*conv</f>
        <v>0</v>
      </c>
    </row>
    <row r="22" spans="2:12">
      <c r="B22" s="131">
        <f>Amnt_Deposited!B14</f>
        <v>1953</v>
      </c>
      <c r="C22" s="134">
        <f>Amnt_Deposited!C14</f>
        <v>444.91199999999998</v>
      </c>
      <c r="D22" s="496">
        <f>MCF!X21</f>
        <v>0.70499999999999996</v>
      </c>
      <c r="E22" s="167">
        <f t="shared" si="1"/>
        <v>0</v>
      </c>
      <c r="F22" s="100">
        <f t="shared" si="0"/>
        <v>0</v>
      </c>
      <c r="G22" s="100">
        <f t="shared" si="2"/>
        <v>0</v>
      </c>
      <c r="H22" s="100">
        <f t="shared" si="3"/>
        <v>0</v>
      </c>
      <c r="I22" s="100">
        <f t="shared" si="4"/>
        <v>0</v>
      </c>
      <c r="J22" s="135">
        <f t="shared" si="5"/>
        <v>0</v>
      </c>
    </row>
    <row r="23" spans="2:12">
      <c r="B23" s="131">
        <f>Amnt_Deposited!B15</f>
        <v>1954</v>
      </c>
      <c r="C23" s="134">
        <f>Amnt_Deposited!C15</f>
        <v>444.91199999999998</v>
      </c>
      <c r="D23" s="496">
        <f>MCF!X22</f>
        <v>0.70499999999999996</v>
      </c>
      <c r="E23" s="167">
        <f t="shared" si="1"/>
        <v>0</v>
      </c>
      <c r="F23" s="100">
        <f t="shared" si="0"/>
        <v>0</v>
      </c>
      <c r="G23" s="100">
        <f t="shared" si="2"/>
        <v>0</v>
      </c>
      <c r="H23" s="100">
        <f t="shared" si="3"/>
        <v>0</v>
      </c>
      <c r="I23" s="100">
        <f t="shared" si="4"/>
        <v>0</v>
      </c>
      <c r="J23" s="135">
        <f t="shared" si="5"/>
        <v>0</v>
      </c>
    </row>
    <row r="24" spans="2:12">
      <c r="B24" s="131">
        <f>Amnt_Deposited!B16</f>
        <v>1955</v>
      </c>
      <c r="C24" s="134">
        <f>Amnt_Deposited!C16</f>
        <v>444.91199999999998</v>
      </c>
      <c r="D24" s="496">
        <f>MCF!X23</f>
        <v>0.70499999999999996</v>
      </c>
      <c r="E24" s="167">
        <f t="shared" si="1"/>
        <v>0</v>
      </c>
      <c r="F24" s="100">
        <f t="shared" si="0"/>
        <v>0</v>
      </c>
      <c r="G24" s="100">
        <f t="shared" si="2"/>
        <v>0</v>
      </c>
      <c r="H24" s="100">
        <f t="shared" si="3"/>
        <v>0</v>
      </c>
      <c r="I24" s="100">
        <f t="shared" si="4"/>
        <v>0</v>
      </c>
      <c r="J24" s="135">
        <f t="shared" si="5"/>
        <v>0</v>
      </c>
    </row>
    <row r="25" spans="2:12">
      <c r="B25" s="131">
        <f>Amnt_Deposited!B17</f>
        <v>1956</v>
      </c>
      <c r="C25" s="134">
        <f>Amnt_Deposited!C17</f>
        <v>444.91199999999998</v>
      </c>
      <c r="D25" s="496">
        <f>MCF!X24</f>
        <v>0.70499999999999996</v>
      </c>
      <c r="E25" s="167">
        <f t="shared" si="1"/>
        <v>0</v>
      </c>
      <c r="F25" s="100">
        <f t="shared" si="0"/>
        <v>0</v>
      </c>
      <c r="G25" s="100">
        <f t="shared" si="2"/>
        <v>0</v>
      </c>
      <c r="H25" s="100">
        <f t="shared" si="3"/>
        <v>0</v>
      </c>
      <c r="I25" s="100">
        <f t="shared" si="4"/>
        <v>0</v>
      </c>
      <c r="J25" s="135">
        <f t="shared" si="5"/>
        <v>0</v>
      </c>
    </row>
    <row r="26" spans="2:12">
      <c r="B26" s="131">
        <f>Amnt_Deposited!B18</f>
        <v>1957</v>
      </c>
      <c r="C26" s="134">
        <f>Amnt_Deposited!C18</f>
        <v>444.91199999999998</v>
      </c>
      <c r="D26" s="496">
        <f>MCF!X25</f>
        <v>0.70499999999999996</v>
      </c>
      <c r="E26" s="167">
        <f t="shared" si="1"/>
        <v>0</v>
      </c>
      <c r="F26" s="100">
        <f t="shared" si="0"/>
        <v>0</v>
      </c>
      <c r="G26" s="100">
        <f t="shared" si="2"/>
        <v>0</v>
      </c>
      <c r="H26" s="100">
        <f t="shared" si="3"/>
        <v>0</v>
      </c>
      <c r="I26" s="100">
        <f t="shared" si="4"/>
        <v>0</v>
      </c>
      <c r="J26" s="135">
        <f t="shared" si="5"/>
        <v>0</v>
      </c>
    </row>
    <row r="27" spans="2:12">
      <c r="B27" s="131">
        <f>Amnt_Deposited!B19</f>
        <v>1958</v>
      </c>
      <c r="C27" s="134">
        <f>Amnt_Deposited!C19</f>
        <v>444.91199999999998</v>
      </c>
      <c r="D27" s="496">
        <f>MCF!X26</f>
        <v>0.70499999999999996</v>
      </c>
      <c r="E27" s="167">
        <f t="shared" si="1"/>
        <v>0</v>
      </c>
      <c r="F27" s="100">
        <f t="shared" si="0"/>
        <v>0</v>
      </c>
      <c r="G27" s="100">
        <f t="shared" si="2"/>
        <v>0</v>
      </c>
      <c r="H27" s="100">
        <f t="shared" si="3"/>
        <v>0</v>
      </c>
      <c r="I27" s="100">
        <f t="shared" si="4"/>
        <v>0</v>
      </c>
      <c r="J27" s="135">
        <f t="shared" si="5"/>
        <v>0</v>
      </c>
    </row>
    <row r="28" spans="2:12">
      <c r="B28" s="131">
        <f>Amnt_Deposited!B20</f>
        <v>1959</v>
      </c>
      <c r="C28" s="134">
        <f>Amnt_Deposited!C20</f>
        <v>444.91199999999998</v>
      </c>
      <c r="D28" s="496">
        <f>MCF!X27</f>
        <v>0.70499999999999996</v>
      </c>
      <c r="E28" s="167">
        <f t="shared" si="1"/>
        <v>0</v>
      </c>
      <c r="F28" s="100">
        <f t="shared" si="0"/>
        <v>0</v>
      </c>
      <c r="G28" s="100">
        <f t="shared" si="2"/>
        <v>0</v>
      </c>
      <c r="H28" s="100">
        <f t="shared" si="3"/>
        <v>0</v>
      </c>
      <c r="I28" s="100">
        <f t="shared" si="4"/>
        <v>0</v>
      </c>
      <c r="J28" s="135">
        <f t="shared" si="5"/>
        <v>0</v>
      </c>
    </row>
    <row r="29" spans="2:12">
      <c r="B29" s="131">
        <f>Amnt_Deposited!B21</f>
        <v>1960</v>
      </c>
      <c r="C29" s="134">
        <f>Amnt_Deposited!C21</f>
        <v>444.91199999999998</v>
      </c>
      <c r="D29" s="496">
        <f>MCF!X28</f>
        <v>0.70499999999999996</v>
      </c>
      <c r="E29" s="167">
        <f t="shared" si="1"/>
        <v>0</v>
      </c>
      <c r="F29" s="100">
        <f t="shared" si="0"/>
        <v>0</v>
      </c>
      <c r="G29" s="100">
        <f t="shared" si="2"/>
        <v>0</v>
      </c>
      <c r="H29" s="100">
        <f t="shared" si="3"/>
        <v>0</v>
      </c>
      <c r="I29" s="100">
        <f t="shared" si="4"/>
        <v>0</v>
      </c>
      <c r="J29" s="135">
        <f t="shared" si="5"/>
        <v>0</v>
      </c>
    </row>
    <row r="30" spans="2:12">
      <c r="B30" s="131">
        <f>Amnt_Deposited!B22</f>
        <v>1961</v>
      </c>
      <c r="C30" s="134">
        <f>Amnt_Deposited!C22</f>
        <v>444.91199999999998</v>
      </c>
      <c r="D30" s="496">
        <f>MCF!X29</f>
        <v>0.70499999999999996</v>
      </c>
      <c r="E30" s="167">
        <f t="shared" si="1"/>
        <v>0</v>
      </c>
      <c r="F30" s="100">
        <f t="shared" si="0"/>
        <v>0</v>
      </c>
      <c r="G30" s="100">
        <f t="shared" si="2"/>
        <v>0</v>
      </c>
      <c r="H30" s="100">
        <f t="shared" si="3"/>
        <v>0</v>
      </c>
      <c r="I30" s="100">
        <f t="shared" si="4"/>
        <v>0</v>
      </c>
      <c r="J30" s="135">
        <f t="shared" si="5"/>
        <v>0</v>
      </c>
    </row>
    <row r="31" spans="2:12">
      <c r="B31" s="131">
        <f>Amnt_Deposited!B23</f>
        <v>1962</v>
      </c>
      <c r="C31" s="134">
        <f>Amnt_Deposited!C23</f>
        <v>444.91199999999998</v>
      </c>
      <c r="D31" s="496">
        <f>MCF!X30</f>
        <v>0.70499999999999996</v>
      </c>
      <c r="E31" s="167">
        <f t="shared" si="1"/>
        <v>0</v>
      </c>
      <c r="F31" s="100">
        <f t="shared" si="0"/>
        <v>0</v>
      </c>
      <c r="G31" s="100">
        <f t="shared" si="2"/>
        <v>0</v>
      </c>
      <c r="H31" s="100">
        <f t="shared" si="3"/>
        <v>0</v>
      </c>
      <c r="I31" s="100">
        <f t="shared" si="4"/>
        <v>0</v>
      </c>
      <c r="J31" s="135">
        <f t="shared" si="5"/>
        <v>0</v>
      </c>
    </row>
    <row r="32" spans="2:12">
      <c r="B32" s="131">
        <f>Amnt_Deposited!B24</f>
        <v>1963</v>
      </c>
      <c r="C32" s="134">
        <f>Amnt_Deposited!C24</f>
        <v>444.91199999999998</v>
      </c>
      <c r="D32" s="496">
        <f>MCF!X31</f>
        <v>0.70499999999999996</v>
      </c>
      <c r="E32" s="167">
        <f t="shared" si="1"/>
        <v>0</v>
      </c>
      <c r="F32" s="100">
        <f t="shared" si="0"/>
        <v>0</v>
      </c>
      <c r="G32" s="100">
        <f t="shared" si="2"/>
        <v>0</v>
      </c>
      <c r="H32" s="100">
        <f t="shared" si="3"/>
        <v>0</v>
      </c>
      <c r="I32" s="100">
        <f t="shared" si="4"/>
        <v>0</v>
      </c>
      <c r="J32" s="135">
        <f t="shared" si="5"/>
        <v>0</v>
      </c>
    </row>
    <row r="33" spans="2:10">
      <c r="B33" s="131">
        <f>Amnt_Deposited!B25</f>
        <v>1964</v>
      </c>
      <c r="C33" s="134">
        <f>Amnt_Deposited!C25</f>
        <v>444.91199999999998</v>
      </c>
      <c r="D33" s="496">
        <f>MCF!X32</f>
        <v>0.70499999999999996</v>
      </c>
      <c r="E33" s="167">
        <f t="shared" si="1"/>
        <v>0</v>
      </c>
      <c r="F33" s="100">
        <f t="shared" si="0"/>
        <v>0</v>
      </c>
      <c r="G33" s="100">
        <f t="shared" si="2"/>
        <v>0</v>
      </c>
      <c r="H33" s="100">
        <f t="shared" si="3"/>
        <v>0</v>
      </c>
      <c r="I33" s="100">
        <f t="shared" si="4"/>
        <v>0</v>
      </c>
      <c r="J33" s="135">
        <f t="shared" si="5"/>
        <v>0</v>
      </c>
    </row>
    <row r="34" spans="2:10">
      <c r="B34" s="131">
        <f>Amnt_Deposited!B26</f>
        <v>1965</v>
      </c>
      <c r="C34" s="134">
        <f>Amnt_Deposited!C26</f>
        <v>444.91199999999998</v>
      </c>
      <c r="D34" s="496">
        <f>MCF!X33</f>
        <v>0.70499999999999996</v>
      </c>
      <c r="E34" s="167">
        <f t="shared" si="1"/>
        <v>0</v>
      </c>
      <c r="F34" s="100">
        <f t="shared" si="0"/>
        <v>0</v>
      </c>
      <c r="G34" s="100">
        <f t="shared" si="2"/>
        <v>0</v>
      </c>
      <c r="H34" s="100">
        <f t="shared" si="3"/>
        <v>0</v>
      </c>
      <c r="I34" s="100">
        <f t="shared" si="4"/>
        <v>0</v>
      </c>
      <c r="J34" s="135">
        <f t="shared" si="5"/>
        <v>0</v>
      </c>
    </row>
    <row r="35" spans="2:10">
      <c r="B35" s="131">
        <f>Amnt_Deposited!B27</f>
        <v>1966</v>
      </c>
      <c r="C35" s="134">
        <f>Amnt_Deposited!C27</f>
        <v>444.91199999999998</v>
      </c>
      <c r="D35" s="496">
        <f>MCF!X34</f>
        <v>0.70499999999999996</v>
      </c>
      <c r="E35" s="167">
        <f t="shared" si="1"/>
        <v>0</v>
      </c>
      <c r="F35" s="100">
        <f t="shared" si="0"/>
        <v>0</v>
      </c>
      <c r="G35" s="100">
        <f t="shared" si="2"/>
        <v>0</v>
      </c>
      <c r="H35" s="100">
        <f t="shared" si="3"/>
        <v>0</v>
      </c>
      <c r="I35" s="100">
        <f t="shared" si="4"/>
        <v>0</v>
      </c>
      <c r="J35" s="135">
        <f t="shared" si="5"/>
        <v>0</v>
      </c>
    </row>
    <row r="36" spans="2:10">
      <c r="B36" s="131">
        <f>Amnt_Deposited!B28</f>
        <v>1967</v>
      </c>
      <c r="C36" s="134">
        <f>Amnt_Deposited!C28</f>
        <v>444.91199999999998</v>
      </c>
      <c r="D36" s="496">
        <f>MCF!X35</f>
        <v>0.70499999999999996</v>
      </c>
      <c r="E36" s="167">
        <f t="shared" si="1"/>
        <v>0</v>
      </c>
      <c r="F36" s="100">
        <f t="shared" si="0"/>
        <v>0</v>
      </c>
      <c r="G36" s="100">
        <f t="shared" si="2"/>
        <v>0</v>
      </c>
      <c r="H36" s="100">
        <f t="shared" si="3"/>
        <v>0</v>
      </c>
      <c r="I36" s="100">
        <f t="shared" si="4"/>
        <v>0</v>
      </c>
      <c r="J36" s="135">
        <f t="shared" si="5"/>
        <v>0</v>
      </c>
    </row>
    <row r="37" spans="2:10">
      <c r="B37" s="131">
        <f>Amnt_Deposited!B29</f>
        <v>1968</v>
      </c>
      <c r="C37" s="134">
        <f>Amnt_Deposited!C29</f>
        <v>444.91199999999998</v>
      </c>
      <c r="D37" s="496">
        <f>MCF!X36</f>
        <v>0.70499999999999996</v>
      </c>
      <c r="E37" s="167">
        <f t="shared" si="1"/>
        <v>0</v>
      </c>
      <c r="F37" s="100">
        <f t="shared" si="0"/>
        <v>0</v>
      </c>
      <c r="G37" s="100">
        <f t="shared" si="2"/>
        <v>0</v>
      </c>
      <c r="H37" s="100">
        <f t="shared" si="3"/>
        <v>0</v>
      </c>
      <c r="I37" s="100">
        <f t="shared" si="4"/>
        <v>0</v>
      </c>
      <c r="J37" s="135">
        <f t="shared" si="5"/>
        <v>0</v>
      </c>
    </row>
    <row r="38" spans="2:10">
      <c r="B38" s="131">
        <f>Amnt_Deposited!B30</f>
        <v>1969</v>
      </c>
      <c r="C38" s="134">
        <f>Amnt_Deposited!C30</f>
        <v>444.91199999999998</v>
      </c>
      <c r="D38" s="496">
        <f>MCF!X37</f>
        <v>0.70499999999999996</v>
      </c>
      <c r="E38" s="167">
        <f t="shared" si="1"/>
        <v>0</v>
      </c>
      <c r="F38" s="100">
        <f t="shared" si="0"/>
        <v>0</v>
      </c>
      <c r="G38" s="100">
        <f t="shared" si="2"/>
        <v>0</v>
      </c>
      <c r="H38" s="100">
        <f t="shared" si="3"/>
        <v>0</v>
      </c>
      <c r="I38" s="100">
        <f t="shared" si="4"/>
        <v>0</v>
      </c>
      <c r="J38" s="135">
        <f t="shared" si="5"/>
        <v>0</v>
      </c>
    </row>
    <row r="39" spans="2:10">
      <c r="B39" s="131">
        <f>Amnt_Deposited!B31</f>
        <v>1970</v>
      </c>
      <c r="C39" s="134">
        <f>Amnt_Deposited!C31</f>
        <v>444.91199999999998</v>
      </c>
      <c r="D39" s="496">
        <f>MCF!X38</f>
        <v>0.70499999999999996</v>
      </c>
      <c r="E39" s="167">
        <f t="shared" si="1"/>
        <v>0</v>
      </c>
      <c r="F39" s="100">
        <f t="shared" si="0"/>
        <v>0</v>
      </c>
      <c r="G39" s="100">
        <f t="shared" si="2"/>
        <v>0</v>
      </c>
      <c r="H39" s="100">
        <f t="shared" si="3"/>
        <v>0</v>
      </c>
      <c r="I39" s="100">
        <f t="shared" si="4"/>
        <v>0</v>
      </c>
      <c r="J39" s="135">
        <f t="shared" si="5"/>
        <v>0</v>
      </c>
    </row>
    <row r="40" spans="2:10">
      <c r="B40" s="131">
        <f>Amnt_Deposited!B32</f>
        <v>1971</v>
      </c>
      <c r="C40" s="134">
        <f>Amnt_Deposited!C32</f>
        <v>444.91199999999998</v>
      </c>
      <c r="D40" s="496">
        <f>MCF!X39</f>
        <v>0.70499999999999996</v>
      </c>
      <c r="E40" s="167">
        <f t="shared" si="1"/>
        <v>0</v>
      </c>
      <c r="F40" s="100">
        <f t="shared" si="0"/>
        <v>0</v>
      </c>
      <c r="G40" s="100">
        <f t="shared" si="2"/>
        <v>0</v>
      </c>
      <c r="H40" s="100">
        <f t="shared" si="3"/>
        <v>0</v>
      </c>
      <c r="I40" s="100">
        <f t="shared" si="4"/>
        <v>0</v>
      </c>
      <c r="J40" s="135">
        <f t="shared" si="5"/>
        <v>0</v>
      </c>
    </row>
    <row r="41" spans="2:10">
      <c r="B41" s="131">
        <f>Amnt_Deposited!B33</f>
        <v>1972</v>
      </c>
      <c r="C41" s="134">
        <f>Amnt_Deposited!C33</f>
        <v>444.91199999999998</v>
      </c>
      <c r="D41" s="496">
        <f>MCF!X40</f>
        <v>0.70499999999999996</v>
      </c>
      <c r="E41" s="167">
        <f t="shared" si="1"/>
        <v>0</v>
      </c>
      <c r="F41" s="100">
        <f t="shared" si="0"/>
        <v>0</v>
      </c>
      <c r="G41" s="100">
        <f t="shared" si="2"/>
        <v>0</v>
      </c>
      <c r="H41" s="100">
        <f t="shared" si="3"/>
        <v>0</v>
      </c>
      <c r="I41" s="100">
        <f t="shared" si="4"/>
        <v>0</v>
      </c>
      <c r="J41" s="135">
        <f t="shared" si="5"/>
        <v>0</v>
      </c>
    </row>
    <row r="42" spans="2:10">
      <c r="B42" s="131">
        <f>Amnt_Deposited!B34</f>
        <v>1973</v>
      </c>
      <c r="C42" s="134">
        <f>Amnt_Deposited!C34</f>
        <v>444.91199999999998</v>
      </c>
      <c r="D42" s="496">
        <f>MCF!X41</f>
        <v>0.70499999999999996</v>
      </c>
      <c r="E42" s="167">
        <f t="shared" si="1"/>
        <v>0</v>
      </c>
      <c r="F42" s="100">
        <f t="shared" si="0"/>
        <v>0</v>
      </c>
      <c r="G42" s="100">
        <f t="shared" si="2"/>
        <v>0</v>
      </c>
      <c r="H42" s="100">
        <f t="shared" si="3"/>
        <v>0</v>
      </c>
      <c r="I42" s="100">
        <f t="shared" si="4"/>
        <v>0</v>
      </c>
      <c r="J42" s="135">
        <f t="shared" si="5"/>
        <v>0</v>
      </c>
    </row>
    <row r="43" spans="2:10">
      <c r="B43" s="131">
        <f>Amnt_Deposited!B35</f>
        <v>1974</v>
      </c>
      <c r="C43" s="134">
        <f>Amnt_Deposited!C35</f>
        <v>444.91199999999998</v>
      </c>
      <c r="D43" s="496">
        <f>MCF!X42</f>
        <v>0.70499999999999996</v>
      </c>
      <c r="E43" s="167">
        <f t="shared" si="1"/>
        <v>0</v>
      </c>
      <c r="F43" s="100">
        <f t="shared" si="0"/>
        <v>0</v>
      </c>
      <c r="G43" s="100">
        <f t="shared" si="2"/>
        <v>0</v>
      </c>
      <c r="H43" s="100">
        <f t="shared" si="3"/>
        <v>0</v>
      </c>
      <c r="I43" s="100">
        <f t="shared" si="4"/>
        <v>0</v>
      </c>
      <c r="J43" s="135">
        <f t="shared" si="5"/>
        <v>0</v>
      </c>
    </row>
    <row r="44" spans="2:10">
      <c r="B44" s="131">
        <f>Amnt_Deposited!B36</f>
        <v>1975</v>
      </c>
      <c r="C44" s="134">
        <f>Amnt_Deposited!C36</f>
        <v>444.91199999999998</v>
      </c>
      <c r="D44" s="496">
        <f>MCF!X43</f>
        <v>0.70499999999999996</v>
      </c>
      <c r="E44" s="167">
        <f t="shared" si="1"/>
        <v>0</v>
      </c>
      <c r="F44" s="100">
        <f t="shared" si="0"/>
        <v>0</v>
      </c>
      <c r="G44" s="100">
        <f t="shared" si="2"/>
        <v>0</v>
      </c>
      <c r="H44" s="100">
        <f t="shared" si="3"/>
        <v>0</v>
      </c>
      <c r="I44" s="100">
        <f t="shared" si="4"/>
        <v>0</v>
      </c>
      <c r="J44" s="135">
        <f t="shared" si="5"/>
        <v>0</v>
      </c>
    </row>
    <row r="45" spans="2:10">
      <c r="B45" s="131">
        <f>Amnt_Deposited!B37</f>
        <v>1976</v>
      </c>
      <c r="C45" s="134">
        <f>Amnt_Deposited!C37</f>
        <v>444.91199999999998</v>
      </c>
      <c r="D45" s="496">
        <f>MCF!X44</f>
        <v>0.70499999999999996</v>
      </c>
      <c r="E45" s="167">
        <f t="shared" si="1"/>
        <v>0</v>
      </c>
      <c r="F45" s="100">
        <f t="shared" si="0"/>
        <v>0</v>
      </c>
      <c r="G45" s="100">
        <f t="shared" si="2"/>
        <v>0</v>
      </c>
      <c r="H45" s="100">
        <f t="shared" si="3"/>
        <v>0</v>
      </c>
      <c r="I45" s="100">
        <f t="shared" si="4"/>
        <v>0</v>
      </c>
      <c r="J45" s="135">
        <f t="shared" si="5"/>
        <v>0</v>
      </c>
    </row>
    <row r="46" spans="2:10">
      <c r="B46" s="131">
        <f>Amnt_Deposited!B38</f>
        <v>1977</v>
      </c>
      <c r="C46" s="134">
        <f>Amnt_Deposited!C38</f>
        <v>444.91199999999998</v>
      </c>
      <c r="D46" s="496">
        <f>MCF!X45</f>
        <v>0.70499999999999996</v>
      </c>
      <c r="E46" s="167">
        <f t="shared" si="1"/>
        <v>0</v>
      </c>
      <c r="F46" s="100">
        <f t="shared" si="0"/>
        <v>0</v>
      </c>
      <c r="G46" s="100">
        <f t="shared" si="2"/>
        <v>0</v>
      </c>
      <c r="H46" s="100">
        <f t="shared" si="3"/>
        <v>0</v>
      </c>
      <c r="I46" s="100">
        <f t="shared" si="4"/>
        <v>0</v>
      </c>
      <c r="J46" s="135">
        <f t="shared" si="5"/>
        <v>0</v>
      </c>
    </row>
    <row r="47" spans="2:10">
      <c r="B47" s="131">
        <f>Amnt_Deposited!B39</f>
        <v>1978</v>
      </c>
      <c r="C47" s="134">
        <f>Amnt_Deposited!C39</f>
        <v>444.91199999999998</v>
      </c>
      <c r="D47" s="496">
        <f>MCF!X46</f>
        <v>0.70499999999999996</v>
      </c>
      <c r="E47" s="167">
        <f t="shared" si="1"/>
        <v>0</v>
      </c>
      <c r="F47" s="100">
        <f t="shared" si="0"/>
        <v>0</v>
      </c>
      <c r="G47" s="100">
        <f t="shared" si="2"/>
        <v>0</v>
      </c>
      <c r="H47" s="100">
        <f t="shared" si="3"/>
        <v>0</v>
      </c>
      <c r="I47" s="100">
        <f t="shared" si="4"/>
        <v>0</v>
      </c>
      <c r="J47" s="135">
        <f t="shared" si="5"/>
        <v>0</v>
      </c>
    </row>
    <row r="48" spans="2:10">
      <c r="B48" s="131">
        <f>Amnt_Deposited!B40</f>
        <v>1979</v>
      </c>
      <c r="C48" s="134">
        <f>Amnt_Deposited!C40</f>
        <v>444.91199999999998</v>
      </c>
      <c r="D48" s="496">
        <f>MCF!X47</f>
        <v>0.70499999999999996</v>
      </c>
      <c r="E48" s="167">
        <f t="shared" si="1"/>
        <v>0</v>
      </c>
      <c r="F48" s="100">
        <f t="shared" si="0"/>
        <v>0</v>
      </c>
      <c r="G48" s="100">
        <f t="shared" si="2"/>
        <v>0</v>
      </c>
      <c r="H48" s="100">
        <f t="shared" si="3"/>
        <v>0</v>
      </c>
      <c r="I48" s="100">
        <f t="shared" si="4"/>
        <v>0</v>
      </c>
      <c r="J48" s="135">
        <f t="shared" si="5"/>
        <v>0</v>
      </c>
    </row>
    <row r="49" spans="2:10">
      <c r="B49" s="131">
        <f>Amnt_Deposited!B41</f>
        <v>1980</v>
      </c>
      <c r="C49" s="134">
        <f>Amnt_Deposited!C41</f>
        <v>444.91199999999998</v>
      </c>
      <c r="D49" s="496">
        <f>MCF!X48</f>
        <v>0.70499999999999996</v>
      </c>
      <c r="E49" s="167">
        <f t="shared" si="1"/>
        <v>0</v>
      </c>
      <c r="F49" s="100">
        <f t="shared" si="0"/>
        <v>0</v>
      </c>
      <c r="G49" s="100">
        <f t="shared" si="2"/>
        <v>0</v>
      </c>
      <c r="H49" s="100">
        <f t="shared" si="3"/>
        <v>0</v>
      </c>
      <c r="I49" s="100">
        <f t="shared" si="4"/>
        <v>0</v>
      </c>
      <c r="J49" s="135">
        <f t="shared" si="5"/>
        <v>0</v>
      </c>
    </row>
    <row r="50" spans="2:10">
      <c r="B50" s="131">
        <f>Amnt_Deposited!B42</f>
        <v>1981</v>
      </c>
      <c r="C50" s="134">
        <f>Amnt_Deposited!C42</f>
        <v>444.91199999999998</v>
      </c>
      <c r="D50" s="496">
        <f>MCF!X49</f>
        <v>0.70499999999999996</v>
      </c>
      <c r="E50" s="167">
        <f t="shared" si="1"/>
        <v>0</v>
      </c>
      <c r="F50" s="100">
        <f t="shared" si="0"/>
        <v>0</v>
      </c>
      <c r="G50" s="100">
        <f t="shared" si="2"/>
        <v>0</v>
      </c>
      <c r="H50" s="100">
        <f t="shared" si="3"/>
        <v>0</v>
      </c>
      <c r="I50" s="100">
        <f t="shared" si="4"/>
        <v>0</v>
      </c>
      <c r="J50" s="135">
        <f t="shared" si="5"/>
        <v>0</v>
      </c>
    </row>
    <row r="51" spans="2:10">
      <c r="B51" s="131">
        <f>Amnt_Deposited!B43</f>
        <v>1982</v>
      </c>
      <c r="C51" s="134">
        <f>Amnt_Deposited!C43</f>
        <v>444.91199999999998</v>
      </c>
      <c r="D51" s="496">
        <f>MCF!X50</f>
        <v>0.70499999999999996</v>
      </c>
      <c r="E51" s="167">
        <f t="shared" si="1"/>
        <v>0</v>
      </c>
      <c r="F51" s="100">
        <f t="shared" si="0"/>
        <v>0</v>
      </c>
      <c r="G51" s="100">
        <f t="shared" si="2"/>
        <v>0</v>
      </c>
      <c r="H51" s="100">
        <f t="shared" si="3"/>
        <v>0</v>
      </c>
      <c r="I51" s="100">
        <f t="shared" si="4"/>
        <v>0</v>
      </c>
      <c r="J51" s="135">
        <f t="shared" si="5"/>
        <v>0</v>
      </c>
    </row>
    <row r="52" spans="2:10">
      <c r="B52" s="131">
        <f>Amnt_Deposited!B44</f>
        <v>1983</v>
      </c>
      <c r="C52" s="134">
        <f>Amnt_Deposited!C44</f>
        <v>444.91199999999998</v>
      </c>
      <c r="D52" s="496">
        <f>MCF!X51</f>
        <v>0.70499999999999996</v>
      </c>
      <c r="E52" s="167">
        <f t="shared" si="1"/>
        <v>0</v>
      </c>
      <c r="F52" s="100">
        <f t="shared" si="0"/>
        <v>0</v>
      </c>
      <c r="G52" s="100">
        <f t="shared" si="2"/>
        <v>0</v>
      </c>
      <c r="H52" s="100">
        <f t="shared" si="3"/>
        <v>0</v>
      </c>
      <c r="I52" s="100">
        <f t="shared" si="4"/>
        <v>0</v>
      </c>
      <c r="J52" s="135">
        <f t="shared" si="5"/>
        <v>0</v>
      </c>
    </row>
    <row r="53" spans="2:10">
      <c r="B53" s="131">
        <f>Amnt_Deposited!B45</f>
        <v>1984</v>
      </c>
      <c r="C53" s="134">
        <f>Amnt_Deposited!C45</f>
        <v>444.91199999999998</v>
      </c>
      <c r="D53" s="496">
        <f>MCF!X52</f>
        <v>0.70499999999999996</v>
      </c>
      <c r="E53" s="167">
        <f t="shared" si="1"/>
        <v>0</v>
      </c>
      <c r="F53" s="100">
        <f t="shared" si="0"/>
        <v>0</v>
      </c>
      <c r="G53" s="100">
        <f t="shared" si="2"/>
        <v>0</v>
      </c>
      <c r="H53" s="100">
        <f t="shared" si="3"/>
        <v>0</v>
      </c>
      <c r="I53" s="100">
        <f t="shared" si="4"/>
        <v>0</v>
      </c>
      <c r="J53" s="135">
        <f t="shared" si="5"/>
        <v>0</v>
      </c>
    </row>
    <row r="54" spans="2:10">
      <c r="B54" s="131">
        <f>Amnt_Deposited!B46</f>
        <v>1985</v>
      </c>
      <c r="C54" s="134">
        <f>Amnt_Deposited!C46</f>
        <v>444.91199999999998</v>
      </c>
      <c r="D54" s="496">
        <f>MCF!X53</f>
        <v>0.70499999999999996</v>
      </c>
      <c r="E54" s="167">
        <f t="shared" si="1"/>
        <v>0</v>
      </c>
      <c r="F54" s="100">
        <f t="shared" si="0"/>
        <v>0</v>
      </c>
      <c r="G54" s="100">
        <f t="shared" si="2"/>
        <v>0</v>
      </c>
      <c r="H54" s="100">
        <f t="shared" si="3"/>
        <v>0</v>
      </c>
      <c r="I54" s="100">
        <f t="shared" si="4"/>
        <v>0</v>
      </c>
      <c r="J54" s="135">
        <f t="shared" si="5"/>
        <v>0</v>
      </c>
    </row>
    <row r="55" spans="2:10">
      <c r="B55" s="131">
        <f>Amnt_Deposited!B47</f>
        <v>1986</v>
      </c>
      <c r="C55" s="134">
        <f>Amnt_Deposited!C47</f>
        <v>444.91199999999998</v>
      </c>
      <c r="D55" s="496">
        <f>MCF!X54</f>
        <v>0.70499999999999996</v>
      </c>
      <c r="E55" s="167">
        <f t="shared" si="1"/>
        <v>0</v>
      </c>
      <c r="F55" s="100">
        <f t="shared" si="0"/>
        <v>0</v>
      </c>
      <c r="G55" s="100">
        <f t="shared" si="2"/>
        <v>0</v>
      </c>
      <c r="H55" s="100">
        <f t="shared" si="3"/>
        <v>0</v>
      </c>
      <c r="I55" s="100">
        <f t="shared" si="4"/>
        <v>0</v>
      </c>
      <c r="J55" s="135">
        <f t="shared" si="5"/>
        <v>0</v>
      </c>
    </row>
    <row r="56" spans="2:10">
      <c r="B56" s="131">
        <f>Amnt_Deposited!B48</f>
        <v>1987</v>
      </c>
      <c r="C56" s="134">
        <f>Amnt_Deposited!C48</f>
        <v>444.91199999999998</v>
      </c>
      <c r="D56" s="496">
        <f>MCF!X55</f>
        <v>0.70499999999999996</v>
      </c>
      <c r="E56" s="167">
        <f t="shared" si="1"/>
        <v>0</v>
      </c>
      <c r="F56" s="100">
        <f t="shared" si="0"/>
        <v>0</v>
      </c>
      <c r="G56" s="100">
        <f t="shared" si="2"/>
        <v>0</v>
      </c>
      <c r="H56" s="100">
        <f t="shared" si="3"/>
        <v>0</v>
      </c>
      <c r="I56" s="100">
        <f t="shared" si="4"/>
        <v>0</v>
      </c>
      <c r="J56" s="135">
        <f t="shared" si="5"/>
        <v>0</v>
      </c>
    </row>
    <row r="57" spans="2:10">
      <c r="B57" s="131">
        <f>Amnt_Deposited!B49</f>
        <v>1988</v>
      </c>
      <c r="C57" s="134">
        <f>Amnt_Deposited!C49</f>
        <v>444.91199999999998</v>
      </c>
      <c r="D57" s="496">
        <f>MCF!X56</f>
        <v>0.70499999999999996</v>
      </c>
      <c r="E57" s="167">
        <f t="shared" si="1"/>
        <v>0</v>
      </c>
      <c r="F57" s="100">
        <f t="shared" si="0"/>
        <v>0</v>
      </c>
      <c r="G57" s="100">
        <f t="shared" si="2"/>
        <v>0</v>
      </c>
      <c r="H57" s="100">
        <f t="shared" si="3"/>
        <v>0</v>
      </c>
      <c r="I57" s="100">
        <f t="shared" si="4"/>
        <v>0</v>
      </c>
      <c r="J57" s="135">
        <f t="shared" si="5"/>
        <v>0</v>
      </c>
    </row>
    <row r="58" spans="2:10">
      <c r="B58" s="131">
        <f>Amnt_Deposited!B50</f>
        <v>1989</v>
      </c>
      <c r="C58" s="134">
        <f>Amnt_Deposited!C50</f>
        <v>444.91199999999998</v>
      </c>
      <c r="D58" s="496">
        <f>MCF!X57</f>
        <v>0.70499999999999996</v>
      </c>
      <c r="E58" s="167">
        <f t="shared" si="1"/>
        <v>0</v>
      </c>
      <c r="F58" s="100">
        <f t="shared" si="0"/>
        <v>0</v>
      </c>
      <c r="G58" s="100">
        <f t="shared" si="2"/>
        <v>0</v>
      </c>
      <c r="H58" s="100">
        <f t="shared" si="3"/>
        <v>0</v>
      </c>
      <c r="I58" s="100">
        <f t="shared" si="4"/>
        <v>0</v>
      </c>
      <c r="J58" s="135">
        <f t="shared" si="5"/>
        <v>0</v>
      </c>
    </row>
    <row r="59" spans="2:10">
      <c r="B59" s="131">
        <f>Amnt_Deposited!B51</f>
        <v>1990</v>
      </c>
      <c r="C59" s="134">
        <f>Amnt_Deposited!C51</f>
        <v>444.91199999999998</v>
      </c>
      <c r="D59" s="496">
        <f>MCF!X58</f>
        <v>0.70499999999999996</v>
      </c>
      <c r="E59" s="167">
        <f t="shared" si="1"/>
        <v>0</v>
      </c>
      <c r="F59" s="100">
        <f t="shared" si="0"/>
        <v>0</v>
      </c>
      <c r="G59" s="100">
        <f t="shared" si="2"/>
        <v>0</v>
      </c>
      <c r="H59" s="100">
        <f t="shared" si="3"/>
        <v>0</v>
      </c>
      <c r="I59" s="100">
        <f t="shared" si="4"/>
        <v>0</v>
      </c>
      <c r="J59" s="135">
        <f t="shared" si="5"/>
        <v>0</v>
      </c>
    </row>
    <row r="60" spans="2:10">
      <c r="B60" s="131">
        <f>Amnt_Deposited!B52</f>
        <v>1991</v>
      </c>
      <c r="C60" s="134">
        <f>Amnt_Deposited!C52</f>
        <v>444.91199999999998</v>
      </c>
      <c r="D60" s="496">
        <f>MCF!X59</f>
        <v>0.70499999999999996</v>
      </c>
      <c r="E60" s="167">
        <f t="shared" si="1"/>
        <v>0</v>
      </c>
      <c r="F60" s="100">
        <f t="shared" si="0"/>
        <v>0</v>
      </c>
      <c r="G60" s="100">
        <f t="shared" si="2"/>
        <v>0</v>
      </c>
      <c r="H60" s="100">
        <f t="shared" si="3"/>
        <v>0</v>
      </c>
      <c r="I60" s="100">
        <f t="shared" si="4"/>
        <v>0</v>
      </c>
      <c r="J60" s="135">
        <f t="shared" si="5"/>
        <v>0</v>
      </c>
    </row>
    <row r="61" spans="2:10">
      <c r="B61" s="131">
        <f>Amnt_Deposited!B53</f>
        <v>1992</v>
      </c>
      <c r="C61" s="134">
        <f>Amnt_Deposited!C53</f>
        <v>444.91199999999998</v>
      </c>
      <c r="D61" s="496">
        <f>MCF!X60</f>
        <v>0.70499999999999996</v>
      </c>
      <c r="E61" s="167">
        <f t="shared" si="1"/>
        <v>0</v>
      </c>
      <c r="F61" s="100">
        <f t="shared" si="0"/>
        <v>0</v>
      </c>
      <c r="G61" s="100">
        <f t="shared" si="2"/>
        <v>0</v>
      </c>
      <c r="H61" s="100">
        <f t="shared" si="3"/>
        <v>0</v>
      </c>
      <c r="I61" s="100">
        <f t="shared" si="4"/>
        <v>0</v>
      </c>
      <c r="J61" s="135">
        <f t="shared" si="5"/>
        <v>0</v>
      </c>
    </row>
    <row r="62" spans="2:10">
      <c r="B62" s="131">
        <f>Amnt_Deposited!B54</f>
        <v>1993</v>
      </c>
      <c r="C62" s="134">
        <f>Amnt_Deposited!C54</f>
        <v>444.91199999999998</v>
      </c>
      <c r="D62" s="496">
        <f>MCF!X61</f>
        <v>0.70499999999999996</v>
      </c>
      <c r="E62" s="167">
        <f t="shared" si="1"/>
        <v>0</v>
      </c>
      <c r="F62" s="100">
        <f t="shared" si="0"/>
        <v>0</v>
      </c>
      <c r="G62" s="100">
        <f t="shared" si="2"/>
        <v>0</v>
      </c>
      <c r="H62" s="100">
        <f t="shared" si="3"/>
        <v>0</v>
      </c>
      <c r="I62" s="100">
        <f t="shared" si="4"/>
        <v>0</v>
      </c>
      <c r="J62" s="135">
        <f t="shared" si="5"/>
        <v>0</v>
      </c>
    </row>
    <row r="63" spans="2:10">
      <c r="B63" s="131">
        <f>Amnt_Deposited!B55</f>
        <v>1994</v>
      </c>
      <c r="C63" s="134">
        <f>Amnt_Deposited!C55</f>
        <v>444.91199999999998</v>
      </c>
      <c r="D63" s="496">
        <f>MCF!X62</f>
        <v>0.70499999999999996</v>
      </c>
      <c r="E63" s="167">
        <f t="shared" si="1"/>
        <v>0</v>
      </c>
      <c r="F63" s="100">
        <f t="shared" si="0"/>
        <v>0</v>
      </c>
      <c r="G63" s="100">
        <f t="shared" si="2"/>
        <v>0</v>
      </c>
      <c r="H63" s="100">
        <f t="shared" si="3"/>
        <v>0</v>
      </c>
      <c r="I63" s="100">
        <f t="shared" si="4"/>
        <v>0</v>
      </c>
      <c r="J63" s="135">
        <f t="shared" si="5"/>
        <v>0</v>
      </c>
    </row>
    <row r="64" spans="2:10">
      <c r="B64" s="131">
        <f>Amnt_Deposited!B56</f>
        <v>1995</v>
      </c>
      <c r="C64" s="134">
        <f>Amnt_Deposited!C56</f>
        <v>444.91199999999998</v>
      </c>
      <c r="D64" s="496">
        <f>MCF!X63</f>
        <v>0.70499999999999996</v>
      </c>
      <c r="E64" s="167">
        <f t="shared" si="1"/>
        <v>0</v>
      </c>
      <c r="F64" s="100">
        <f t="shared" si="0"/>
        <v>0</v>
      </c>
      <c r="G64" s="100">
        <f t="shared" si="2"/>
        <v>0</v>
      </c>
      <c r="H64" s="100">
        <f t="shared" si="3"/>
        <v>0</v>
      </c>
      <c r="I64" s="100">
        <f t="shared" si="4"/>
        <v>0</v>
      </c>
      <c r="J64" s="135">
        <f t="shared" si="5"/>
        <v>0</v>
      </c>
    </row>
    <row r="65" spans="2:10">
      <c r="B65" s="131">
        <f>Amnt_Deposited!B57</f>
        <v>1996</v>
      </c>
      <c r="C65" s="134">
        <f>Amnt_Deposited!C57</f>
        <v>444.91199999999998</v>
      </c>
      <c r="D65" s="496">
        <f>MCF!X64</f>
        <v>0.70499999999999996</v>
      </c>
      <c r="E65" s="167">
        <f t="shared" si="1"/>
        <v>0</v>
      </c>
      <c r="F65" s="100">
        <f t="shared" si="0"/>
        <v>0</v>
      </c>
      <c r="G65" s="100">
        <f t="shared" si="2"/>
        <v>0</v>
      </c>
      <c r="H65" s="100">
        <f t="shared" si="3"/>
        <v>0</v>
      </c>
      <c r="I65" s="100">
        <f t="shared" si="4"/>
        <v>0</v>
      </c>
      <c r="J65" s="135">
        <f t="shared" si="5"/>
        <v>0</v>
      </c>
    </row>
    <row r="66" spans="2:10">
      <c r="B66" s="131">
        <f>Amnt_Deposited!B58</f>
        <v>1997</v>
      </c>
      <c r="C66" s="134">
        <f>Amnt_Deposited!C58</f>
        <v>444.91199999999998</v>
      </c>
      <c r="D66" s="496">
        <f>MCF!X65</f>
        <v>0.70499999999999996</v>
      </c>
      <c r="E66" s="167">
        <f t="shared" si="1"/>
        <v>0</v>
      </c>
      <c r="F66" s="100">
        <f t="shared" si="0"/>
        <v>0</v>
      </c>
      <c r="G66" s="100">
        <f t="shared" si="2"/>
        <v>0</v>
      </c>
      <c r="H66" s="100">
        <f t="shared" si="3"/>
        <v>0</v>
      </c>
      <c r="I66" s="100">
        <f t="shared" si="4"/>
        <v>0</v>
      </c>
      <c r="J66" s="135">
        <f t="shared" si="5"/>
        <v>0</v>
      </c>
    </row>
    <row r="67" spans="2:10">
      <c r="B67" s="131">
        <f>Amnt_Deposited!B59</f>
        <v>1998</v>
      </c>
      <c r="C67" s="134">
        <f>Amnt_Deposited!C59</f>
        <v>444.91199999999998</v>
      </c>
      <c r="D67" s="496">
        <f>MCF!X66</f>
        <v>0.70499999999999996</v>
      </c>
      <c r="E67" s="167">
        <f t="shared" si="1"/>
        <v>0</v>
      </c>
      <c r="F67" s="100">
        <f t="shared" si="0"/>
        <v>0</v>
      </c>
      <c r="G67" s="100">
        <f t="shared" si="2"/>
        <v>0</v>
      </c>
      <c r="H67" s="100">
        <f t="shared" si="3"/>
        <v>0</v>
      </c>
      <c r="I67" s="100">
        <f t="shared" si="4"/>
        <v>0</v>
      </c>
      <c r="J67" s="135">
        <f t="shared" si="5"/>
        <v>0</v>
      </c>
    </row>
    <row r="68" spans="2:10">
      <c r="B68" s="131">
        <f>Amnt_Deposited!B60</f>
        <v>1999</v>
      </c>
      <c r="C68" s="134">
        <f>Amnt_Deposited!C60</f>
        <v>444.91199999999998</v>
      </c>
      <c r="D68" s="496">
        <f>MCF!X67</f>
        <v>0.70499999999999996</v>
      </c>
      <c r="E68" s="167">
        <f t="shared" si="1"/>
        <v>0</v>
      </c>
      <c r="F68" s="100">
        <f t="shared" si="0"/>
        <v>0</v>
      </c>
      <c r="G68" s="100">
        <f t="shared" si="2"/>
        <v>0</v>
      </c>
      <c r="H68" s="100">
        <f t="shared" si="3"/>
        <v>0</v>
      </c>
      <c r="I68" s="100">
        <f t="shared" si="4"/>
        <v>0</v>
      </c>
      <c r="J68" s="135">
        <f t="shared" si="5"/>
        <v>0</v>
      </c>
    </row>
    <row r="69" spans="2:10">
      <c r="B69" s="131">
        <f>Amnt_Deposited!B61</f>
        <v>2000</v>
      </c>
      <c r="C69" s="134">
        <f>Amnt_Deposited!C61</f>
        <v>444.91199999999998</v>
      </c>
      <c r="D69" s="496">
        <f>MCF!X68</f>
        <v>0.70499999999999996</v>
      </c>
      <c r="E69" s="167">
        <f t="shared" si="1"/>
        <v>0</v>
      </c>
      <c r="F69" s="100">
        <f t="shared" si="0"/>
        <v>0</v>
      </c>
      <c r="G69" s="100">
        <f t="shared" si="2"/>
        <v>0</v>
      </c>
      <c r="H69" s="100">
        <f t="shared" si="3"/>
        <v>0</v>
      </c>
      <c r="I69" s="100">
        <f t="shared" si="4"/>
        <v>0</v>
      </c>
      <c r="J69" s="135">
        <f t="shared" si="5"/>
        <v>0</v>
      </c>
    </row>
    <row r="70" spans="2:10">
      <c r="B70" s="131">
        <f>Amnt_Deposited!B62</f>
        <v>2001</v>
      </c>
      <c r="C70" s="134">
        <f>Amnt_Deposited!C62</f>
        <v>444.91199999999998</v>
      </c>
      <c r="D70" s="496">
        <f>MCF!X69</f>
        <v>0.70499999999999996</v>
      </c>
      <c r="E70" s="167">
        <f t="shared" si="1"/>
        <v>0</v>
      </c>
      <c r="F70" s="100">
        <f t="shared" si="0"/>
        <v>0</v>
      </c>
      <c r="G70" s="100">
        <f t="shared" si="2"/>
        <v>0</v>
      </c>
      <c r="H70" s="100">
        <f t="shared" si="3"/>
        <v>0</v>
      </c>
      <c r="I70" s="100">
        <f t="shared" si="4"/>
        <v>0</v>
      </c>
      <c r="J70" s="135">
        <f t="shared" si="5"/>
        <v>0</v>
      </c>
    </row>
    <row r="71" spans="2:10">
      <c r="B71" s="131">
        <f>Amnt_Deposited!B63</f>
        <v>2002</v>
      </c>
      <c r="C71" s="134">
        <f>Amnt_Deposited!C63</f>
        <v>444.91199999999998</v>
      </c>
      <c r="D71" s="496">
        <f>MCF!X70</f>
        <v>0.70499999999999996</v>
      </c>
      <c r="E71" s="167">
        <f t="shared" si="1"/>
        <v>0</v>
      </c>
      <c r="F71" s="100">
        <f t="shared" si="0"/>
        <v>0</v>
      </c>
      <c r="G71" s="100">
        <f t="shared" si="2"/>
        <v>0</v>
      </c>
      <c r="H71" s="100">
        <f t="shared" si="3"/>
        <v>0</v>
      </c>
      <c r="I71" s="100">
        <f t="shared" si="4"/>
        <v>0</v>
      </c>
      <c r="J71" s="135">
        <f t="shared" si="5"/>
        <v>0</v>
      </c>
    </row>
    <row r="72" spans="2:10">
      <c r="B72" s="131">
        <f>Amnt_Deposited!B64</f>
        <v>2003</v>
      </c>
      <c r="C72" s="134">
        <f>Amnt_Deposited!C64</f>
        <v>444.91199999999998</v>
      </c>
      <c r="D72" s="496">
        <f>MCF!X71</f>
        <v>0.70499999999999996</v>
      </c>
      <c r="E72" s="167">
        <f t="shared" si="1"/>
        <v>0</v>
      </c>
      <c r="F72" s="100">
        <f t="shared" si="0"/>
        <v>0</v>
      </c>
      <c r="G72" s="100">
        <f t="shared" si="2"/>
        <v>0</v>
      </c>
      <c r="H72" s="100">
        <f t="shared" si="3"/>
        <v>0</v>
      </c>
      <c r="I72" s="100">
        <f t="shared" si="4"/>
        <v>0</v>
      </c>
      <c r="J72" s="135">
        <f t="shared" si="5"/>
        <v>0</v>
      </c>
    </row>
    <row r="73" spans="2:10">
      <c r="B73" s="131">
        <f>Amnt_Deposited!B65</f>
        <v>2004</v>
      </c>
      <c r="C73" s="134">
        <f>Amnt_Deposited!C65</f>
        <v>444.91199999999998</v>
      </c>
      <c r="D73" s="496">
        <f>MCF!X72</f>
        <v>0.70499999999999996</v>
      </c>
      <c r="E73" s="167">
        <f t="shared" si="1"/>
        <v>0</v>
      </c>
      <c r="F73" s="100">
        <f t="shared" si="0"/>
        <v>0</v>
      </c>
      <c r="G73" s="100">
        <f t="shared" si="2"/>
        <v>0</v>
      </c>
      <c r="H73" s="100">
        <f t="shared" si="3"/>
        <v>0</v>
      </c>
      <c r="I73" s="100">
        <f t="shared" si="4"/>
        <v>0</v>
      </c>
      <c r="J73" s="135">
        <f t="shared" si="5"/>
        <v>0</v>
      </c>
    </row>
    <row r="74" spans="2:10">
      <c r="B74" s="131">
        <f>Amnt_Deposited!B66</f>
        <v>2005</v>
      </c>
      <c r="C74" s="134">
        <f>Amnt_Deposited!C66</f>
        <v>444.91199999999998</v>
      </c>
      <c r="D74" s="496">
        <f>MCF!X73</f>
        <v>0.70499999999999996</v>
      </c>
      <c r="E74" s="167">
        <f t="shared" si="1"/>
        <v>0</v>
      </c>
      <c r="F74" s="100">
        <f t="shared" si="0"/>
        <v>0</v>
      </c>
      <c r="G74" s="100">
        <f t="shared" si="2"/>
        <v>0</v>
      </c>
      <c r="H74" s="100">
        <f t="shared" si="3"/>
        <v>0</v>
      </c>
      <c r="I74" s="100">
        <f t="shared" si="4"/>
        <v>0</v>
      </c>
      <c r="J74" s="135">
        <f t="shared" si="5"/>
        <v>0</v>
      </c>
    </row>
    <row r="75" spans="2:10">
      <c r="B75" s="131">
        <f>Amnt_Deposited!B67</f>
        <v>2006</v>
      </c>
      <c r="C75" s="134">
        <f>Amnt_Deposited!C67</f>
        <v>444.91199999999998</v>
      </c>
      <c r="D75" s="496">
        <f>MCF!X74</f>
        <v>0.70499999999999996</v>
      </c>
      <c r="E75" s="167">
        <f t="shared" si="1"/>
        <v>0</v>
      </c>
      <c r="F75" s="100">
        <f t="shared" si="0"/>
        <v>0</v>
      </c>
      <c r="G75" s="100">
        <f t="shared" si="2"/>
        <v>0</v>
      </c>
      <c r="H75" s="100">
        <f t="shared" si="3"/>
        <v>0</v>
      </c>
      <c r="I75" s="100">
        <f t="shared" si="4"/>
        <v>0</v>
      </c>
      <c r="J75" s="135">
        <f t="shared" si="5"/>
        <v>0</v>
      </c>
    </row>
    <row r="76" spans="2:10">
      <c r="B76" s="131">
        <f>Amnt_Deposited!B68</f>
        <v>2007</v>
      </c>
      <c r="C76" s="134">
        <f>Amnt_Deposited!C68</f>
        <v>444.91199999999998</v>
      </c>
      <c r="D76" s="496">
        <f>MCF!X75</f>
        <v>0.70499999999999996</v>
      </c>
      <c r="E76" s="167">
        <f t="shared" si="1"/>
        <v>0</v>
      </c>
      <c r="F76" s="100">
        <f t="shared" si="0"/>
        <v>0</v>
      </c>
      <c r="G76" s="100">
        <f t="shared" si="2"/>
        <v>0</v>
      </c>
      <c r="H76" s="100">
        <f t="shared" si="3"/>
        <v>0</v>
      </c>
      <c r="I76" s="100">
        <f t="shared" si="4"/>
        <v>0</v>
      </c>
      <c r="J76" s="135">
        <f t="shared" si="5"/>
        <v>0</v>
      </c>
    </row>
    <row r="77" spans="2:10">
      <c r="B77" s="131">
        <f>Amnt_Deposited!B69</f>
        <v>2008</v>
      </c>
      <c r="C77" s="134">
        <f>Amnt_Deposited!C69</f>
        <v>444.91199999999998</v>
      </c>
      <c r="D77" s="496">
        <f>MCF!X76</f>
        <v>0.70499999999999996</v>
      </c>
      <c r="E77" s="167">
        <f t="shared" si="1"/>
        <v>0</v>
      </c>
      <c r="F77" s="100">
        <f t="shared" si="0"/>
        <v>0</v>
      </c>
      <c r="G77" s="100">
        <f t="shared" si="2"/>
        <v>0</v>
      </c>
      <c r="H77" s="100">
        <f t="shared" si="3"/>
        <v>0</v>
      </c>
      <c r="I77" s="100">
        <f t="shared" si="4"/>
        <v>0</v>
      </c>
      <c r="J77" s="135">
        <f t="shared" si="5"/>
        <v>0</v>
      </c>
    </row>
    <row r="78" spans="2:10">
      <c r="B78" s="131">
        <f>Amnt_Deposited!B70</f>
        <v>2009</v>
      </c>
      <c r="C78" s="134">
        <f>Amnt_Deposited!C70</f>
        <v>444.91199999999998</v>
      </c>
      <c r="D78" s="496">
        <f>MCF!X77</f>
        <v>0.70499999999999996</v>
      </c>
      <c r="E78" s="167">
        <f t="shared" si="1"/>
        <v>0</v>
      </c>
      <c r="F78" s="100">
        <f t="shared" si="0"/>
        <v>0</v>
      </c>
      <c r="G78" s="100">
        <f t="shared" si="2"/>
        <v>0</v>
      </c>
      <c r="H78" s="100">
        <f t="shared" si="3"/>
        <v>0</v>
      </c>
      <c r="I78" s="100">
        <f t="shared" si="4"/>
        <v>0</v>
      </c>
      <c r="J78" s="135">
        <f t="shared" si="5"/>
        <v>0</v>
      </c>
    </row>
    <row r="79" spans="2:10">
      <c r="B79" s="131">
        <f>Amnt_Deposited!B71</f>
        <v>2010</v>
      </c>
      <c r="C79" s="134">
        <f>Amnt_Deposited!C71</f>
        <v>444.91199999999998</v>
      </c>
      <c r="D79" s="496">
        <f>MCF!X78</f>
        <v>0.70499999999999996</v>
      </c>
      <c r="E79" s="167">
        <f t="shared" si="1"/>
        <v>0</v>
      </c>
      <c r="F79" s="100">
        <f t="shared" si="0"/>
        <v>0</v>
      </c>
      <c r="G79" s="100">
        <f t="shared" si="2"/>
        <v>0</v>
      </c>
      <c r="H79" s="100">
        <f t="shared" si="3"/>
        <v>0</v>
      </c>
      <c r="I79" s="100">
        <f t="shared" si="4"/>
        <v>0</v>
      </c>
      <c r="J79" s="135">
        <f t="shared" si="5"/>
        <v>0</v>
      </c>
    </row>
    <row r="80" spans="2:10">
      <c r="B80" s="131">
        <f>Amnt_Deposited!B72</f>
        <v>2011</v>
      </c>
      <c r="C80" s="134">
        <f>Amnt_Deposited!C72</f>
        <v>444.91199999999998</v>
      </c>
      <c r="D80" s="496">
        <f>MCF!X79</f>
        <v>0.70499999999999996</v>
      </c>
      <c r="E80" s="167">
        <f t="shared" si="1"/>
        <v>0</v>
      </c>
      <c r="F80" s="100">
        <f t="shared" si="0"/>
        <v>0</v>
      </c>
      <c r="G80" s="100">
        <f t="shared" si="2"/>
        <v>0</v>
      </c>
      <c r="H80" s="100">
        <f t="shared" si="3"/>
        <v>0</v>
      </c>
      <c r="I80" s="100">
        <f t="shared" si="4"/>
        <v>0</v>
      </c>
      <c r="J80" s="135">
        <f t="shared" si="5"/>
        <v>0</v>
      </c>
    </row>
    <row r="81" spans="2:10">
      <c r="B81" s="131">
        <f>Amnt_Deposited!B73</f>
        <v>2012</v>
      </c>
      <c r="C81" s="134">
        <f>Amnt_Deposited!C73</f>
        <v>444.91199999999998</v>
      </c>
      <c r="D81" s="496">
        <f>MCF!X80</f>
        <v>0.70499999999999996</v>
      </c>
      <c r="E81" s="167">
        <f t="shared" si="1"/>
        <v>0</v>
      </c>
      <c r="F81" s="100">
        <f t="shared" si="0"/>
        <v>0</v>
      </c>
      <c r="G81" s="100">
        <f t="shared" si="2"/>
        <v>0</v>
      </c>
      <c r="H81" s="100">
        <f t="shared" si="3"/>
        <v>0</v>
      </c>
      <c r="I81" s="100">
        <f t="shared" si="4"/>
        <v>0</v>
      </c>
      <c r="J81" s="135">
        <f t="shared" si="5"/>
        <v>0</v>
      </c>
    </row>
    <row r="82" spans="2:10">
      <c r="B82" s="131">
        <f>Amnt_Deposited!B74</f>
        <v>2013</v>
      </c>
      <c r="C82" s="134">
        <f>Amnt_Deposited!C74</f>
        <v>444.91199999999998</v>
      </c>
      <c r="D82" s="496">
        <f>MCF!X81</f>
        <v>0.70499999999999996</v>
      </c>
      <c r="E82" s="167">
        <f t="shared" si="1"/>
        <v>0</v>
      </c>
      <c r="F82" s="100">
        <f t="shared" si="0"/>
        <v>0</v>
      </c>
      <c r="G82" s="100">
        <f t="shared" si="2"/>
        <v>0</v>
      </c>
      <c r="H82" s="100">
        <f t="shared" si="3"/>
        <v>0</v>
      </c>
      <c r="I82" s="100">
        <f t="shared" si="4"/>
        <v>0</v>
      </c>
      <c r="J82" s="135">
        <f t="shared" si="5"/>
        <v>0</v>
      </c>
    </row>
    <row r="83" spans="2:10">
      <c r="B83" s="131">
        <f>Amnt_Deposited!B75</f>
        <v>2014</v>
      </c>
      <c r="C83" s="134">
        <f>Amnt_Deposited!C75</f>
        <v>444.91199999999998</v>
      </c>
      <c r="D83" s="496">
        <f>MCF!X82</f>
        <v>0.70499999999999996</v>
      </c>
      <c r="E83" s="167">
        <f t="shared" si="1"/>
        <v>0</v>
      </c>
      <c r="F83" s="100">
        <f t="shared" ref="F83:F99" si="6">E83*$I$12</f>
        <v>0</v>
      </c>
      <c r="G83" s="100">
        <f t="shared" si="2"/>
        <v>0</v>
      </c>
      <c r="H83" s="100">
        <f t="shared" si="3"/>
        <v>0</v>
      </c>
      <c r="I83" s="100">
        <f t="shared" si="4"/>
        <v>0</v>
      </c>
      <c r="J83" s="135">
        <f t="shared" si="5"/>
        <v>0</v>
      </c>
    </row>
    <row r="84" spans="2:10">
      <c r="B84" s="131">
        <f>Amnt_Deposited!B76</f>
        <v>2015</v>
      </c>
      <c r="C84" s="134">
        <f>Amnt_Deposited!C76</f>
        <v>444.91199999999998</v>
      </c>
      <c r="D84" s="496">
        <f>MCF!X83</f>
        <v>0.70499999999999996</v>
      </c>
      <c r="E84" s="167">
        <f t="shared" ref="E84:E99" si="7">C84*$I$6*$I$7*D84</f>
        <v>0</v>
      </c>
      <c r="F84" s="100">
        <f t="shared" si="6"/>
        <v>0</v>
      </c>
      <c r="G84" s="100">
        <f t="shared" ref="G84:G99" si="8">E84*(1-$I$12)</f>
        <v>0</v>
      </c>
      <c r="H84" s="100">
        <f t="shared" ref="H84:H99" si="9">F84+H83*$I$10</f>
        <v>0</v>
      </c>
      <c r="I84" s="100">
        <f t="shared" ref="I84:I99" si="10">H83*(1-$I$10)+G84</f>
        <v>0</v>
      </c>
      <c r="J84" s="135">
        <f t="shared" si="5"/>
        <v>0</v>
      </c>
    </row>
    <row r="85" spans="2:10">
      <c r="B85" s="131">
        <f>Amnt_Deposited!B77</f>
        <v>2016</v>
      </c>
      <c r="C85" s="134">
        <f>Amnt_Deposited!C77</f>
        <v>444.91199999999998</v>
      </c>
      <c r="D85" s="496">
        <f>MCF!X84</f>
        <v>0.70499999999999996</v>
      </c>
      <c r="E85" s="167">
        <f t="shared" si="7"/>
        <v>0</v>
      </c>
      <c r="F85" s="100">
        <f t="shared" si="6"/>
        <v>0</v>
      </c>
      <c r="G85" s="100">
        <f t="shared" si="8"/>
        <v>0</v>
      </c>
      <c r="H85" s="100">
        <f t="shared" si="9"/>
        <v>0</v>
      </c>
      <c r="I85" s="100">
        <f t="shared" si="10"/>
        <v>0</v>
      </c>
      <c r="J85" s="135">
        <f t="shared" ref="J85:J99" si="11">I85*CH4_fraction*conv</f>
        <v>0</v>
      </c>
    </row>
    <row r="86" spans="2:10">
      <c r="B86" s="131">
        <f>Amnt_Deposited!B78</f>
        <v>2017</v>
      </c>
      <c r="C86" s="134">
        <f>Amnt_Deposited!C78</f>
        <v>444.91199999999998</v>
      </c>
      <c r="D86" s="496">
        <f>MCF!X85</f>
        <v>0.70499999999999996</v>
      </c>
      <c r="E86" s="167">
        <f t="shared" si="7"/>
        <v>0</v>
      </c>
      <c r="F86" s="100">
        <f t="shared" si="6"/>
        <v>0</v>
      </c>
      <c r="G86" s="100">
        <f t="shared" si="8"/>
        <v>0</v>
      </c>
      <c r="H86" s="100">
        <f t="shared" si="9"/>
        <v>0</v>
      </c>
      <c r="I86" s="100">
        <f t="shared" si="10"/>
        <v>0</v>
      </c>
      <c r="J86" s="135">
        <f t="shared" si="11"/>
        <v>0</v>
      </c>
    </row>
    <row r="87" spans="2:10">
      <c r="B87" s="131">
        <f>Amnt_Deposited!B79</f>
        <v>2018</v>
      </c>
      <c r="C87" s="134">
        <f>Amnt_Deposited!C79</f>
        <v>444.91199999999998</v>
      </c>
      <c r="D87" s="496">
        <f>MCF!X86</f>
        <v>0.70499999999999996</v>
      </c>
      <c r="E87" s="167">
        <f t="shared" si="7"/>
        <v>0</v>
      </c>
      <c r="F87" s="100">
        <f t="shared" si="6"/>
        <v>0</v>
      </c>
      <c r="G87" s="100">
        <f t="shared" si="8"/>
        <v>0</v>
      </c>
      <c r="H87" s="100">
        <f t="shared" si="9"/>
        <v>0</v>
      </c>
      <c r="I87" s="100">
        <f t="shared" si="10"/>
        <v>0</v>
      </c>
      <c r="J87" s="135">
        <f t="shared" si="11"/>
        <v>0</v>
      </c>
    </row>
    <row r="88" spans="2:10">
      <c r="B88" s="131">
        <f>Amnt_Deposited!B80</f>
        <v>2019</v>
      </c>
      <c r="C88" s="134">
        <f>Amnt_Deposited!C80</f>
        <v>444.91199999999998</v>
      </c>
      <c r="D88" s="496">
        <f>MCF!X87</f>
        <v>0.70499999999999996</v>
      </c>
      <c r="E88" s="167">
        <f t="shared" si="7"/>
        <v>0</v>
      </c>
      <c r="F88" s="100">
        <f t="shared" si="6"/>
        <v>0</v>
      </c>
      <c r="G88" s="100">
        <f t="shared" si="8"/>
        <v>0</v>
      </c>
      <c r="H88" s="100">
        <f t="shared" si="9"/>
        <v>0</v>
      </c>
      <c r="I88" s="100">
        <f t="shared" si="10"/>
        <v>0</v>
      </c>
      <c r="J88" s="135">
        <f t="shared" si="11"/>
        <v>0</v>
      </c>
    </row>
    <row r="89" spans="2:10">
      <c r="B89" s="131">
        <f>Amnt_Deposited!B81</f>
        <v>2020</v>
      </c>
      <c r="C89" s="134">
        <f>Amnt_Deposited!C81</f>
        <v>444.91199999999998</v>
      </c>
      <c r="D89" s="496">
        <f>MCF!X88</f>
        <v>0.70499999999999996</v>
      </c>
      <c r="E89" s="167">
        <f t="shared" si="7"/>
        <v>0</v>
      </c>
      <c r="F89" s="100">
        <f t="shared" si="6"/>
        <v>0</v>
      </c>
      <c r="G89" s="100">
        <f t="shared" si="8"/>
        <v>0</v>
      </c>
      <c r="H89" s="100">
        <f t="shared" si="9"/>
        <v>0</v>
      </c>
      <c r="I89" s="100">
        <f t="shared" si="10"/>
        <v>0</v>
      </c>
      <c r="J89" s="135">
        <f t="shared" si="11"/>
        <v>0</v>
      </c>
    </row>
    <row r="90" spans="2:10">
      <c r="B90" s="131">
        <f>Amnt_Deposited!B82</f>
        <v>2021</v>
      </c>
      <c r="C90" s="134">
        <f>Amnt_Deposited!C82</f>
        <v>444.91199999999998</v>
      </c>
      <c r="D90" s="496">
        <f>MCF!X89</f>
        <v>0.70499999999999996</v>
      </c>
      <c r="E90" s="167">
        <f t="shared" si="7"/>
        <v>0</v>
      </c>
      <c r="F90" s="100">
        <f t="shared" si="6"/>
        <v>0</v>
      </c>
      <c r="G90" s="100">
        <f t="shared" si="8"/>
        <v>0</v>
      </c>
      <c r="H90" s="100">
        <f t="shared" si="9"/>
        <v>0</v>
      </c>
      <c r="I90" s="100">
        <f t="shared" si="10"/>
        <v>0</v>
      </c>
      <c r="J90" s="135">
        <f t="shared" si="11"/>
        <v>0</v>
      </c>
    </row>
    <row r="91" spans="2:10">
      <c r="B91" s="131">
        <f>Amnt_Deposited!B83</f>
        <v>2022</v>
      </c>
      <c r="C91" s="134">
        <f>Amnt_Deposited!C83</f>
        <v>444.91199999999998</v>
      </c>
      <c r="D91" s="496">
        <f>MCF!X90</f>
        <v>0.70499999999999996</v>
      </c>
      <c r="E91" s="167">
        <f t="shared" si="7"/>
        <v>0</v>
      </c>
      <c r="F91" s="100">
        <f t="shared" si="6"/>
        <v>0</v>
      </c>
      <c r="G91" s="100">
        <f t="shared" si="8"/>
        <v>0</v>
      </c>
      <c r="H91" s="100">
        <f t="shared" si="9"/>
        <v>0</v>
      </c>
      <c r="I91" s="100">
        <f t="shared" si="10"/>
        <v>0</v>
      </c>
      <c r="J91" s="135">
        <f t="shared" si="11"/>
        <v>0</v>
      </c>
    </row>
    <row r="92" spans="2:10">
      <c r="B92" s="131">
        <f>Amnt_Deposited!B84</f>
        <v>2023</v>
      </c>
      <c r="C92" s="134">
        <f>Amnt_Deposited!C84</f>
        <v>444.91199999999998</v>
      </c>
      <c r="D92" s="496">
        <f>MCF!X91</f>
        <v>0.70499999999999996</v>
      </c>
      <c r="E92" s="167">
        <f t="shared" si="7"/>
        <v>0</v>
      </c>
      <c r="F92" s="100">
        <f t="shared" si="6"/>
        <v>0</v>
      </c>
      <c r="G92" s="100">
        <f t="shared" si="8"/>
        <v>0</v>
      </c>
      <c r="H92" s="100">
        <f t="shared" si="9"/>
        <v>0</v>
      </c>
      <c r="I92" s="100">
        <f t="shared" si="10"/>
        <v>0</v>
      </c>
      <c r="J92" s="135">
        <f t="shared" si="11"/>
        <v>0</v>
      </c>
    </row>
    <row r="93" spans="2:10">
      <c r="B93" s="131">
        <f>Amnt_Deposited!B85</f>
        <v>2024</v>
      </c>
      <c r="C93" s="134">
        <f>Amnt_Deposited!C85</f>
        <v>444.91199999999998</v>
      </c>
      <c r="D93" s="496">
        <f>MCF!X92</f>
        <v>0.70499999999999996</v>
      </c>
      <c r="E93" s="167">
        <f t="shared" si="7"/>
        <v>0</v>
      </c>
      <c r="F93" s="100">
        <f t="shared" si="6"/>
        <v>0</v>
      </c>
      <c r="G93" s="100">
        <f t="shared" si="8"/>
        <v>0</v>
      </c>
      <c r="H93" s="100">
        <f t="shared" si="9"/>
        <v>0</v>
      </c>
      <c r="I93" s="100">
        <f t="shared" si="10"/>
        <v>0</v>
      </c>
      <c r="J93" s="135">
        <f t="shared" si="11"/>
        <v>0</v>
      </c>
    </row>
    <row r="94" spans="2:10">
      <c r="B94" s="131">
        <f>Amnt_Deposited!B86</f>
        <v>2025</v>
      </c>
      <c r="C94" s="134">
        <f>Amnt_Deposited!C86</f>
        <v>444.91199999999998</v>
      </c>
      <c r="D94" s="496">
        <f>MCF!X93</f>
        <v>0.70499999999999996</v>
      </c>
      <c r="E94" s="167">
        <f t="shared" si="7"/>
        <v>0</v>
      </c>
      <c r="F94" s="100">
        <f t="shared" si="6"/>
        <v>0</v>
      </c>
      <c r="G94" s="100">
        <f t="shared" si="8"/>
        <v>0</v>
      </c>
      <c r="H94" s="100">
        <f t="shared" si="9"/>
        <v>0</v>
      </c>
      <c r="I94" s="100">
        <f t="shared" si="10"/>
        <v>0</v>
      </c>
      <c r="J94" s="135">
        <f t="shared" si="11"/>
        <v>0</v>
      </c>
    </row>
    <row r="95" spans="2:10">
      <c r="B95" s="131">
        <f>Amnt_Deposited!B87</f>
        <v>2026</v>
      </c>
      <c r="C95" s="134">
        <f>Amnt_Deposited!C87</f>
        <v>444.91199999999998</v>
      </c>
      <c r="D95" s="496">
        <f>MCF!X94</f>
        <v>0.70499999999999996</v>
      </c>
      <c r="E95" s="167">
        <f t="shared" si="7"/>
        <v>0</v>
      </c>
      <c r="F95" s="100">
        <f t="shared" si="6"/>
        <v>0</v>
      </c>
      <c r="G95" s="100">
        <f t="shared" si="8"/>
        <v>0</v>
      </c>
      <c r="H95" s="100">
        <f t="shared" si="9"/>
        <v>0</v>
      </c>
      <c r="I95" s="100">
        <f t="shared" si="10"/>
        <v>0</v>
      </c>
      <c r="J95" s="135">
        <f t="shared" si="11"/>
        <v>0</v>
      </c>
    </row>
    <row r="96" spans="2:10">
      <c r="B96" s="131">
        <f>Amnt_Deposited!B88</f>
        <v>2027</v>
      </c>
      <c r="C96" s="134">
        <f>Amnt_Deposited!C88</f>
        <v>444.91199999999998</v>
      </c>
      <c r="D96" s="496">
        <f>MCF!X95</f>
        <v>0.70499999999999996</v>
      </c>
      <c r="E96" s="167">
        <f t="shared" si="7"/>
        <v>0</v>
      </c>
      <c r="F96" s="100">
        <f t="shared" si="6"/>
        <v>0</v>
      </c>
      <c r="G96" s="100">
        <f t="shared" si="8"/>
        <v>0</v>
      </c>
      <c r="H96" s="100">
        <f t="shared" si="9"/>
        <v>0</v>
      </c>
      <c r="I96" s="100">
        <f t="shared" si="10"/>
        <v>0</v>
      </c>
      <c r="J96" s="135">
        <f t="shared" si="11"/>
        <v>0</v>
      </c>
    </row>
    <row r="97" spans="2:10">
      <c r="B97" s="131">
        <f>Amnt_Deposited!B89</f>
        <v>2028</v>
      </c>
      <c r="C97" s="134">
        <f>Amnt_Deposited!C89</f>
        <v>444.91199999999998</v>
      </c>
      <c r="D97" s="496">
        <f>MCF!X96</f>
        <v>0.70499999999999996</v>
      </c>
      <c r="E97" s="167">
        <f t="shared" si="7"/>
        <v>0</v>
      </c>
      <c r="F97" s="100">
        <f t="shared" si="6"/>
        <v>0</v>
      </c>
      <c r="G97" s="100">
        <f t="shared" si="8"/>
        <v>0</v>
      </c>
      <c r="H97" s="100">
        <f t="shared" si="9"/>
        <v>0</v>
      </c>
      <c r="I97" s="100">
        <f t="shared" si="10"/>
        <v>0</v>
      </c>
      <c r="J97" s="135">
        <f t="shared" si="11"/>
        <v>0</v>
      </c>
    </row>
    <row r="98" spans="2:10">
      <c r="B98" s="131">
        <f>Amnt_Deposited!B90</f>
        <v>2029</v>
      </c>
      <c r="C98" s="134">
        <f>Amnt_Deposited!C90</f>
        <v>444.91199999999998</v>
      </c>
      <c r="D98" s="496">
        <f>MCF!X97</f>
        <v>0.70499999999999996</v>
      </c>
      <c r="E98" s="167">
        <f t="shared" si="7"/>
        <v>0</v>
      </c>
      <c r="F98" s="100">
        <f t="shared" si="6"/>
        <v>0</v>
      </c>
      <c r="G98" s="100">
        <f t="shared" si="8"/>
        <v>0</v>
      </c>
      <c r="H98" s="100">
        <f t="shared" si="9"/>
        <v>0</v>
      </c>
      <c r="I98" s="100">
        <f t="shared" si="10"/>
        <v>0</v>
      </c>
      <c r="J98" s="135">
        <f t="shared" si="11"/>
        <v>0</v>
      </c>
    </row>
    <row r="99" spans="2:10" ht="13.8" thickBot="1">
      <c r="B99" s="132">
        <f>Amnt_Deposited!B91</f>
        <v>2030</v>
      </c>
      <c r="C99" s="136">
        <f>Amnt_Deposited!C91</f>
        <v>444.91199999999998</v>
      </c>
      <c r="D99" s="497">
        <f>MCF!X98</f>
        <v>0.70499999999999996</v>
      </c>
      <c r="E99" s="167">
        <f t="shared" si="7"/>
        <v>0</v>
      </c>
      <c r="F99" s="101">
        <f t="shared" si="6"/>
        <v>0</v>
      </c>
      <c r="G99" s="101">
        <f t="shared" si="8"/>
        <v>0</v>
      </c>
      <c r="H99" s="101">
        <f t="shared" si="9"/>
        <v>0</v>
      </c>
      <c r="I99" s="101">
        <f t="shared" si="10"/>
        <v>0</v>
      </c>
      <c r="J99" s="137">
        <f t="shared" si="11"/>
        <v>0</v>
      </c>
    </row>
  </sheetData>
  <phoneticPr fontId="17" type="noConversion"/>
  <pageMargins left="0.75" right="0.75" top="1" bottom="1" header="0.5" footer="0.5"/>
  <pageSetup paperSize="9" orientation="portrait"/>
  <headerFooter alignWithMargins="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2:M99"/>
  <sheetViews>
    <sheetView showGridLines="0" workbookViewId="0">
      <selection activeCell="N17" sqref="N17"/>
    </sheetView>
  </sheetViews>
  <sheetFormatPr defaultColWidth="11.44140625" defaultRowHeight="13.2"/>
  <cols>
    <col min="1" max="1" width="3.44140625" style="6" customWidth="1"/>
    <col min="2" max="2" width="5.33203125" style="6" customWidth="1"/>
    <col min="3" max="3" width="9" style="6" customWidth="1"/>
    <col min="4" max="4" width="7.44140625" style="272" customWidth="1"/>
    <col min="5" max="6" width="10.6640625" style="6" customWidth="1"/>
    <col min="7" max="7" width="10.109375" style="6" customWidth="1"/>
    <col min="8" max="8" width="14.109375" style="6" customWidth="1"/>
    <col min="9" max="9" width="12" style="6" customWidth="1"/>
    <col min="10" max="10" width="10.33203125" style="6" customWidth="1"/>
    <col min="11" max="16384" width="11.44140625" style="6"/>
  </cols>
  <sheetData>
    <row r="2" spans="1:13" ht="15.6">
      <c r="B2" s="80" t="s">
        <v>123</v>
      </c>
      <c r="C2" s="274"/>
      <c r="D2" s="275"/>
      <c r="E2" s="276"/>
      <c r="F2" s="276"/>
      <c r="G2" s="276"/>
      <c r="H2" s="276"/>
      <c r="I2" s="276"/>
      <c r="J2" s="276"/>
    </row>
    <row r="3" spans="1:13" ht="15">
      <c r="B3" s="174" t="str">
        <f>IF(Select2=2,"Having chosen the bulk waste option, this sheet applies only to Harvested Wood Products calculations","")</f>
        <v>Having chosen the bulk waste option, this sheet applies only to Harvested Wood Products calculations</v>
      </c>
      <c r="C3" s="274"/>
      <c r="D3" s="275"/>
      <c r="E3" s="276"/>
      <c r="F3" s="276"/>
      <c r="G3" s="276"/>
      <c r="H3" s="276"/>
      <c r="I3" s="276"/>
      <c r="J3" s="276"/>
    </row>
    <row r="4" spans="1:13" ht="16.2" thickBot="1">
      <c r="B4" s="67"/>
      <c r="C4" s="277"/>
      <c r="D4" s="278"/>
      <c r="E4" s="279"/>
      <c r="F4" s="279"/>
      <c r="G4" s="279"/>
      <c r="H4" s="279"/>
      <c r="I4" s="279"/>
      <c r="J4" s="279"/>
    </row>
    <row r="5" spans="1:13" ht="27" thickBot="1">
      <c r="B5" s="280"/>
      <c r="C5" s="281"/>
      <c r="D5" s="282"/>
      <c r="E5" s="266"/>
      <c r="F5" s="266"/>
      <c r="G5" s="266"/>
      <c r="H5" s="266"/>
      <c r="I5" s="150" t="s">
        <v>8</v>
      </c>
      <c r="J5" s="266"/>
    </row>
    <row r="6" spans="1:13">
      <c r="B6" s="280"/>
      <c r="C6" s="281"/>
      <c r="D6" s="143" t="s">
        <v>10</v>
      </c>
      <c r="E6" s="144"/>
      <c r="F6" s="144"/>
      <c r="G6" s="148"/>
      <c r="H6" s="155" t="s">
        <v>10</v>
      </c>
      <c r="I6" s="329">
        <f>Parameters!M14</f>
        <v>0.2</v>
      </c>
      <c r="J6" s="266"/>
    </row>
    <row r="7" spans="1:13" ht="13.8" thickBot="1">
      <c r="B7" s="280"/>
      <c r="C7" s="281"/>
      <c r="D7" s="308" t="s">
        <v>14</v>
      </c>
      <c r="E7" s="309"/>
      <c r="F7" s="309"/>
      <c r="G7" s="310"/>
      <c r="H7" s="311" t="s">
        <v>14</v>
      </c>
      <c r="I7" s="637">
        <f>Parameters!E26</f>
        <v>0.7</v>
      </c>
      <c r="J7" s="266"/>
    </row>
    <row r="8" spans="1:13">
      <c r="D8" s="143" t="s">
        <v>226</v>
      </c>
      <c r="E8" s="144"/>
      <c r="F8" s="144"/>
      <c r="G8" s="148"/>
      <c r="H8" s="155" t="s">
        <v>222</v>
      </c>
      <c r="I8" s="149">
        <f>Parameters!M28</f>
        <v>0.09</v>
      </c>
      <c r="J8" s="81"/>
    </row>
    <row r="9" spans="1:13" ht="15.6">
      <c r="D9" s="303" t="s">
        <v>224</v>
      </c>
      <c r="E9" s="304"/>
      <c r="F9" s="304"/>
      <c r="G9" s="305"/>
      <c r="H9" s="306" t="s">
        <v>223</v>
      </c>
      <c r="I9" s="312">
        <f>LN(2)/$I$8</f>
        <v>7.7016353395549482</v>
      </c>
      <c r="J9" s="81"/>
    </row>
    <row r="10" spans="1:13">
      <c r="D10" s="145" t="s">
        <v>95</v>
      </c>
      <c r="E10" s="146"/>
      <c r="F10" s="146"/>
      <c r="G10" s="147"/>
      <c r="H10" s="156" t="s">
        <v>179</v>
      </c>
      <c r="I10" s="82">
        <f>EXP(-$I$8)</f>
        <v>0.91393118527122819</v>
      </c>
      <c r="J10" s="81"/>
    </row>
    <row r="11" spans="1:13">
      <c r="D11" s="145" t="s">
        <v>9</v>
      </c>
      <c r="E11" s="146"/>
      <c r="F11" s="146"/>
      <c r="G11" s="147"/>
      <c r="H11" s="156" t="s">
        <v>94</v>
      </c>
      <c r="I11" s="82">
        <f>Parameters!E40+7</f>
        <v>13</v>
      </c>
      <c r="J11" s="81"/>
    </row>
    <row r="12" spans="1:13" ht="13.8" thickBot="1">
      <c r="D12" s="267" t="s">
        <v>96</v>
      </c>
      <c r="E12" s="268"/>
      <c r="F12" s="268"/>
      <c r="G12" s="269"/>
      <c r="H12" s="270" t="s">
        <v>213</v>
      </c>
      <c r="I12" s="271">
        <f>EXP(-$I$8*((13-I11)/12))</f>
        <v>1</v>
      </c>
      <c r="J12" s="81"/>
    </row>
    <row r="13" spans="1:13" ht="13.8" thickBot="1">
      <c r="C13" s="83"/>
      <c r="D13" s="151" t="s">
        <v>97</v>
      </c>
      <c r="E13" s="152"/>
      <c r="F13" s="152"/>
      <c r="G13" s="153"/>
      <c r="H13" s="157" t="s">
        <v>93</v>
      </c>
      <c r="I13" s="154">
        <f>CH4_fraction</f>
        <v>0.5</v>
      </c>
      <c r="J13" s="81"/>
    </row>
    <row r="14" spans="1:13" ht="13.8" thickBot="1">
      <c r="E14" s="81"/>
      <c r="F14" s="81"/>
      <c r="G14" s="81"/>
      <c r="H14" s="81"/>
      <c r="I14" s="81"/>
      <c r="J14" s="81"/>
    </row>
    <row r="15" spans="1:13" ht="66">
      <c r="B15" s="84" t="s">
        <v>1</v>
      </c>
      <c r="C15" s="85" t="s">
        <v>11</v>
      </c>
      <c r="D15" s="86" t="s">
        <v>12</v>
      </c>
      <c r="E15" s="87" t="s">
        <v>214</v>
      </c>
      <c r="F15" s="87" t="s">
        <v>215</v>
      </c>
      <c r="G15" s="87" t="s">
        <v>216</v>
      </c>
      <c r="H15" s="87" t="s">
        <v>217</v>
      </c>
      <c r="I15" s="87" t="s">
        <v>218</v>
      </c>
      <c r="J15" s="302" t="s">
        <v>219</v>
      </c>
      <c r="M15" s="638"/>
    </row>
    <row r="16" spans="1:13" ht="23.4">
      <c r="A16" s="283"/>
      <c r="B16" s="138"/>
      <c r="C16" s="139" t="s">
        <v>220</v>
      </c>
      <c r="D16" s="140" t="s">
        <v>12</v>
      </c>
      <c r="E16" s="141" t="s">
        <v>221</v>
      </c>
      <c r="F16" s="141" t="s">
        <v>180</v>
      </c>
      <c r="G16" s="141" t="s">
        <v>181</v>
      </c>
      <c r="H16" s="141" t="s">
        <v>182</v>
      </c>
      <c r="I16" s="141" t="s">
        <v>225</v>
      </c>
      <c r="J16" s="142" t="s">
        <v>183</v>
      </c>
    </row>
    <row r="17" spans="2:10" ht="13.8" thickBot="1">
      <c r="B17" s="16"/>
      <c r="C17" s="17" t="s">
        <v>17</v>
      </c>
      <c r="D17" s="88" t="s">
        <v>23</v>
      </c>
      <c r="E17" s="89" t="s">
        <v>17</v>
      </c>
      <c r="F17" s="89" t="s">
        <v>17</v>
      </c>
      <c r="G17" s="89" t="s">
        <v>17</v>
      </c>
      <c r="H17" s="89" t="s">
        <v>17</v>
      </c>
      <c r="I17" s="89" t="s">
        <v>17</v>
      </c>
      <c r="J17" s="90" t="s">
        <v>17</v>
      </c>
    </row>
    <row r="18" spans="2:10" ht="13.8" thickBot="1">
      <c r="B18" s="19"/>
      <c r="C18" s="91"/>
      <c r="D18" s="92"/>
      <c r="E18" s="168"/>
      <c r="F18" s="93"/>
      <c r="G18" s="93"/>
      <c r="H18" s="93"/>
      <c r="I18" s="93"/>
      <c r="J18" s="94"/>
    </row>
    <row r="19" spans="2:10">
      <c r="B19" s="130">
        <f>Amnt_Deposited!B11</f>
        <v>1950</v>
      </c>
      <c r="C19" s="133">
        <f>Amnt_Deposited!D11</f>
        <v>0</v>
      </c>
      <c r="D19" s="495">
        <f>MCF!X18</f>
        <v>0.70499999999999996</v>
      </c>
      <c r="E19" s="167">
        <f>C19*$I$6*$I$7*D19</f>
        <v>0</v>
      </c>
      <c r="F19" s="95">
        <f t="shared" ref="F19:F82" si="0">E19*$I$12</f>
        <v>0</v>
      </c>
      <c r="G19" s="95">
        <f>E19*(1-$I$12)</f>
        <v>0</v>
      </c>
      <c r="H19" s="95">
        <f>F19+H18*$I$10</f>
        <v>0</v>
      </c>
      <c r="I19" s="95">
        <f>H18*(1-$I$10)+G19</f>
        <v>0</v>
      </c>
      <c r="J19" s="97">
        <f>I19*CH4_fraction*conv</f>
        <v>0</v>
      </c>
    </row>
    <row r="20" spans="2:10">
      <c r="B20" s="131">
        <f>Amnt_Deposited!B12</f>
        <v>1951</v>
      </c>
      <c r="C20" s="134">
        <f>Amnt_Deposited!D12</f>
        <v>0</v>
      </c>
      <c r="D20" s="496">
        <f>MCF!X19</f>
        <v>0.70499999999999996</v>
      </c>
      <c r="E20" s="167">
        <f t="shared" ref="E20:E83" si="1">C20*$I$6*$I$7*D20</f>
        <v>0</v>
      </c>
      <c r="F20" s="100">
        <f t="shared" si="0"/>
        <v>0</v>
      </c>
      <c r="G20" s="100">
        <f t="shared" ref="G20:G83" si="2">E20*(1-$I$12)</f>
        <v>0</v>
      </c>
      <c r="H20" s="100">
        <f t="shared" ref="H20:H83" si="3">F20+H19*$I$10</f>
        <v>0</v>
      </c>
      <c r="I20" s="100">
        <f t="shared" ref="I20:I83" si="4">H19*(1-$I$10)+G20</f>
        <v>0</v>
      </c>
      <c r="J20" s="135">
        <f>I20*CH4_fraction*conv</f>
        <v>0</v>
      </c>
    </row>
    <row r="21" spans="2:10">
      <c r="B21" s="131">
        <f>Amnt_Deposited!B13</f>
        <v>1952</v>
      </c>
      <c r="C21" s="134">
        <f>Amnt_Deposited!D13</f>
        <v>0</v>
      </c>
      <c r="D21" s="496">
        <f>MCF!X20</f>
        <v>0.70499999999999996</v>
      </c>
      <c r="E21" s="167">
        <f t="shared" si="1"/>
        <v>0</v>
      </c>
      <c r="F21" s="100">
        <f t="shared" si="0"/>
        <v>0</v>
      </c>
      <c r="G21" s="100">
        <f t="shared" si="2"/>
        <v>0</v>
      </c>
      <c r="H21" s="100">
        <f t="shared" si="3"/>
        <v>0</v>
      </c>
      <c r="I21" s="100">
        <f t="shared" si="4"/>
        <v>0</v>
      </c>
      <c r="J21" s="135">
        <f t="shared" ref="J21:J84" si="5">I21*CH4_fraction*conv</f>
        <v>0</v>
      </c>
    </row>
    <row r="22" spans="2:10">
      <c r="B22" s="131">
        <f>Amnt_Deposited!B14</f>
        <v>1953</v>
      </c>
      <c r="C22" s="134">
        <f>Amnt_Deposited!D14</f>
        <v>0</v>
      </c>
      <c r="D22" s="496">
        <f>MCF!X21</f>
        <v>0.70499999999999996</v>
      </c>
      <c r="E22" s="167">
        <f t="shared" si="1"/>
        <v>0</v>
      </c>
      <c r="F22" s="100">
        <f t="shared" si="0"/>
        <v>0</v>
      </c>
      <c r="G22" s="100">
        <f t="shared" si="2"/>
        <v>0</v>
      </c>
      <c r="H22" s="100">
        <f t="shared" si="3"/>
        <v>0</v>
      </c>
      <c r="I22" s="100">
        <f t="shared" si="4"/>
        <v>0</v>
      </c>
      <c r="J22" s="135">
        <f t="shared" si="5"/>
        <v>0</v>
      </c>
    </row>
    <row r="23" spans="2:10">
      <c r="B23" s="131">
        <f>Amnt_Deposited!B15</f>
        <v>1954</v>
      </c>
      <c r="C23" s="134">
        <f>Amnt_Deposited!D15</f>
        <v>0</v>
      </c>
      <c r="D23" s="496">
        <f>MCF!X22</f>
        <v>0.70499999999999996</v>
      </c>
      <c r="E23" s="167">
        <f t="shared" si="1"/>
        <v>0</v>
      </c>
      <c r="F23" s="100">
        <f t="shared" si="0"/>
        <v>0</v>
      </c>
      <c r="G23" s="100">
        <f t="shared" si="2"/>
        <v>0</v>
      </c>
      <c r="H23" s="100">
        <f t="shared" si="3"/>
        <v>0</v>
      </c>
      <c r="I23" s="100">
        <f t="shared" si="4"/>
        <v>0</v>
      </c>
      <c r="J23" s="135">
        <f t="shared" si="5"/>
        <v>0</v>
      </c>
    </row>
    <row r="24" spans="2:10">
      <c r="B24" s="131">
        <f>Amnt_Deposited!B16</f>
        <v>1955</v>
      </c>
      <c r="C24" s="134">
        <f>Amnt_Deposited!D16</f>
        <v>0</v>
      </c>
      <c r="D24" s="496">
        <f>MCF!X23</f>
        <v>0.70499999999999996</v>
      </c>
      <c r="E24" s="167">
        <f t="shared" si="1"/>
        <v>0</v>
      </c>
      <c r="F24" s="100">
        <f t="shared" si="0"/>
        <v>0</v>
      </c>
      <c r="G24" s="100">
        <f t="shared" si="2"/>
        <v>0</v>
      </c>
      <c r="H24" s="100">
        <f t="shared" si="3"/>
        <v>0</v>
      </c>
      <c r="I24" s="100">
        <f t="shared" si="4"/>
        <v>0</v>
      </c>
      <c r="J24" s="135">
        <f t="shared" si="5"/>
        <v>0</v>
      </c>
    </row>
    <row r="25" spans="2:10">
      <c r="B25" s="131">
        <f>Amnt_Deposited!B17</f>
        <v>1956</v>
      </c>
      <c r="C25" s="134">
        <f>Amnt_Deposited!D17</f>
        <v>0</v>
      </c>
      <c r="D25" s="496">
        <f>MCF!X24</f>
        <v>0.70499999999999996</v>
      </c>
      <c r="E25" s="167">
        <f t="shared" si="1"/>
        <v>0</v>
      </c>
      <c r="F25" s="100">
        <f t="shared" si="0"/>
        <v>0</v>
      </c>
      <c r="G25" s="100">
        <f t="shared" si="2"/>
        <v>0</v>
      </c>
      <c r="H25" s="100">
        <f t="shared" si="3"/>
        <v>0</v>
      </c>
      <c r="I25" s="100">
        <f t="shared" si="4"/>
        <v>0</v>
      </c>
      <c r="J25" s="135">
        <f t="shared" si="5"/>
        <v>0</v>
      </c>
    </row>
    <row r="26" spans="2:10">
      <c r="B26" s="131">
        <f>Amnt_Deposited!B18</f>
        <v>1957</v>
      </c>
      <c r="C26" s="134">
        <f>Amnt_Deposited!D18</f>
        <v>0</v>
      </c>
      <c r="D26" s="496">
        <f>MCF!X25</f>
        <v>0.70499999999999996</v>
      </c>
      <c r="E26" s="167">
        <f t="shared" si="1"/>
        <v>0</v>
      </c>
      <c r="F26" s="100">
        <f t="shared" si="0"/>
        <v>0</v>
      </c>
      <c r="G26" s="100">
        <f t="shared" si="2"/>
        <v>0</v>
      </c>
      <c r="H26" s="100">
        <f t="shared" si="3"/>
        <v>0</v>
      </c>
      <c r="I26" s="100">
        <f t="shared" si="4"/>
        <v>0</v>
      </c>
      <c r="J26" s="135">
        <f t="shared" si="5"/>
        <v>0</v>
      </c>
    </row>
    <row r="27" spans="2:10">
      <c r="B27" s="131">
        <f>Amnt_Deposited!B19</f>
        <v>1958</v>
      </c>
      <c r="C27" s="134">
        <f>Amnt_Deposited!D19</f>
        <v>0</v>
      </c>
      <c r="D27" s="496">
        <f>MCF!X26</f>
        <v>0.70499999999999996</v>
      </c>
      <c r="E27" s="167">
        <f t="shared" si="1"/>
        <v>0</v>
      </c>
      <c r="F27" s="100">
        <f t="shared" si="0"/>
        <v>0</v>
      </c>
      <c r="G27" s="100">
        <f t="shared" si="2"/>
        <v>0</v>
      </c>
      <c r="H27" s="100">
        <f t="shared" si="3"/>
        <v>0</v>
      </c>
      <c r="I27" s="100">
        <f t="shared" si="4"/>
        <v>0</v>
      </c>
      <c r="J27" s="135">
        <f t="shared" si="5"/>
        <v>0</v>
      </c>
    </row>
    <row r="28" spans="2:10">
      <c r="B28" s="131">
        <f>Amnt_Deposited!B20</f>
        <v>1959</v>
      </c>
      <c r="C28" s="134">
        <f>Amnt_Deposited!D20</f>
        <v>0</v>
      </c>
      <c r="D28" s="496">
        <f>MCF!X27</f>
        <v>0.70499999999999996</v>
      </c>
      <c r="E28" s="167">
        <f t="shared" si="1"/>
        <v>0</v>
      </c>
      <c r="F28" s="100">
        <f t="shared" si="0"/>
        <v>0</v>
      </c>
      <c r="G28" s="100">
        <f t="shared" si="2"/>
        <v>0</v>
      </c>
      <c r="H28" s="100">
        <f t="shared" si="3"/>
        <v>0</v>
      </c>
      <c r="I28" s="100">
        <f t="shared" si="4"/>
        <v>0</v>
      </c>
      <c r="J28" s="135">
        <f t="shared" si="5"/>
        <v>0</v>
      </c>
    </row>
    <row r="29" spans="2:10">
      <c r="B29" s="131">
        <f>Amnt_Deposited!B21</f>
        <v>1960</v>
      </c>
      <c r="C29" s="134">
        <f>Amnt_Deposited!D21</f>
        <v>0</v>
      </c>
      <c r="D29" s="496">
        <f>MCF!X28</f>
        <v>0.70499999999999996</v>
      </c>
      <c r="E29" s="167">
        <f t="shared" si="1"/>
        <v>0</v>
      </c>
      <c r="F29" s="100">
        <f t="shared" si="0"/>
        <v>0</v>
      </c>
      <c r="G29" s="100">
        <f t="shared" si="2"/>
        <v>0</v>
      </c>
      <c r="H29" s="100">
        <f t="shared" si="3"/>
        <v>0</v>
      </c>
      <c r="I29" s="100">
        <f t="shared" si="4"/>
        <v>0</v>
      </c>
      <c r="J29" s="135">
        <f t="shared" si="5"/>
        <v>0</v>
      </c>
    </row>
    <row r="30" spans="2:10">
      <c r="B30" s="131">
        <f>Amnt_Deposited!B22</f>
        <v>1961</v>
      </c>
      <c r="C30" s="134">
        <f>Amnt_Deposited!D22</f>
        <v>0</v>
      </c>
      <c r="D30" s="496">
        <f>MCF!X29</f>
        <v>0.70499999999999996</v>
      </c>
      <c r="E30" s="167">
        <f t="shared" si="1"/>
        <v>0</v>
      </c>
      <c r="F30" s="100">
        <f t="shared" si="0"/>
        <v>0</v>
      </c>
      <c r="G30" s="100">
        <f t="shared" si="2"/>
        <v>0</v>
      </c>
      <c r="H30" s="100">
        <f t="shared" si="3"/>
        <v>0</v>
      </c>
      <c r="I30" s="100">
        <f t="shared" si="4"/>
        <v>0</v>
      </c>
      <c r="J30" s="135">
        <f t="shared" si="5"/>
        <v>0</v>
      </c>
    </row>
    <row r="31" spans="2:10">
      <c r="B31" s="131">
        <f>Amnt_Deposited!B23</f>
        <v>1962</v>
      </c>
      <c r="C31" s="134">
        <f>Amnt_Deposited!D23</f>
        <v>0</v>
      </c>
      <c r="D31" s="496">
        <f>MCF!X30</f>
        <v>0.70499999999999996</v>
      </c>
      <c r="E31" s="167">
        <f t="shared" si="1"/>
        <v>0</v>
      </c>
      <c r="F31" s="100">
        <f t="shared" si="0"/>
        <v>0</v>
      </c>
      <c r="G31" s="100">
        <f t="shared" si="2"/>
        <v>0</v>
      </c>
      <c r="H31" s="100">
        <f t="shared" si="3"/>
        <v>0</v>
      </c>
      <c r="I31" s="100">
        <f t="shared" si="4"/>
        <v>0</v>
      </c>
      <c r="J31" s="135">
        <f t="shared" si="5"/>
        <v>0</v>
      </c>
    </row>
    <row r="32" spans="2:10">
      <c r="B32" s="131">
        <f>Amnt_Deposited!B24</f>
        <v>1963</v>
      </c>
      <c r="C32" s="134">
        <f>Amnt_Deposited!D24</f>
        <v>0</v>
      </c>
      <c r="D32" s="496">
        <f>MCF!X31</f>
        <v>0.70499999999999996</v>
      </c>
      <c r="E32" s="167">
        <f t="shared" si="1"/>
        <v>0</v>
      </c>
      <c r="F32" s="100">
        <f t="shared" si="0"/>
        <v>0</v>
      </c>
      <c r="G32" s="100">
        <f t="shared" si="2"/>
        <v>0</v>
      </c>
      <c r="H32" s="100">
        <f t="shared" si="3"/>
        <v>0</v>
      </c>
      <c r="I32" s="100">
        <f t="shared" si="4"/>
        <v>0</v>
      </c>
      <c r="J32" s="135">
        <f t="shared" si="5"/>
        <v>0</v>
      </c>
    </row>
    <row r="33" spans="2:10">
      <c r="B33" s="131">
        <f>Amnt_Deposited!B25</f>
        <v>1964</v>
      </c>
      <c r="C33" s="134">
        <f>Amnt_Deposited!D25</f>
        <v>0</v>
      </c>
      <c r="D33" s="496">
        <f>MCF!X32</f>
        <v>0.70499999999999996</v>
      </c>
      <c r="E33" s="167">
        <f t="shared" si="1"/>
        <v>0</v>
      </c>
      <c r="F33" s="100">
        <f t="shared" si="0"/>
        <v>0</v>
      </c>
      <c r="G33" s="100">
        <f t="shared" si="2"/>
        <v>0</v>
      </c>
      <c r="H33" s="100">
        <f t="shared" si="3"/>
        <v>0</v>
      </c>
      <c r="I33" s="100">
        <f t="shared" si="4"/>
        <v>0</v>
      </c>
      <c r="J33" s="135">
        <f t="shared" si="5"/>
        <v>0</v>
      </c>
    </row>
    <row r="34" spans="2:10">
      <c r="B34" s="131">
        <f>Amnt_Deposited!B26</f>
        <v>1965</v>
      </c>
      <c r="C34" s="134">
        <f>Amnt_Deposited!D26</f>
        <v>0</v>
      </c>
      <c r="D34" s="496">
        <f>MCF!X33</f>
        <v>0.70499999999999996</v>
      </c>
      <c r="E34" s="167">
        <f t="shared" si="1"/>
        <v>0</v>
      </c>
      <c r="F34" s="100">
        <f t="shared" si="0"/>
        <v>0</v>
      </c>
      <c r="G34" s="100">
        <f t="shared" si="2"/>
        <v>0</v>
      </c>
      <c r="H34" s="100">
        <f t="shared" si="3"/>
        <v>0</v>
      </c>
      <c r="I34" s="100">
        <f t="shared" si="4"/>
        <v>0</v>
      </c>
      <c r="J34" s="135">
        <f t="shared" si="5"/>
        <v>0</v>
      </c>
    </row>
    <row r="35" spans="2:10">
      <c r="B35" s="131">
        <f>Amnt_Deposited!B27</f>
        <v>1966</v>
      </c>
      <c r="C35" s="134">
        <f>Amnt_Deposited!D27</f>
        <v>0</v>
      </c>
      <c r="D35" s="496">
        <f>MCF!X34</f>
        <v>0.70499999999999996</v>
      </c>
      <c r="E35" s="167">
        <f t="shared" si="1"/>
        <v>0</v>
      </c>
      <c r="F35" s="100">
        <f t="shared" si="0"/>
        <v>0</v>
      </c>
      <c r="G35" s="100">
        <f t="shared" si="2"/>
        <v>0</v>
      </c>
      <c r="H35" s="100">
        <f t="shared" si="3"/>
        <v>0</v>
      </c>
      <c r="I35" s="100">
        <f t="shared" si="4"/>
        <v>0</v>
      </c>
      <c r="J35" s="135">
        <f t="shared" si="5"/>
        <v>0</v>
      </c>
    </row>
    <row r="36" spans="2:10">
      <c r="B36" s="131">
        <f>Amnt_Deposited!B28</f>
        <v>1967</v>
      </c>
      <c r="C36" s="134">
        <f>Amnt_Deposited!D28</f>
        <v>0</v>
      </c>
      <c r="D36" s="496">
        <f>MCF!X35</f>
        <v>0.70499999999999996</v>
      </c>
      <c r="E36" s="167">
        <f t="shared" si="1"/>
        <v>0</v>
      </c>
      <c r="F36" s="100">
        <f t="shared" si="0"/>
        <v>0</v>
      </c>
      <c r="G36" s="100">
        <f t="shared" si="2"/>
        <v>0</v>
      </c>
      <c r="H36" s="100">
        <f t="shared" si="3"/>
        <v>0</v>
      </c>
      <c r="I36" s="100">
        <f t="shared" si="4"/>
        <v>0</v>
      </c>
      <c r="J36" s="135">
        <f t="shared" si="5"/>
        <v>0</v>
      </c>
    </row>
    <row r="37" spans="2:10">
      <c r="B37" s="131">
        <f>Amnt_Deposited!B29</f>
        <v>1968</v>
      </c>
      <c r="C37" s="134">
        <f>Amnt_Deposited!D29</f>
        <v>0</v>
      </c>
      <c r="D37" s="496">
        <f>MCF!X36</f>
        <v>0.70499999999999996</v>
      </c>
      <c r="E37" s="167">
        <f t="shared" si="1"/>
        <v>0</v>
      </c>
      <c r="F37" s="100">
        <f t="shared" si="0"/>
        <v>0</v>
      </c>
      <c r="G37" s="100">
        <f t="shared" si="2"/>
        <v>0</v>
      </c>
      <c r="H37" s="100">
        <f t="shared" si="3"/>
        <v>0</v>
      </c>
      <c r="I37" s="100">
        <f t="shared" si="4"/>
        <v>0</v>
      </c>
      <c r="J37" s="135">
        <f t="shared" si="5"/>
        <v>0</v>
      </c>
    </row>
    <row r="38" spans="2:10">
      <c r="B38" s="131">
        <f>Amnt_Deposited!B30</f>
        <v>1969</v>
      </c>
      <c r="C38" s="134">
        <f>Amnt_Deposited!D30</f>
        <v>0</v>
      </c>
      <c r="D38" s="496">
        <f>MCF!X37</f>
        <v>0.70499999999999996</v>
      </c>
      <c r="E38" s="167">
        <f t="shared" si="1"/>
        <v>0</v>
      </c>
      <c r="F38" s="100">
        <f t="shared" si="0"/>
        <v>0</v>
      </c>
      <c r="G38" s="100">
        <f t="shared" si="2"/>
        <v>0</v>
      </c>
      <c r="H38" s="100">
        <f t="shared" si="3"/>
        <v>0</v>
      </c>
      <c r="I38" s="100">
        <f t="shared" si="4"/>
        <v>0</v>
      </c>
      <c r="J38" s="135">
        <f t="shared" si="5"/>
        <v>0</v>
      </c>
    </row>
    <row r="39" spans="2:10">
      <c r="B39" s="131">
        <f>Amnt_Deposited!B31</f>
        <v>1970</v>
      </c>
      <c r="C39" s="134">
        <f>Amnt_Deposited!D31</f>
        <v>0</v>
      </c>
      <c r="D39" s="496">
        <f>MCF!X38</f>
        <v>0.70499999999999996</v>
      </c>
      <c r="E39" s="167">
        <f t="shared" si="1"/>
        <v>0</v>
      </c>
      <c r="F39" s="100">
        <f t="shared" si="0"/>
        <v>0</v>
      </c>
      <c r="G39" s="100">
        <f t="shared" si="2"/>
        <v>0</v>
      </c>
      <c r="H39" s="100">
        <f t="shared" si="3"/>
        <v>0</v>
      </c>
      <c r="I39" s="100">
        <f t="shared" si="4"/>
        <v>0</v>
      </c>
      <c r="J39" s="135">
        <f t="shared" si="5"/>
        <v>0</v>
      </c>
    </row>
    <row r="40" spans="2:10">
      <c r="B40" s="131">
        <f>Amnt_Deposited!B32</f>
        <v>1971</v>
      </c>
      <c r="C40" s="134">
        <f>Amnt_Deposited!D32</f>
        <v>0</v>
      </c>
      <c r="D40" s="496">
        <f>MCF!X39</f>
        <v>0.70499999999999996</v>
      </c>
      <c r="E40" s="167">
        <f t="shared" si="1"/>
        <v>0</v>
      </c>
      <c r="F40" s="100">
        <f t="shared" si="0"/>
        <v>0</v>
      </c>
      <c r="G40" s="100">
        <f t="shared" si="2"/>
        <v>0</v>
      </c>
      <c r="H40" s="100">
        <f t="shared" si="3"/>
        <v>0</v>
      </c>
      <c r="I40" s="100">
        <f t="shared" si="4"/>
        <v>0</v>
      </c>
      <c r="J40" s="135">
        <f t="shared" si="5"/>
        <v>0</v>
      </c>
    </row>
    <row r="41" spans="2:10">
      <c r="B41" s="131">
        <f>Amnt_Deposited!B33</f>
        <v>1972</v>
      </c>
      <c r="C41" s="134">
        <f>Amnt_Deposited!D33</f>
        <v>0</v>
      </c>
      <c r="D41" s="496">
        <f>MCF!X40</f>
        <v>0.70499999999999996</v>
      </c>
      <c r="E41" s="167">
        <f t="shared" si="1"/>
        <v>0</v>
      </c>
      <c r="F41" s="100">
        <f t="shared" si="0"/>
        <v>0</v>
      </c>
      <c r="G41" s="100">
        <f t="shared" si="2"/>
        <v>0</v>
      </c>
      <c r="H41" s="100">
        <f t="shared" si="3"/>
        <v>0</v>
      </c>
      <c r="I41" s="100">
        <f t="shared" si="4"/>
        <v>0</v>
      </c>
      <c r="J41" s="135">
        <f t="shared" si="5"/>
        <v>0</v>
      </c>
    </row>
    <row r="42" spans="2:10">
      <c r="B42" s="131">
        <f>Amnt_Deposited!B34</f>
        <v>1973</v>
      </c>
      <c r="C42" s="134">
        <f>Amnt_Deposited!D34</f>
        <v>0</v>
      </c>
      <c r="D42" s="496">
        <f>MCF!X41</f>
        <v>0.70499999999999996</v>
      </c>
      <c r="E42" s="167">
        <f t="shared" si="1"/>
        <v>0</v>
      </c>
      <c r="F42" s="100">
        <f t="shared" si="0"/>
        <v>0</v>
      </c>
      <c r="G42" s="100">
        <f t="shared" si="2"/>
        <v>0</v>
      </c>
      <c r="H42" s="100">
        <f t="shared" si="3"/>
        <v>0</v>
      </c>
      <c r="I42" s="100">
        <f t="shared" si="4"/>
        <v>0</v>
      </c>
      <c r="J42" s="135">
        <f t="shared" si="5"/>
        <v>0</v>
      </c>
    </row>
    <row r="43" spans="2:10">
      <c r="B43" s="131">
        <f>Amnt_Deposited!B35</f>
        <v>1974</v>
      </c>
      <c r="C43" s="134">
        <f>Amnt_Deposited!D35</f>
        <v>0</v>
      </c>
      <c r="D43" s="496">
        <f>MCF!X42</f>
        <v>0.70499999999999996</v>
      </c>
      <c r="E43" s="167">
        <f t="shared" si="1"/>
        <v>0</v>
      </c>
      <c r="F43" s="100">
        <f t="shared" si="0"/>
        <v>0</v>
      </c>
      <c r="G43" s="100">
        <f t="shared" si="2"/>
        <v>0</v>
      </c>
      <c r="H43" s="100">
        <f t="shared" si="3"/>
        <v>0</v>
      </c>
      <c r="I43" s="100">
        <f t="shared" si="4"/>
        <v>0</v>
      </c>
      <c r="J43" s="135">
        <f t="shared" si="5"/>
        <v>0</v>
      </c>
    </row>
    <row r="44" spans="2:10">
      <c r="B44" s="131">
        <f>Amnt_Deposited!B36</f>
        <v>1975</v>
      </c>
      <c r="C44" s="134">
        <f>Amnt_Deposited!D36</f>
        <v>0</v>
      </c>
      <c r="D44" s="496">
        <f>MCF!X43</f>
        <v>0.70499999999999996</v>
      </c>
      <c r="E44" s="167">
        <f t="shared" si="1"/>
        <v>0</v>
      </c>
      <c r="F44" s="100">
        <f t="shared" si="0"/>
        <v>0</v>
      </c>
      <c r="G44" s="100">
        <f t="shared" si="2"/>
        <v>0</v>
      </c>
      <c r="H44" s="100">
        <f t="shared" si="3"/>
        <v>0</v>
      </c>
      <c r="I44" s="100">
        <f t="shared" si="4"/>
        <v>0</v>
      </c>
      <c r="J44" s="135">
        <f t="shared" si="5"/>
        <v>0</v>
      </c>
    </row>
    <row r="45" spans="2:10">
      <c r="B45" s="131">
        <f>Amnt_Deposited!B37</f>
        <v>1976</v>
      </c>
      <c r="C45" s="134">
        <f>Amnt_Deposited!D37</f>
        <v>0</v>
      </c>
      <c r="D45" s="496">
        <f>MCF!X44</f>
        <v>0.70499999999999996</v>
      </c>
      <c r="E45" s="167">
        <f t="shared" si="1"/>
        <v>0</v>
      </c>
      <c r="F45" s="100">
        <f t="shared" si="0"/>
        <v>0</v>
      </c>
      <c r="G45" s="100">
        <f t="shared" si="2"/>
        <v>0</v>
      </c>
      <c r="H45" s="100">
        <f t="shared" si="3"/>
        <v>0</v>
      </c>
      <c r="I45" s="100">
        <f t="shared" si="4"/>
        <v>0</v>
      </c>
      <c r="J45" s="135">
        <f t="shared" si="5"/>
        <v>0</v>
      </c>
    </row>
    <row r="46" spans="2:10">
      <c r="B46" s="131">
        <f>Amnt_Deposited!B38</f>
        <v>1977</v>
      </c>
      <c r="C46" s="134">
        <f>Amnt_Deposited!D38</f>
        <v>0</v>
      </c>
      <c r="D46" s="496">
        <f>MCF!X45</f>
        <v>0.70499999999999996</v>
      </c>
      <c r="E46" s="167">
        <f t="shared" si="1"/>
        <v>0</v>
      </c>
      <c r="F46" s="100">
        <f t="shared" si="0"/>
        <v>0</v>
      </c>
      <c r="G46" s="100">
        <f t="shared" si="2"/>
        <v>0</v>
      </c>
      <c r="H46" s="100">
        <f t="shared" si="3"/>
        <v>0</v>
      </c>
      <c r="I46" s="100">
        <f t="shared" si="4"/>
        <v>0</v>
      </c>
      <c r="J46" s="135">
        <f t="shared" si="5"/>
        <v>0</v>
      </c>
    </row>
    <row r="47" spans="2:10">
      <c r="B47" s="131">
        <f>Amnt_Deposited!B39</f>
        <v>1978</v>
      </c>
      <c r="C47" s="134">
        <f>Amnt_Deposited!D39</f>
        <v>0</v>
      </c>
      <c r="D47" s="496">
        <f>MCF!X46</f>
        <v>0.70499999999999996</v>
      </c>
      <c r="E47" s="167">
        <f t="shared" si="1"/>
        <v>0</v>
      </c>
      <c r="F47" s="100">
        <f t="shared" si="0"/>
        <v>0</v>
      </c>
      <c r="G47" s="100">
        <f t="shared" si="2"/>
        <v>0</v>
      </c>
      <c r="H47" s="100">
        <f t="shared" si="3"/>
        <v>0</v>
      </c>
      <c r="I47" s="100">
        <f t="shared" si="4"/>
        <v>0</v>
      </c>
      <c r="J47" s="135">
        <f t="shared" si="5"/>
        <v>0</v>
      </c>
    </row>
    <row r="48" spans="2:10">
      <c r="B48" s="131">
        <f>Amnt_Deposited!B40</f>
        <v>1979</v>
      </c>
      <c r="C48" s="134">
        <f>Amnt_Deposited!D40</f>
        <v>0</v>
      </c>
      <c r="D48" s="496">
        <f>MCF!X47</f>
        <v>0.70499999999999996</v>
      </c>
      <c r="E48" s="167">
        <f t="shared" si="1"/>
        <v>0</v>
      </c>
      <c r="F48" s="100">
        <f t="shared" si="0"/>
        <v>0</v>
      </c>
      <c r="G48" s="100">
        <f t="shared" si="2"/>
        <v>0</v>
      </c>
      <c r="H48" s="100">
        <f t="shared" si="3"/>
        <v>0</v>
      </c>
      <c r="I48" s="100">
        <f t="shared" si="4"/>
        <v>0</v>
      </c>
      <c r="J48" s="135">
        <f t="shared" si="5"/>
        <v>0</v>
      </c>
    </row>
    <row r="49" spans="2:10">
      <c r="B49" s="131">
        <f>Amnt_Deposited!B41</f>
        <v>1980</v>
      </c>
      <c r="C49" s="134">
        <f>Amnt_Deposited!D41</f>
        <v>0</v>
      </c>
      <c r="D49" s="496">
        <f>MCF!X48</f>
        <v>0.70499999999999996</v>
      </c>
      <c r="E49" s="167">
        <f t="shared" si="1"/>
        <v>0</v>
      </c>
      <c r="F49" s="100">
        <f t="shared" si="0"/>
        <v>0</v>
      </c>
      <c r="G49" s="100">
        <f t="shared" si="2"/>
        <v>0</v>
      </c>
      <c r="H49" s="100">
        <f t="shared" si="3"/>
        <v>0</v>
      </c>
      <c r="I49" s="100">
        <f t="shared" si="4"/>
        <v>0</v>
      </c>
      <c r="J49" s="135">
        <f t="shared" si="5"/>
        <v>0</v>
      </c>
    </row>
    <row r="50" spans="2:10">
      <c r="B50" s="131">
        <f>Amnt_Deposited!B42</f>
        <v>1981</v>
      </c>
      <c r="C50" s="134">
        <f>Amnt_Deposited!D42</f>
        <v>0</v>
      </c>
      <c r="D50" s="496">
        <f>MCF!X49</f>
        <v>0.70499999999999996</v>
      </c>
      <c r="E50" s="167">
        <f t="shared" si="1"/>
        <v>0</v>
      </c>
      <c r="F50" s="100">
        <f t="shared" si="0"/>
        <v>0</v>
      </c>
      <c r="G50" s="100">
        <f t="shared" si="2"/>
        <v>0</v>
      </c>
      <c r="H50" s="100">
        <f t="shared" si="3"/>
        <v>0</v>
      </c>
      <c r="I50" s="100">
        <f t="shared" si="4"/>
        <v>0</v>
      </c>
      <c r="J50" s="135">
        <f t="shared" si="5"/>
        <v>0</v>
      </c>
    </row>
    <row r="51" spans="2:10">
      <c r="B51" s="131">
        <f>Amnt_Deposited!B43</f>
        <v>1982</v>
      </c>
      <c r="C51" s="134">
        <f>Amnt_Deposited!D43</f>
        <v>0</v>
      </c>
      <c r="D51" s="496">
        <f>MCF!X50</f>
        <v>0.70499999999999996</v>
      </c>
      <c r="E51" s="167">
        <f t="shared" si="1"/>
        <v>0</v>
      </c>
      <c r="F51" s="100">
        <f t="shared" si="0"/>
        <v>0</v>
      </c>
      <c r="G51" s="100">
        <f t="shared" si="2"/>
        <v>0</v>
      </c>
      <c r="H51" s="100">
        <f t="shared" si="3"/>
        <v>0</v>
      </c>
      <c r="I51" s="100">
        <f t="shared" si="4"/>
        <v>0</v>
      </c>
      <c r="J51" s="135">
        <f t="shared" si="5"/>
        <v>0</v>
      </c>
    </row>
    <row r="52" spans="2:10">
      <c r="B52" s="131">
        <f>Amnt_Deposited!B44</f>
        <v>1983</v>
      </c>
      <c r="C52" s="134">
        <f>Amnt_Deposited!D44</f>
        <v>0</v>
      </c>
      <c r="D52" s="496">
        <f>MCF!X51</f>
        <v>0.70499999999999996</v>
      </c>
      <c r="E52" s="167">
        <f t="shared" si="1"/>
        <v>0</v>
      </c>
      <c r="F52" s="100">
        <f t="shared" si="0"/>
        <v>0</v>
      </c>
      <c r="G52" s="100">
        <f t="shared" si="2"/>
        <v>0</v>
      </c>
      <c r="H52" s="100">
        <f t="shared" si="3"/>
        <v>0</v>
      </c>
      <c r="I52" s="100">
        <f t="shared" si="4"/>
        <v>0</v>
      </c>
      <c r="J52" s="135">
        <f t="shared" si="5"/>
        <v>0</v>
      </c>
    </row>
    <row r="53" spans="2:10">
      <c r="B53" s="131">
        <f>Amnt_Deposited!B45</f>
        <v>1984</v>
      </c>
      <c r="C53" s="134">
        <f>Amnt_Deposited!D45</f>
        <v>0</v>
      </c>
      <c r="D53" s="496">
        <f>MCF!X52</f>
        <v>0.70499999999999996</v>
      </c>
      <c r="E53" s="167">
        <f t="shared" si="1"/>
        <v>0</v>
      </c>
      <c r="F53" s="100">
        <f t="shared" si="0"/>
        <v>0</v>
      </c>
      <c r="G53" s="100">
        <f t="shared" si="2"/>
        <v>0</v>
      </c>
      <c r="H53" s="100">
        <f t="shared" si="3"/>
        <v>0</v>
      </c>
      <c r="I53" s="100">
        <f t="shared" si="4"/>
        <v>0</v>
      </c>
      <c r="J53" s="135">
        <f t="shared" si="5"/>
        <v>0</v>
      </c>
    </row>
    <row r="54" spans="2:10">
      <c r="B54" s="131">
        <f>Amnt_Deposited!B46</f>
        <v>1985</v>
      </c>
      <c r="C54" s="134">
        <f>Amnt_Deposited!D46</f>
        <v>0</v>
      </c>
      <c r="D54" s="496">
        <f>MCF!X53</f>
        <v>0.70499999999999996</v>
      </c>
      <c r="E54" s="167">
        <f t="shared" si="1"/>
        <v>0</v>
      </c>
      <c r="F54" s="100">
        <f t="shared" si="0"/>
        <v>0</v>
      </c>
      <c r="G54" s="100">
        <f t="shared" si="2"/>
        <v>0</v>
      </c>
      <c r="H54" s="100">
        <f t="shared" si="3"/>
        <v>0</v>
      </c>
      <c r="I54" s="100">
        <f t="shared" si="4"/>
        <v>0</v>
      </c>
      <c r="J54" s="135">
        <f t="shared" si="5"/>
        <v>0</v>
      </c>
    </row>
    <row r="55" spans="2:10">
      <c r="B55" s="131">
        <f>Amnt_Deposited!B47</f>
        <v>1986</v>
      </c>
      <c r="C55" s="134">
        <f>Amnt_Deposited!D47</f>
        <v>0</v>
      </c>
      <c r="D55" s="496">
        <f>MCF!X54</f>
        <v>0.70499999999999996</v>
      </c>
      <c r="E55" s="167">
        <f t="shared" si="1"/>
        <v>0</v>
      </c>
      <c r="F55" s="100">
        <f t="shared" si="0"/>
        <v>0</v>
      </c>
      <c r="G55" s="100">
        <f t="shared" si="2"/>
        <v>0</v>
      </c>
      <c r="H55" s="100">
        <f t="shared" si="3"/>
        <v>0</v>
      </c>
      <c r="I55" s="100">
        <f t="shared" si="4"/>
        <v>0</v>
      </c>
      <c r="J55" s="135">
        <f t="shared" si="5"/>
        <v>0</v>
      </c>
    </row>
    <row r="56" spans="2:10">
      <c r="B56" s="131">
        <f>Amnt_Deposited!B48</f>
        <v>1987</v>
      </c>
      <c r="C56" s="134">
        <f>Amnt_Deposited!D48</f>
        <v>0</v>
      </c>
      <c r="D56" s="496">
        <f>MCF!X55</f>
        <v>0.70499999999999996</v>
      </c>
      <c r="E56" s="167">
        <f t="shared" si="1"/>
        <v>0</v>
      </c>
      <c r="F56" s="100">
        <f t="shared" si="0"/>
        <v>0</v>
      </c>
      <c r="G56" s="100">
        <f t="shared" si="2"/>
        <v>0</v>
      </c>
      <c r="H56" s="100">
        <f t="shared" si="3"/>
        <v>0</v>
      </c>
      <c r="I56" s="100">
        <f t="shared" si="4"/>
        <v>0</v>
      </c>
      <c r="J56" s="135">
        <f t="shared" si="5"/>
        <v>0</v>
      </c>
    </row>
    <row r="57" spans="2:10">
      <c r="B57" s="131">
        <f>Amnt_Deposited!B49</f>
        <v>1988</v>
      </c>
      <c r="C57" s="134">
        <f>Amnt_Deposited!D49</f>
        <v>0</v>
      </c>
      <c r="D57" s="496">
        <f>MCF!X56</f>
        <v>0.70499999999999996</v>
      </c>
      <c r="E57" s="167">
        <f t="shared" si="1"/>
        <v>0</v>
      </c>
      <c r="F57" s="100">
        <f t="shared" si="0"/>
        <v>0</v>
      </c>
      <c r="G57" s="100">
        <f t="shared" si="2"/>
        <v>0</v>
      </c>
      <c r="H57" s="100">
        <f t="shared" si="3"/>
        <v>0</v>
      </c>
      <c r="I57" s="100">
        <f t="shared" si="4"/>
        <v>0</v>
      </c>
      <c r="J57" s="135">
        <f t="shared" si="5"/>
        <v>0</v>
      </c>
    </row>
    <row r="58" spans="2:10">
      <c r="B58" s="131">
        <f>Amnt_Deposited!B50</f>
        <v>1989</v>
      </c>
      <c r="C58" s="134">
        <f>Amnt_Deposited!D50</f>
        <v>0</v>
      </c>
      <c r="D58" s="496">
        <f>MCF!X57</f>
        <v>0.70499999999999996</v>
      </c>
      <c r="E58" s="167">
        <f t="shared" si="1"/>
        <v>0</v>
      </c>
      <c r="F58" s="100">
        <f t="shared" si="0"/>
        <v>0</v>
      </c>
      <c r="G58" s="100">
        <f t="shared" si="2"/>
        <v>0</v>
      </c>
      <c r="H58" s="100">
        <f t="shared" si="3"/>
        <v>0</v>
      </c>
      <c r="I58" s="100">
        <f t="shared" si="4"/>
        <v>0</v>
      </c>
      <c r="J58" s="135">
        <f t="shared" si="5"/>
        <v>0</v>
      </c>
    </row>
    <row r="59" spans="2:10">
      <c r="B59" s="131">
        <f>Amnt_Deposited!B51</f>
        <v>1990</v>
      </c>
      <c r="C59" s="134">
        <f>Amnt_Deposited!D51</f>
        <v>0</v>
      </c>
      <c r="D59" s="496">
        <f>MCF!X58</f>
        <v>0.70499999999999996</v>
      </c>
      <c r="E59" s="167">
        <f t="shared" si="1"/>
        <v>0</v>
      </c>
      <c r="F59" s="100">
        <f t="shared" si="0"/>
        <v>0</v>
      </c>
      <c r="G59" s="100">
        <f t="shared" si="2"/>
        <v>0</v>
      </c>
      <c r="H59" s="100">
        <f t="shared" si="3"/>
        <v>0</v>
      </c>
      <c r="I59" s="100">
        <f t="shared" si="4"/>
        <v>0</v>
      </c>
      <c r="J59" s="135">
        <f t="shared" si="5"/>
        <v>0</v>
      </c>
    </row>
    <row r="60" spans="2:10">
      <c r="B60" s="131">
        <f>Amnt_Deposited!B52</f>
        <v>1991</v>
      </c>
      <c r="C60" s="134">
        <f>Amnt_Deposited!D52</f>
        <v>0</v>
      </c>
      <c r="D60" s="496">
        <f>MCF!X59</f>
        <v>0.70499999999999996</v>
      </c>
      <c r="E60" s="167">
        <f t="shared" si="1"/>
        <v>0</v>
      </c>
      <c r="F60" s="100">
        <f t="shared" si="0"/>
        <v>0</v>
      </c>
      <c r="G60" s="100">
        <f t="shared" si="2"/>
        <v>0</v>
      </c>
      <c r="H60" s="100">
        <f t="shared" si="3"/>
        <v>0</v>
      </c>
      <c r="I60" s="100">
        <f t="shared" si="4"/>
        <v>0</v>
      </c>
      <c r="J60" s="135">
        <f t="shared" si="5"/>
        <v>0</v>
      </c>
    </row>
    <row r="61" spans="2:10">
      <c r="B61" s="131">
        <f>Amnt_Deposited!B53</f>
        <v>1992</v>
      </c>
      <c r="C61" s="134">
        <f>Amnt_Deposited!D53</f>
        <v>0</v>
      </c>
      <c r="D61" s="496">
        <f>MCF!X60</f>
        <v>0.70499999999999996</v>
      </c>
      <c r="E61" s="167">
        <f t="shared" si="1"/>
        <v>0</v>
      </c>
      <c r="F61" s="100">
        <f t="shared" si="0"/>
        <v>0</v>
      </c>
      <c r="G61" s="100">
        <f t="shared" si="2"/>
        <v>0</v>
      </c>
      <c r="H61" s="100">
        <f t="shared" si="3"/>
        <v>0</v>
      </c>
      <c r="I61" s="100">
        <f t="shared" si="4"/>
        <v>0</v>
      </c>
      <c r="J61" s="135">
        <f t="shared" si="5"/>
        <v>0</v>
      </c>
    </row>
    <row r="62" spans="2:10">
      <c r="B62" s="131">
        <f>Amnt_Deposited!B54</f>
        <v>1993</v>
      </c>
      <c r="C62" s="134">
        <f>Amnt_Deposited!D54</f>
        <v>0</v>
      </c>
      <c r="D62" s="496">
        <f>MCF!X61</f>
        <v>0.70499999999999996</v>
      </c>
      <c r="E62" s="167">
        <f t="shared" si="1"/>
        <v>0</v>
      </c>
      <c r="F62" s="100">
        <f t="shared" si="0"/>
        <v>0</v>
      </c>
      <c r="G62" s="100">
        <f t="shared" si="2"/>
        <v>0</v>
      </c>
      <c r="H62" s="100">
        <f t="shared" si="3"/>
        <v>0</v>
      </c>
      <c r="I62" s="100">
        <f t="shared" si="4"/>
        <v>0</v>
      </c>
      <c r="J62" s="135">
        <f t="shared" si="5"/>
        <v>0</v>
      </c>
    </row>
    <row r="63" spans="2:10">
      <c r="B63" s="131">
        <f>Amnt_Deposited!B55</f>
        <v>1994</v>
      </c>
      <c r="C63" s="134">
        <f>Amnt_Deposited!D55</f>
        <v>0</v>
      </c>
      <c r="D63" s="496">
        <f>MCF!X62</f>
        <v>0.70499999999999996</v>
      </c>
      <c r="E63" s="167">
        <f t="shared" si="1"/>
        <v>0</v>
      </c>
      <c r="F63" s="100">
        <f t="shared" si="0"/>
        <v>0</v>
      </c>
      <c r="G63" s="100">
        <f t="shared" si="2"/>
        <v>0</v>
      </c>
      <c r="H63" s="100">
        <f t="shared" si="3"/>
        <v>0</v>
      </c>
      <c r="I63" s="100">
        <f t="shared" si="4"/>
        <v>0</v>
      </c>
      <c r="J63" s="135">
        <f t="shared" si="5"/>
        <v>0</v>
      </c>
    </row>
    <row r="64" spans="2:10">
      <c r="B64" s="131">
        <f>Amnt_Deposited!B56</f>
        <v>1995</v>
      </c>
      <c r="C64" s="134">
        <f>Amnt_Deposited!D56</f>
        <v>0</v>
      </c>
      <c r="D64" s="496">
        <f>MCF!X63</f>
        <v>0.70499999999999996</v>
      </c>
      <c r="E64" s="167">
        <f t="shared" si="1"/>
        <v>0</v>
      </c>
      <c r="F64" s="100">
        <f t="shared" si="0"/>
        <v>0</v>
      </c>
      <c r="G64" s="100">
        <f t="shared" si="2"/>
        <v>0</v>
      </c>
      <c r="H64" s="100">
        <f t="shared" si="3"/>
        <v>0</v>
      </c>
      <c r="I64" s="100">
        <f t="shared" si="4"/>
        <v>0</v>
      </c>
      <c r="J64" s="135">
        <f t="shared" si="5"/>
        <v>0</v>
      </c>
    </row>
    <row r="65" spans="2:10">
      <c r="B65" s="131">
        <f>Amnt_Deposited!B57</f>
        <v>1996</v>
      </c>
      <c r="C65" s="134">
        <f>Amnt_Deposited!D57</f>
        <v>0</v>
      </c>
      <c r="D65" s="496">
        <f>MCF!X64</f>
        <v>0.70499999999999996</v>
      </c>
      <c r="E65" s="167">
        <f t="shared" si="1"/>
        <v>0</v>
      </c>
      <c r="F65" s="100">
        <f t="shared" si="0"/>
        <v>0</v>
      </c>
      <c r="G65" s="100">
        <f t="shared" si="2"/>
        <v>0</v>
      </c>
      <c r="H65" s="100">
        <f t="shared" si="3"/>
        <v>0</v>
      </c>
      <c r="I65" s="100">
        <f t="shared" si="4"/>
        <v>0</v>
      </c>
      <c r="J65" s="135">
        <f t="shared" si="5"/>
        <v>0</v>
      </c>
    </row>
    <row r="66" spans="2:10">
      <c r="B66" s="131">
        <f>Amnt_Deposited!B58</f>
        <v>1997</v>
      </c>
      <c r="C66" s="134">
        <f>Amnt_Deposited!D58</f>
        <v>0</v>
      </c>
      <c r="D66" s="496">
        <f>MCF!X65</f>
        <v>0.70499999999999996</v>
      </c>
      <c r="E66" s="167">
        <f t="shared" si="1"/>
        <v>0</v>
      </c>
      <c r="F66" s="100">
        <f t="shared" si="0"/>
        <v>0</v>
      </c>
      <c r="G66" s="100">
        <f t="shared" si="2"/>
        <v>0</v>
      </c>
      <c r="H66" s="100">
        <f t="shared" si="3"/>
        <v>0</v>
      </c>
      <c r="I66" s="100">
        <f t="shared" si="4"/>
        <v>0</v>
      </c>
      <c r="J66" s="135">
        <f t="shared" si="5"/>
        <v>0</v>
      </c>
    </row>
    <row r="67" spans="2:10">
      <c r="B67" s="131">
        <f>Amnt_Deposited!B59</f>
        <v>1998</v>
      </c>
      <c r="C67" s="134">
        <f>Amnt_Deposited!D59</f>
        <v>0</v>
      </c>
      <c r="D67" s="496">
        <f>MCF!X66</f>
        <v>0.70499999999999996</v>
      </c>
      <c r="E67" s="167">
        <f t="shared" si="1"/>
        <v>0</v>
      </c>
      <c r="F67" s="100">
        <f t="shared" si="0"/>
        <v>0</v>
      </c>
      <c r="G67" s="100">
        <f t="shared" si="2"/>
        <v>0</v>
      </c>
      <c r="H67" s="100">
        <f t="shared" si="3"/>
        <v>0</v>
      </c>
      <c r="I67" s="100">
        <f t="shared" si="4"/>
        <v>0</v>
      </c>
      <c r="J67" s="135">
        <f t="shared" si="5"/>
        <v>0</v>
      </c>
    </row>
    <row r="68" spans="2:10">
      <c r="B68" s="131">
        <f>Amnt_Deposited!B60</f>
        <v>1999</v>
      </c>
      <c r="C68" s="134">
        <f>Amnt_Deposited!D60</f>
        <v>0</v>
      </c>
      <c r="D68" s="496">
        <f>MCF!X67</f>
        <v>0.70499999999999996</v>
      </c>
      <c r="E68" s="167">
        <f t="shared" si="1"/>
        <v>0</v>
      </c>
      <c r="F68" s="100">
        <f t="shared" si="0"/>
        <v>0</v>
      </c>
      <c r="G68" s="100">
        <f t="shared" si="2"/>
        <v>0</v>
      </c>
      <c r="H68" s="100">
        <f t="shared" si="3"/>
        <v>0</v>
      </c>
      <c r="I68" s="100">
        <f t="shared" si="4"/>
        <v>0</v>
      </c>
      <c r="J68" s="135">
        <f t="shared" si="5"/>
        <v>0</v>
      </c>
    </row>
    <row r="69" spans="2:10">
      <c r="B69" s="131">
        <f>Amnt_Deposited!B61</f>
        <v>2000</v>
      </c>
      <c r="C69" s="134">
        <f>Amnt_Deposited!D61</f>
        <v>0</v>
      </c>
      <c r="D69" s="496">
        <f>MCF!X68</f>
        <v>0.70499999999999996</v>
      </c>
      <c r="E69" s="167">
        <f t="shared" si="1"/>
        <v>0</v>
      </c>
      <c r="F69" s="100">
        <f t="shared" si="0"/>
        <v>0</v>
      </c>
      <c r="G69" s="100">
        <f t="shared" si="2"/>
        <v>0</v>
      </c>
      <c r="H69" s="100">
        <f t="shared" si="3"/>
        <v>0</v>
      </c>
      <c r="I69" s="100">
        <f t="shared" si="4"/>
        <v>0</v>
      </c>
      <c r="J69" s="135">
        <f t="shared" si="5"/>
        <v>0</v>
      </c>
    </row>
    <row r="70" spans="2:10">
      <c r="B70" s="131">
        <f>Amnt_Deposited!B62</f>
        <v>2001</v>
      </c>
      <c r="C70" s="134">
        <f>Amnt_Deposited!D62</f>
        <v>0</v>
      </c>
      <c r="D70" s="496">
        <f>MCF!X69</f>
        <v>0.70499999999999996</v>
      </c>
      <c r="E70" s="167">
        <f t="shared" si="1"/>
        <v>0</v>
      </c>
      <c r="F70" s="100">
        <f t="shared" si="0"/>
        <v>0</v>
      </c>
      <c r="G70" s="100">
        <f t="shared" si="2"/>
        <v>0</v>
      </c>
      <c r="H70" s="100">
        <f t="shared" si="3"/>
        <v>0</v>
      </c>
      <c r="I70" s="100">
        <f t="shared" si="4"/>
        <v>0</v>
      </c>
      <c r="J70" s="135">
        <f t="shared" si="5"/>
        <v>0</v>
      </c>
    </row>
    <row r="71" spans="2:10">
      <c r="B71" s="131">
        <f>Amnt_Deposited!B63</f>
        <v>2002</v>
      </c>
      <c r="C71" s="134">
        <f>Amnt_Deposited!D63</f>
        <v>0</v>
      </c>
      <c r="D71" s="496">
        <f>MCF!X70</f>
        <v>0.70499999999999996</v>
      </c>
      <c r="E71" s="167">
        <f t="shared" si="1"/>
        <v>0</v>
      </c>
      <c r="F71" s="100">
        <f t="shared" si="0"/>
        <v>0</v>
      </c>
      <c r="G71" s="100">
        <f t="shared" si="2"/>
        <v>0</v>
      </c>
      <c r="H71" s="100">
        <f t="shared" si="3"/>
        <v>0</v>
      </c>
      <c r="I71" s="100">
        <f t="shared" si="4"/>
        <v>0</v>
      </c>
      <c r="J71" s="135">
        <f t="shared" si="5"/>
        <v>0</v>
      </c>
    </row>
    <row r="72" spans="2:10">
      <c r="B72" s="131">
        <f>Amnt_Deposited!B64</f>
        <v>2003</v>
      </c>
      <c r="C72" s="134">
        <f>Amnt_Deposited!D64</f>
        <v>0</v>
      </c>
      <c r="D72" s="496">
        <f>MCF!X71</f>
        <v>0.70499999999999996</v>
      </c>
      <c r="E72" s="167">
        <f t="shared" si="1"/>
        <v>0</v>
      </c>
      <c r="F72" s="100">
        <f t="shared" si="0"/>
        <v>0</v>
      </c>
      <c r="G72" s="100">
        <f t="shared" si="2"/>
        <v>0</v>
      </c>
      <c r="H72" s="100">
        <f t="shared" si="3"/>
        <v>0</v>
      </c>
      <c r="I72" s="100">
        <f t="shared" si="4"/>
        <v>0</v>
      </c>
      <c r="J72" s="135">
        <f t="shared" si="5"/>
        <v>0</v>
      </c>
    </row>
    <row r="73" spans="2:10">
      <c r="B73" s="131">
        <f>Amnt_Deposited!B65</f>
        <v>2004</v>
      </c>
      <c r="C73" s="134">
        <f>Amnt_Deposited!D65</f>
        <v>0</v>
      </c>
      <c r="D73" s="496">
        <f>MCF!X72</f>
        <v>0.70499999999999996</v>
      </c>
      <c r="E73" s="167">
        <f t="shared" si="1"/>
        <v>0</v>
      </c>
      <c r="F73" s="100">
        <f t="shared" si="0"/>
        <v>0</v>
      </c>
      <c r="G73" s="100">
        <f t="shared" si="2"/>
        <v>0</v>
      </c>
      <c r="H73" s="100">
        <f t="shared" si="3"/>
        <v>0</v>
      </c>
      <c r="I73" s="100">
        <f t="shared" si="4"/>
        <v>0</v>
      </c>
      <c r="J73" s="135">
        <f t="shared" si="5"/>
        <v>0</v>
      </c>
    </row>
    <row r="74" spans="2:10">
      <c r="B74" s="131">
        <f>Amnt_Deposited!B66</f>
        <v>2005</v>
      </c>
      <c r="C74" s="134">
        <f>Amnt_Deposited!D66</f>
        <v>0</v>
      </c>
      <c r="D74" s="496">
        <f>MCF!X73</f>
        <v>0.70499999999999996</v>
      </c>
      <c r="E74" s="167">
        <f t="shared" si="1"/>
        <v>0</v>
      </c>
      <c r="F74" s="100">
        <f t="shared" si="0"/>
        <v>0</v>
      </c>
      <c r="G74" s="100">
        <f t="shared" si="2"/>
        <v>0</v>
      </c>
      <c r="H74" s="100">
        <f t="shared" si="3"/>
        <v>0</v>
      </c>
      <c r="I74" s="100">
        <f t="shared" si="4"/>
        <v>0</v>
      </c>
      <c r="J74" s="135">
        <f t="shared" si="5"/>
        <v>0</v>
      </c>
    </row>
    <row r="75" spans="2:10">
      <c r="B75" s="131">
        <f>Amnt_Deposited!B67</f>
        <v>2006</v>
      </c>
      <c r="C75" s="134">
        <f>Amnt_Deposited!D67</f>
        <v>0</v>
      </c>
      <c r="D75" s="496">
        <f>MCF!X74</f>
        <v>0.70499999999999996</v>
      </c>
      <c r="E75" s="167">
        <f t="shared" si="1"/>
        <v>0</v>
      </c>
      <c r="F75" s="100">
        <f t="shared" si="0"/>
        <v>0</v>
      </c>
      <c r="G75" s="100">
        <f t="shared" si="2"/>
        <v>0</v>
      </c>
      <c r="H75" s="100">
        <f t="shared" si="3"/>
        <v>0</v>
      </c>
      <c r="I75" s="100">
        <f t="shared" si="4"/>
        <v>0</v>
      </c>
      <c r="J75" s="135">
        <f t="shared" si="5"/>
        <v>0</v>
      </c>
    </row>
    <row r="76" spans="2:10">
      <c r="B76" s="131">
        <f>Amnt_Deposited!B68</f>
        <v>2007</v>
      </c>
      <c r="C76" s="134">
        <f>Amnt_Deposited!D68</f>
        <v>0</v>
      </c>
      <c r="D76" s="496">
        <f>MCF!X75</f>
        <v>0.70499999999999996</v>
      </c>
      <c r="E76" s="167">
        <f t="shared" si="1"/>
        <v>0</v>
      </c>
      <c r="F76" s="100">
        <f t="shared" si="0"/>
        <v>0</v>
      </c>
      <c r="G76" s="100">
        <f t="shared" si="2"/>
        <v>0</v>
      </c>
      <c r="H76" s="100">
        <f t="shared" si="3"/>
        <v>0</v>
      </c>
      <c r="I76" s="100">
        <f t="shared" si="4"/>
        <v>0</v>
      </c>
      <c r="J76" s="135">
        <f t="shared" si="5"/>
        <v>0</v>
      </c>
    </row>
    <row r="77" spans="2:10">
      <c r="B77" s="131">
        <f>Amnt_Deposited!B69</f>
        <v>2008</v>
      </c>
      <c r="C77" s="134">
        <f>Amnt_Deposited!D69</f>
        <v>0</v>
      </c>
      <c r="D77" s="496">
        <f>MCF!X76</f>
        <v>0.70499999999999996</v>
      </c>
      <c r="E77" s="167">
        <f t="shared" si="1"/>
        <v>0</v>
      </c>
      <c r="F77" s="100">
        <f t="shared" si="0"/>
        <v>0</v>
      </c>
      <c r="G77" s="100">
        <f t="shared" si="2"/>
        <v>0</v>
      </c>
      <c r="H77" s="100">
        <f t="shared" si="3"/>
        <v>0</v>
      </c>
      <c r="I77" s="100">
        <f t="shared" si="4"/>
        <v>0</v>
      </c>
      <c r="J77" s="135">
        <f t="shared" si="5"/>
        <v>0</v>
      </c>
    </row>
    <row r="78" spans="2:10">
      <c r="B78" s="131">
        <f>Amnt_Deposited!B70</f>
        <v>2009</v>
      </c>
      <c r="C78" s="134">
        <f>Amnt_Deposited!D70</f>
        <v>0</v>
      </c>
      <c r="D78" s="496">
        <f>MCF!X77</f>
        <v>0.70499999999999996</v>
      </c>
      <c r="E78" s="167">
        <f t="shared" si="1"/>
        <v>0</v>
      </c>
      <c r="F78" s="100">
        <f t="shared" si="0"/>
        <v>0</v>
      </c>
      <c r="G78" s="100">
        <f t="shared" si="2"/>
        <v>0</v>
      </c>
      <c r="H78" s="100">
        <f t="shared" si="3"/>
        <v>0</v>
      </c>
      <c r="I78" s="100">
        <f t="shared" si="4"/>
        <v>0</v>
      </c>
      <c r="J78" s="135">
        <f t="shared" si="5"/>
        <v>0</v>
      </c>
    </row>
    <row r="79" spans="2:10">
      <c r="B79" s="131">
        <f>Amnt_Deposited!B71</f>
        <v>2010</v>
      </c>
      <c r="C79" s="134">
        <f>Amnt_Deposited!D71</f>
        <v>0</v>
      </c>
      <c r="D79" s="496">
        <f>MCF!X78</f>
        <v>0.70499999999999996</v>
      </c>
      <c r="E79" s="167">
        <f t="shared" si="1"/>
        <v>0</v>
      </c>
      <c r="F79" s="100">
        <f t="shared" si="0"/>
        <v>0</v>
      </c>
      <c r="G79" s="100">
        <f t="shared" si="2"/>
        <v>0</v>
      </c>
      <c r="H79" s="100">
        <f t="shared" si="3"/>
        <v>0</v>
      </c>
      <c r="I79" s="100">
        <f t="shared" si="4"/>
        <v>0</v>
      </c>
      <c r="J79" s="135">
        <f t="shared" si="5"/>
        <v>0</v>
      </c>
    </row>
    <row r="80" spans="2:10">
      <c r="B80" s="131">
        <f>Amnt_Deposited!B72</f>
        <v>2011</v>
      </c>
      <c r="C80" s="134">
        <f>Amnt_Deposited!D72</f>
        <v>0</v>
      </c>
      <c r="D80" s="496">
        <f>MCF!X79</f>
        <v>0.70499999999999996</v>
      </c>
      <c r="E80" s="167">
        <f t="shared" si="1"/>
        <v>0</v>
      </c>
      <c r="F80" s="100">
        <f t="shared" si="0"/>
        <v>0</v>
      </c>
      <c r="G80" s="100">
        <f t="shared" si="2"/>
        <v>0</v>
      </c>
      <c r="H80" s="100">
        <f t="shared" si="3"/>
        <v>0</v>
      </c>
      <c r="I80" s="100">
        <f t="shared" si="4"/>
        <v>0</v>
      </c>
      <c r="J80" s="135">
        <f t="shared" si="5"/>
        <v>0</v>
      </c>
    </row>
    <row r="81" spans="2:10">
      <c r="B81" s="131">
        <f>Amnt_Deposited!B73</f>
        <v>2012</v>
      </c>
      <c r="C81" s="134">
        <f>Amnt_Deposited!D73</f>
        <v>0</v>
      </c>
      <c r="D81" s="496">
        <f>MCF!X80</f>
        <v>0.70499999999999996</v>
      </c>
      <c r="E81" s="167">
        <f t="shared" si="1"/>
        <v>0</v>
      </c>
      <c r="F81" s="100">
        <f t="shared" si="0"/>
        <v>0</v>
      </c>
      <c r="G81" s="100">
        <f t="shared" si="2"/>
        <v>0</v>
      </c>
      <c r="H81" s="100">
        <f t="shared" si="3"/>
        <v>0</v>
      </c>
      <c r="I81" s="100">
        <f t="shared" si="4"/>
        <v>0</v>
      </c>
      <c r="J81" s="135">
        <f t="shared" si="5"/>
        <v>0</v>
      </c>
    </row>
    <row r="82" spans="2:10">
      <c r="B82" s="131">
        <f>Amnt_Deposited!B74</f>
        <v>2013</v>
      </c>
      <c r="C82" s="134">
        <f>Amnt_Deposited!D74</f>
        <v>0</v>
      </c>
      <c r="D82" s="496">
        <f>MCF!X81</f>
        <v>0.70499999999999996</v>
      </c>
      <c r="E82" s="167">
        <f t="shared" si="1"/>
        <v>0</v>
      </c>
      <c r="F82" s="100">
        <f t="shared" si="0"/>
        <v>0</v>
      </c>
      <c r="G82" s="100">
        <f t="shared" si="2"/>
        <v>0</v>
      </c>
      <c r="H82" s="100">
        <f t="shared" si="3"/>
        <v>0</v>
      </c>
      <c r="I82" s="100">
        <f t="shared" si="4"/>
        <v>0</v>
      </c>
      <c r="J82" s="135">
        <f t="shared" si="5"/>
        <v>0</v>
      </c>
    </row>
    <row r="83" spans="2:10">
      <c r="B83" s="131">
        <f>Amnt_Deposited!B75</f>
        <v>2014</v>
      </c>
      <c r="C83" s="134">
        <f>Amnt_Deposited!D75</f>
        <v>0</v>
      </c>
      <c r="D83" s="496">
        <f>MCF!X82</f>
        <v>0.70499999999999996</v>
      </c>
      <c r="E83" s="167">
        <f t="shared" si="1"/>
        <v>0</v>
      </c>
      <c r="F83" s="100">
        <f t="shared" ref="F83:F99" si="6">E83*$I$12</f>
        <v>0</v>
      </c>
      <c r="G83" s="100">
        <f t="shared" si="2"/>
        <v>0</v>
      </c>
      <c r="H83" s="100">
        <f t="shared" si="3"/>
        <v>0</v>
      </c>
      <c r="I83" s="100">
        <f t="shared" si="4"/>
        <v>0</v>
      </c>
      <c r="J83" s="135">
        <f t="shared" si="5"/>
        <v>0</v>
      </c>
    </row>
    <row r="84" spans="2:10">
      <c r="B84" s="131">
        <f>Amnt_Deposited!B76</f>
        <v>2015</v>
      </c>
      <c r="C84" s="134">
        <f>Amnt_Deposited!D76</f>
        <v>0</v>
      </c>
      <c r="D84" s="496">
        <f>MCF!X83</f>
        <v>0.70499999999999996</v>
      </c>
      <c r="E84" s="167">
        <f t="shared" ref="E84:E99" si="7">C84*$I$6*$I$7*D84</f>
        <v>0</v>
      </c>
      <c r="F84" s="100">
        <f t="shared" si="6"/>
        <v>0</v>
      </c>
      <c r="G84" s="100">
        <f t="shared" ref="G84:G99" si="8">E84*(1-$I$12)</f>
        <v>0</v>
      </c>
      <c r="H84" s="100">
        <f t="shared" ref="H84:H99" si="9">F84+H83*$I$10</f>
        <v>0</v>
      </c>
      <c r="I84" s="100">
        <f t="shared" ref="I84:I99" si="10">H83*(1-$I$10)+G84</f>
        <v>0</v>
      </c>
      <c r="J84" s="135">
        <f t="shared" si="5"/>
        <v>0</v>
      </c>
    </row>
    <row r="85" spans="2:10">
      <c r="B85" s="131">
        <f>Amnt_Deposited!B77</f>
        <v>2016</v>
      </c>
      <c r="C85" s="134">
        <f>Amnt_Deposited!D77</f>
        <v>0</v>
      </c>
      <c r="D85" s="496">
        <f>MCF!X84</f>
        <v>0.70499999999999996</v>
      </c>
      <c r="E85" s="167">
        <f t="shared" si="7"/>
        <v>0</v>
      </c>
      <c r="F85" s="100">
        <f t="shared" si="6"/>
        <v>0</v>
      </c>
      <c r="G85" s="100">
        <f t="shared" si="8"/>
        <v>0</v>
      </c>
      <c r="H85" s="100">
        <f t="shared" si="9"/>
        <v>0</v>
      </c>
      <c r="I85" s="100">
        <f t="shared" si="10"/>
        <v>0</v>
      </c>
      <c r="J85" s="135">
        <f t="shared" ref="J85:J99" si="11">I85*CH4_fraction*conv</f>
        <v>0</v>
      </c>
    </row>
    <row r="86" spans="2:10">
      <c r="B86" s="131">
        <f>Amnt_Deposited!B78</f>
        <v>2017</v>
      </c>
      <c r="C86" s="134">
        <f>Amnt_Deposited!D78</f>
        <v>0</v>
      </c>
      <c r="D86" s="496">
        <f>MCF!X85</f>
        <v>0.70499999999999996</v>
      </c>
      <c r="E86" s="167">
        <f t="shared" si="7"/>
        <v>0</v>
      </c>
      <c r="F86" s="100">
        <f t="shared" si="6"/>
        <v>0</v>
      </c>
      <c r="G86" s="100">
        <f t="shared" si="8"/>
        <v>0</v>
      </c>
      <c r="H86" s="100">
        <f t="shared" si="9"/>
        <v>0</v>
      </c>
      <c r="I86" s="100">
        <f t="shared" si="10"/>
        <v>0</v>
      </c>
      <c r="J86" s="135">
        <f t="shared" si="11"/>
        <v>0</v>
      </c>
    </row>
    <row r="87" spans="2:10">
      <c r="B87" s="131">
        <f>Amnt_Deposited!B79</f>
        <v>2018</v>
      </c>
      <c r="C87" s="134">
        <f>Amnt_Deposited!D79</f>
        <v>0</v>
      </c>
      <c r="D87" s="496">
        <f>MCF!X86</f>
        <v>0.70499999999999996</v>
      </c>
      <c r="E87" s="167">
        <f t="shared" si="7"/>
        <v>0</v>
      </c>
      <c r="F87" s="100">
        <f t="shared" si="6"/>
        <v>0</v>
      </c>
      <c r="G87" s="100">
        <f t="shared" si="8"/>
        <v>0</v>
      </c>
      <c r="H87" s="100">
        <f t="shared" si="9"/>
        <v>0</v>
      </c>
      <c r="I87" s="100">
        <f t="shared" si="10"/>
        <v>0</v>
      </c>
      <c r="J87" s="135">
        <f t="shared" si="11"/>
        <v>0</v>
      </c>
    </row>
    <row r="88" spans="2:10">
      <c r="B88" s="131">
        <f>Amnt_Deposited!B80</f>
        <v>2019</v>
      </c>
      <c r="C88" s="134">
        <f>Amnt_Deposited!D80</f>
        <v>0</v>
      </c>
      <c r="D88" s="496">
        <f>MCF!X87</f>
        <v>0.70499999999999996</v>
      </c>
      <c r="E88" s="167">
        <f t="shared" si="7"/>
        <v>0</v>
      </c>
      <c r="F88" s="100">
        <f t="shared" si="6"/>
        <v>0</v>
      </c>
      <c r="G88" s="100">
        <f t="shared" si="8"/>
        <v>0</v>
      </c>
      <c r="H88" s="100">
        <f t="shared" si="9"/>
        <v>0</v>
      </c>
      <c r="I88" s="100">
        <f t="shared" si="10"/>
        <v>0</v>
      </c>
      <c r="J88" s="135">
        <f t="shared" si="11"/>
        <v>0</v>
      </c>
    </row>
    <row r="89" spans="2:10">
      <c r="B89" s="131">
        <f>Amnt_Deposited!B81</f>
        <v>2020</v>
      </c>
      <c r="C89" s="134">
        <f>Amnt_Deposited!D81</f>
        <v>0</v>
      </c>
      <c r="D89" s="496">
        <f>MCF!X88</f>
        <v>0.70499999999999996</v>
      </c>
      <c r="E89" s="167">
        <f t="shared" si="7"/>
        <v>0</v>
      </c>
      <c r="F89" s="100">
        <f t="shared" si="6"/>
        <v>0</v>
      </c>
      <c r="G89" s="100">
        <f t="shared" si="8"/>
        <v>0</v>
      </c>
      <c r="H89" s="100">
        <f t="shared" si="9"/>
        <v>0</v>
      </c>
      <c r="I89" s="100">
        <f t="shared" si="10"/>
        <v>0</v>
      </c>
      <c r="J89" s="135">
        <f t="shared" si="11"/>
        <v>0</v>
      </c>
    </row>
    <row r="90" spans="2:10">
      <c r="B90" s="131">
        <f>Amnt_Deposited!B82</f>
        <v>2021</v>
      </c>
      <c r="C90" s="134">
        <f>Amnt_Deposited!D82</f>
        <v>0</v>
      </c>
      <c r="D90" s="496">
        <f>MCF!X89</f>
        <v>0.70499999999999996</v>
      </c>
      <c r="E90" s="167">
        <f t="shared" si="7"/>
        <v>0</v>
      </c>
      <c r="F90" s="100">
        <f t="shared" si="6"/>
        <v>0</v>
      </c>
      <c r="G90" s="100">
        <f t="shared" si="8"/>
        <v>0</v>
      </c>
      <c r="H90" s="100">
        <f t="shared" si="9"/>
        <v>0</v>
      </c>
      <c r="I90" s="100">
        <f t="shared" si="10"/>
        <v>0</v>
      </c>
      <c r="J90" s="135">
        <f t="shared" si="11"/>
        <v>0</v>
      </c>
    </row>
    <row r="91" spans="2:10">
      <c r="B91" s="131">
        <f>Amnt_Deposited!B83</f>
        <v>2022</v>
      </c>
      <c r="C91" s="134">
        <f>Amnt_Deposited!D83</f>
        <v>0</v>
      </c>
      <c r="D91" s="496">
        <f>MCF!X90</f>
        <v>0.70499999999999996</v>
      </c>
      <c r="E91" s="167">
        <f t="shared" si="7"/>
        <v>0</v>
      </c>
      <c r="F91" s="100">
        <f t="shared" si="6"/>
        <v>0</v>
      </c>
      <c r="G91" s="100">
        <f t="shared" si="8"/>
        <v>0</v>
      </c>
      <c r="H91" s="100">
        <f t="shared" si="9"/>
        <v>0</v>
      </c>
      <c r="I91" s="100">
        <f t="shared" si="10"/>
        <v>0</v>
      </c>
      <c r="J91" s="135">
        <f t="shared" si="11"/>
        <v>0</v>
      </c>
    </row>
    <row r="92" spans="2:10">
      <c r="B92" s="131">
        <f>Amnt_Deposited!B84</f>
        <v>2023</v>
      </c>
      <c r="C92" s="134">
        <f>Amnt_Deposited!D84</f>
        <v>0</v>
      </c>
      <c r="D92" s="496">
        <f>MCF!X91</f>
        <v>0.70499999999999996</v>
      </c>
      <c r="E92" s="167">
        <f t="shared" si="7"/>
        <v>0</v>
      </c>
      <c r="F92" s="100">
        <f t="shared" si="6"/>
        <v>0</v>
      </c>
      <c r="G92" s="100">
        <f t="shared" si="8"/>
        <v>0</v>
      </c>
      <c r="H92" s="100">
        <f t="shared" si="9"/>
        <v>0</v>
      </c>
      <c r="I92" s="100">
        <f t="shared" si="10"/>
        <v>0</v>
      </c>
      <c r="J92" s="135">
        <f t="shared" si="11"/>
        <v>0</v>
      </c>
    </row>
    <row r="93" spans="2:10">
      <c r="B93" s="131">
        <f>Amnt_Deposited!B85</f>
        <v>2024</v>
      </c>
      <c r="C93" s="134">
        <f>Amnt_Deposited!D85</f>
        <v>0</v>
      </c>
      <c r="D93" s="496">
        <f>MCF!X92</f>
        <v>0.70499999999999996</v>
      </c>
      <c r="E93" s="167">
        <f t="shared" si="7"/>
        <v>0</v>
      </c>
      <c r="F93" s="100">
        <f t="shared" si="6"/>
        <v>0</v>
      </c>
      <c r="G93" s="100">
        <f t="shared" si="8"/>
        <v>0</v>
      </c>
      <c r="H93" s="100">
        <f t="shared" si="9"/>
        <v>0</v>
      </c>
      <c r="I93" s="100">
        <f t="shared" si="10"/>
        <v>0</v>
      </c>
      <c r="J93" s="135">
        <f t="shared" si="11"/>
        <v>0</v>
      </c>
    </row>
    <row r="94" spans="2:10">
      <c r="B94" s="131">
        <f>Amnt_Deposited!B86</f>
        <v>2025</v>
      </c>
      <c r="C94" s="134">
        <f>Amnt_Deposited!D86</f>
        <v>0</v>
      </c>
      <c r="D94" s="496">
        <f>MCF!X93</f>
        <v>0.70499999999999996</v>
      </c>
      <c r="E94" s="167">
        <f t="shared" si="7"/>
        <v>0</v>
      </c>
      <c r="F94" s="100">
        <f t="shared" si="6"/>
        <v>0</v>
      </c>
      <c r="G94" s="100">
        <f t="shared" si="8"/>
        <v>0</v>
      </c>
      <c r="H94" s="100">
        <f t="shared" si="9"/>
        <v>0</v>
      </c>
      <c r="I94" s="100">
        <f t="shared" si="10"/>
        <v>0</v>
      </c>
      <c r="J94" s="135">
        <f t="shared" si="11"/>
        <v>0</v>
      </c>
    </row>
    <row r="95" spans="2:10">
      <c r="B95" s="131">
        <f>Amnt_Deposited!B87</f>
        <v>2026</v>
      </c>
      <c r="C95" s="134">
        <f>Amnt_Deposited!D87</f>
        <v>0</v>
      </c>
      <c r="D95" s="496">
        <f>MCF!X94</f>
        <v>0.70499999999999996</v>
      </c>
      <c r="E95" s="167">
        <f t="shared" si="7"/>
        <v>0</v>
      </c>
      <c r="F95" s="100">
        <f t="shared" si="6"/>
        <v>0</v>
      </c>
      <c r="G95" s="100">
        <f t="shared" si="8"/>
        <v>0</v>
      </c>
      <c r="H95" s="100">
        <f t="shared" si="9"/>
        <v>0</v>
      </c>
      <c r="I95" s="100">
        <f t="shared" si="10"/>
        <v>0</v>
      </c>
      <c r="J95" s="135">
        <f t="shared" si="11"/>
        <v>0</v>
      </c>
    </row>
    <row r="96" spans="2:10">
      <c r="B96" s="131">
        <f>Amnt_Deposited!B88</f>
        <v>2027</v>
      </c>
      <c r="C96" s="134">
        <f>Amnt_Deposited!D88</f>
        <v>0</v>
      </c>
      <c r="D96" s="496">
        <f>MCF!X95</f>
        <v>0.70499999999999996</v>
      </c>
      <c r="E96" s="167">
        <f t="shared" si="7"/>
        <v>0</v>
      </c>
      <c r="F96" s="100">
        <f t="shared" si="6"/>
        <v>0</v>
      </c>
      <c r="G96" s="100">
        <f t="shared" si="8"/>
        <v>0</v>
      </c>
      <c r="H96" s="100">
        <f t="shared" si="9"/>
        <v>0</v>
      </c>
      <c r="I96" s="100">
        <f t="shared" si="10"/>
        <v>0</v>
      </c>
      <c r="J96" s="135">
        <f t="shared" si="11"/>
        <v>0</v>
      </c>
    </row>
    <row r="97" spans="2:10">
      <c r="B97" s="131">
        <f>Amnt_Deposited!B89</f>
        <v>2028</v>
      </c>
      <c r="C97" s="134">
        <f>Amnt_Deposited!D89</f>
        <v>0</v>
      </c>
      <c r="D97" s="496">
        <f>MCF!X96</f>
        <v>0.70499999999999996</v>
      </c>
      <c r="E97" s="167">
        <f t="shared" si="7"/>
        <v>0</v>
      </c>
      <c r="F97" s="100">
        <f t="shared" si="6"/>
        <v>0</v>
      </c>
      <c r="G97" s="100">
        <f t="shared" si="8"/>
        <v>0</v>
      </c>
      <c r="H97" s="100">
        <f t="shared" si="9"/>
        <v>0</v>
      </c>
      <c r="I97" s="100">
        <f t="shared" si="10"/>
        <v>0</v>
      </c>
      <c r="J97" s="135">
        <f t="shared" si="11"/>
        <v>0</v>
      </c>
    </row>
    <row r="98" spans="2:10">
      <c r="B98" s="131">
        <f>Amnt_Deposited!B90</f>
        <v>2029</v>
      </c>
      <c r="C98" s="134">
        <f>Amnt_Deposited!D90</f>
        <v>0</v>
      </c>
      <c r="D98" s="496">
        <f>MCF!X97</f>
        <v>0.70499999999999996</v>
      </c>
      <c r="E98" s="167">
        <f t="shared" si="7"/>
        <v>0</v>
      </c>
      <c r="F98" s="100">
        <f t="shared" si="6"/>
        <v>0</v>
      </c>
      <c r="G98" s="100">
        <f t="shared" si="8"/>
        <v>0</v>
      </c>
      <c r="H98" s="100">
        <f t="shared" si="9"/>
        <v>0</v>
      </c>
      <c r="I98" s="100">
        <f t="shared" si="10"/>
        <v>0</v>
      </c>
      <c r="J98" s="135">
        <f t="shared" si="11"/>
        <v>0</v>
      </c>
    </row>
    <row r="99" spans="2:10" ht="13.8" thickBot="1">
      <c r="B99" s="132">
        <f>Amnt_Deposited!B91</f>
        <v>2030</v>
      </c>
      <c r="C99" s="136">
        <f>Amnt_Deposited!D91</f>
        <v>0</v>
      </c>
      <c r="D99" s="497">
        <f>MCF!X98</f>
        <v>0.70499999999999996</v>
      </c>
      <c r="E99" s="167">
        <f t="shared" si="7"/>
        <v>0</v>
      </c>
      <c r="F99" s="101">
        <f t="shared" si="6"/>
        <v>0</v>
      </c>
      <c r="G99" s="101">
        <f t="shared" si="8"/>
        <v>0</v>
      </c>
      <c r="H99" s="101">
        <f t="shared" si="9"/>
        <v>0</v>
      </c>
      <c r="I99" s="101">
        <f t="shared" si="10"/>
        <v>0</v>
      </c>
      <c r="J99" s="137">
        <f t="shared" si="11"/>
        <v>0</v>
      </c>
    </row>
  </sheetData>
  <phoneticPr fontId="17" type="noConversion"/>
  <pageMargins left="0.75" right="0.75" top="1" bottom="1" header="0.5" footer="0.5"/>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2:J99"/>
  <sheetViews>
    <sheetView showGridLines="0" workbookViewId="0">
      <selection activeCell="I13" sqref="I13"/>
    </sheetView>
  </sheetViews>
  <sheetFormatPr defaultColWidth="11.44140625" defaultRowHeight="13.2"/>
  <cols>
    <col min="1" max="1" width="3.44140625" style="6" customWidth="1"/>
    <col min="2" max="2" width="5.33203125" style="6" customWidth="1"/>
    <col min="3" max="3" width="9" style="6" customWidth="1"/>
    <col min="4" max="4" width="7.44140625" style="272" customWidth="1"/>
    <col min="5" max="6" width="10.6640625" style="6" customWidth="1"/>
    <col min="7" max="7" width="10.109375" style="6" customWidth="1"/>
    <col min="8" max="8" width="14.109375" style="6" customWidth="1"/>
    <col min="9" max="9" width="11.44140625" style="6" customWidth="1"/>
    <col min="10" max="10" width="10.33203125" style="6" customWidth="1"/>
    <col min="11" max="16384" width="11.44140625" style="6"/>
  </cols>
  <sheetData>
    <row r="2" spans="1:10" ht="15.6">
      <c r="B2" s="80" t="s">
        <v>184</v>
      </c>
      <c r="C2" s="274"/>
      <c r="D2" s="275"/>
      <c r="E2" s="276"/>
      <c r="F2" s="276"/>
      <c r="G2" s="276"/>
      <c r="H2" s="276"/>
      <c r="I2" s="276"/>
      <c r="J2" s="276"/>
    </row>
    <row r="3" spans="1:10" ht="15">
      <c r="B3" s="174" t="str">
        <f>IF(Select2=2,"Having chosen the bulk waste option, this sheet applies only to Harvested Wood Products calculations","")</f>
        <v>Having chosen the bulk waste option, this sheet applies only to Harvested Wood Products calculations</v>
      </c>
      <c r="C3" s="274"/>
      <c r="D3" s="275"/>
      <c r="E3" s="276"/>
      <c r="F3" s="276"/>
      <c r="G3" s="276"/>
      <c r="H3" s="276"/>
      <c r="I3" s="276"/>
      <c r="J3" s="276"/>
    </row>
    <row r="4" spans="1:10" ht="16.2" thickBot="1">
      <c r="B4" s="4"/>
      <c r="C4" s="277"/>
      <c r="D4" s="278"/>
      <c r="E4" s="279"/>
      <c r="F4" s="279"/>
      <c r="G4" s="279"/>
      <c r="H4" s="279"/>
      <c r="I4" s="279"/>
      <c r="J4" s="279"/>
    </row>
    <row r="5" spans="1:10" ht="27" thickBot="1">
      <c r="B5" s="280"/>
      <c r="C5" s="281"/>
      <c r="D5" s="282"/>
      <c r="E5" s="266"/>
      <c r="F5" s="266"/>
      <c r="G5" s="266"/>
      <c r="H5" s="266"/>
      <c r="I5" s="150" t="s">
        <v>8</v>
      </c>
      <c r="J5" s="266"/>
    </row>
    <row r="6" spans="1:10">
      <c r="B6" s="280"/>
      <c r="C6" s="281"/>
      <c r="D6" s="143" t="s">
        <v>10</v>
      </c>
      <c r="E6" s="144"/>
      <c r="F6" s="144"/>
      <c r="G6" s="148"/>
      <c r="H6" s="155" t="s">
        <v>10</v>
      </c>
      <c r="I6" s="329">
        <f>Parameters!M15</f>
        <v>0.4</v>
      </c>
      <c r="J6" s="266"/>
    </row>
    <row r="7" spans="1:10" ht="13.8" thickBot="1">
      <c r="B7" s="280"/>
      <c r="C7" s="281"/>
      <c r="D7" s="308" t="s">
        <v>14</v>
      </c>
      <c r="E7" s="309"/>
      <c r="F7" s="309"/>
      <c r="G7" s="310"/>
      <c r="H7" s="311" t="s">
        <v>14</v>
      </c>
      <c r="I7" s="637">
        <f>Parameters!E25</f>
        <v>0.5</v>
      </c>
      <c r="J7" s="266"/>
    </row>
    <row r="8" spans="1:10">
      <c r="D8" s="143" t="s">
        <v>226</v>
      </c>
      <c r="E8" s="144"/>
      <c r="F8" s="144"/>
      <c r="G8" s="148"/>
      <c r="H8" s="155" t="s">
        <v>222</v>
      </c>
      <c r="I8" s="149">
        <f>Parameters!M29</f>
        <v>0.09</v>
      </c>
      <c r="J8" s="81"/>
    </row>
    <row r="9" spans="1:10" ht="15.6">
      <c r="D9" s="303" t="s">
        <v>224</v>
      </c>
      <c r="E9" s="304"/>
      <c r="F9" s="304"/>
      <c r="G9" s="305"/>
      <c r="H9" s="306" t="s">
        <v>223</v>
      </c>
      <c r="I9" s="312">
        <f>LN(2)/$I$8</f>
        <v>7.7016353395549482</v>
      </c>
      <c r="J9" s="81"/>
    </row>
    <row r="10" spans="1:10">
      <c r="D10" s="145" t="s">
        <v>95</v>
      </c>
      <c r="E10" s="146"/>
      <c r="F10" s="146"/>
      <c r="G10" s="147"/>
      <c r="H10" s="156" t="s">
        <v>179</v>
      </c>
      <c r="I10" s="82">
        <f>EXP(-$I$8)</f>
        <v>0.91393118527122819</v>
      </c>
      <c r="J10" s="81"/>
    </row>
    <row r="11" spans="1:10">
      <c r="D11" s="145" t="s">
        <v>9</v>
      </c>
      <c r="E11" s="146"/>
      <c r="F11" s="146"/>
      <c r="G11" s="147"/>
      <c r="H11" s="156" t="s">
        <v>94</v>
      </c>
      <c r="I11" s="82">
        <f>Parameters!E40+7</f>
        <v>13</v>
      </c>
      <c r="J11" s="81"/>
    </row>
    <row r="12" spans="1:10" ht="13.8" thickBot="1">
      <c r="D12" s="267" t="s">
        <v>96</v>
      </c>
      <c r="E12" s="268"/>
      <c r="F12" s="268"/>
      <c r="G12" s="269"/>
      <c r="H12" s="270" t="s">
        <v>213</v>
      </c>
      <c r="I12" s="271">
        <f>EXP(-$I$8*((13-I11)/12))</f>
        <v>1</v>
      </c>
      <c r="J12" s="81"/>
    </row>
    <row r="13" spans="1:10" ht="13.8" thickBot="1">
      <c r="C13" s="83"/>
      <c r="D13" s="151" t="s">
        <v>97</v>
      </c>
      <c r="E13" s="152"/>
      <c r="F13" s="152"/>
      <c r="G13" s="153"/>
      <c r="H13" s="157" t="s">
        <v>93</v>
      </c>
      <c r="I13" s="154">
        <f>CH4_fraction</f>
        <v>0.5</v>
      </c>
      <c r="J13" s="81"/>
    </row>
    <row r="14" spans="1:10" ht="13.8" thickBot="1">
      <c r="E14" s="81"/>
      <c r="F14" s="81"/>
      <c r="G14" s="81"/>
      <c r="H14" s="81"/>
      <c r="I14" s="81"/>
      <c r="J14" s="81"/>
    </row>
    <row r="15" spans="1:10" ht="66">
      <c r="B15" s="84" t="s">
        <v>1</v>
      </c>
      <c r="C15" s="85" t="s">
        <v>11</v>
      </c>
      <c r="D15" s="86" t="s">
        <v>12</v>
      </c>
      <c r="E15" s="87" t="s">
        <v>214</v>
      </c>
      <c r="F15" s="87" t="s">
        <v>215</v>
      </c>
      <c r="G15" s="87" t="s">
        <v>216</v>
      </c>
      <c r="H15" s="87" t="s">
        <v>217</v>
      </c>
      <c r="I15" s="87" t="s">
        <v>218</v>
      </c>
      <c r="J15" s="302" t="s">
        <v>219</v>
      </c>
    </row>
    <row r="16" spans="1:10" ht="23.4">
      <c r="A16" s="283"/>
      <c r="B16" s="138"/>
      <c r="C16" s="139" t="s">
        <v>220</v>
      </c>
      <c r="D16" s="140" t="s">
        <v>12</v>
      </c>
      <c r="E16" s="141" t="s">
        <v>221</v>
      </c>
      <c r="F16" s="141" t="s">
        <v>180</v>
      </c>
      <c r="G16" s="141" t="s">
        <v>181</v>
      </c>
      <c r="H16" s="141" t="s">
        <v>182</v>
      </c>
      <c r="I16" s="141" t="s">
        <v>225</v>
      </c>
      <c r="J16" s="142" t="s">
        <v>183</v>
      </c>
    </row>
    <row r="17" spans="2:10" ht="13.8" thickBot="1">
      <c r="B17" s="16"/>
      <c r="C17" s="17" t="s">
        <v>17</v>
      </c>
      <c r="D17" s="88" t="s">
        <v>23</v>
      </c>
      <c r="E17" s="89" t="s">
        <v>17</v>
      </c>
      <c r="F17" s="89" t="s">
        <v>17</v>
      </c>
      <c r="G17" s="89" t="s">
        <v>17</v>
      </c>
      <c r="H17" s="89" t="s">
        <v>17</v>
      </c>
      <c r="I17" s="89" t="s">
        <v>17</v>
      </c>
      <c r="J17" s="90" t="s">
        <v>17</v>
      </c>
    </row>
    <row r="18" spans="2:10" ht="13.8" thickBot="1">
      <c r="B18" s="19"/>
      <c r="C18" s="175"/>
      <c r="D18" s="92"/>
      <c r="E18" s="168"/>
      <c r="F18" s="93"/>
      <c r="G18" s="93"/>
      <c r="H18" s="93"/>
      <c r="I18" s="93"/>
      <c r="J18" s="94"/>
    </row>
    <row r="19" spans="2:10">
      <c r="B19" s="423">
        <f>Amnt_Deposited!B11</f>
        <v>1950</v>
      </c>
      <c r="C19" s="426">
        <f>IF(Select2=1,Amnt_Deposited!E11,(Amnt_Deposited!E11+Amnt_Deposited!L11*Parameters!$E$49))</f>
        <v>225.21599999999998</v>
      </c>
      <c r="D19" s="498">
        <f>MCF!X18</f>
        <v>0.70499999999999996</v>
      </c>
      <c r="E19" s="167">
        <f>C19*$I$6*$I$7*D19</f>
        <v>31.755455999999999</v>
      </c>
      <c r="F19" s="95">
        <f t="shared" ref="F19:F82" si="0">E19*$I$12</f>
        <v>31.755455999999999</v>
      </c>
      <c r="G19" s="95">
        <f>E19*(1-$I$12)</f>
        <v>0</v>
      </c>
      <c r="H19" s="95">
        <f>F19+H18*$I$10</f>
        <v>31.755455999999999</v>
      </c>
      <c r="I19" s="95">
        <f>H18*(1-$I$10)+G19</f>
        <v>0</v>
      </c>
      <c r="J19" s="97">
        <f>I19*CH4_fraction*conv</f>
        <v>0</v>
      </c>
    </row>
    <row r="20" spans="2:10">
      <c r="B20" s="424">
        <f>Amnt_Deposited!B12</f>
        <v>1951</v>
      </c>
      <c r="C20" s="422">
        <f>IF(Select2=1,Amnt_Deposited!E12,(Amnt_Deposited!E12+Amnt_Deposited!L12*Parameters!$E$49))</f>
        <v>225.21599999999998</v>
      </c>
      <c r="D20" s="499">
        <f>MCF!X19</f>
        <v>0.70499999999999996</v>
      </c>
      <c r="E20" s="167">
        <f t="shared" ref="E20:E83" si="1">C20*$I$6*$I$7*D20</f>
        <v>31.755455999999999</v>
      </c>
      <c r="F20" s="100">
        <f t="shared" si="0"/>
        <v>31.755455999999999</v>
      </c>
      <c r="G20" s="100">
        <f t="shared" ref="G20:G83" si="2">E20*(1-$I$12)</f>
        <v>0</v>
      </c>
      <c r="H20" s="100">
        <f t="shared" ref="H20:H83" si="3">F20+H19*$I$10</f>
        <v>60.777757540908333</v>
      </c>
      <c r="I20" s="100">
        <f t="shared" ref="I20:I83" si="4">H19*(1-$I$10)+G20</f>
        <v>2.733154459091665</v>
      </c>
      <c r="J20" s="135">
        <f>I20*CH4_fraction*conv</f>
        <v>1.8221029727277767</v>
      </c>
    </row>
    <row r="21" spans="2:10">
      <c r="B21" s="424">
        <f>Amnt_Deposited!B13</f>
        <v>1952</v>
      </c>
      <c r="C21" s="422">
        <f>IF(Select2=1,Amnt_Deposited!E13,(Amnt_Deposited!E13+Amnt_Deposited!L13*Parameters!$E$49))</f>
        <v>225.21599999999998</v>
      </c>
      <c r="D21" s="499">
        <f>MCF!X20</f>
        <v>0.70499999999999996</v>
      </c>
      <c r="E21" s="167">
        <f t="shared" si="1"/>
        <v>31.755455999999999</v>
      </c>
      <c r="F21" s="100">
        <f t="shared" si="0"/>
        <v>31.755455999999999</v>
      </c>
      <c r="G21" s="100">
        <f t="shared" si="2"/>
        <v>0</v>
      </c>
      <c r="H21" s="100">
        <f t="shared" si="3"/>
        <v>87.302143987489671</v>
      </c>
      <c r="I21" s="100">
        <f t="shared" si="4"/>
        <v>5.2310695534186529</v>
      </c>
      <c r="J21" s="135">
        <f t="shared" ref="J21:J84" si="5">I21*CH4_fraction*conv</f>
        <v>3.4873797022791018</v>
      </c>
    </row>
    <row r="22" spans="2:10">
      <c r="B22" s="424">
        <f>Amnt_Deposited!B14</f>
        <v>1953</v>
      </c>
      <c r="C22" s="422">
        <f>IF(Select2=1,Amnt_Deposited!E14,(Amnt_Deposited!E14+Amnt_Deposited!L14*Parameters!$E$49))</f>
        <v>225.21599999999998</v>
      </c>
      <c r="D22" s="499">
        <f>MCF!X21</f>
        <v>0.70499999999999996</v>
      </c>
      <c r="E22" s="167">
        <f t="shared" si="1"/>
        <v>31.755455999999999</v>
      </c>
      <c r="F22" s="100">
        <f t="shared" si="0"/>
        <v>31.755455999999999</v>
      </c>
      <c r="G22" s="100">
        <f t="shared" si="2"/>
        <v>0</v>
      </c>
      <c r="H22" s="100">
        <f t="shared" si="3"/>
        <v>111.54360793120586</v>
      </c>
      <c r="I22" s="100">
        <f t="shared" si="4"/>
        <v>7.5139920562838087</v>
      </c>
      <c r="J22" s="135">
        <f t="shared" si="5"/>
        <v>5.0093280375225389</v>
      </c>
    </row>
    <row r="23" spans="2:10">
      <c r="B23" s="424">
        <f>Amnt_Deposited!B15</f>
        <v>1954</v>
      </c>
      <c r="C23" s="422">
        <f>IF(Select2=1,Amnt_Deposited!E15,(Amnt_Deposited!E15+Amnt_Deposited!L15*Parameters!$E$49))</f>
        <v>225.21599999999998</v>
      </c>
      <c r="D23" s="499">
        <f>MCF!X22</f>
        <v>0.70499999999999996</v>
      </c>
      <c r="E23" s="167">
        <f t="shared" si="1"/>
        <v>31.755455999999999</v>
      </c>
      <c r="F23" s="100">
        <f t="shared" si="0"/>
        <v>31.755455999999999</v>
      </c>
      <c r="G23" s="100">
        <f t="shared" si="2"/>
        <v>0</v>
      </c>
      <c r="H23" s="100">
        <f t="shared" si="3"/>
        <v>133.69863780599613</v>
      </c>
      <c r="I23" s="100">
        <f t="shared" si="4"/>
        <v>9.6004261252097187</v>
      </c>
      <c r="J23" s="135">
        <f t="shared" si="5"/>
        <v>6.4002840834731458</v>
      </c>
    </row>
    <row r="24" spans="2:10">
      <c r="B24" s="424">
        <f>Amnt_Deposited!B16</f>
        <v>1955</v>
      </c>
      <c r="C24" s="422">
        <f>IF(Select2=1,Amnt_Deposited!E16,(Amnt_Deposited!E16+Amnt_Deposited!L16*Parameters!$E$49))</f>
        <v>225.21599999999998</v>
      </c>
      <c r="D24" s="499">
        <f>MCF!X23</f>
        <v>0.70499999999999996</v>
      </c>
      <c r="E24" s="167">
        <f t="shared" si="1"/>
        <v>31.755455999999999</v>
      </c>
      <c r="F24" s="100">
        <f t="shared" si="0"/>
        <v>31.755455999999999</v>
      </c>
      <c r="G24" s="100">
        <f t="shared" si="2"/>
        <v>0</v>
      </c>
      <c r="H24" s="100">
        <f t="shared" si="3"/>
        <v>153.94681051918269</v>
      </c>
      <c r="I24" s="100">
        <f t="shared" si="4"/>
        <v>11.507283286813447</v>
      </c>
      <c r="J24" s="135">
        <f t="shared" si="5"/>
        <v>7.6715221912089646</v>
      </c>
    </row>
    <row r="25" spans="2:10">
      <c r="B25" s="424">
        <f>Amnt_Deposited!B17</f>
        <v>1956</v>
      </c>
      <c r="C25" s="422">
        <f>IF(Select2=1,Amnt_Deposited!E17,(Amnt_Deposited!E17+Amnt_Deposited!L17*Parameters!$E$49))</f>
        <v>225.21599999999998</v>
      </c>
      <c r="D25" s="499">
        <f>MCF!X24</f>
        <v>0.70499999999999996</v>
      </c>
      <c r="E25" s="167">
        <f t="shared" si="1"/>
        <v>31.755455999999999</v>
      </c>
      <c r="F25" s="100">
        <f t="shared" si="0"/>
        <v>31.755455999999999</v>
      </c>
      <c r="G25" s="100">
        <f t="shared" si="2"/>
        <v>0</v>
      </c>
      <c r="H25" s="100">
        <f t="shared" si="3"/>
        <v>172.45224700652182</v>
      </c>
      <c r="I25" s="100">
        <f t="shared" si="4"/>
        <v>13.250019512660876</v>
      </c>
      <c r="J25" s="135">
        <f t="shared" si="5"/>
        <v>8.8333463417739164</v>
      </c>
    </row>
    <row r="26" spans="2:10">
      <c r="B26" s="424">
        <f>Amnt_Deposited!B18</f>
        <v>1957</v>
      </c>
      <c r="C26" s="422">
        <f>IF(Select2=1,Amnt_Deposited!E18,(Amnt_Deposited!E18+Amnt_Deposited!L18*Parameters!$E$49))</f>
        <v>225.21599999999998</v>
      </c>
      <c r="D26" s="499">
        <f>MCF!X25</f>
        <v>0.70499999999999996</v>
      </c>
      <c r="E26" s="167">
        <f t="shared" si="1"/>
        <v>31.755455999999999</v>
      </c>
      <c r="F26" s="100">
        <f t="shared" si="0"/>
        <v>31.755455999999999</v>
      </c>
      <c r="G26" s="100">
        <f t="shared" si="2"/>
        <v>0</v>
      </c>
      <c r="H26" s="100">
        <f t="shared" si="3"/>
        <v>189.36494250935709</v>
      </c>
      <c r="I26" s="100">
        <f t="shared" si="4"/>
        <v>14.84276049716472</v>
      </c>
      <c r="J26" s="135">
        <f t="shared" si="5"/>
        <v>9.895173664776479</v>
      </c>
    </row>
    <row r="27" spans="2:10">
      <c r="B27" s="424">
        <f>Amnt_Deposited!B19</f>
        <v>1958</v>
      </c>
      <c r="C27" s="422">
        <f>IF(Select2=1,Amnt_Deposited!E19,(Amnt_Deposited!E19+Amnt_Deposited!L19*Parameters!$E$49))</f>
        <v>225.21599999999998</v>
      </c>
      <c r="D27" s="499">
        <f>MCF!X26</f>
        <v>0.70499999999999996</v>
      </c>
      <c r="E27" s="167">
        <f t="shared" si="1"/>
        <v>31.755455999999999</v>
      </c>
      <c r="F27" s="100">
        <f t="shared" si="0"/>
        <v>31.755455999999999</v>
      </c>
      <c r="G27" s="100">
        <f t="shared" si="2"/>
        <v>0</v>
      </c>
      <c r="H27" s="100">
        <f t="shared" si="3"/>
        <v>204.82198235639473</v>
      </c>
      <c r="I27" s="100">
        <f t="shared" si="4"/>
        <v>16.298416152962382</v>
      </c>
      <c r="J27" s="135">
        <f t="shared" si="5"/>
        <v>10.865610768641588</v>
      </c>
    </row>
    <row r="28" spans="2:10">
      <c r="B28" s="424">
        <f>Amnt_Deposited!B20</f>
        <v>1959</v>
      </c>
      <c r="C28" s="422">
        <f>IF(Select2=1,Amnt_Deposited!E20,(Amnt_Deposited!E20+Amnt_Deposited!L20*Parameters!$E$49))</f>
        <v>225.21599999999998</v>
      </c>
      <c r="D28" s="499">
        <f>MCF!X27</f>
        <v>0.70499999999999996</v>
      </c>
      <c r="E28" s="167">
        <f t="shared" si="1"/>
        <v>31.755455999999999</v>
      </c>
      <c r="F28" s="100">
        <f t="shared" si="0"/>
        <v>31.755455999999999</v>
      </c>
      <c r="G28" s="100">
        <f t="shared" si="2"/>
        <v>0</v>
      </c>
      <c r="H28" s="100">
        <f t="shared" si="3"/>
        <v>218.94865310458243</v>
      </c>
      <c r="I28" s="100">
        <f t="shared" si="4"/>
        <v>17.628785251812307</v>
      </c>
      <c r="J28" s="135">
        <f t="shared" si="5"/>
        <v>11.752523501208204</v>
      </c>
    </row>
    <row r="29" spans="2:10">
      <c r="B29" s="424">
        <f>Amnt_Deposited!B21</f>
        <v>1960</v>
      </c>
      <c r="C29" s="422">
        <f>IF(Select2=1,Amnt_Deposited!E21,(Amnt_Deposited!E21+Amnt_Deposited!L21*Parameters!$E$49))</f>
        <v>225.21599999999998</v>
      </c>
      <c r="D29" s="499">
        <f>MCF!X28</f>
        <v>0.70499999999999996</v>
      </c>
      <c r="E29" s="167">
        <f t="shared" si="1"/>
        <v>31.755455999999999</v>
      </c>
      <c r="F29" s="100">
        <f t="shared" si="0"/>
        <v>31.755455999999999</v>
      </c>
      <c r="G29" s="100">
        <f t="shared" si="2"/>
        <v>0</v>
      </c>
      <c r="H29" s="100">
        <f t="shared" si="3"/>
        <v>231.85945804541001</v>
      </c>
      <c r="I29" s="100">
        <f t="shared" si="4"/>
        <v>18.844651059172435</v>
      </c>
      <c r="J29" s="135">
        <f t="shared" si="5"/>
        <v>12.563100706114955</v>
      </c>
    </row>
    <row r="30" spans="2:10">
      <c r="B30" s="424">
        <f>Amnt_Deposited!B22</f>
        <v>1961</v>
      </c>
      <c r="C30" s="422">
        <f>IF(Select2=1,Amnt_Deposited!E22,(Amnt_Deposited!E22+Amnt_Deposited!L22*Parameters!$E$49))</f>
        <v>225.21599999999998</v>
      </c>
      <c r="D30" s="499">
        <f>MCF!X29</f>
        <v>0.70499999999999996</v>
      </c>
      <c r="E30" s="167">
        <f t="shared" si="1"/>
        <v>31.755455999999999</v>
      </c>
      <c r="F30" s="100">
        <f t="shared" si="0"/>
        <v>31.755455999999999</v>
      </c>
      <c r="G30" s="100">
        <f t="shared" si="2"/>
        <v>0</v>
      </c>
      <c r="H30" s="100">
        <f t="shared" si="3"/>
        <v>243.65904530778619</v>
      </c>
      <c r="I30" s="100">
        <f t="shared" si="4"/>
        <v>19.955868737623835</v>
      </c>
      <c r="J30" s="135">
        <f t="shared" si="5"/>
        <v>13.303912491749223</v>
      </c>
    </row>
    <row r="31" spans="2:10">
      <c r="B31" s="424">
        <f>Amnt_Deposited!B23</f>
        <v>1962</v>
      </c>
      <c r="C31" s="422">
        <f>IF(Select2=1,Amnt_Deposited!E23,(Amnt_Deposited!E23+Amnt_Deposited!L23*Parameters!$E$49))</f>
        <v>225.21599999999998</v>
      </c>
      <c r="D31" s="499">
        <f>MCF!X30</f>
        <v>0.70499999999999996</v>
      </c>
      <c r="E31" s="167">
        <f t="shared" si="1"/>
        <v>31.755455999999999</v>
      </c>
      <c r="F31" s="100">
        <f t="shared" si="0"/>
        <v>31.755455999999999</v>
      </c>
      <c r="G31" s="100">
        <f t="shared" si="2"/>
        <v>0</v>
      </c>
      <c r="H31" s="100">
        <f t="shared" si="3"/>
        <v>254.44305608020093</v>
      </c>
      <c r="I31" s="100">
        <f t="shared" si="4"/>
        <v>20.971445227585267</v>
      </c>
      <c r="J31" s="135">
        <f t="shared" si="5"/>
        <v>13.980963485056844</v>
      </c>
    </row>
    <row r="32" spans="2:10">
      <c r="B32" s="424">
        <f>Amnt_Deposited!B24</f>
        <v>1963</v>
      </c>
      <c r="C32" s="422">
        <f>IF(Select2=1,Amnt_Deposited!E24,(Amnt_Deposited!E24+Amnt_Deposited!L24*Parameters!$E$49))</f>
        <v>225.21599999999998</v>
      </c>
      <c r="D32" s="499">
        <f>MCF!X31</f>
        <v>0.70499999999999996</v>
      </c>
      <c r="E32" s="167">
        <f t="shared" si="1"/>
        <v>31.755455999999999</v>
      </c>
      <c r="F32" s="100">
        <f t="shared" si="0"/>
        <v>31.755455999999999</v>
      </c>
      <c r="G32" s="100">
        <f t="shared" si="2"/>
        <v>0</v>
      </c>
      <c r="H32" s="100">
        <f t="shared" si="3"/>
        <v>264.29889982741162</v>
      </c>
      <c r="I32" s="100">
        <f t="shared" si="4"/>
        <v>21.899612252789311</v>
      </c>
      <c r="J32" s="135">
        <f t="shared" si="5"/>
        <v>14.59974150185954</v>
      </c>
    </row>
    <row r="33" spans="2:10">
      <c r="B33" s="424">
        <f>Amnt_Deposited!B25</f>
        <v>1964</v>
      </c>
      <c r="C33" s="422">
        <f>IF(Select2=1,Amnt_Deposited!E25,(Amnt_Deposited!E25+Amnt_Deposited!L25*Parameters!$E$49))</f>
        <v>225.21599999999998</v>
      </c>
      <c r="D33" s="499">
        <f>MCF!X32</f>
        <v>0.70499999999999996</v>
      </c>
      <c r="E33" s="167">
        <f t="shared" si="1"/>
        <v>31.755455999999999</v>
      </c>
      <c r="F33" s="100">
        <f t="shared" si="0"/>
        <v>31.755455999999999</v>
      </c>
      <c r="G33" s="100">
        <f t="shared" si="2"/>
        <v>0</v>
      </c>
      <c r="H33" s="100">
        <f t="shared" si="3"/>
        <v>273.30646278514791</v>
      </c>
      <c r="I33" s="100">
        <f t="shared" si="4"/>
        <v>22.747893042263712</v>
      </c>
      <c r="J33" s="135">
        <f t="shared" si="5"/>
        <v>15.165262028175807</v>
      </c>
    </row>
    <row r="34" spans="2:10">
      <c r="B34" s="424">
        <f>Amnt_Deposited!B26</f>
        <v>1965</v>
      </c>
      <c r="C34" s="422">
        <f>IF(Select2=1,Amnt_Deposited!E26,(Amnt_Deposited!E26+Amnt_Deposited!L26*Parameters!$E$49))</f>
        <v>225.21599999999998</v>
      </c>
      <c r="D34" s="499">
        <f>MCF!X33</f>
        <v>0.70499999999999996</v>
      </c>
      <c r="E34" s="167">
        <f t="shared" si="1"/>
        <v>31.755455999999999</v>
      </c>
      <c r="F34" s="100">
        <f t="shared" si="0"/>
        <v>31.755455999999999</v>
      </c>
      <c r="G34" s="100">
        <f t="shared" si="2"/>
        <v>0</v>
      </c>
      <c r="H34" s="100">
        <f t="shared" si="3"/>
        <v>281.53875547551706</v>
      </c>
      <c r="I34" s="100">
        <f t="shared" si="4"/>
        <v>23.523163309630863</v>
      </c>
      <c r="J34" s="135">
        <f t="shared" si="5"/>
        <v>15.682108873087241</v>
      </c>
    </row>
    <row r="35" spans="2:10">
      <c r="B35" s="424">
        <f>Amnt_Deposited!B27</f>
        <v>1966</v>
      </c>
      <c r="C35" s="422">
        <f>IF(Select2=1,Amnt_Deposited!E27,(Amnt_Deposited!E27+Amnt_Deposited!L27*Parameters!$E$49))</f>
        <v>225.21599999999998</v>
      </c>
      <c r="D35" s="499">
        <f>MCF!X34</f>
        <v>0.70499999999999996</v>
      </c>
      <c r="E35" s="167">
        <f t="shared" si="1"/>
        <v>31.755455999999999</v>
      </c>
      <c r="F35" s="100">
        <f t="shared" si="0"/>
        <v>31.755455999999999</v>
      </c>
      <c r="G35" s="100">
        <f t="shared" si="2"/>
        <v>0</v>
      </c>
      <c r="H35" s="100">
        <f t="shared" si="3"/>
        <v>289.06250449152577</v>
      </c>
      <c r="I35" s="100">
        <f t="shared" si="4"/>
        <v>24.23170698399127</v>
      </c>
      <c r="J35" s="135">
        <f t="shared" si="5"/>
        <v>16.154471322660847</v>
      </c>
    </row>
    <row r="36" spans="2:10">
      <c r="B36" s="424">
        <f>Amnt_Deposited!B28</f>
        <v>1967</v>
      </c>
      <c r="C36" s="422">
        <f>IF(Select2=1,Amnt_Deposited!E28,(Amnt_Deposited!E28+Amnt_Deposited!L28*Parameters!$E$49))</f>
        <v>225.21599999999998</v>
      </c>
      <c r="D36" s="499">
        <f>MCF!X35</f>
        <v>0.70499999999999996</v>
      </c>
      <c r="E36" s="167">
        <f t="shared" si="1"/>
        <v>31.755455999999999</v>
      </c>
      <c r="F36" s="100">
        <f t="shared" si="0"/>
        <v>31.755455999999999</v>
      </c>
      <c r="G36" s="100">
        <f t="shared" si="2"/>
        <v>0</v>
      </c>
      <c r="H36" s="100">
        <f t="shared" si="3"/>
        <v>295.93869334740987</v>
      </c>
      <c r="I36" s="100">
        <f t="shared" si="4"/>
        <v>24.879267144115904</v>
      </c>
      <c r="J36" s="135">
        <f t="shared" si="5"/>
        <v>16.586178096077269</v>
      </c>
    </row>
    <row r="37" spans="2:10">
      <c r="B37" s="424">
        <f>Amnt_Deposited!B29</f>
        <v>1968</v>
      </c>
      <c r="C37" s="422">
        <f>IF(Select2=1,Amnt_Deposited!E29,(Amnt_Deposited!E29+Amnt_Deposited!L29*Parameters!$E$49))</f>
        <v>225.21599999999998</v>
      </c>
      <c r="D37" s="499">
        <f>MCF!X36</f>
        <v>0.70499999999999996</v>
      </c>
      <c r="E37" s="167">
        <f t="shared" si="1"/>
        <v>31.755455999999999</v>
      </c>
      <c r="F37" s="100">
        <f t="shared" si="0"/>
        <v>31.755455999999999</v>
      </c>
      <c r="G37" s="100">
        <f t="shared" si="2"/>
        <v>0</v>
      </c>
      <c r="H37" s="100">
        <f t="shared" si="3"/>
        <v>302.22305677861681</v>
      </c>
      <c r="I37" s="100">
        <f t="shared" si="4"/>
        <v>25.471092568793036</v>
      </c>
      <c r="J37" s="135">
        <f t="shared" si="5"/>
        <v>16.980728379195355</v>
      </c>
    </row>
    <row r="38" spans="2:10">
      <c r="B38" s="424">
        <f>Amnt_Deposited!B30</f>
        <v>1969</v>
      </c>
      <c r="C38" s="422">
        <f>IF(Select2=1,Amnt_Deposited!E30,(Amnt_Deposited!E30+Amnt_Deposited!L30*Parameters!$E$49))</f>
        <v>225.21599999999998</v>
      </c>
      <c r="D38" s="499">
        <f>MCF!X37</f>
        <v>0.70499999999999996</v>
      </c>
      <c r="E38" s="167">
        <f t="shared" si="1"/>
        <v>31.755455999999999</v>
      </c>
      <c r="F38" s="100">
        <f t="shared" si="0"/>
        <v>31.755455999999999</v>
      </c>
      <c r="G38" s="100">
        <f t="shared" si="2"/>
        <v>0</v>
      </c>
      <c r="H38" s="100">
        <f t="shared" si="3"/>
        <v>307.96653249797492</v>
      </c>
      <c r="I38" s="100">
        <f t="shared" si="4"/>
        <v>26.011980280641854</v>
      </c>
      <c r="J38" s="135">
        <f t="shared" si="5"/>
        <v>17.341320187094567</v>
      </c>
    </row>
    <row r="39" spans="2:10">
      <c r="B39" s="424">
        <f>Amnt_Deposited!B31</f>
        <v>1970</v>
      </c>
      <c r="C39" s="422">
        <f>IF(Select2=1,Amnt_Deposited!E31,(Amnt_Deposited!E31+Amnt_Deposited!L31*Parameters!$E$49))</f>
        <v>225.21599999999998</v>
      </c>
      <c r="D39" s="499">
        <f>MCF!X38</f>
        <v>0.70499999999999996</v>
      </c>
      <c r="E39" s="167">
        <f t="shared" si="1"/>
        <v>31.755455999999999</v>
      </c>
      <c r="F39" s="100">
        <f t="shared" si="0"/>
        <v>31.755455999999999</v>
      </c>
      <c r="G39" s="100">
        <f t="shared" si="2"/>
        <v>0</v>
      </c>
      <c r="H39" s="100">
        <f t="shared" si="3"/>
        <v>313.21567406974441</v>
      </c>
      <c r="I39" s="100">
        <f t="shared" si="4"/>
        <v>26.506314428230489</v>
      </c>
      <c r="J39" s="135">
        <f t="shared" si="5"/>
        <v>17.67087628548699</v>
      </c>
    </row>
    <row r="40" spans="2:10">
      <c r="B40" s="424">
        <f>Amnt_Deposited!B32</f>
        <v>1971</v>
      </c>
      <c r="C40" s="422">
        <f>IF(Select2=1,Amnt_Deposited!E32,(Amnt_Deposited!E32+Amnt_Deposited!L32*Parameters!$E$49))</f>
        <v>225.21599999999998</v>
      </c>
      <c r="D40" s="499">
        <f>MCF!X39</f>
        <v>0.70499999999999996</v>
      </c>
      <c r="E40" s="167">
        <f t="shared" si="1"/>
        <v>31.755455999999999</v>
      </c>
      <c r="F40" s="100">
        <f t="shared" si="0"/>
        <v>31.755455999999999</v>
      </c>
      <c r="G40" s="100">
        <f t="shared" si="2"/>
        <v>0</v>
      </c>
      <c r="H40" s="100">
        <f t="shared" si="3"/>
        <v>318.01302824808818</v>
      </c>
      <c r="I40" s="100">
        <f t="shared" si="4"/>
        <v>26.958101821656211</v>
      </c>
      <c r="J40" s="135">
        <f t="shared" si="5"/>
        <v>17.972067881104138</v>
      </c>
    </row>
    <row r="41" spans="2:10">
      <c r="B41" s="424">
        <f>Amnt_Deposited!B33</f>
        <v>1972</v>
      </c>
      <c r="C41" s="422">
        <f>IF(Select2=1,Amnt_Deposited!E33,(Amnt_Deposited!E33+Amnt_Deposited!L33*Parameters!$E$49))</f>
        <v>225.21599999999998</v>
      </c>
      <c r="D41" s="499">
        <f>MCF!X40</f>
        <v>0.70499999999999996</v>
      </c>
      <c r="E41" s="167">
        <f t="shared" si="1"/>
        <v>31.755455999999999</v>
      </c>
      <c r="F41" s="100">
        <f t="shared" si="0"/>
        <v>31.755455999999999</v>
      </c>
      <c r="G41" s="100">
        <f t="shared" si="2"/>
        <v>0</v>
      </c>
      <c r="H41" s="100">
        <f t="shared" si="3"/>
        <v>322.3974798384678</v>
      </c>
      <c r="I41" s="100">
        <f t="shared" si="4"/>
        <v>27.37100440962038</v>
      </c>
      <c r="J41" s="135">
        <f t="shared" si="5"/>
        <v>18.247336273080251</v>
      </c>
    </row>
    <row r="42" spans="2:10">
      <c r="B42" s="424">
        <f>Amnt_Deposited!B34</f>
        <v>1973</v>
      </c>
      <c r="C42" s="422">
        <f>IF(Select2=1,Amnt_Deposited!E34,(Amnt_Deposited!E34+Amnt_Deposited!L34*Parameters!$E$49))</f>
        <v>225.21599999999998</v>
      </c>
      <c r="D42" s="499">
        <f>MCF!X41</f>
        <v>0.70499999999999996</v>
      </c>
      <c r="E42" s="167">
        <f t="shared" si="1"/>
        <v>31.755455999999999</v>
      </c>
      <c r="F42" s="100">
        <f t="shared" si="0"/>
        <v>31.755455999999999</v>
      </c>
      <c r="G42" s="100">
        <f t="shared" si="2"/>
        <v>0</v>
      </c>
      <c r="H42" s="100">
        <f t="shared" si="3"/>
        <v>326.40456687722775</v>
      </c>
      <c r="I42" s="100">
        <f t="shared" si="4"/>
        <v>27.748368961240033</v>
      </c>
      <c r="J42" s="135">
        <f t="shared" si="5"/>
        <v>18.498912640826688</v>
      </c>
    </row>
    <row r="43" spans="2:10">
      <c r="B43" s="424">
        <f>Amnt_Deposited!B35</f>
        <v>1974</v>
      </c>
      <c r="C43" s="422">
        <f>IF(Select2=1,Amnt_Deposited!E35,(Amnt_Deposited!E35+Amnt_Deposited!L35*Parameters!$E$49))</f>
        <v>225.21599999999998</v>
      </c>
      <c r="D43" s="499">
        <f>MCF!X42</f>
        <v>0.70499999999999996</v>
      </c>
      <c r="E43" s="167">
        <f t="shared" si="1"/>
        <v>31.755455999999999</v>
      </c>
      <c r="F43" s="100">
        <f t="shared" si="0"/>
        <v>31.755455999999999</v>
      </c>
      <c r="G43" s="100">
        <f t="shared" si="2"/>
        <v>0</v>
      </c>
      <c r="H43" s="100">
        <f t="shared" si="3"/>
        <v>330.06676868404662</v>
      </c>
      <c r="I43" s="100">
        <f t="shared" si="4"/>
        <v>28.093254193181124</v>
      </c>
      <c r="J43" s="135">
        <f t="shared" si="5"/>
        <v>18.728836128787414</v>
      </c>
    </row>
    <row r="44" spans="2:10">
      <c r="B44" s="424">
        <f>Amnt_Deposited!B36</f>
        <v>1975</v>
      </c>
      <c r="C44" s="422">
        <f>IF(Select2=1,Amnt_Deposited!E36,(Amnt_Deposited!E36+Amnt_Deposited!L36*Parameters!$E$49))</f>
        <v>225.21599999999998</v>
      </c>
      <c r="D44" s="499">
        <f>MCF!X43</f>
        <v>0.70499999999999996</v>
      </c>
      <c r="E44" s="167">
        <f t="shared" si="1"/>
        <v>31.755455999999999</v>
      </c>
      <c r="F44" s="100">
        <f t="shared" si="0"/>
        <v>31.755455999999999</v>
      </c>
      <c r="G44" s="100">
        <f t="shared" si="2"/>
        <v>0</v>
      </c>
      <c r="H44" s="100">
        <f t="shared" si="3"/>
        <v>333.41376912205499</v>
      </c>
      <c r="I44" s="100">
        <f t="shared" si="4"/>
        <v>28.408455561991591</v>
      </c>
      <c r="J44" s="135">
        <f t="shared" si="5"/>
        <v>18.938970374661061</v>
      </c>
    </row>
    <row r="45" spans="2:10">
      <c r="B45" s="424">
        <f>Amnt_Deposited!B37</f>
        <v>1976</v>
      </c>
      <c r="C45" s="422">
        <f>IF(Select2=1,Amnt_Deposited!E37,(Amnt_Deposited!E37+Amnt_Deposited!L37*Parameters!$E$49))</f>
        <v>225.21599999999998</v>
      </c>
      <c r="D45" s="499">
        <f>MCF!X44</f>
        <v>0.70499999999999996</v>
      </c>
      <c r="E45" s="167">
        <f t="shared" si="1"/>
        <v>31.755455999999999</v>
      </c>
      <c r="F45" s="100">
        <f t="shared" si="0"/>
        <v>31.755455999999999</v>
      </c>
      <c r="G45" s="100">
        <f t="shared" si="2"/>
        <v>0</v>
      </c>
      <c r="H45" s="100">
        <f t="shared" si="3"/>
        <v>336.47269719946729</v>
      </c>
      <c r="I45" s="100">
        <f t="shared" si="4"/>
        <v>28.696527922587652</v>
      </c>
      <c r="J45" s="135">
        <f t="shared" si="5"/>
        <v>19.131018615058434</v>
      </c>
    </row>
    <row r="46" spans="2:10">
      <c r="B46" s="424">
        <f>Amnt_Deposited!B38</f>
        <v>1977</v>
      </c>
      <c r="C46" s="422">
        <f>IF(Select2=1,Amnt_Deposited!E38,(Amnt_Deposited!E38+Amnt_Deposited!L38*Parameters!$E$49))</f>
        <v>225.21599999999998</v>
      </c>
      <c r="D46" s="499">
        <f>MCF!X45</f>
        <v>0.70499999999999996</v>
      </c>
      <c r="E46" s="167">
        <f t="shared" si="1"/>
        <v>31.755455999999999</v>
      </c>
      <c r="F46" s="100">
        <f t="shared" si="0"/>
        <v>31.755455999999999</v>
      </c>
      <c r="G46" s="100">
        <f t="shared" si="2"/>
        <v>0</v>
      </c>
      <c r="H46" s="100">
        <f t="shared" si="3"/>
        <v>339.26834696291616</v>
      </c>
      <c r="I46" s="100">
        <f t="shared" si="4"/>
        <v>28.959806236551088</v>
      </c>
      <c r="J46" s="135">
        <f t="shared" si="5"/>
        <v>19.306537491034057</v>
      </c>
    </row>
    <row r="47" spans="2:10">
      <c r="B47" s="424">
        <f>Amnt_Deposited!B39</f>
        <v>1978</v>
      </c>
      <c r="C47" s="422">
        <f>IF(Select2=1,Amnt_Deposited!E39,(Amnt_Deposited!E39+Amnt_Deposited!L39*Parameters!$E$49))</f>
        <v>225.21599999999998</v>
      </c>
      <c r="D47" s="499">
        <f>MCF!X46</f>
        <v>0.70499999999999996</v>
      </c>
      <c r="E47" s="167">
        <f t="shared" si="1"/>
        <v>31.755455999999999</v>
      </c>
      <c r="F47" s="100">
        <f t="shared" si="0"/>
        <v>31.755455999999999</v>
      </c>
      <c r="G47" s="100">
        <f t="shared" si="2"/>
        <v>0</v>
      </c>
      <c r="H47" s="100">
        <f t="shared" si="3"/>
        <v>341.82337846482824</v>
      </c>
      <c r="I47" s="100">
        <f t="shared" si="4"/>
        <v>29.200424498087905</v>
      </c>
      <c r="J47" s="135">
        <f t="shared" si="5"/>
        <v>19.466949665391937</v>
      </c>
    </row>
    <row r="48" spans="2:10">
      <c r="B48" s="424">
        <f>Amnt_Deposited!B40</f>
        <v>1979</v>
      </c>
      <c r="C48" s="422">
        <f>IF(Select2=1,Amnt_Deposited!E40,(Amnt_Deposited!E40+Amnt_Deposited!L40*Parameters!$E$49))</f>
        <v>225.21599999999998</v>
      </c>
      <c r="D48" s="499">
        <f>MCF!X47</f>
        <v>0.70499999999999996</v>
      </c>
      <c r="E48" s="167">
        <f t="shared" si="1"/>
        <v>31.755455999999999</v>
      </c>
      <c r="F48" s="100">
        <f t="shared" si="0"/>
        <v>31.755455999999999</v>
      </c>
      <c r="G48" s="100">
        <f t="shared" si="2"/>
        <v>0</v>
      </c>
      <c r="H48" s="100">
        <f t="shared" si="3"/>
        <v>344.15850143377605</v>
      </c>
      <c r="I48" s="100">
        <f t="shared" si="4"/>
        <v>29.420333031052152</v>
      </c>
      <c r="J48" s="135">
        <f t="shared" si="5"/>
        <v>19.613555354034766</v>
      </c>
    </row>
    <row r="49" spans="2:10">
      <c r="B49" s="424">
        <f>Amnt_Deposited!B41</f>
        <v>1980</v>
      </c>
      <c r="C49" s="422">
        <f>IF(Select2=1,Amnt_Deposited!E41,(Amnt_Deposited!E41+Amnt_Deposited!L41*Parameters!$E$49))</f>
        <v>225.21599999999998</v>
      </c>
      <c r="D49" s="499">
        <f>MCF!X48</f>
        <v>0.70499999999999996</v>
      </c>
      <c r="E49" s="167">
        <f t="shared" si="1"/>
        <v>31.755455999999999</v>
      </c>
      <c r="F49" s="100">
        <f t="shared" si="0"/>
        <v>31.755455999999999</v>
      </c>
      <c r="G49" s="100">
        <f t="shared" si="2"/>
        <v>0</v>
      </c>
      <c r="H49" s="100">
        <f t="shared" si="3"/>
        <v>346.29264313654062</v>
      </c>
      <c r="I49" s="100">
        <f t="shared" si="4"/>
        <v>29.621314297235418</v>
      </c>
      <c r="J49" s="135">
        <f t="shared" si="5"/>
        <v>19.747542864823611</v>
      </c>
    </row>
    <row r="50" spans="2:10">
      <c r="B50" s="424">
        <f>Amnt_Deposited!B42</f>
        <v>1981</v>
      </c>
      <c r="C50" s="422">
        <f>IF(Select2=1,Amnt_Deposited!E42,(Amnt_Deposited!E42+Amnt_Deposited!L42*Parameters!$E$49))</f>
        <v>225.21599999999998</v>
      </c>
      <c r="D50" s="499">
        <f>MCF!X49</f>
        <v>0.70499999999999996</v>
      </c>
      <c r="E50" s="167">
        <f t="shared" si="1"/>
        <v>31.755455999999999</v>
      </c>
      <c r="F50" s="100">
        <f t="shared" si="0"/>
        <v>31.755455999999999</v>
      </c>
      <c r="G50" s="100">
        <f t="shared" si="2"/>
        <v>0</v>
      </c>
      <c r="H50" s="100">
        <f t="shared" si="3"/>
        <v>348.24310179248499</v>
      </c>
      <c r="I50" s="100">
        <f t="shared" si="4"/>
        <v>29.804997344055607</v>
      </c>
      <c r="J50" s="135">
        <f t="shared" si="5"/>
        <v>19.869998229370402</v>
      </c>
    </row>
    <row r="51" spans="2:10">
      <c r="B51" s="424">
        <f>Amnt_Deposited!B43</f>
        <v>1982</v>
      </c>
      <c r="C51" s="422">
        <f>IF(Select2=1,Amnt_Deposited!E43,(Amnt_Deposited!E43+Amnt_Deposited!L43*Parameters!$E$49))</f>
        <v>225.21599999999998</v>
      </c>
      <c r="D51" s="499">
        <f>MCF!X50</f>
        <v>0.70499999999999996</v>
      </c>
      <c r="E51" s="167">
        <f t="shared" si="1"/>
        <v>31.755455999999999</v>
      </c>
      <c r="F51" s="100">
        <f t="shared" si="0"/>
        <v>31.755455999999999</v>
      </c>
      <c r="G51" s="100">
        <f t="shared" si="2"/>
        <v>0</v>
      </c>
      <c r="H51" s="100">
        <f t="shared" si="3"/>
        <v>350.02568678373478</v>
      </c>
      <c r="I51" s="100">
        <f t="shared" si="4"/>
        <v>29.972871008750214</v>
      </c>
      <c r="J51" s="135">
        <f t="shared" si="5"/>
        <v>19.981914005833474</v>
      </c>
    </row>
    <row r="52" spans="2:10">
      <c r="B52" s="424">
        <f>Amnt_Deposited!B44</f>
        <v>1983</v>
      </c>
      <c r="C52" s="422">
        <f>IF(Select2=1,Amnt_Deposited!E44,(Amnt_Deposited!E44+Amnt_Deposited!L44*Parameters!$E$49))</f>
        <v>225.21599999999998</v>
      </c>
      <c r="D52" s="499">
        <f>MCF!X51</f>
        <v>0.70499999999999996</v>
      </c>
      <c r="E52" s="167">
        <f t="shared" si="1"/>
        <v>31.755455999999999</v>
      </c>
      <c r="F52" s="100">
        <f t="shared" si="0"/>
        <v>31.755455999999999</v>
      </c>
      <c r="G52" s="100">
        <f t="shared" si="2"/>
        <v>0</v>
      </c>
      <c r="H52" s="100">
        <f t="shared" si="3"/>
        <v>351.65484679763438</v>
      </c>
      <c r="I52" s="100">
        <f t="shared" si="4"/>
        <v>30.126295986100381</v>
      </c>
      <c r="J52" s="135">
        <f t="shared" si="5"/>
        <v>20.08419732406692</v>
      </c>
    </row>
    <row r="53" spans="2:10">
      <c r="B53" s="424">
        <f>Amnt_Deposited!B45</f>
        <v>1984</v>
      </c>
      <c r="C53" s="422">
        <f>IF(Select2=1,Amnt_Deposited!E45,(Amnt_Deposited!E45+Amnt_Deposited!L45*Parameters!$E$49))</f>
        <v>225.21599999999998</v>
      </c>
      <c r="D53" s="499">
        <f>MCF!X52</f>
        <v>0.70499999999999996</v>
      </c>
      <c r="E53" s="167">
        <f t="shared" si="1"/>
        <v>31.755455999999999</v>
      </c>
      <c r="F53" s="100">
        <f t="shared" si="0"/>
        <v>31.755455999999999</v>
      </c>
      <c r="G53" s="100">
        <f t="shared" si="2"/>
        <v>0</v>
      </c>
      <c r="H53" s="100">
        <f t="shared" si="3"/>
        <v>353.14378694013413</v>
      </c>
      <c r="I53" s="100">
        <f t="shared" si="4"/>
        <v>30.266515857500231</v>
      </c>
      <c r="J53" s="135">
        <f t="shared" si="5"/>
        <v>20.177677238333487</v>
      </c>
    </row>
    <row r="54" spans="2:10">
      <c r="B54" s="424">
        <f>Amnt_Deposited!B46</f>
        <v>1985</v>
      </c>
      <c r="C54" s="422">
        <f>IF(Select2=1,Amnt_Deposited!E46,(Amnt_Deposited!E46+Amnt_Deposited!L46*Parameters!$E$49))</f>
        <v>225.21599999999998</v>
      </c>
      <c r="D54" s="499">
        <f>MCF!X53</f>
        <v>0.70499999999999996</v>
      </c>
      <c r="E54" s="167">
        <f t="shared" si="1"/>
        <v>31.755455999999999</v>
      </c>
      <c r="F54" s="100">
        <f t="shared" si="0"/>
        <v>31.755455999999999</v>
      </c>
      <c r="G54" s="100">
        <f t="shared" si="2"/>
        <v>0</v>
      </c>
      <c r="H54" s="100">
        <f t="shared" si="3"/>
        <v>354.50457576936685</v>
      </c>
      <c r="I54" s="100">
        <f t="shared" si="4"/>
        <v>30.394667170767271</v>
      </c>
      <c r="J54" s="135">
        <f t="shared" si="5"/>
        <v>20.263111447178179</v>
      </c>
    </row>
    <row r="55" spans="2:10">
      <c r="B55" s="424">
        <f>Amnt_Deposited!B47</f>
        <v>1986</v>
      </c>
      <c r="C55" s="422">
        <f>IF(Select2=1,Amnt_Deposited!E47,(Amnt_Deposited!E47+Amnt_Deposited!L47*Parameters!$E$49))</f>
        <v>225.21599999999998</v>
      </c>
      <c r="D55" s="499">
        <f>MCF!X54</f>
        <v>0.70499999999999996</v>
      </c>
      <c r="E55" s="167">
        <f t="shared" si="1"/>
        <v>31.755455999999999</v>
      </c>
      <c r="F55" s="100">
        <f t="shared" si="0"/>
        <v>31.755455999999999</v>
      </c>
      <c r="G55" s="100">
        <f t="shared" si="2"/>
        <v>0</v>
      </c>
      <c r="H55" s="100">
        <f t="shared" si="3"/>
        <v>355.74824311697137</v>
      </c>
      <c r="I55" s="100">
        <f t="shared" si="4"/>
        <v>30.511788652395484</v>
      </c>
      <c r="J55" s="135">
        <f t="shared" si="5"/>
        <v>20.341192434930321</v>
      </c>
    </row>
    <row r="56" spans="2:10">
      <c r="B56" s="424">
        <f>Amnt_Deposited!B48</f>
        <v>1987</v>
      </c>
      <c r="C56" s="422">
        <f>IF(Select2=1,Amnt_Deposited!E48,(Amnt_Deposited!E48+Amnt_Deposited!L48*Parameters!$E$49))</f>
        <v>225.21599999999998</v>
      </c>
      <c r="D56" s="499">
        <f>MCF!X55</f>
        <v>0.70499999999999996</v>
      </c>
      <c r="E56" s="167">
        <f t="shared" si="1"/>
        <v>31.755455999999999</v>
      </c>
      <c r="F56" s="100">
        <f t="shared" si="0"/>
        <v>31.755455999999999</v>
      </c>
      <c r="G56" s="100">
        <f t="shared" si="2"/>
        <v>0</v>
      </c>
      <c r="H56" s="100">
        <f t="shared" si="3"/>
        <v>356.88486949005068</v>
      </c>
      <c r="I56" s="100">
        <f t="shared" si="4"/>
        <v>30.618829626920682</v>
      </c>
      <c r="J56" s="135">
        <f t="shared" si="5"/>
        <v>20.412553084613787</v>
      </c>
    </row>
    <row r="57" spans="2:10">
      <c r="B57" s="424">
        <f>Amnt_Deposited!B49</f>
        <v>1988</v>
      </c>
      <c r="C57" s="422">
        <f>IF(Select2=1,Amnt_Deposited!E49,(Amnt_Deposited!E49+Amnt_Deposited!L49*Parameters!$E$49))</f>
        <v>225.21599999999998</v>
      </c>
      <c r="D57" s="499">
        <f>MCF!X56</f>
        <v>0.70499999999999996</v>
      </c>
      <c r="E57" s="167">
        <f t="shared" si="1"/>
        <v>31.755455999999999</v>
      </c>
      <c r="F57" s="100">
        <f t="shared" si="0"/>
        <v>31.755455999999999</v>
      </c>
      <c r="G57" s="100">
        <f t="shared" si="2"/>
        <v>0</v>
      </c>
      <c r="H57" s="100">
        <f t="shared" si="3"/>
        <v>357.92366777840959</v>
      </c>
      <c r="I57" s="100">
        <f t="shared" si="4"/>
        <v>30.71665771164108</v>
      </c>
      <c r="J57" s="135">
        <f t="shared" si="5"/>
        <v>20.477771807760718</v>
      </c>
    </row>
    <row r="58" spans="2:10">
      <c r="B58" s="424">
        <f>Amnt_Deposited!B50</f>
        <v>1989</v>
      </c>
      <c r="C58" s="422">
        <f>IF(Select2=1,Amnt_Deposited!E50,(Amnt_Deposited!E50+Amnt_Deposited!L50*Parameters!$E$49))</f>
        <v>225.21599999999998</v>
      </c>
      <c r="D58" s="499">
        <f>MCF!X57</f>
        <v>0.70499999999999996</v>
      </c>
      <c r="E58" s="167">
        <f t="shared" si="1"/>
        <v>31.755455999999999</v>
      </c>
      <c r="F58" s="100">
        <f t="shared" si="0"/>
        <v>31.755455999999999</v>
      </c>
      <c r="G58" s="100">
        <f t="shared" si="2"/>
        <v>0</v>
      </c>
      <c r="H58" s="100">
        <f t="shared" si="3"/>
        <v>358.87305792934717</v>
      </c>
      <c r="I58" s="100">
        <f t="shared" si="4"/>
        <v>30.80606584906241</v>
      </c>
      <c r="J58" s="135">
        <f t="shared" si="5"/>
        <v>20.537377232708273</v>
      </c>
    </row>
    <row r="59" spans="2:10">
      <c r="B59" s="424">
        <f>Amnt_Deposited!B51</f>
        <v>1990</v>
      </c>
      <c r="C59" s="422">
        <f>IF(Select2=1,Amnt_Deposited!E51,(Amnt_Deposited!E51+Amnt_Deposited!L51*Parameters!$E$49))</f>
        <v>225.21599999999998</v>
      </c>
      <c r="D59" s="499">
        <f>MCF!X58</f>
        <v>0.70499999999999996</v>
      </c>
      <c r="E59" s="167">
        <f t="shared" si="1"/>
        <v>31.755455999999999</v>
      </c>
      <c r="F59" s="100">
        <f t="shared" si="0"/>
        <v>31.755455999999999</v>
      </c>
      <c r="G59" s="100">
        <f t="shared" si="2"/>
        <v>0</v>
      </c>
      <c r="H59" s="100">
        <f t="shared" si="3"/>
        <v>359.74073519527838</v>
      </c>
      <c r="I59" s="100">
        <f t="shared" si="4"/>
        <v>30.887778734068775</v>
      </c>
      <c r="J59" s="135">
        <f t="shared" si="5"/>
        <v>20.591852489379182</v>
      </c>
    </row>
    <row r="60" spans="2:10">
      <c r="B60" s="424">
        <f>Amnt_Deposited!B52</f>
        <v>1991</v>
      </c>
      <c r="C60" s="422">
        <f>IF(Select2=1,Amnt_Deposited!E52,(Amnt_Deposited!E52+Amnt_Deposited!L52*Parameters!$E$49))</f>
        <v>225.21599999999998</v>
      </c>
      <c r="D60" s="499">
        <f>MCF!X59</f>
        <v>0.70499999999999996</v>
      </c>
      <c r="E60" s="167">
        <f t="shared" si="1"/>
        <v>31.755455999999999</v>
      </c>
      <c r="F60" s="100">
        <f t="shared" si="0"/>
        <v>31.755455999999999</v>
      </c>
      <c r="G60" s="100">
        <f t="shared" si="2"/>
        <v>0</v>
      </c>
      <c r="H60" s="100">
        <f t="shared" si="3"/>
        <v>360.53373250736377</v>
      </c>
      <c r="I60" s="100">
        <f t="shared" si="4"/>
        <v>30.962458687914577</v>
      </c>
      <c r="J60" s="135">
        <f t="shared" si="5"/>
        <v>20.641639125276384</v>
      </c>
    </row>
    <row r="61" spans="2:10">
      <c r="B61" s="424">
        <f>Amnt_Deposited!B53</f>
        <v>1992</v>
      </c>
      <c r="C61" s="422">
        <f>IF(Select2=1,Amnt_Deposited!E53,(Amnt_Deposited!E53+Amnt_Deposited!L53*Parameters!$E$49))</f>
        <v>225.21599999999998</v>
      </c>
      <c r="D61" s="499">
        <f>MCF!X60</f>
        <v>0.70499999999999996</v>
      </c>
      <c r="E61" s="167">
        <f t="shared" si="1"/>
        <v>31.755455999999999</v>
      </c>
      <c r="F61" s="100">
        <f t="shared" si="0"/>
        <v>31.755455999999999</v>
      </c>
      <c r="G61" s="100">
        <f t="shared" si="2"/>
        <v>0</v>
      </c>
      <c r="H61" s="100">
        <f t="shared" si="3"/>
        <v>361.25847748071487</v>
      </c>
      <c r="I61" s="100">
        <f t="shared" si="4"/>
        <v>31.030711026648866</v>
      </c>
      <c r="J61" s="135">
        <f t="shared" si="5"/>
        <v>20.687140684432578</v>
      </c>
    </row>
    <row r="62" spans="2:10">
      <c r="B62" s="424">
        <f>Amnt_Deposited!B54</f>
        <v>1993</v>
      </c>
      <c r="C62" s="422">
        <f>IF(Select2=1,Amnt_Deposited!E54,(Amnt_Deposited!E54+Amnt_Deposited!L54*Parameters!$E$49))</f>
        <v>225.21599999999998</v>
      </c>
      <c r="D62" s="499">
        <f>MCF!X61</f>
        <v>0.70499999999999996</v>
      </c>
      <c r="E62" s="167">
        <f t="shared" si="1"/>
        <v>31.755455999999999</v>
      </c>
      <c r="F62" s="100">
        <f t="shared" si="0"/>
        <v>31.755455999999999</v>
      </c>
      <c r="G62" s="100">
        <f t="shared" si="2"/>
        <v>0</v>
      </c>
      <c r="H62" s="100">
        <f t="shared" si="3"/>
        <v>361.92084451322904</v>
      </c>
      <c r="I62" s="100">
        <f t="shared" si="4"/>
        <v>31.093088967485834</v>
      </c>
      <c r="J62" s="135">
        <f t="shared" si="5"/>
        <v>20.728725978323887</v>
      </c>
    </row>
    <row r="63" spans="2:10">
      <c r="B63" s="424">
        <f>Amnt_Deposited!B55</f>
        <v>1994</v>
      </c>
      <c r="C63" s="422">
        <f>IF(Select2=1,Amnt_Deposited!E55,(Amnt_Deposited!E55+Amnt_Deposited!L55*Parameters!$E$49))</f>
        <v>225.21599999999998</v>
      </c>
      <c r="D63" s="499">
        <f>MCF!X62</f>
        <v>0.70499999999999996</v>
      </c>
      <c r="E63" s="167">
        <f t="shared" si="1"/>
        <v>31.755455999999999</v>
      </c>
      <c r="F63" s="100">
        <f t="shared" si="0"/>
        <v>31.755455999999999</v>
      </c>
      <c r="G63" s="100">
        <f t="shared" si="2"/>
        <v>0</v>
      </c>
      <c r="H63" s="100">
        <f t="shared" si="3"/>
        <v>362.52620240033929</v>
      </c>
      <c r="I63" s="100">
        <f t="shared" si="4"/>
        <v>31.15009811288974</v>
      </c>
      <c r="J63" s="135">
        <f t="shared" si="5"/>
        <v>20.766732075259824</v>
      </c>
    </row>
    <row r="64" spans="2:10">
      <c r="B64" s="424">
        <f>Amnt_Deposited!B56</f>
        <v>1995</v>
      </c>
      <c r="C64" s="422">
        <f>IF(Select2=1,Amnt_Deposited!E56,(Amnt_Deposited!E56+Amnt_Deposited!L56*Parameters!$E$49))</f>
        <v>225.21599999999998</v>
      </c>
      <c r="D64" s="499">
        <f>MCF!X63</f>
        <v>0.70499999999999996</v>
      </c>
      <c r="E64" s="167">
        <f t="shared" si="1"/>
        <v>31.755455999999999</v>
      </c>
      <c r="F64" s="100">
        <f t="shared" si="0"/>
        <v>31.755455999999999</v>
      </c>
      <c r="G64" s="100">
        <f t="shared" si="2"/>
        <v>0</v>
      </c>
      <c r="H64" s="100">
        <f t="shared" si="3"/>
        <v>363.07945785161922</v>
      </c>
      <c r="I64" s="100">
        <f t="shared" si="4"/>
        <v>31.202200548720032</v>
      </c>
      <c r="J64" s="135">
        <f t="shared" si="5"/>
        <v>20.801467032480019</v>
      </c>
    </row>
    <row r="65" spans="2:10">
      <c r="B65" s="424">
        <f>Amnt_Deposited!B57</f>
        <v>1996</v>
      </c>
      <c r="C65" s="422">
        <f>IF(Select2=1,Amnt_Deposited!E57,(Amnt_Deposited!E57+Amnt_Deposited!L57*Parameters!$E$49))</f>
        <v>225.21599999999998</v>
      </c>
      <c r="D65" s="499">
        <f>MCF!X64</f>
        <v>0.70499999999999996</v>
      </c>
      <c r="E65" s="167">
        <f t="shared" si="1"/>
        <v>31.755455999999999</v>
      </c>
      <c r="F65" s="100">
        <f t="shared" si="0"/>
        <v>31.755455999999999</v>
      </c>
      <c r="G65" s="100">
        <f t="shared" si="2"/>
        <v>0</v>
      </c>
      <c r="H65" s="100">
        <f t="shared" si="3"/>
        <v>363.58509526196525</v>
      </c>
      <c r="I65" s="100">
        <f t="shared" si="4"/>
        <v>31.24981858965393</v>
      </c>
      <c r="J65" s="135">
        <f t="shared" si="5"/>
        <v>20.83321239310262</v>
      </c>
    </row>
    <row r="66" spans="2:10">
      <c r="B66" s="424">
        <f>Amnt_Deposited!B58</f>
        <v>1997</v>
      </c>
      <c r="C66" s="422">
        <f>IF(Select2=1,Amnt_Deposited!E58,(Amnt_Deposited!E58+Amnt_Deposited!L58*Parameters!$E$49))</f>
        <v>225.21599999999998</v>
      </c>
      <c r="D66" s="499">
        <f>MCF!X65</f>
        <v>0.70499999999999996</v>
      </c>
      <c r="E66" s="167">
        <f t="shared" si="1"/>
        <v>31.755455999999999</v>
      </c>
      <c r="F66" s="100">
        <f t="shared" si="0"/>
        <v>31.755455999999999</v>
      </c>
      <c r="G66" s="100">
        <f t="shared" si="2"/>
        <v>0</v>
      </c>
      <c r="H66" s="100">
        <f t="shared" si="3"/>
        <v>364.04721305972032</v>
      </c>
      <c r="I66" s="100">
        <f t="shared" si="4"/>
        <v>31.293338202244939</v>
      </c>
      <c r="J66" s="135">
        <f t="shared" si="5"/>
        <v>20.862225468163292</v>
      </c>
    </row>
    <row r="67" spans="2:10">
      <c r="B67" s="424">
        <f>Amnt_Deposited!B59</f>
        <v>1998</v>
      </c>
      <c r="C67" s="422">
        <f>IF(Select2=1,Amnt_Deposited!E59,(Amnt_Deposited!E59+Amnt_Deposited!L59*Parameters!$E$49))</f>
        <v>225.21599999999998</v>
      </c>
      <c r="D67" s="499">
        <f>MCF!X66</f>
        <v>0.70499999999999996</v>
      </c>
      <c r="E67" s="167">
        <f t="shared" si="1"/>
        <v>31.755455999999999</v>
      </c>
      <c r="F67" s="100">
        <f t="shared" si="0"/>
        <v>31.755455999999999</v>
      </c>
      <c r="G67" s="100">
        <f t="shared" si="2"/>
        <v>0</v>
      </c>
      <c r="H67" s="100">
        <f t="shared" si="3"/>
        <v>364.46955692635754</v>
      </c>
      <c r="I67" s="100">
        <f t="shared" si="4"/>
        <v>31.333112133362786</v>
      </c>
      <c r="J67" s="135">
        <f t="shared" si="5"/>
        <v>20.888741422241857</v>
      </c>
    </row>
    <row r="68" spans="2:10">
      <c r="B68" s="424">
        <f>Amnt_Deposited!B60</f>
        <v>1999</v>
      </c>
      <c r="C68" s="422">
        <f>IF(Select2=1,Amnt_Deposited!E60,(Amnt_Deposited!E60+Amnt_Deposited!L60*Parameters!$E$49))</f>
        <v>225.21599999999998</v>
      </c>
      <c r="D68" s="499">
        <f>MCF!X67</f>
        <v>0.70499999999999996</v>
      </c>
      <c r="E68" s="167">
        <f t="shared" si="1"/>
        <v>31.755455999999999</v>
      </c>
      <c r="F68" s="100">
        <f t="shared" si="0"/>
        <v>31.755455999999999</v>
      </c>
      <c r="G68" s="100">
        <f t="shared" si="2"/>
        <v>0</v>
      </c>
      <c r="H68" s="100">
        <f t="shared" si="3"/>
        <v>364.85555015698532</v>
      </c>
      <c r="I68" s="100">
        <f t="shared" si="4"/>
        <v>31.36946276937222</v>
      </c>
      <c r="J68" s="135">
        <f t="shared" si="5"/>
        <v>20.91297517958148</v>
      </c>
    </row>
    <row r="69" spans="2:10">
      <c r="B69" s="424">
        <f>Amnt_Deposited!B61</f>
        <v>2000</v>
      </c>
      <c r="C69" s="422">
        <f>IF(Select2=1,Amnt_Deposited!E61,(Amnt_Deposited!E61+Amnt_Deposited!L61*Parameters!$E$49))</f>
        <v>225.21599999999998</v>
      </c>
      <c r="D69" s="499">
        <f>MCF!X68</f>
        <v>0.70499999999999996</v>
      </c>
      <c r="E69" s="167">
        <f t="shared" si="1"/>
        <v>31.755455999999999</v>
      </c>
      <c r="F69" s="100">
        <f t="shared" si="0"/>
        <v>31.755455999999999</v>
      </c>
      <c r="G69" s="100">
        <f t="shared" si="2"/>
        <v>0</v>
      </c>
      <c r="H69" s="100">
        <f t="shared" si="3"/>
        <v>365.20832140775963</v>
      </c>
      <c r="I69" s="100">
        <f t="shared" si="4"/>
        <v>31.402684749225681</v>
      </c>
      <c r="J69" s="135">
        <f t="shared" si="5"/>
        <v>20.935123166150454</v>
      </c>
    </row>
    <row r="70" spans="2:10">
      <c r="B70" s="424">
        <f>Amnt_Deposited!B62</f>
        <v>2001</v>
      </c>
      <c r="C70" s="422">
        <f>IF(Select2=1,Amnt_Deposited!E62,(Amnt_Deposited!E62+Amnt_Deposited!L62*Parameters!$E$49))</f>
        <v>225.21599999999998</v>
      </c>
      <c r="D70" s="499">
        <f>MCF!X69</f>
        <v>0.70499999999999996</v>
      </c>
      <c r="E70" s="167">
        <f t="shared" si="1"/>
        <v>31.755455999999999</v>
      </c>
      <c r="F70" s="100">
        <f t="shared" si="0"/>
        <v>31.755455999999999</v>
      </c>
      <c r="G70" s="100">
        <f t="shared" si="2"/>
        <v>0</v>
      </c>
      <c r="H70" s="100">
        <f t="shared" si="3"/>
        <v>365.53073005510942</v>
      </c>
      <c r="I70" s="100">
        <f t="shared" si="4"/>
        <v>31.433047352650213</v>
      </c>
      <c r="J70" s="135">
        <f t="shared" si="5"/>
        <v>20.955364901766806</v>
      </c>
    </row>
    <row r="71" spans="2:10">
      <c r="B71" s="424">
        <f>Amnt_Deposited!B63</f>
        <v>2002</v>
      </c>
      <c r="C71" s="422">
        <f>IF(Select2=1,Amnt_Deposited!E63,(Amnt_Deposited!E63+Amnt_Deposited!L63*Parameters!$E$49))</f>
        <v>225.21599999999998</v>
      </c>
      <c r="D71" s="499">
        <f>MCF!X70</f>
        <v>0.70499999999999996</v>
      </c>
      <c r="E71" s="167">
        <f t="shared" si="1"/>
        <v>31.755455999999999</v>
      </c>
      <c r="F71" s="100">
        <f t="shared" si="0"/>
        <v>31.755455999999999</v>
      </c>
      <c r="G71" s="100">
        <f t="shared" si="2"/>
        <v>0</v>
      </c>
      <c r="H71" s="100">
        <f t="shared" si="3"/>
        <v>365.82538937232346</v>
      </c>
      <c r="I71" s="100">
        <f t="shared" si="4"/>
        <v>31.460796682785915</v>
      </c>
      <c r="J71" s="135">
        <f t="shared" si="5"/>
        <v>20.973864455190608</v>
      </c>
    </row>
    <row r="72" spans="2:10">
      <c r="B72" s="424">
        <f>Amnt_Deposited!B64</f>
        <v>2003</v>
      </c>
      <c r="C72" s="422">
        <f>IF(Select2=1,Amnt_Deposited!E64,(Amnt_Deposited!E64+Amnt_Deposited!L64*Parameters!$E$49))</f>
        <v>225.21599999999998</v>
      </c>
      <c r="D72" s="499">
        <f>MCF!X71</f>
        <v>0.70499999999999996</v>
      </c>
      <c r="E72" s="167">
        <f t="shared" si="1"/>
        <v>31.755455999999999</v>
      </c>
      <c r="F72" s="100">
        <f t="shared" si="0"/>
        <v>31.755455999999999</v>
      </c>
      <c r="G72" s="100">
        <f t="shared" si="2"/>
        <v>0</v>
      </c>
      <c r="H72" s="100">
        <f t="shared" si="3"/>
        <v>366.09468771135613</v>
      </c>
      <c r="I72" s="100">
        <f t="shared" si="4"/>
        <v>31.486157660967319</v>
      </c>
      <c r="J72" s="135">
        <f t="shared" si="5"/>
        <v>20.99077177397821</v>
      </c>
    </row>
    <row r="73" spans="2:10">
      <c r="B73" s="424">
        <f>Amnt_Deposited!B65</f>
        <v>2004</v>
      </c>
      <c r="C73" s="422">
        <f>IF(Select2=1,Amnt_Deposited!E65,(Amnt_Deposited!E65+Amnt_Deposited!L65*Parameters!$E$49))</f>
        <v>225.21599999999998</v>
      </c>
      <c r="D73" s="499">
        <f>MCF!X72</f>
        <v>0.70499999999999996</v>
      </c>
      <c r="E73" s="167">
        <f t="shared" si="1"/>
        <v>31.755455999999999</v>
      </c>
      <c r="F73" s="100">
        <f t="shared" si="0"/>
        <v>31.755455999999999</v>
      </c>
      <c r="G73" s="100">
        <f t="shared" si="2"/>
        <v>0</v>
      </c>
      <c r="H73" s="100">
        <f t="shared" si="3"/>
        <v>366.34080786153982</v>
      </c>
      <c r="I73" s="100">
        <f t="shared" si="4"/>
        <v>31.509335849816285</v>
      </c>
      <c r="J73" s="135">
        <f t="shared" si="5"/>
        <v>21.006223899877522</v>
      </c>
    </row>
    <row r="74" spans="2:10">
      <c r="B74" s="424">
        <f>Amnt_Deposited!B66</f>
        <v>2005</v>
      </c>
      <c r="C74" s="422">
        <f>IF(Select2=1,Amnt_Deposited!E66,(Amnt_Deposited!E66+Amnt_Deposited!L66*Parameters!$E$49))</f>
        <v>225.21599999999998</v>
      </c>
      <c r="D74" s="499">
        <f>MCF!X73</f>
        <v>0.70499999999999996</v>
      </c>
      <c r="E74" s="167">
        <f t="shared" si="1"/>
        <v>31.755455999999999</v>
      </c>
      <c r="F74" s="100">
        <f t="shared" si="0"/>
        <v>31.755455999999999</v>
      </c>
      <c r="G74" s="100">
        <f t="shared" si="2"/>
        <v>0</v>
      </c>
      <c r="H74" s="100">
        <f t="shared" si="3"/>
        <v>366.56574474211635</v>
      </c>
      <c r="I74" s="100">
        <f t="shared" si="4"/>
        <v>31.530519119423463</v>
      </c>
      <c r="J74" s="135">
        <f t="shared" si="5"/>
        <v>21.020346079615642</v>
      </c>
    </row>
    <row r="75" spans="2:10">
      <c r="B75" s="424">
        <f>Amnt_Deposited!B67</f>
        <v>2006</v>
      </c>
      <c r="C75" s="422">
        <f>IF(Select2=1,Amnt_Deposited!E67,(Amnt_Deposited!E67+Amnt_Deposited!L67*Parameters!$E$49))</f>
        <v>225.21599999999998</v>
      </c>
      <c r="D75" s="499">
        <f>MCF!X74</f>
        <v>0.70499999999999996</v>
      </c>
      <c r="E75" s="167">
        <f t="shared" si="1"/>
        <v>31.755455999999999</v>
      </c>
      <c r="F75" s="100">
        <f t="shared" si="0"/>
        <v>31.755455999999999</v>
      </c>
      <c r="G75" s="100">
        <f t="shared" si="2"/>
        <v>0</v>
      </c>
      <c r="H75" s="100">
        <f t="shared" si="3"/>
        <v>366.77132157199287</v>
      </c>
      <c r="I75" s="100">
        <f t="shared" si="4"/>
        <v>31.549879170123472</v>
      </c>
      <c r="J75" s="135">
        <f t="shared" si="5"/>
        <v>21.033252780082314</v>
      </c>
    </row>
    <row r="76" spans="2:10">
      <c r="B76" s="424">
        <f>Amnt_Deposited!B68</f>
        <v>2007</v>
      </c>
      <c r="C76" s="422">
        <f>IF(Select2=1,Amnt_Deposited!E68,(Amnt_Deposited!E68+Amnt_Deposited!L68*Parameters!$E$49))</f>
        <v>225.21599999999998</v>
      </c>
      <c r="D76" s="499">
        <f>MCF!X75</f>
        <v>0.70499999999999996</v>
      </c>
      <c r="E76" s="167">
        <f t="shared" si="1"/>
        <v>31.755455999999999</v>
      </c>
      <c r="F76" s="100">
        <f t="shared" si="0"/>
        <v>31.755455999999999</v>
      </c>
      <c r="G76" s="100">
        <f t="shared" si="2"/>
        <v>0</v>
      </c>
      <c r="H76" s="100">
        <f t="shared" si="3"/>
        <v>366.95920464778624</v>
      </c>
      <c r="I76" s="100">
        <f t="shared" si="4"/>
        <v>31.567572924206644</v>
      </c>
      <c r="J76" s="135">
        <f t="shared" si="5"/>
        <v>21.045048616137763</v>
      </c>
    </row>
    <row r="77" spans="2:10">
      <c r="B77" s="424">
        <f>Amnt_Deposited!B69</f>
        <v>2008</v>
      </c>
      <c r="C77" s="422">
        <f>IF(Select2=1,Amnt_Deposited!E69,(Amnt_Deposited!E69+Amnt_Deposited!L69*Parameters!$E$49))</f>
        <v>225.21599999999998</v>
      </c>
      <c r="D77" s="499">
        <f>MCF!X76</f>
        <v>0.70499999999999996</v>
      </c>
      <c r="E77" s="167">
        <f t="shared" si="1"/>
        <v>31.755455999999999</v>
      </c>
      <c r="F77" s="100">
        <f t="shared" si="0"/>
        <v>31.755455999999999</v>
      </c>
      <c r="G77" s="100">
        <f t="shared" si="2"/>
        <v>0</v>
      </c>
      <c r="H77" s="100">
        <f t="shared" si="3"/>
        <v>367.13091684993844</v>
      </c>
      <c r="I77" s="100">
        <f t="shared" si="4"/>
        <v>31.583743797847774</v>
      </c>
      <c r="J77" s="135">
        <f t="shared" si="5"/>
        <v>21.055829198565181</v>
      </c>
    </row>
    <row r="78" spans="2:10">
      <c r="B78" s="424">
        <f>Amnt_Deposited!B70</f>
        <v>2009</v>
      </c>
      <c r="C78" s="422">
        <f>IF(Select2=1,Amnt_Deposited!E70,(Amnt_Deposited!E70+Amnt_Deposited!L70*Parameters!$E$49))</f>
        <v>225.21599999999998</v>
      </c>
      <c r="D78" s="499">
        <f>MCF!X77</f>
        <v>0.70499999999999996</v>
      </c>
      <c r="E78" s="167">
        <f t="shared" si="1"/>
        <v>31.755455999999999</v>
      </c>
      <c r="F78" s="100">
        <f t="shared" si="0"/>
        <v>31.755455999999999</v>
      </c>
      <c r="G78" s="100">
        <f t="shared" si="2"/>
        <v>0</v>
      </c>
      <c r="H78" s="100">
        <f t="shared" si="3"/>
        <v>367.28784998637695</v>
      </c>
      <c r="I78" s="100">
        <f t="shared" si="4"/>
        <v>31.598522863561481</v>
      </c>
      <c r="J78" s="135">
        <f t="shared" si="5"/>
        <v>21.065681909040986</v>
      </c>
    </row>
    <row r="79" spans="2:10">
      <c r="B79" s="424">
        <f>Amnt_Deposited!B71</f>
        <v>2010</v>
      </c>
      <c r="C79" s="422">
        <f>IF(Select2=1,Amnt_Deposited!E71,(Amnt_Deposited!E71+Amnt_Deposited!L71*Parameters!$E$49))</f>
        <v>225.21599999999998</v>
      </c>
      <c r="D79" s="499">
        <f>MCF!X78</f>
        <v>0.70499999999999996</v>
      </c>
      <c r="E79" s="167">
        <f t="shared" si="1"/>
        <v>31.755455999999999</v>
      </c>
      <c r="F79" s="100">
        <f t="shared" si="0"/>
        <v>31.755455999999999</v>
      </c>
      <c r="G79" s="100">
        <f t="shared" si="2"/>
        <v>0</v>
      </c>
      <c r="H79" s="100">
        <f t="shared" si="3"/>
        <v>367.4312760737705</v>
      </c>
      <c r="I79" s="100">
        <f t="shared" si="4"/>
        <v>31.612029912606413</v>
      </c>
      <c r="J79" s="135">
        <f t="shared" si="5"/>
        <v>21.074686608404274</v>
      </c>
    </row>
    <row r="80" spans="2:10">
      <c r="B80" s="424">
        <f>Amnt_Deposited!B72</f>
        <v>2011</v>
      </c>
      <c r="C80" s="422">
        <f>IF(Select2=1,Amnt_Deposited!E72,(Amnt_Deposited!E72+Amnt_Deposited!L72*Parameters!$E$49))</f>
        <v>225.21599999999998</v>
      </c>
      <c r="D80" s="499">
        <f>MCF!X79</f>
        <v>0.70499999999999996</v>
      </c>
      <c r="E80" s="167">
        <f t="shared" si="1"/>
        <v>31.755455999999999</v>
      </c>
      <c r="F80" s="100">
        <f t="shared" si="0"/>
        <v>31.755455999999999</v>
      </c>
      <c r="G80" s="100">
        <f t="shared" si="2"/>
        <v>0</v>
      </c>
      <c r="H80" s="100">
        <f t="shared" si="3"/>
        <v>367.56235764782093</v>
      </c>
      <c r="I80" s="100">
        <f t="shared" si="4"/>
        <v>31.624374425949561</v>
      </c>
      <c r="J80" s="135">
        <f t="shared" si="5"/>
        <v>21.082916283966373</v>
      </c>
    </row>
    <row r="81" spans="2:10">
      <c r="B81" s="424">
        <f>Amnt_Deposited!B73</f>
        <v>2012</v>
      </c>
      <c r="C81" s="422">
        <f>IF(Select2=1,Amnt_Deposited!E73,(Amnt_Deposited!E73+Amnt_Deposited!L73*Parameters!$E$49))</f>
        <v>225.21599999999998</v>
      </c>
      <c r="D81" s="499">
        <f>MCF!X80</f>
        <v>0.70499999999999996</v>
      </c>
      <c r="E81" s="167">
        <f t="shared" si="1"/>
        <v>31.755455999999999</v>
      </c>
      <c r="F81" s="100">
        <f t="shared" si="0"/>
        <v>31.755455999999999</v>
      </c>
      <c r="G81" s="100">
        <f t="shared" si="2"/>
        <v>0</v>
      </c>
      <c r="H81" s="100">
        <f t="shared" si="3"/>
        <v>367.68215718616005</v>
      </c>
      <c r="I81" s="100">
        <f t="shared" si="4"/>
        <v>31.635656461660865</v>
      </c>
      <c r="J81" s="135">
        <f t="shared" si="5"/>
        <v>21.090437641107243</v>
      </c>
    </row>
    <row r="82" spans="2:10">
      <c r="B82" s="424">
        <f>Amnt_Deposited!B74</f>
        <v>2013</v>
      </c>
      <c r="C82" s="422">
        <f>IF(Select2=1,Amnt_Deposited!E74,(Amnt_Deposited!E74+Amnt_Deposited!L74*Parameters!$E$49))</f>
        <v>225.21599999999998</v>
      </c>
      <c r="D82" s="499">
        <f>MCF!X81</f>
        <v>0.70499999999999996</v>
      </c>
      <c r="E82" s="167">
        <f t="shared" si="1"/>
        <v>31.755455999999999</v>
      </c>
      <c r="F82" s="100">
        <f t="shared" si="0"/>
        <v>31.755455999999999</v>
      </c>
      <c r="G82" s="100">
        <f t="shared" si="2"/>
        <v>0</v>
      </c>
      <c r="H82" s="100">
        <f t="shared" si="3"/>
        <v>367.79164572022927</v>
      </c>
      <c r="I82" s="100">
        <f t="shared" si="4"/>
        <v>31.645967465930767</v>
      </c>
      <c r="J82" s="135">
        <f t="shared" si="5"/>
        <v>21.097311643953844</v>
      </c>
    </row>
    <row r="83" spans="2:10">
      <c r="B83" s="424">
        <f>Amnt_Deposited!B75</f>
        <v>2014</v>
      </c>
      <c r="C83" s="422">
        <f>IF(Select2=1,Amnt_Deposited!E75,(Amnt_Deposited!E75+Amnt_Deposited!L75*Parameters!$E$49))</f>
        <v>225.21599999999998</v>
      </c>
      <c r="D83" s="499">
        <f>MCF!X82</f>
        <v>0.70499999999999996</v>
      </c>
      <c r="E83" s="167">
        <f t="shared" si="1"/>
        <v>31.755455999999999</v>
      </c>
      <c r="F83" s="100">
        <f t="shared" ref="F83:F99" si="6">E83*$I$12</f>
        <v>31.755455999999999</v>
      </c>
      <c r="G83" s="100">
        <f t="shared" si="2"/>
        <v>0</v>
      </c>
      <c r="H83" s="100">
        <f t="shared" si="3"/>
        <v>367.89171070594477</v>
      </c>
      <c r="I83" s="100">
        <f t="shared" si="4"/>
        <v>31.655391014284493</v>
      </c>
      <c r="J83" s="135">
        <f t="shared" si="5"/>
        <v>21.103594009522993</v>
      </c>
    </row>
    <row r="84" spans="2:10">
      <c r="B84" s="424">
        <f>Amnt_Deposited!B76</f>
        <v>2015</v>
      </c>
      <c r="C84" s="422">
        <f>IF(Select2=1,Amnt_Deposited!E76,(Amnt_Deposited!E76+Amnt_Deposited!L76*Parameters!$E$49))</f>
        <v>225.21599999999998</v>
      </c>
      <c r="D84" s="499">
        <f>MCF!X83</f>
        <v>0.70499999999999996</v>
      </c>
      <c r="E84" s="167">
        <f t="shared" ref="E84:E99" si="7">C84*$I$6*$I$7*D84</f>
        <v>31.755455999999999</v>
      </c>
      <c r="F84" s="100">
        <f t="shared" si="6"/>
        <v>31.755455999999999</v>
      </c>
      <c r="G84" s="100">
        <f t="shared" ref="G84:G99" si="8">E84*(1-$I$12)</f>
        <v>0</v>
      </c>
      <c r="H84" s="100">
        <f t="shared" ref="H84:H99" si="9">F84+H83*$I$10</f>
        <v>367.98316321694386</v>
      </c>
      <c r="I84" s="100">
        <f t="shared" ref="I84:I99" si="10">H83*(1-$I$10)+G84</f>
        <v>31.66400348900088</v>
      </c>
      <c r="J84" s="135">
        <f t="shared" si="5"/>
        <v>21.109335659333919</v>
      </c>
    </row>
    <row r="85" spans="2:10">
      <c r="B85" s="424">
        <f>Amnt_Deposited!B77</f>
        <v>2016</v>
      </c>
      <c r="C85" s="422">
        <f>IF(Select2=1,Amnt_Deposited!E77,(Amnt_Deposited!E77+Amnt_Deposited!L77*Parameters!$E$49))</f>
        <v>225.21599999999998</v>
      </c>
      <c r="D85" s="499">
        <f>MCF!X84</f>
        <v>0.70499999999999996</v>
      </c>
      <c r="E85" s="167">
        <f t="shared" si="7"/>
        <v>31.755455999999999</v>
      </c>
      <c r="F85" s="100">
        <f t="shared" si="6"/>
        <v>31.755455999999999</v>
      </c>
      <c r="G85" s="100">
        <f t="shared" si="8"/>
        <v>0</v>
      </c>
      <c r="H85" s="100">
        <f t="shared" si="9"/>
        <v>368.06674451871731</v>
      </c>
      <c r="I85" s="100">
        <f t="shared" si="10"/>
        <v>31.671874698226542</v>
      </c>
      <c r="J85" s="135">
        <f t="shared" ref="J85:J99" si="11">I85*CH4_fraction*conv</f>
        <v>21.114583132151026</v>
      </c>
    </row>
    <row r="86" spans="2:10">
      <c r="B86" s="424">
        <f>Amnt_Deposited!B78</f>
        <v>2017</v>
      </c>
      <c r="C86" s="422">
        <f>IF(Select2=1,Amnt_Deposited!E78,(Amnt_Deposited!E78+Amnt_Deposited!L78*Parameters!$E$49))</f>
        <v>225.21599999999998</v>
      </c>
      <c r="D86" s="499">
        <f>MCF!X85</f>
        <v>0.70499999999999996</v>
      </c>
      <c r="E86" s="167">
        <f t="shared" si="7"/>
        <v>31.755455999999999</v>
      </c>
      <c r="F86" s="100">
        <f t="shared" si="6"/>
        <v>31.755455999999999</v>
      </c>
      <c r="G86" s="100">
        <f t="shared" si="8"/>
        <v>0</v>
      </c>
      <c r="H86" s="100">
        <f t="shared" si="9"/>
        <v>368.14313207691362</v>
      </c>
      <c r="I86" s="100">
        <f t="shared" si="10"/>
        <v>31.679068441803668</v>
      </c>
      <c r="J86" s="135">
        <f t="shared" si="11"/>
        <v>21.119378961202443</v>
      </c>
    </row>
    <row r="87" spans="2:10">
      <c r="B87" s="424">
        <f>Amnt_Deposited!B79</f>
        <v>2018</v>
      </c>
      <c r="C87" s="422">
        <f>IF(Select2=1,Amnt_Deposited!E79,(Amnt_Deposited!E79+Amnt_Deposited!L79*Parameters!$E$49))</f>
        <v>225.21599999999998</v>
      </c>
      <c r="D87" s="499">
        <f>MCF!X86</f>
        <v>0.70499999999999996</v>
      </c>
      <c r="E87" s="167">
        <f t="shared" si="7"/>
        <v>31.755455999999999</v>
      </c>
      <c r="F87" s="100">
        <f t="shared" si="6"/>
        <v>31.755455999999999</v>
      </c>
      <c r="G87" s="100">
        <f t="shared" si="8"/>
        <v>0</v>
      </c>
      <c r="H87" s="100">
        <f t="shared" si="9"/>
        <v>368.21294504851596</v>
      </c>
      <c r="I87" s="100">
        <f t="shared" si="10"/>
        <v>31.685643028397649</v>
      </c>
      <c r="J87" s="135">
        <f t="shared" si="11"/>
        <v>21.123762018931764</v>
      </c>
    </row>
    <row r="88" spans="2:10">
      <c r="B88" s="424">
        <f>Amnt_Deposited!B80</f>
        <v>2019</v>
      </c>
      <c r="C88" s="422">
        <f>IF(Select2=1,Amnt_Deposited!E80,(Amnt_Deposited!E80+Amnt_Deposited!L80*Parameters!$E$49))</f>
        <v>225.21599999999998</v>
      </c>
      <c r="D88" s="499">
        <f>MCF!X87</f>
        <v>0.70499999999999996</v>
      </c>
      <c r="E88" s="167">
        <f t="shared" si="7"/>
        <v>31.755455999999999</v>
      </c>
      <c r="F88" s="100">
        <f t="shared" si="6"/>
        <v>31.755455999999999</v>
      </c>
      <c r="G88" s="100">
        <f t="shared" si="8"/>
        <v>0</v>
      </c>
      <c r="H88" s="100">
        <f t="shared" si="9"/>
        <v>368.27674930039979</v>
      </c>
      <c r="I88" s="100">
        <f t="shared" si="10"/>
        <v>31.691651748116158</v>
      </c>
      <c r="J88" s="135">
        <f t="shared" si="11"/>
        <v>21.127767832077438</v>
      </c>
    </row>
    <row r="89" spans="2:10">
      <c r="B89" s="424">
        <f>Amnt_Deposited!B81</f>
        <v>2020</v>
      </c>
      <c r="C89" s="422">
        <f>IF(Select2=1,Amnt_Deposited!E81,(Amnt_Deposited!E81+Amnt_Deposited!L81*Parameters!$E$49))</f>
        <v>225.21599999999998</v>
      </c>
      <c r="D89" s="499">
        <f>MCF!X88</f>
        <v>0.70499999999999996</v>
      </c>
      <c r="E89" s="167">
        <f t="shared" si="7"/>
        <v>31.755455999999999</v>
      </c>
      <c r="F89" s="100">
        <f t="shared" si="6"/>
        <v>31.755455999999999</v>
      </c>
      <c r="G89" s="100">
        <f t="shared" si="8"/>
        <v>0</v>
      </c>
      <c r="H89" s="100">
        <f t="shared" si="9"/>
        <v>368.33506199594933</v>
      </c>
      <c r="I89" s="100">
        <f t="shared" si="10"/>
        <v>31.697143304450453</v>
      </c>
      <c r="J89" s="135">
        <f t="shared" si="11"/>
        <v>21.131428869633634</v>
      </c>
    </row>
    <row r="90" spans="2:10">
      <c r="B90" s="424">
        <f>Amnt_Deposited!B82</f>
        <v>2021</v>
      </c>
      <c r="C90" s="422">
        <f>IF(Select2=1,Amnt_Deposited!E82,(Amnt_Deposited!E82+Amnt_Deposited!L82*Parameters!$E$49))</f>
        <v>225.21599999999998</v>
      </c>
      <c r="D90" s="499">
        <f>MCF!X89</f>
        <v>0.70499999999999996</v>
      </c>
      <c r="E90" s="167">
        <f t="shared" si="7"/>
        <v>31.755455999999999</v>
      </c>
      <c r="F90" s="100">
        <f t="shared" si="6"/>
        <v>31.755455999999999</v>
      </c>
      <c r="G90" s="100">
        <f t="shared" si="8"/>
        <v>0</v>
      </c>
      <c r="H90" s="100">
        <f t="shared" si="9"/>
        <v>368.38835578690924</v>
      </c>
      <c r="I90" s="100">
        <f t="shared" si="10"/>
        <v>31.702162209040043</v>
      </c>
      <c r="J90" s="135">
        <f t="shared" si="11"/>
        <v>21.134774806026694</v>
      </c>
    </row>
    <row r="91" spans="2:10">
      <c r="B91" s="424">
        <f>Amnt_Deposited!B83</f>
        <v>2022</v>
      </c>
      <c r="C91" s="422">
        <f>IF(Select2=1,Amnt_Deposited!E83,(Amnt_Deposited!E83+Amnt_Deposited!L83*Parameters!$E$49))</f>
        <v>225.21599999999998</v>
      </c>
      <c r="D91" s="499">
        <f>MCF!X90</f>
        <v>0.70499999999999996</v>
      </c>
      <c r="E91" s="167">
        <f t="shared" si="7"/>
        <v>31.755455999999999</v>
      </c>
      <c r="F91" s="100">
        <f t="shared" si="6"/>
        <v>31.755455999999999</v>
      </c>
      <c r="G91" s="100">
        <f t="shared" si="8"/>
        <v>0</v>
      </c>
      <c r="H91" s="100">
        <f t="shared" si="9"/>
        <v>368.43706264444887</v>
      </c>
      <c r="I91" s="100">
        <f t="shared" si="10"/>
        <v>31.706749142460367</v>
      </c>
      <c r="J91" s="135">
        <f t="shared" si="11"/>
        <v>21.137832761640244</v>
      </c>
    </row>
    <row r="92" spans="2:10">
      <c r="B92" s="424">
        <f>Amnt_Deposited!B84</f>
        <v>2023</v>
      </c>
      <c r="C92" s="422">
        <f>IF(Select2=1,Amnt_Deposited!E84,(Amnt_Deposited!E84+Amnt_Deposited!L84*Parameters!$E$49))</f>
        <v>225.21599999999998</v>
      </c>
      <c r="D92" s="499">
        <f>MCF!X91</f>
        <v>0.70499999999999996</v>
      </c>
      <c r="E92" s="167">
        <f t="shared" si="7"/>
        <v>31.755455999999999</v>
      </c>
      <c r="F92" s="100">
        <f t="shared" si="6"/>
        <v>31.755455999999999</v>
      </c>
      <c r="G92" s="100">
        <f t="shared" si="8"/>
        <v>0</v>
      </c>
      <c r="H92" s="100">
        <f t="shared" si="9"/>
        <v>368.48157736049092</v>
      </c>
      <c r="I92" s="100">
        <f t="shared" si="10"/>
        <v>31.710941283957965</v>
      </c>
      <c r="J92" s="135">
        <f t="shared" si="11"/>
        <v>21.140627522638642</v>
      </c>
    </row>
    <row r="93" spans="2:10">
      <c r="B93" s="424">
        <f>Amnt_Deposited!B85</f>
        <v>2024</v>
      </c>
      <c r="C93" s="422">
        <f>IF(Select2=1,Amnt_Deposited!E85,(Amnt_Deposited!E85+Amnt_Deposited!L85*Parameters!$E$49))</f>
        <v>225.21599999999998</v>
      </c>
      <c r="D93" s="499">
        <f>MCF!X92</f>
        <v>0.70499999999999996</v>
      </c>
      <c r="E93" s="167">
        <f t="shared" si="7"/>
        <v>31.755455999999999</v>
      </c>
      <c r="F93" s="100">
        <f t="shared" si="6"/>
        <v>31.755455999999999</v>
      </c>
      <c r="G93" s="100">
        <f t="shared" si="8"/>
        <v>0</v>
      </c>
      <c r="H93" s="100">
        <f t="shared" si="9"/>
        <v>368.52226074768521</v>
      </c>
      <c r="I93" s="100">
        <f t="shared" si="10"/>
        <v>31.714772612805692</v>
      </c>
      <c r="J93" s="135">
        <f t="shared" si="11"/>
        <v>21.14318174187046</v>
      </c>
    </row>
    <row r="94" spans="2:10">
      <c r="B94" s="424">
        <f>Amnt_Deposited!B86</f>
        <v>2025</v>
      </c>
      <c r="C94" s="422">
        <f>IF(Select2=1,Amnt_Deposited!E86,(Amnt_Deposited!E86+Amnt_Deposited!L86*Parameters!$E$49))</f>
        <v>225.21599999999998</v>
      </c>
      <c r="D94" s="499">
        <f>MCF!X93</f>
        <v>0.70499999999999996</v>
      </c>
      <c r="E94" s="167">
        <f t="shared" si="7"/>
        <v>31.755455999999999</v>
      </c>
      <c r="F94" s="100">
        <f t="shared" si="6"/>
        <v>31.755455999999999</v>
      </c>
      <c r="G94" s="100">
        <f t="shared" si="8"/>
        <v>0</v>
      </c>
      <c r="H94" s="100">
        <f t="shared" si="9"/>
        <v>368.55944256396452</v>
      </c>
      <c r="I94" s="100">
        <f t="shared" si="10"/>
        <v>31.718274183720656</v>
      </c>
      <c r="J94" s="135">
        <f t="shared" si="11"/>
        <v>21.145516122480437</v>
      </c>
    </row>
    <row r="95" spans="2:10">
      <c r="B95" s="424">
        <f>Amnt_Deposited!B87</f>
        <v>2026</v>
      </c>
      <c r="C95" s="422">
        <f>IF(Select2=1,Amnt_Deposited!E87,(Amnt_Deposited!E87+Amnt_Deposited!L87*Parameters!$E$49))</f>
        <v>225.21599999999998</v>
      </c>
      <c r="D95" s="499">
        <f>MCF!X94</f>
        <v>0.70499999999999996</v>
      </c>
      <c r="E95" s="167">
        <f t="shared" si="7"/>
        <v>31.755455999999999</v>
      </c>
      <c r="F95" s="100">
        <f t="shared" si="6"/>
        <v>31.755455999999999</v>
      </c>
      <c r="G95" s="100">
        <f t="shared" si="8"/>
        <v>0</v>
      </c>
      <c r="H95" s="100">
        <f t="shared" si="9"/>
        <v>368.59342418538722</v>
      </c>
      <c r="I95" s="100">
        <f t="shared" si="10"/>
        <v>31.72147437857728</v>
      </c>
      <c r="J95" s="135">
        <f t="shared" si="11"/>
        <v>21.147649585718185</v>
      </c>
    </row>
    <row r="96" spans="2:10">
      <c r="B96" s="424">
        <f>Amnt_Deposited!B88</f>
        <v>2027</v>
      </c>
      <c r="C96" s="422">
        <f>IF(Select2=1,Amnt_Deposited!E88,(Amnt_Deposited!E88+Amnt_Deposited!L88*Parameters!$E$49))</f>
        <v>225.21599999999998</v>
      </c>
      <c r="D96" s="499">
        <f>MCF!X95</f>
        <v>0.70499999999999996</v>
      </c>
      <c r="E96" s="167">
        <f t="shared" si="7"/>
        <v>31.755455999999999</v>
      </c>
      <c r="F96" s="100">
        <f t="shared" si="6"/>
        <v>31.755455999999999</v>
      </c>
      <c r="G96" s="100">
        <f t="shared" si="8"/>
        <v>0</v>
      </c>
      <c r="H96" s="100">
        <f t="shared" si="9"/>
        <v>368.6244810489315</v>
      </c>
      <c r="I96" s="100">
        <f t="shared" si="10"/>
        <v>31.724399136455691</v>
      </c>
      <c r="J96" s="135">
        <f t="shared" si="11"/>
        <v>21.149599424303794</v>
      </c>
    </row>
    <row r="97" spans="2:10">
      <c r="B97" s="424">
        <f>Amnt_Deposited!B89</f>
        <v>2028</v>
      </c>
      <c r="C97" s="422">
        <f>IF(Select2=1,Amnt_Deposited!E89,(Amnt_Deposited!E89+Amnt_Deposited!L89*Parameters!$E$49))</f>
        <v>225.21599999999998</v>
      </c>
      <c r="D97" s="499">
        <f>MCF!X96</f>
        <v>0.70499999999999996</v>
      </c>
      <c r="E97" s="167">
        <f t="shared" si="7"/>
        <v>31.755455999999999</v>
      </c>
      <c r="F97" s="100">
        <f t="shared" si="6"/>
        <v>31.755455999999999</v>
      </c>
      <c r="G97" s="100">
        <f t="shared" si="8"/>
        <v>0</v>
      </c>
      <c r="H97" s="100">
        <f t="shared" si="9"/>
        <v>368.65286488504137</v>
      </c>
      <c r="I97" s="100">
        <f t="shared" si="10"/>
        <v>31.727072163890142</v>
      </c>
      <c r="J97" s="135">
        <f t="shared" si="11"/>
        <v>21.151381442593426</v>
      </c>
    </row>
    <row r="98" spans="2:10">
      <c r="B98" s="424">
        <f>Amnt_Deposited!B90</f>
        <v>2029</v>
      </c>
      <c r="C98" s="422">
        <f>IF(Select2=1,Amnt_Deposited!E90,(Amnt_Deposited!E90+Amnt_Deposited!L90*Parameters!$E$49))</f>
        <v>225.21599999999998</v>
      </c>
      <c r="D98" s="499">
        <f>MCF!X97</f>
        <v>0.70499999999999996</v>
      </c>
      <c r="E98" s="167">
        <f t="shared" si="7"/>
        <v>31.755455999999999</v>
      </c>
      <c r="F98" s="100">
        <f t="shared" si="6"/>
        <v>31.755455999999999</v>
      </c>
      <c r="G98" s="100">
        <f t="shared" si="8"/>
        <v>0</v>
      </c>
      <c r="H98" s="100">
        <f t="shared" si="9"/>
        <v>368.67880575801979</v>
      </c>
      <c r="I98" s="100">
        <f t="shared" si="10"/>
        <v>31.729515127021575</v>
      </c>
      <c r="J98" s="135">
        <f t="shared" si="11"/>
        <v>21.15301008468105</v>
      </c>
    </row>
    <row r="99" spans="2:10" ht="13.8" thickBot="1">
      <c r="B99" s="425">
        <f>Amnt_Deposited!B91</f>
        <v>2030</v>
      </c>
      <c r="C99" s="136">
        <f>IF(Select2=1,Amnt_Deposited!E91,(Amnt_Deposited!E91+Amnt_Deposited!L91*Parameters!$E$49))</f>
        <v>225.21599999999998</v>
      </c>
      <c r="D99" s="500">
        <f>MCF!X98</f>
        <v>0.70499999999999996</v>
      </c>
      <c r="E99" s="167">
        <f t="shared" si="7"/>
        <v>31.755455999999999</v>
      </c>
      <c r="F99" s="101">
        <f t="shared" si="6"/>
        <v>31.755455999999999</v>
      </c>
      <c r="G99" s="101">
        <f t="shared" si="8"/>
        <v>0</v>
      </c>
      <c r="H99" s="101">
        <f t="shared" si="9"/>
        <v>368.70251393080792</v>
      </c>
      <c r="I99" s="101">
        <f t="shared" si="10"/>
        <v>31.731747827211855</v>
      </c>
      <c r="J99" s="137">
        <f t="shared" si="11"/>
        <v>21.154498551474568</v>
      </c>
    </row>
  </sheetData>
  <phoneticPr fontId="17"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2:K99"/>
  <sheetViews>
    <sheetView showGridLines="0" topLeftCell="A4" workbookViewId="0">
      <selection activeCell="M14" sqref="M14"/>
    </sheetView>
  </sheetViews>
  <sheetFormatPr defaultColWidth="11.44140625" defaultRowHeight="13.2"/>
  <cols>
    <col min="1" max="1" width="3.44140625" style="6" customWidth="1"/>
    <col min="2" max="2" width="5.33203125" style="6" customWidth="1"/>
    <col min="3" max="3" width="9" style="6" customWidth="1"/>
    <col min="4" max="4" width="7.44140625" style="272" customWidth="1"/>
    <col min="5" max="6" width="10.6640625" style="6" customWidth="1"/>
    <col min="7" max="7" width="10.109375" style="6" customWidth="1"/>
    <col min="8" max="8" width="14.33203125" style="6" customWidth="1"/>
    <col min="9" max="9" width="11.44140625" style="6" customWidth="1"/>
    <col min="10" max="10" width="10.33203125" style="6" customWidth="1"/>
    <col min="11" max="16384" width="11.44140625" style="6"/>
  </cols>
  <sheetData>
    <row r="2" spans="1:10" ht="15.6">
      <c r="B2" s="80" t="s">
        <v>186</v>
      </c>
      <c r="C2" s="274"/>
      <c r="D2" s="275"/>
      <c r="E2" s="276"/>
      <c r="F2" s="276"/>
      <c r="G2" s="276"/>
      <c r="H2" s="276"/>
      <c r="I2" s="276"/>
      <c r="J2" s="276"/>
    </row>
    <row r="3" spans="1:10" ht="15">
      <c r="B3" s="174" t="str">
        <f>IF(Select2=2,"Having chosen the bulk waste option, this sheet applies only to Harvested Wood Products calculations","")</f>
        <v>Having chosen the bulk waste option, this sheet applies only to Harvested Wood Products calculations</v>
      </c>
      <c r="C3" s="274"/>
      <c r="D3" s="275"/>
      <c r="E3" s="276"/>
      <c r="F3" s="276"/>
      <c r="G3" s="276"/>
      <c r="H3" s="276"/>
      <c r="I3" s="276"/>
      <c r="J3" s="276"/>
    </row>
    <row r="4" spans="1:10" ht="16.2" thickBot="1">
      <c r="B4" s="4"/>
      <c r="C4" s="277"/>
      <c r="D4" s="278"/>
      <c r="E4" s="279"/>
      <c r="F4" s="279"/>
      <c r="G4" s="279"/>
      <c r="H4" s="279"/>
      <c r="I4" s="279"/>
      <c r="J4" s="279"/>
    </row>
    <row r="5" spans="1:10" ht="27" thickBot="1">
      <c r="B5" s="280"/>
      <c r="C5" s="281"/>
      <c r="D5" s="282"/>
      <c r="E5" s="266"/>
      <c r="F5" s="266"/>
      <c r="G5" s="266"/>
      <c r="H5" s="266"/>
      <c r="I5" s="150" t="s">
        <v>8</v>
      </c>
      <c r="J5" s="266"/>
    </row>
    <row r="6" spans="1:10">
      <c r="B6" s="280"/>
      <c r="C6" s="281"/>
      <c r="D6" s="143" t="s">
        <v>10</v>
      </c>
      <c r="E6" s="144"/>
      <c r="F6" s="144"/>
      <c r="G6" s="148"/>
      <c r="H6" s="155" t="s">
        <v>10</v>
      </c>
      <c r="I6" s="329">
        <f>Parameters!M16</f>
        <v>0.43</v>
      </c>
      <c r="J6" s="266"/>
    </row>
    <row r="7" spans="1:10" ht="13.8" thickBot="1">
      <c r="B7" s="280"/>
      <c r="C7" s="281"/>
      <c r="D7" s="308" t="s">
        <v>14</v>
      </c>
      <c r="E7" s="309"/>
      <c r="F7" s="309"/>
      <c r="G7" s="310"/>
      <c r="H7" s="311" t="s">
        <v>14</v>
      </c>
      <c r="I7" s="637">
        <f>Parameters!E24</f>
        <v>0.1</v>
      </c>
      <c r="J7" s="266"/>
    </row>
    <row r="8" spans="1:10">
      <c r="D8" s="143" t="s">
        <v>226</v>
      </c>
      <c r="E8" s="144"/>
      <c r="F8" s="144"/>
      <c r="G8" s="148"/>
      <c r="H8" s="155" t="s">
        <v>222</v>
      </c>
      <c r="I8" s="149">
        <f>Parameters!M30</f>
        <v>0.09</v>
      </c>
      <c r="J8" s="81"/>
    </row>
    <row r="9" spans="1:10" ht="15.6">
      <c r="D9" s="303" t="s">
        <v>224</v>
      </c>
      <c r="E9" s="304"/>
      <c r="F9" s="304"/>
      <c r="G9" s="305"/>
      <c r="H9" s="306" t="s">
        <v>223</v>
      </c>
      <c r="I9" s="312">
        <f>LN(2)/$I$8</f>
        <v>7.7016353395549482</v>
      </c>
      <c r="J9" s="81"/>
    </row>
    <row r="10" spans="1:10">
      <c r="D10" s="145" t="s">
        <v>95</v>
      </c>
      <c r="E10" s="146"/>
      <c r="F10" s="146"/>
      <c r="G10" s="147"/>
      <c r="H10" s="156" t="s">
        <v>179</v>
      </c>
      <c r="I10" s="82">
        <f>EXP(-$I$8)</f>
        <v>0.91393118527122819</v>
      </c>
      <c r="J10" s="81"/>
    </row>
    <row r="11" spans="1:10">
      <c r="D11" s="145" t="s">
        <v>9</v>
      </c>
      <c r="E11" s="146"/>
      <c r="F11" s="146"/>
      <c r="G11" s="147"/>
      <c r="H11" s="156" t="s">
        <v>94</v>
      </c>
      <c r="I11" s="82">
        <f>Parameters!E40+7</f>
        <v>13</v>
      </c>
      <c r="J11" s="81"/>
    </row>
    <row r="12" spans="1:10" ht="13.8" thickBot="1">
      <c r="D12" s="267" t="s">
        <v>96</v>
      </c>
      <c r="E12" s="268"/>
      <c r="F12" s="268"/>
      <c r="G12" s="269"/>
      <c r="H12" s="270" t="s">
        <v>213</v>
      </c>
      <c r="I12" s="271">
        <f>EXP(-$I$8*((13-I11)/12))</f>
        <v>1</v>
      </c>
      <c r="J12" s="81"/>
    </row>
    <row r="13" spans="1:10" ht="13.8" thickBot="1">
      <c r="C13" s="83"/>
      <c r="D13" s="151" t="s">
        <v>97</v>
      </c>
      <c r="E13" s="152"/>
      <c r="F13" s="152"/>
      <c r="G13" s="153"/>
      <c r="H13" s="157" t="s">
        <v>93</v>
      </c>
      <c r="I13" s="154">
        <f>CH4_fraction</f>
        <v>0.5</v>
      </c>
      <c r="J13" s="81"/>
    </row>
    <row r="14" spans="1:10" ht="13.8" thickBot="1">
      <c r="E14" s="81"/>
      <c r="F14" s="81"/>
      <c r="G14" s="81"/>
      <c r="H14" s="81"/>
      <c r="I14" s="81"/>
      <c r="J14" s="81"/>
    </row>
    <row r="15" spans="1:10" ht="66">
      <c r="B15" s="84" t="s">
        <v>1</v>
      </c>
      <c r="C15" s="85" t="s">
        <v>11</v>
      </c>
      <c r="D15" s="86" t="s">
        <v>12</v>
      </c>
      <c r="E15" s="87" t="s">
        <v>214</v>
      </c>
      <c r="F15" s="87" t="s">
        <v>215</v>
      </c>
      <c r="G15" s="87" t="s">
        <v>216</v>
      </c>
      <c r="H15" s="87" t="s">
        <v>217</v>
      </c>
      <c r="I15" s="87" t="s">
        <v>218</v>
      </c>
      <c r="J15" s="302" t="s">
        <v>219</v>
      </c>
    </row>
    <row r="16" spans="1:10" ht="23.4">
      <c r="A16" s="283"/>
      <c r="B16" s="138"/>
      <c r="C16" s="139" t="s">
        <v>220</v>
      </c>
      <c r="D16" s="140" t="s">
        <v>12</v>
      </c>
      <c r="E16" s="141" t="s">
        <v>221</v>
      </c>
      <c r="F16" s="141" t="s">
        <v>180</v>
      </c>
      <c r="G16" s="141" t="s">
        <v>181</v>
      </c>
      <c r="H16" s="141" t="s">
        <v>182</v>
      </c>
      <c r="I16" s="141" t="s">
        <v>225</v>
      </c>
      <c r="J16" s="142" t="s">
        <v>183</v>
      </c>
    </row>
    <row r="17" spans="2:11" ht="13.8" thickBot="1">
      <c r="B17" s="16"/>
      <c r="C17" s="17" t="s">
        <v>17</v>
      </c>
      <c r="D17" s="88" t="s">
        <v>23</v>
      </c>
      <c r="E17" s="89" t="s">
        <v>17</v>
      </c>
      <c r="F17" s="89" t="s">
        <v>17</v>
      </c>
      <c r="G17" s="89" t="s">
        <v>17</v>
      </c>
      <c r="H17" s="89" t="s">
        <v>17</v>
      </c>
      <c r="I17" s="89" t="s">
        <v>17</v>
      </c>
      <c r="J17" s="90" t="s">
        <v>17</v>
      </c>
    </row>
    <row r="18" spans="2:11" ht="13.8" thickBot="1">
      <c r="B18" s="19"/>
      <c r="C18" s="175"/>
      <c r="D18" s="92"/>
      <c r="E18" s="168"/>
      <c r="F18" s="93"/>
      <c r="G18" s="93"/>
      <c r="H18" s="93"/>
      <c r="I18" s="93"/>
      <c r="J18" s="94"/>
    </row>
    <row r="19" spans="2:11">
      <c r="B19" s="423">
        <f>Amnt_Deposited!B11</f>
        <v>1950</v>
      </c>
      <c r="C19" s="426">
        <f>IF(Select2=1,Amnt_Deposited!F11,(Amnt_Deposited!F11+Amnt_Deposited!L11*Parameters!$E$50))</f>
        <v>23.184000000000001</v>
      </c>
      <c r="D19" s="498">
        <f>MCF!X18</f>
        <v>0.70499999999999996</v>
      </c>
      <c r="E19" s="167">
        <f>C19*$I$6*$I$7*D19</f>
        <v>0.70282296</v>
      </c>
      <c r="F19" s="95">
        <f t="shared" ref="F19:F82" si="0">E19*$I$12</f>
        <v>0.70282296</v>
      </c>
      <c r="G19" s="95">
        <f>E19*(1-$I$12)</f>
        <v>0</v>
      </c>
      <c r="H19" s="95">
        <f>F19+H18*$I$10</f>
        <v>0.70282296</v>
      </c>
      <c r="I19" s="95">
        <f>H18*(1-$I$10)+G19</f>
        <v>0</v>
      </c>
      <c r="J19" s="97">
        <f>I19*CH4_fraction*conv</f>
        <v>0</v>
      </c>
      <c r="K19" s="600"/>
    </row>
    <row r="20" spans="2:11">
      <c r="B20" s="424">
        <f>Amnt_Deposited!B12</f>
        <v>1951</v>
      </c>
      <c r="C20" s="422">
        <f>IF(Select2=1,Amnt_Deposited!F12,(Amnt_Deposited!F12+Amnt_Deposited!L12*Parameters!$E$50))</f>
        <v>23.184000000000001</v>
      </c>
      <c r="D20" s="499">
        <f>MCF!X19</f>
        <v>0.70499999999999996</v>
      </c>
      <c r="E20" s="167">
        <f t="shared" ref="E20:E83" si="1">C20*$I$6*$I$7*D20</f>
        <v>0.70282296</v>
      </c>
      <c r="F20" s="100">
        <f t="shared" si="0"/>
        <v>0.70282296</v>
      </c>
      <c r="G20" s="100">
        <f t="shared" ref="G20:G83" si="2">E20*(1-$I$12)</f>
        <v>0</v>
      </c>
      <c r="H20" s="100">
        <f t="shared" ref="H20:H83" si="3">F20+H19*$I$10</f>
        <v>1.3451547808686328</v>
      </c>
      <c r="I20" s="100">
        <f t="shared" ref="I20:I83" si="4">H19*(1-$I$10)+G20</f>
        <v>6.0491139131367E-2</v>
      </c>
      <c r="J20" s="135">
        <f>I20*CH4_fraction*conv</f>
        <v>4.0327426087578E-2</v>
      </c>
    </row>
    <row r="21" spans="2:11">
      <c r="B21" s="424">
        <f>Amnt_Deposited!B13</f>
        <v>1952</v>
      </c>
      <c r="C21" s="422">
        <f>IF(Select2=1,Amnt_Deposited!F13,(Amnt_Deposited!F13+Amnt_Deposited!L13*Parameters!$E$50))</f>
        <v>23.184000000000001</v>
      </c>
      <c r="D21" s="499">
        <f>MCF!X20</f>
        <v>0.70499999999999996</v>
      </c>
      <c r="E21" s="167">
        <f t="shared" si="1"/>
        <v>0.70282296</v>
      </c>
      <c r="F21" s="100">
        <f t="shared" si="0"/>
        <v>0.70282296</v>
      </c>
      <c r="G21" s="100">
        <f t="shared" si="2"/>
        <v>0</v>
      </c>
      <c r="H21" s="100">
        <f t="shared" si="3"/>
        <v>1.9322018632525289</v>
      </c>
      <c r="I21" s="100">
        <f t="shared" si="4"/>
        <v>0.115775877616104</v>
      </c>
      <c r="J21" s="135">
        <f t="shared" ref="J21:J84" si="5">I21*CH4_fraction*conv</f>
        <v>7.7183918410735991E-2</v>
      </c>
    </row>
    <row r="22" spans="2:11">
      <c r="B22" s="424">
        <f>Amnt_Deposited!B14</f>
        <v>1953</v>
      </c>
      <c r="C22" s="422">
        <f>IF(Select2=1,Amnt_Deposited!F14,(Amnt_Deposited!F14+Amnt_Deposited!L14*Parameters!$E$50))</f>
        <v>23.184000000000001</v>
      </c>
      <c r="D22" s="499">
        <f>MCF!X21</f>
        <v>0.70499999999999996</v>
      </c>
      <c r="E22" s="167">
        <f t="shared" si="1"/>
        <v>0.70282296</v>
      </c>
      <c r="F22" s="100">
        <f t="shared" si="0"/>
        <v>0.70282296</v>
      </c>
      <c r="G22" s="100">
        <f t="shared" si="2"/>
        <v>0</v>
      </c>
      <c r="H22" s="100">
        <f t="shared" si="3"/>
        <v>2.4687224990656595</v>
      </c>
      <c r="I22" s="100">
        <f t="shared" si="4"/>
        <v>0.1663023241868696</v>
      </c>
      <c r="J22" s="135">
        <f t="shared" si="5"/>
        <v>0.11086821612457973</v>
      </c>
    </row>
    <row r="23" spans="2:11">
      <c r="B23" s="424">
        <f>Amnt_Deposited!B15</f>
        <v>1954</v>
      </c>
      <c r="C23" s="422">
        <f>IF(Select2=1,Amnt_Deposited!F15,(Amnt_Deposited!F15+Amnt_Deposited!L15*Parameters!$E$50))</f>
        <v>23.184000000000001</v>
      </c>
      <c r="D23" s="499">
        <f>MCF!X22</f>
        <v>0.70499999999999996</v>
      </c>
      <c r="E23" s="167">
        <f t="shared" si="1"/>
        <v>0.70282296</v>
      </c>
      <c r="F23" s="100">
        <f t="shared" si="0"/>
        <v>0.70282296</v>
      </c>
      <c r="G23" s="100">
        <f t="shared" si="2"/>
        <v>0</v>
      </c>
      <c r="H23" s="100">
        <f t="shared" si="3"/>
        <v>2.9590654396768263</v>
      </c>
      <c r="I23" s="100">
        <f t="shared" si="4"/>
        <v>0.21248001938883279</v>
      </c>
      <c r="J23" s="135">
        <f t="shared" si="5"/>
        <v>0.14165334625922185</v>
      </c>
    </row>
    <row r="24" spans="2:11">
      <c r="B24" s="424">
        <f>Amnt_Deposited!B16</f>
        <v>1955</v>
      </c>
      <c r="C24" s="422">
        <f>IF(Select2=1,Amnt_Deposited!F16,(Amnt_Deposited!F16+Amnt_Deposited!L16*Parameters!$E$50))</f>
        <v>23.184000000000001</v>
      </c>
      <c r="D24" s="499">
        <f>MCF!X23</f>
        <v>0.70499999999999996</v>
      </c>
      <c r="E24" s="167">
        <f t="shared" si="1"/>
        <v>0.70282296</v>
      </c>
      <c r="F24" s="100">
        <f t="shared" si="0"/>
        <v>0.70282296</v>
      </c>
      <c r="G24" s="100">
        <f t="shared" si="2"/>
        <v>0</v>
      </c>
      <c r="H24" s="100">
        <f t="shared" si="3"/>
        <v>3.4072051445789695</v>
      </c>
      <c r="I24" s="100">
        <f t="shared" si="4"/>
        <v>0.2546832550978565</v>
      </c>
      <c r="J24" s="135">
        <f t="shared" si="5"/>
        <v>0.16978883673190431</v>
      </c>
    </row>
    <row r="25" spans="2:11">
      <c r="B25" s="424">
        <f>Amnt_Deposited!B17</f>
        <v>1956</v>
      </c>
      <c r="C25" s="422">
        <f>IF(Select2=1,Amnt_Deposited!F17,(Amnt_Deposited!F17+Amnt_Deposited!L17*Parameters!$E$50))</f>
        <v>23.184000000000001</v>
      </c>
      <c r="D25" s="499">
        <f>MCF!X24</f>
        <v>0.70499999999999996</v>
      </c>
      <c r="E25" s="167">
        <f t="shared" si="1"/>
        <v>0.70282296</v>
      </c>
      <c r="F25" s="100">
        <f t="shared" si="0"/>
        <v>0.70282296</v>
      </c>
      <c r="G25" s="100">
        <f t="shared" si="2"/>
        <v>0</v>
      </c>
      <c r="H25" s="100">
        <f t="shared" si="3"/>
        <v>3.8167739962472842</v>
      </c>
      <c r="I25" s="100">
        <f t="shared" si="4"/>
        <v>0.29325410833168553</v>
      </c>
      <c r="J25" s="135">
        <f t="shared" si="5"/>
        <v>0.19550273888779035</v>
      </c>
    </row>
    <row r="26" spans="2:11">
      <c r="B26" s="424">
        <f>Amnt_Deposited!B18</f>
        <v>1957</v>
      </c>
      <c r="C26" s="422">
        <f>IF(Select2=1,Amnt_Deposited!F18,(Amnt_Deposited!F18+Amnt_Deposited!L18*Parameters!$E$50))</f>
        <v>23.184000000000001</v>
      </c>
      <c r="D26" s="499">
        <f>MCF!X25</f>
        <v>0.70499999999999996</v>
      </c>
      <c r="E26" s="167">
        <f t="shared" si="1"/>
        <v>0.70282296</v>
      </c>
      <c r="F26" s="100">
        <f t="shared" si="0"/>
        <v>0.70282296</v>
      </c>
      <c r="G26" s="100">
        <f t="shared" si="2"/>
        <v>0</v>
      </c>
      <c r="H26" s="100">
        <f t="shared" si="3"/>
        <v>4.1910917423026826</v>
      </c>
      <c r="I26" s="100">
        <f t="shared" si="4"/>
        <v>0.32850521394460153</v>
      </c>
      <c r="J26" s="135">
        <f t="shared" si="5"/>
        <v>0.21900347596306768</v>
      </c>
    </row>
    <row r="27" spans="2:11">
      <c r="B27" s="424">
        <f>Amnt_Deposited!B19</f>
        <v>1958</v>
      </c>
      <c r="C27" s="422">
        <f>IF(Select2=1,Amnt_Deposited!F19,(Amnt_Deposited!F19+Amnt_Deposited!L19*Parameters!$E$50))</f>
        <v>23.184000000000001</v>
      </c>
      <c r="D27" s="499">
        <f>MCF!X26</f>
        <v>0.70499999999999996</v>
      </c>
      <c r="E27" s="167">
        <f t="shared" si="1"/>
        <v>0.70282296</v>
      </c>
      <c r="F27" s="100">
        <f t="shared" si="0"/>
        <v>0.70282296</v>
      </c>
      <c r="G27" s="100">
        <f t="shared" si="2"/>
        <v>0</v>
      </c>
      <c r="H27" s="100">
        <f t="shared" si="3"/>
        <v>4.5331924036231479</v>
      </c>
      <c r="I27" s="100">
        <f t="shared" si="4"/>
        <v>0.36072229867953504</v>
      </c>
      <c r="J27" s="135">
        <f t="shared" si="5"/>
        <v>0.24048153245302334</v>
      </c>
    </row>
    <row r="28" spans="2:11">
      <c r="B28" s="424">
        <f>Amnt_Deposited!B20</f>
        <v>1959</v>
      </c>
      <c r="C28" s="422">
        <f>IF(Select2=1,Amnt_Deposited!F20,(Amnt_Deposited!F20+Amnt_Deposited!L20*Parameters!$E$50))</f>
        <v>23.184000000000001</v>
      </c>
      <c r="D28" s="499">
        <f>MCF!X27</f>
        <v>0.70499999999999996</v>
      </c>
      <c r="E28" s="167">
        <f t="shared" si="1"/>
        <v>0.70282296</v>
      </c>
      <c r="F28" s="100">
        <f t="shared" si="0"/>
        <v>0.70282296</v>
      </c>
      <c r="G28" s="100">
        <f t="shared" si="2"/>
        <v>0</v>
      </c>
      <c r="H28" s="100">
        <f t="shared" si="3"/>
        <v>4.8458488665058308</v>
      </c>
      <c r="I28" s="100">
        <f t="shared" si="4"/>
        <v>0.39016649711731649</v>
      </c>
      <c r="J28" s="135">
        <f t="shared" si="5"/>
        <v>0.26011099807821098</v>
      </c>
    </row>
    <row r="29" spans="2:11">
      <c r="B29" s="424">
        <f>Amnt_Deposited!B21</f>
        <v>1960</v>
      </c>
      <c r="C29" s="422">
        <f>IF(Select2=1,Amnt_Deposited!F21,(Amnt_Deposited!F21+Amnt_Deposited!L21*Parameters!$E$50))</f>
        <v>23.184000000000001</v>
      </c>
      <c r="D29" s="499">
        <f>MCF!X28</f>
        <v>0.70499999999999996</v>
      </c>
      <c r="E29" s="167">
        <f t="shared" si="1"/>
        <v>0.70282296</v>
      </c>
      <c r="F29" s="100">
        <f t="shared" si="0"/>
        <v>0.70282296</v>
      </c>
      <c r="G29" s="100">
        <f t="shared" si="2"/>
        <v>0</v>
      </c>
      <c r="H29" s="100">
        <f t="shared" si="3"/>
        <v>5.1315953582109115</v>
      </c>
      <c r="I29" s="100">
        <f t="shared" si="4"/>
        <v>0.41707646829491923</v>
      </c>
      <c r="J29" s="135">
        <f t="shared" si="5"/>
        <v>0.27805097886327945</v>
      </c>
    </row>
    <row r="30" spans="2:11">
      <c r="B30" s="424">
        <f>Amnt_Deposited!B22</f>
        <v>1961</v>
      </c>
      <c r="C30" s="422">
        <f>IF(Select2=1,Amnt_Deposited!F22,(Amnt_Deposited!F22+Amnt_Deposited!L22*Parameters!$E$50))</f>
        <v>23.184000000000001</v>
      </c>
      <c r="D30" s="499">
        <f>MCF!X29</f>
        <v>0.70499999999999996</v>
      </c>
      <c r="E30" s="167">
        <f t="shared" si="1"/>
        <v>0.70282296</v>
      </c>
      <c r="F30" s="100">
        <f t="shared" si="0"/>
        <v>0.70282296</v>
      </c>
      <c r="G30" s="100">
        <f t="shared" si="2"/>
        <v>0</v>
      </c>
      <c r="H30" s="100">
        <f t="shared" si="3"/>
        <v>5.3927479880620313</v>
      </c>
      <c r="I30" s="100">
        <f t="shared" si="4"/>
        <v>0.44167033014888035</v>
      </c>
      <c r="J30" s="135">
        <f t="shared" si="5"/>
        <v>0.29444688676592023</v>
      </c>
    </row>
    <row r="31" spans="2:11">
      <c r="B31" s="424">
        <f>Amnt_Deposited!B23</f>
        <v>1962</v>
      </c>
      <c r="C31" s="422">
        <f>IF(Select2=1,Amnt_Deposited!F23,(Amnt_Deposited!F23+Amnt_Deposited!L23*Parameters!$E$50))</f>
        <v>23.184000000000001</v>
      </c>
      <c r="D31" s="499">
        <f>MCF!X30</f>
        <v>0.70499999999999996</v>
      </c>
      <c r="E31" s="167">
        <f t="shared" si="1"/>
        <v>0.70282296</v>
      </c>
      <c r="F31" s="100">
        <f t="shared" si="0"/>
        <v>0.70282296</v>
      </c>
      <c r="G31" s="100">
        <f t="shared" si="2"/>
        <v>0</v>
      </c>
      <c r="H31" s="100">
        <f t="shared" si="3"/>
        <v>5.6314235205985632</v>
      </c>
      <c r="I31" s="100">
        <f t="shared" si="4"/>
        <v>0.46414742746346793</v>
      </c>
      <c r="J31" s="135">
        <f t="shared" si="5"/>
        <v>0.30943161830897858</v>
      </c>
    </row>
    <row r="32" spans="2:11">
      <c r="B32" s="424">
        <f>Amnt_Deposited!B24</f>
        <v>1963</v>
      </c>
      <c r="C32" s="422">
        <f>IF(Select2=1,Amnt_Deposited!F24,(Amnt_Deposited!F24+Amnt_Deposited!L24*Parameters!$E$50))</f>
        <v>23.184000000000001</v>
      </c>
      <c r="D32" s="499">
        <f>MCF!X31</f>
        <v>0.70499999999999996</v>
      </c>
      <c r="E32" s="167">
        <f t="shared" si="1"/>
        <v>0.70282296</v>
      </c>
      <c r="F32" s="100">
        <f t="shared" si="0"/>
        <v>0.70282296</v>
      </c>
      <c r="G32" s="100">
        <f t="shared" si="2"/>
        <v>0</v>
      </c>
      <c r="H32" s="100">
        <f t="shared" si="3"/>
        <v>5.8495565329449173</v>
      </c>
      <c r="I32" s="100">
        <f t="shared" si="4"/>
        <v>0.48468994765364565</v>
      </c>
      <c r="J32" s="135">
        <f t="shared" si="5"/>
        <v>0.32312663176909706</v>
      </c>
    </row>
    <row r="33" spans="2:10">
      <c r="B33" s="424">
        <f>Amnt_Deposited!B25</f>
        <v>1964</v>
      </c>
      <c r="C33" s="422">
        <f>IF(Select2=1,Amnt_Deposited!F25,(Amnt_Deposited!F25+Amnt_Deposited!L25*Parameters!$E$50))</f>
        <v>23.184000000000001</v>
      </c>
      <c r="D33" s="499">
        <f>MCF!X32</f>
        <v>0.70499999999999996</v>
      </c>
      <c r="E33" s="167">
        <f t="shared" si="1"/>
        <v>0.70282296</v>
      </c>
      <c r="F33" s="100">
        <f t="shared" si="0"/>
        <v>0.70282296</v>
      </c>
      <c r="G33" s="100">
        <f t="shared" si="2"/>
        <v>0</v>
      </c>
      <c r="H33" s="100">
        <f t="shared" si="3"/>
        <v>6.0489150954654045</v>
      </c>
      <c r="I33" s="100">
        <f t="shared" si="4"/>
        <v>0.50346439747951288</v>
      </c>
      <c r="J33" s="135">
        <f t="shared" si="5"/>
        <v>0.33564293165300857</v>
      </c>
    </row>
    <row r="34" spans="2:10">
      <c r="B34" s="424">
        <f>Amnt_Deposited!B26</f>
        <v>1965</v>
      </c>
      <c r="C34" s="422">
        <f>IF(Select2=1,Amnt_Deposited!F26,(Amnt_Deposited!F26+Amnt_Deposited!L26*Parameters!$E$50))</f>
        <v>23.184000000000001</v>
      </c>
      <c r="D34" s="499">
        <f>MCF!X33</f>
        <v>0.70499999999999996</v>
      </c>
      <c r="E34" s="167">
        <f t="shared" si="1"/>
        <v>0.70282296</v>
      </c>
      <c r="F34" s="100">
        <f t="shared" si="0"/>
        <v>0.70282296</v>
      </c>
      <c r="G34" s="100">
        <f t="shared" si="2"/>
        <v>0</v>
      </c>
      <c r="H34" s="100">
        <f t="shared" si="3"/>
        <v>6.2311151028037211</v>
      </c>
      <c r="I34" s="100">
        <f t="shared" si="4"/>
        <v>0.52062295266168301</v>
      </c>
      <c r="J34" s="135">
        <f t="shared" si="5"/>
        <v>0.34708196844112199</v>
      </c>
    </row>
    <row r="35" spans="2:10">
      <c r="B35" s="424">
        <f>Amnt_Deposited!B27</f>
        <v>1966</v>
      </c>
      <c r="C35" s="422">
        <f>IF(Select2=1,Amnt_Deposited!F27,(Amnt_Deposited!F27+Amnt_Deposited!L27*Parameters!$E$50))</f>
        <v>23.184000000000001</v>
      </c>
      <c r="D35" s="499">
        <f>MCF!X34</f>
        <v>0.70499999999999996</v>
      </c>
      <c r="E35" s="167">
        <f t="shared" si="1"/>
        <v>0.70282296</v>
      </c>
      <c r="F35" s="100">
        <f t="shared" si="0"/>
        <v>0.70282296</v>
      </c>
      <c r="G35" s="100">
        <f t="shared" si="2"/>
        <v>0</v>
      </c>
      <c r="H35" s="100">
        <f t="shared" si="3"/>
        <v>6.3976333714668554</v>
      </c>
      <c r="I35" s="100">
        <f t="shared" si="4"/>
        <v>0.53630469133686542</v>
      </c>
      <c r="J35" s="135">
        <f t="shared" si="5"/>
        <v>0.35753646089124358</v>
      </c>
    </row>
    <row r="36" spans="2:10">
      <c r="B36" s="424">
        <f>Amnt_Deposited!B28</f>
        <v>1967</v>
      </c>
      <c r="C36" s="422">
        <f>IF(Select2=1,Amnt_Deposited!F28,(Amnt_Deposited!F28+Amnt_Deposited!L28*Parameters!$E$50))</f>
        <v>23.184000000000001</v>
      </c>
      <c r="D36" s="499">
        <f>MCF!X35</f>
        <v>0.70499999999999996</v>
      </c>
      <c r="E36" s="167">
        <f t="shared" si="1"/>
        <v>0.70282296</v>
      </c>
      <c r="F36" s="100">
        <f t="shared" si="0"/>
        <v>0.70282296</v>
      </c>
      <c r="G36" s="100">
        <f t="shared" si="2"/>
        <v>0</v>
      </c>
      <c r="H36" s="100">
        <f t="shared" si="3"/>
        <v>6.5498196101154669</v>
      </c>
      <c r="I36" s="100">
        <f t="shared" si="4"/>
        <v>0.55063672135138853</v>
      </c>
      <c r="J36" s="135">
        <f t="shared" si="5"/>
        <v>0.36709114756759231</v>
      </c>
    </row>
    <row r="37" spans="2:10">
      <c r="B37" s="424">
        <f>Amnt_Deposited!B29</f>
        <v>1968</v>
      </c>
      <c r="C37" s="422">
        <f>IF(Select2=1,Amnt_Deposited!F29,(Amnt_Deposited!F29+Amnt_Deposited!L29*Parameters!$E$50))</f>
        <v>23.184000000000001</v>
      </c>
      <c r="D37" s="499">
        <f>MCF!X36</f>
        <v>0.70499999999999996</v>
      </c>
      <c r="E37" s="167">
        <f t="shared" si="1"/>
        <v>0.70282296</v>
      </c>
      <c r="F37" s="100">
        <f t="shared" si="0"/>
        <v>0.70282296</v>
      </c>
      <c r="G37" s="100">
        <f t="shared" si="2"/>
        <v>0</v>
      </c>
      <c r="H37" s="100">
        <f t="shared" si="3"/>
        <v>6.6889073595855617</v>
      </c>
      <c r="I37" s="100">
        <f t="shared" si="4"/>
        <v>0.56373521052990461</v>
      </c>
      <c r="J37" s="135">
        <f t="shared" si="5"/>
        <v>0.37582347368660307</v>
      </c>
    </row>
    <row r="38" spans="2:10">
      <c r="B38" s="424">
        <f>Amnt_Deposited!B30</f>
        <v>1969</v>
      </c>
      <c r="C38" s="422">
        <f>IF(Select2=1,Amnt_Deposited!F30,(Amnt_Deposited!F30+Amnt_Deposited!L30*Parameters!$E$50))</f>
        <v>23.184000000000001</v>
      </c>
      <c r="D38" s="499">
        <f>MCF!X37</f>
        <v>0.70499999999999996</v>
      </c>
      <c r="E38" s="167">
        <f t="shared" si="1"/>
        <v>0.70282296</v>
      </c>
      <c r="F38" s="100">
        <f t="shared" si="0"/>
        <v>0.70282296</v>
      </c>
      <c r="G38" s="100">
        <f t="shared" si="2"/>
        <v>0</v>
      </c>
      <c r="H38" s="100">
        <f t="shared" si="3"/>
        <v>6.8160239913154737</v>
      </c>
      <c r="I38" s="100">
        <f t="shared" si="4"/>
        <v>0.57570632827008794</v>
      </c>
      <c r="J38" s="135">
        <f t="shared" si="5"/>
        <v>0.38380421884672528</v>
      </c>
    </row>
    <row r="39" spans="2:10">
      <c r="B39" s="424">
        <f>Amnt_Deposited!B31</f>
        <v>1970</v>
      </c>
      <c r="C39" s="422">
        <f>IF(Select2=1,Amnt_Deposited!F31,(Amnt_Deposited!F31+Amnt_Deposited!L31*Parameters!$E$50))</f>
        <v>23.184000000000001</v>
      </c>
      <c r="D39" s="499">
        <f>MCF!X38</f>
        <v>0.70499999999999996</v>
      </c>
      <c r="E39" s="167">
        <f t="shared" si="1"/>
        <v>0.70282296</v>
      </c>
      <c r="F39" s="100">
        <f t="shared" si="0"/>
        <v>0.70282296</v>
      </c>
      <c r="G39" s="100">
        <f t="shared" si="2"/>
        <v>0</v>
      </c>
      <c r="H39" s="100">
        <f t="shared" si="3"/>
        <v>6.9321998452200777</v>
      </c>
      <c r="I39" s="100">
        <f t="shared" si="4"/>
        <v>0.58664710609539528</v>
      </c>
      <c r="J39" s="135">
        <f t="shared" si="5"/>
        <v>0.39109807073026348</v>
      </c>
    </row>
    <row r="40" spans="2:10">
      <c r="B40" s="424">
        <f>Amnt_Deposited!B32</f>
        <v>1971</v>
      </c>
      <c r="C40" s="422">
        <f>IF(Select2=1,Amnt_Deposited!F32,(Amnt_Deposited!F32+Amnt_Deposited!L32*Parameters!$E$50))</f>
        <v>23.184000000000001</v>
      </c>
      <c r="D40" s="499">
        <f>MCF!X39</f>
        <v>0.70499999999999996</v>
      </c>
      <c r="E40" s="167">
        <f t="shared" si="1"/>
        <v>0.70282296</v>
      </c>
      <c r="F40" s="100">
        <f t="shared" si="0"/>
        <v>0.70282296</v>
      </c>
      <c r="G40" s="100">
        <f t="shared" si="2"/>
        <v>0</v>
      </c>
      <c r="H40" s="100">
        <f t="shared" si="3"/>
        <v>7.0383765810790102</v>
      </c>
      <c r="I40" s="100">
        <f t="shared" si="4"/>
        <v>0.59664622414106749</v>
      </c>
      <c r="J40" s="135">
        <f t="shared" si="5"/>
        <v>0.39776414942737831</v>
      </c>
    </row>
    <row r="41" spans="2:10">
      <c r="B41" s="424">
        <f>Amnt_Deposited!B33</f>
        <v>1972</v>
      </c>
      <c r="C41" s="422">
        <f>IF(Select2=1,Amnt_Deposited!F33,(Amnt_Deposited!F33+Amnt_Deposited!L33*Parameters!$E$50))</f>
        <v>23.184000000000001</v>
      </c>
      <c r="D41" s="499">
        <f>MCF!X40</f>
        <v>0.70499999999999996</v>
      </c>
      <c r="E41" s="167">
        <f t="shared" si="1"/>
        <v>0.70282296</v>
      </c>
      <c r="F41" s="100">
        <f t="shared" si="0"/>
        <v>0.70282296</v>
      </c>
      <c r="G41" s="100">
        <f t="shared" si="2"/>
        <v>0</v>
      </c>
      <c r="H41" s="100">
        <f t="shared" si="3"/>
        <v>7.1354148111307945</v>
      </c>
      <c r="I41" s="100">
        <f t="shared" si="4"/>
        <v>0.60578472994821575</v>
      </c>
      <c r="J41" s="135">
        <f t="shared" si="5"/>
        <v>0.4038564866321438</v>
      </c>
    </row>
    <row r="42" spans="2:10">
      <c r="B42" s="424">
        <f>Amnt_Deposited!B34</f>
        <v>1973</v>
      </c>
      <c r="C42" s="422">
        <f>IF(Select2=1,Amnt_Deposited!F34,(Amnt_Deposited!F34+Amnt_Deposited!L34*Parameters!$E$50))</f>
        <v>23.184000000000001</v>
      </c>
      <c r="D42" s="499">
        <f>MCF!X41</f>
        <v>0.70499999999999996</v>
      </c>
      <c r="E42" s="167">
        <f t="shared" si="1"/>
        <v>0.70282296</v>
      </c>
      <c r="F42" s="100">
        <f t="shared" si="0"/>
        <v>0.70282296</v>
      </c>
      <c r="G42" s="100">
        <f t="shared" si="2"/>
        <v>0</v>
      </c>
      <c r="H42" s="100">
        <f t="shared" si="3"/>
        <v>7.2241010757386439</v>
      </c>
      <c r="I42" s="100">
        <f t="shared" si="4"/>
        <v>0.61413669539215066</v>
      </c>
      <c r="J42" s="135">
        <f t="shared" si="5"/>
        <v>0.40942446359476709</v>
      </c>
    </row>
    <row r="43" spans="2:10">
      <c r="B43" s="424">
        <f>Amnt_Deposited!B35</f>
        <v>1974</v>
      </c>
      <c r="C43" s="422">
        <f>IF(Select2=1,Amnt_Deposited!F35,(Amnt_Deposited!F35+Amnt_Deposited!L35*Parameters!$E$50))</f>
        <v>23.184000000000001</v>
      </c>
      <c r="D43" s="499">
        <f>MCF!X42</f>
        <v>0.70499999999999996</v>
      </c>
      <c r="E43" s="167">
        <f t="shared" si="1"/>
        <v>0.70282296</v>
      </c>
      <c r="F43" s="100">
        <f t="shared" si="0"/>
        <v>0.70282296</v>
      </c>
      <c r="G43" s="100">
        <f t="shared" si="2"/>
        <v>0</v>
      </c>
      <c r="H43" s="100">
        <f t="shared" si="3"/>
        <v>7.3051542186689735</v>
      </c>
      <c r="I43" s="100">
        <f t="shared" si="4"/>
        <v>0.62176981706967049</v>
      </c>
      <c r="J43" s="135">
        <f t="shared" si="5"/>
        <v>0.41451321137978031</v>
      </c>
    </row>
    <row r="44" spans="2:10">
      <c r="B44" s="424">
        <f>Amnt_Deposited!B36</f>
        <v>1975</v>
      </c>
      <c r="C44" s="422">
        <f>IF(Select2=1,Amnt_Deposited!F36,(Amnt_Deposited!F36+Amnt_Deposited!L36*Parameters!$E$50))</f>
        <v>23.184000000000001</v>
      </c>
      <c r="D44" s="499">
        <f>MCF!X43</f>
        <v>0.70499999999999996</v>
      </c>
      <c r="E44" s="167">
        <f t="shared" si="1"/>
        <v>0.70282296</v>
      </c>
      <c r="F44" s="100">
        <f t="shared" si="0"/>
        <v>0.70282296</v>
      </c>
      <c r="G44" s="100">
        <f t="shared" si="2"/>
        <v>0</v>
      </c>
      <c r="H44" s="100">
        <f t="shared" si="3"/>
        <v>7.3792312136572473</v>
      </c>
      <c r="I44" s="100">
        <f t="shared" si="4"/>
        <v>0.62874596501172575</v>
      </c>
      <c r="J44" s="135">
        <f t="shared" si="5"/>
        <v>0.4191639766744838</v>
      </c>
    </row>
    <row r="45" spans="2:10">
      <c r="B45" s="424">
        <f>Amnt_Deposited!B37</f>
        <v>1976</v>
      </c>
      <c r="C45" s="422">
        <f>IF(Select2=1,Amnt_Deposited!F37,(Amnt_Deposited!F37+Amnt_Deposited!L37*Parameters!$E$50))</f>
        <v>23.184000000000001</v>
      </c>
      <c r="D45" s="499">
        <f>MCF!X44</f>
        <v>0.70499999999999996</v>
      </c>
      <c r="E45" s="167">
        <f t="shared" si="1"/>
        <v>0.70282296</v>
      </c>
      <c r="F45" s="100">
        <f t="shared" si="0"/>
        <v>0.70282296</v>
      </c>
      <c r="G45" s="100">
        <f t="shared" si="2"/>
        <v>0</v>
      </c>
      <c r="H45" s="100">
        <f t="shared" si="3"/>
        <v>7.4469324894882112</v>
      </c>
      <c r="I45" s="100">
        <f t="shared" si="4"/>
        <v>0.63512168416903558</v>
      </c>
      <c r="J45" s="135">
        <f t="shared" si="5"/>
        <v>0.42341445611269035</v>
      </c>
    </row>
    <row r="46" spans="2:10">
      <c r="B46" s="424">
        <f>Amnt_Deposited!B38</f>
        <v>1977</v>
      </c>
      <c r="C46" s="422">
        <f>IF(Select2=1,Amnt_Deposited!F38,(Amnt_Deposited!F38+Amnt_Deposited!L38*Parameters!$E$50))</f>
        <v>23.184000000000001</v>
      </c>
      <c r="D46" s="499">
        <f>MCF!X45</f>
        <v>0.70499999999999996</v>
      </c>
      <c r="E46" s="167">
        <f t="shared" si="1"/>
        <v>0.70282296</v>
      </c>
      <c r="F46" s="100">
        <f t="shared" si="0"/>
        <v>0.70282296</v>
      </c>
      <c r="G46" s="100">
        <f t="shared" si="2"/>
        <v>0</v>
      </c>
      <c r="H46" s="100">
        <f t="shared" si="3"/>
        <v>7.5088067967527783</v>
      </c>
      <c r="I46" s="100">
        <f t="shared" si="4"/>
        <v>0.64094865273543233</v>
      </c>
      <c r="J46" s="135">
        <f t="shared" si="5"/>
        <v>0.42729910182362152</v>
      </c>
    </row>
    <row r="47" spans="2:10">
      <c r="B47" s="424">
        <f>Amnt_Deposited!B39</f>
        <v>1978</v>
      </c>
      <c r="C47" s="422">
        <f>IF(Select2=1,Amnt_Deposited!F39,(Amnt_Deposited!F39+Amnt_Deposited!L39*Parameters!$E$50))</f>
        <v>23.184000000000001</v>
      </c>
      <c r="D47" s="499">
        <f>MCF!X46</f>
        <v>0.70499999999999996</v>
      </c>
      <c r="E47" s="167">
        <f t="shared" si="1"/>
        <v>0.70282296</v>
      </c>
      <c r="F47" s="100">
        <f t="shared" si="0"/>
        <v>0.70282296</v>
      </c>
      <c r="G47" s="100">
        <f t="shared" si="2"/>
        <v>0</v>
      </c>
      <c r="H47" s="100">
        <f t="shared" si="3"/>
        <v>7.5653556557289203</v>
      </c>
      <c r="I47" s="100">
        <f t="shared" si="4"/>
        <v>0.64627410102385741</v>
      </c>
      <c r="J47" s="135">
        <f t="shared" si="5"/>
        <v>0.4308494006825716</v>
      </c>
    </row>
    <row r="48" spans="2:10">
      <c r="B48" s="424">
        <f>Amnt_Deposited!B40</f>
        <v>1979</v>
      </c>
      <c r="C48" s="422">
        <f>IF(Select2=1,Amnt_Deposited!F40,(Amnt_Deposited!F40+Amnt_Deposited!L40*Parameters!$E$50))</f>
        <v>23.184000000000001</v>
      </c>
      <c r="D48" s="499">
        <f>MCF!X47</f>
        <v>0.70499999999999996</v>
      </c>
      <c r="E48" s="167">
        <f t="shared" si="1"/>
        <v>0.70282296</v>
      </c>
      <c r="F48" s="100">
        <f t="shared" si="0"/>
        <v>0.70282296</v>
      </c>
      <c r="G48" s="100">
        <f t="shared" si="2"/>
        <v>0</v>
      </c>
      <c r="H48" s="100">
        <f t="shared" si="3"/>
        <v>7.617037421438722</v>
      </c>
      <c r="I48" s="100">
        <f t="shared" si="4"/>
        <v>0.65114119429019846</v>
      </c>
      <c r="J48" s="135">
        <f t="shared" si="5"/>
        <v>0.43409412952679893</v>
      </c>
    </row>
    <row r="49" spans="2:10">
      <c r="B49" s="424">
        <f>Amnt_Deposited!B41</f>
        <v>1980</v>
      </c>
      <c r="C49" s="422">
        <f>IF(Select2=1,Amnt_Deposited!F41,(Amnt_Deposited!F41+Amnt_Deposited!L41*Parameters!$E$50))</f>
        <v>23.184000000000001</v>
      </c>
      <c r="D49" s="499">
        <f>MCF!X48</f>
        <v>0.70499999999999996</v>
      </c>
      <c r="E49" s="167">
        <f t="shared" si="1"/>
        <v>0.70282296</v>
      </c>
      <c r="F49" s="100">
        <f t="shared" si="0"/>
        <v>0.70282296</v>
      </c>
      <c r="G49" s="100">
        <f t="shared" si="2"/>
        <v>0</v>
      </c>
      <c r="H49" s="100">
        <f t="shared" si="3"/>
        <v>7.6642709988307907</v>
      </c>
      <c r="I49" s="100">
        <f t="shared" si="4"/>
        <v>0.6555893826079312</v>
      </c>
      <c r="J49" s="135">
        <f t="shared" si="5"/>
        <v>0.43705958840528747</v>
      </c>
    </row>
    <row r="50" spans="2:10">
      <c r="B50" s="424">
        <f>Amnt_Deposited!B42</f>
        <v>1981</v>
      </c>
      <c r="C50" s="422">
        <f>IF(Select2=1,Amnt_Deposited!F42,(Amnt_Deposited!F42+Amnt_Deposited!L42*Parameters!$E$50))</f>
        <v>23.184000000000001</v>
      </c>
      <c r="D50" s="499">
        <f>MCF!X49</f>
        <v>0.70499999999999996</v>
      </c>
      <c r="E50" s="167">
        <f t="shared" si="1"/>
        <v>0.70282296</v>
      </c>
      <c r="F50" s="100">
        <f t="shared" si="0"/>
        <v>0.70282296</v>
      </c>
      <c r="G50" s="100">
        <f t="shared" si="2"/>
        <v>0</v>
      </c>
      <c r="H50" s="100">
        <f t="shared" si="3"/>
        <v>7.7074392382013244</v>
      </c>
      <c r="I50" s="100">
        <f t="shared" si="4"/>
        <v>0.65965472062946617</v>
      </c>
      <c r="J50" s="135">
        <f t="shared" si="5"/>
        <v>0.43976981375297741</v>
      </c>
    </row>
    <row r="51" spans="2:10">
      <c r="B51" s="424">
        <f>Amnt_Deposited!B43</f>
        <v>1982</v>
      </c>
      <c r="C51" s="422">
        <f>IF(Select2=1,Amnt_Deposited!F43,(Amnt_Deposited!F43+Amnt_Deposited!L43*Parameters!$E$50))</f>
        <v>23.184000000000001</v>
      </c>
      <c r="D51" s="499">
        <f>MCF!X50</f>
        <v>0.70499999999999996</v>
      </c>
      <c r="E51" s="167">
        <f t="shared" si="1"/>
        <v>0.70282296</v>
      </c>
      <c r="F51" s="100">
        <f t="shared" si="0"/>
        <v>0.70282296</v>
      </c>
      <c r="G51" s="100">
        <f t="shared" si="2"/>
        <v>0</v>
      </c>
      <c r="H51" s="100">
        <f t="shared" si="3"/>
        <v>7.7468920383753082</v>
      </c>
      <c r="I51" s="100">
        <f t="shared" si="4"/>
        <v>0.66337015982601599</v>
      </c>
      <c r="J51" s="135">
        <f t="shared" si="5"/>
        <v>0.44224677321734396</v>
      </c>
    </row>
    <row r="52" spans="2:10">
      <c r="B52" s="424">
        <f>Amnt_Deposited!B44</f>
        <v>1983</v>
      </c>
      <c r="C52" s="422">
        <f>IF(Select2=1,Amnt_Deposited!F44,(Amnt_Deposited!F44+Amnt_Deposited!L44*Parameters!$E$50))</f>
        <v>23.184000000000001</v>
      </c>
      <c r="D52" s="499">
        <f>MCF!X51</f>
        <v>0.70499999999999996</v>
      </c>
      <c r="E52" s="167">
        <f t="shared" si="1"/>
        <v>0.70282296</v>
      </c>
      <c r="F52" s="100">
        <f t="shared" si="0"/>
        <v>0.70282296</v>
      </c>
      <c r="G52" s="100">
        <f t="shared" si="2"/>
        <v>0</v>
      </c>
      <c r="H52" s="100">
        <f t="shared" si="3"/>
        <v>7.7829491828005857</v>
      </c>
      <c r="I52" s="100">
        <f t="shared" si="4"/>
        <v>0.66676581557472181</v>
      </c>
      <c r="J52" s="135">
        <f t="shared" si="5"/>
        <v>0.44451054371648119</v>
      </c>
    </row>
    <row r="53" spans="2:10">
      <c r="B53" s="424">
        <f>Amnt_Deposited!B45</f>
        <v>1984</v>
      </c>
      <c r="C53" s="422">
        <f>IF(Select2=1,Amnt_Deposited!F45,(Amnt_Deposited!F45+Amnt_Deposited!L45*Parameters!$E$50))</f>
        <v>23.184000000000001</v>
      </c>
      <c r="D53" s="499">
        <f>MCF!X52</f>
        <v>0.70499999999999996</v>
      </c>
      <c r="E53" s="167">
        <f t="shared" si="1"/>
        <v>0.70282296</v>
      </c>
      <c r="F53" s="100">
        <f t="shared" si="0"/>
        <v>0.70282296</v>
      </c>
      <c r="G53" s="100">
        <f t="shared" si="2"/>
        <v>0</v>
      </c>
      <c r="H53" s="100">
        <f t="shared" si="3"/>
        <v>7.8159029315426762</v>
      </c>
      <c r="I53" s="100">
        <f t="shared" si="4"/>
        <v>0.66986921125790966</v>
      </c>
      <c r="J53" s="135">
        <f t="shared" si="5"/>
        <v>0.44657947417193977</v>
      </c>
    </row>
    <row r="54" spans="2:10">
      <c r="B54" s="424">
        <f>Amnt_Deposited!B46</f>
        <v>1985</v>
      </c>
      <c r="C54" s="422">
        <f>IF(Select2=1,Amnt_Deposited!F46,(Amnt_Deposited!F46+Amnt_Deposited!L46*Parameters!$E$50))</f>
        <v>23.184000000000001</v>
      </c>
      <c r="D54" s="499">
        <f>MCF!X53</f>
        <v>0.70499999999999996</v>
      </c>
      <c r="E54" s="167">
        <f t="shared" si="1"/>
        <v>0.70282296</v>
      </c>
      <c r="F54" s="100">
        <f t="shared" si="0"/>
        <v>0.70282296</v>
      </c>
      <c r="G54" s="100">
        <f t="shared" si="2"/>
        <v>0</v>
      </c>
      <c r="H54" s="100">
        <f t="shared" si="3"/>
        <v>7.8460203901896648</v>
      </c>
      <c r="I54" s="100">
        <f t="shared" si="4"/>
        <v>0.6727055013530111</v>
      </c>
      <c r="J54" s="135">
        <f t="shared" si="5"/>
        <v>0.44847033423534072</v>
      </c>
    </row>
    <row r="55" spans="2:10">
      <c r="B55" s="424">
        <f>Amnt_Deposited!B47</f>
        <v>1986</v>
      </c>
      <c r="C55" s="422">
        <f>IF(Select2=1,Amnt_Deposited!F47,(Amnt_Deposited!F47+Amnt_Deposited!L47*Parameters!$E$50))</f>
        <v>23.184000000000001</v>
      </c>
      <c r="D55" s="499">
        <f>MCF!X54</f>
        <v>0.70499999999999996</v>
      </c>
      <c r="E55" s="167">
        <f t="shared" si="1"/>
        <v>0.70282296</v>
      </c>
      <c r="F55" s="100">
        <f t="shared" si="0"/>
        <v>0.70282296</v>
      </c>
      <c r="G55" s="100">
        <f t="shared" si="2"/>
        <v>0</v>
      </c>
      <c r="H55" s="100">
        <f t="shared" si="3"/>
        <v>7.8735456748682644</v>
      </c>
      <c r="I55" s="100">
        <f t="shared" si="4"/>
        <v>0.67529767532140017</v>
      </c>
      <c r="J55" s="135">
        <f t="shared" si="5"/>
        <v>0.45019845021426674</v>
      </c>
    </row>
    <row r="56" spans="2:10">
      <c r="B56" s="424">
        <f>Amnt_Deposited!B48</f>
        <v>1987</v>
      </c>
      <c r="C56" s="422">
        <f>IF(Select2=1,Amnt_Deposited!F48,(Amnt_Deposited!F48+Amnt_Deposited!L48*Parameters!$E$50))</f>
        <v>23.184000000000001</v>
      </c>
      <c r="D56" s="499">
        <f>MCF!X55</f>
        <v>0.70499999999999996</v>
      </c>
      <c r="E56" s="167">
        <f t="shared" si="1"/>
        <v>0.70282296</v>
      </c>
      <c r="F56" s="100">
        <f t="shared" si="0"/>
        <v>0.70282296</v>
      </c>
      <c r="G56" s="100">
        <f t="shared" si="2"/>
        <v>0</v>
      </c>
      <c r="H56" s="100">
        <f t="shared" si="3"/>
        <v>7.8987018909195053</v>
      </c>
      <c r="I56" s="100">
        <f t="shared" si="4"/>
        <v>0.67766674394875925</v>
      </c>
      <c r="J56" s="135">
        <f t="shared" si="5"/>
        <v>0.45177782929917282</v>
      </c>
    </row>
    <row r="57" spans="2:10">
      <c r="B57" s="424">
        <f>Amnt_Deposited!B49</f>
        <v>1988</v>
      </c>
      <c r="C57" s="422">
        <f>IF(Select2=1,Amnt_Deposited!F49,(Amnt_Deposited!F49+Amnt_Deposited!L49*Parameters!$E$50))</f>
        <v>23.184000000000001</v>
      </c>
      <c r="D57" s="499">
        <f>MCF!X56</f>
        <v>0.70499999999999996</v>
      </c>
      <c r="E57" s="167">
        <f t="shared" si="1"/>
        <v>0.70282296</v>
      </c>
      <c r="F57" s="100">
        <f t="shared" si="0"/>
        <v>0.70282296</v>
      </c>
      <c r="G57" s="100">
        <f t="shared" si="2"/>
        <v>0</v>
      </c>
      <c r="H57" s="100">
        <f t="shared" si="3"/>
        <v>7.9216929412721546</v>
      </c>
      <c r="I57" s="100">
        <f t="shared" si="4"/>
        <v>0.67983190964735052</v>
      </c>
      <c r="J57" s="135">
        <f t="shared" si="5"/>
        <v>0.45322127309823368</v>
      </c>
    </row>
    <row r="58" spans="2:10">
      <c r="B58" s="424">
        <f>Amnt_Deposited!B50</f>
        <v>1989</v>
      </c>
      <c r="C58" s="422">
        <f>IF(Select2=1,Amnt_Deposited!F50,(Amnt_Deposited!F50+Amnt_Deposited!L50*Parameters!$E$50))</f>
        <v>23.184000000000001</v>
      </c>
      <c r="D58" s="499">
        <f>MCF!X57</f>
        <v>0.70499999999999996</v>
      </c>
      <c r="E58" s="167">
        <f t="shared" si="1"/>
        <v>0.70282296</v>
      </c>
      <c r="F58" s="100">
        <f t="shared" si="0"/>
        <v>0.70282296</v>
      </c>
      <c r="G58" s="100">
        <f t="shared" si="2"/>
        <v>0</v>
      </c>
      <c r="H58" s="100">
        <f t="shared" si="3"/>
        <v>7.9427051791715817</v>
      </c>
      <c r="I58" s="100">
        <f t="shared" si="4"/>
        <v>0.68181072210057259</v>
      </c>
      <c r="J58" s="135">
        <f t="shared" si="5"/>
        <v>0.45454048140038172</v>
      </c>
    </row>
    <row r="59" spans="2:10">
      <c r="B59" s="424">
        <f>Amnt_Deposited!B51</f>
        <v>1990</v>
      </c>
      <c r="C59" s="422">
        <f>IF(Select2=1,Amnt_Deposited!F51,(Amnt_Deposited!F51+Amnt_Deposited!L51*Parameters!$E$50))</f>
        <v>23.184000000000001</v>
      </c>
      <c r="D59" s="499">
        <f>MCF!X58</f>
        <v>0.70499999999999996</v>
      </c>
      <c r="E59" s="167">
        <f t="shared" si="1"/>
        <v>0.70282296</v>
      </c>
      <c r="F59" s="100">
        <f t="shared" si="0"/>
        <v>0.70282296</v>
      </c>
      <c r="G59" s="100">
        <f t="shared" si="2"/>
        <v>0</v>
      </c>
      <c r="H59" s="100">
        <f t="shared" si="3"/>
        <v>7.9619089186602059</v>
      </c>
      <c r="I59" s="100">
        <f t="shared" si="4"/>
        <v>0.68361922051137525</v>
      </c>
      <c r="J59" s="135">
        <f t="shared" si="5"/>
        <v>0.45574614700758348</v>
      </c>
    </row>
    <row r="60" spans="2:10">
      <c r="B60" s="424">
        <f>Amnt_Deposited!B52</f>
        <v>1991</v>
      </c>
      <c r="C60" s="422">
        <f>IF(Select2=1,Amnt_Deposited!F52,(Amnt_Deposited!F52+Amnt_Deposited!L52*Parameters!$E$50))</f>
        <v>23.184000000000001</v>
      </c>
      <c r="D60" s="499">
        <f>MCF!X59</f>
        <v>0.70499999999999996</v>
      </c>
      <c r="E60" s="167">
        <f t="shared" si="1"/>
        <v>0.70282296</v>
      </c>
      <c r="F60" s="100">
        <f t="shared" si="0"/>
        <v>0.70282296</v>
      </c>
      <c r="G60" s="100">
        <f t="shared" si="2"/>
        <v>0</v>
      </c>
      <c r="H60" s="100">
        <f t="shared" si="3"/>
        <v>7.9794598150526843</v>
      </c>
      <c r="I60" s="100">
        <f t="shared" si="4"/>
        <v>0.68527206360752124</v>
      </c>
      <c r="J60" s="135">
        <f t="shared" si="5"/>
        <v>0.45684804240501414</v>
      </c>
    </row>
    <row r="61" spans="2:10">
      <c r="B61" s="424">
        <f>Amnt_Deposited!B53</f>
        <v>1992</v>
      </c>
      <c r="C61" s="422">
        <f>IF(Select2=1,Amnt_Deposited!F53,(Amnt_Deposited!F53+Amnt_Deposited!L53*Parameters!$E$50))</f>
        <v>23.184000000000001</v>
      </c>
      <c r="D61" s="499">
        <f>MCF!X60</f>
        <v>0.70499999999999996</v>
      </c>
      <c r="E61" s="167">
        <f t="shared" si="1"/>
        <v>0.70282296</v>
      </c>
      <c r="F61" s="100">
        <f t="shared" si="0"/>
        <v>0.70282296</v>
      </c>
      <c r="G61" s="100">
        <f t="shared" si="2"/>
        <v>0</v>
      </c>
      <c r="H61" s="100">
        <f t="shared" si="3"/>
        <v>7.9955001265952346</v>
      </c>
      <c r="I61" s="100">
        <f t="shared" si="4"/>
        <v>0.6867826484574493</v>
      </c>
      <c r="J61" s="135">
        <f t="shared" si="5"/>
        <v>0.45785509897163285</v>
      </c>
    </row>
    <row r="62" spans="2:10">
      <c r="B62" s="424">
        <f>Amnt_Deposited!B54</f>
        <v>1993</v>
      </c>
      <c r="C62" s="422">
        <f>IF(Select2=1,Amnt_Deposited!F54,(Amnt_Deposited!F54+Amnt_Deposited!L54*Parameters!$E$50))</f>
        <v>23.184000000000001</v>
      </c>
      <c r="D62" s="499">
        <f>MCF!X61</f>
        <v>0.70499999999999996</v>
      </c>
      <c r="E62" s="167">
        <f t="shared" si="1"/>
        <v>0.70282296</v>
      </c>
      <c r="F62" s="100">
        <f t="shared" si="0"/>
        <v>0.70282296</v>
      </c>
      <c r="G62" s="100">
        <f t="shared" si="2"/>
        <v>0</v>
      </c>
      <c r="H62" s="100">
        <f t="shared" si="3"/>
        <v>8.0101598675354371</v>
      </c>
      <c r="I62" s="100">
        <f t="shared" si="4"/>
        <v>0.68816321905979683</v>
      </c>
      <c r="J62" s="135">
        <f t="shared" si="5"/>
        <v>0.45877547937319785</v>
      </c>
    </row>
    <row r="63" spans="2:10">
      <c r="B63" s="424">
        <f>Amnt_Deposited!B55</f>
        <v>1994</v>
      </c>
      <c r="C63" s="422">
        <f>IF(Select2=1,Amnt_Deposited!F55,(Amnt_Deposited!F55+Amnt_Deposited!L55*Parameters!$E$50))</f>
        <v>23.184000000000001</v>
      </c>
      <c r="D63" s="499">
        <f>MCF!X62</f>
        <v>0.70499999999999996</v>
      </c>
      <c r="E63" s="167">
        <f t="shared" si="1"/>
        <v>0.70282296</v>
      </c>
      <c r="F63" s="100">
        <f t="shared" si="0"/>
        <v>0.70282296</v>
      </c>
      <c r="G63" s="100">
        <f t="shared" si="2"/>
        <v>0</v>
      </c>
      <c r="H63" s="100">
        <f t="shared" si="3"/>
        <v>8.0235578619486869</v>
      </c>
      <c r="I63" s="100">
        <f t="shared" si="4"/>
        <v>0.68942496558675093</v>
      </c>
      <c r="J63" s="135">
        <f t="shared" si="5"/>
        <v>0.45961664372450062</v>
      </c>
    </row>
    <row r="64" spans="2:10">
      <c r="B64" s="424">
        <f>Amnt_Deposited!B56</f>
        <v>1995</v>
      </c>
      <c r="C64" s="422">
        <f>IF(Select2=1,Amnt_Deposited!F56,(Amnt_Deposited!F56+Amnt_Deposited!L56*Parameters!$E$50))</f>
        <v>23.184000000000001</v>
      </c>
      <c r="D64" s="499">
        <f>MCF!X63</f>
        <v>0.70499999999999996</v>
      </c>
      <c r="E64" s="167">
        <f t="shared" si="1"/>
        <v>0.70282296</v>
      </c>
      <c r="F64" s="100">
        <f t="shared" si="0"/>
        <v>0.70282296</v>
      </c>
      <c r="G64" s="100">
        <f t="shared" si="2"/>
        <v>0</v>
      </c>
      <c r="H64" s="100">
        <f t="shared" si="3"/>
        <v>8.0358027068630449</v>
      </c>
      <c r="I64" s="100">
        <f t="shared" si="4"/>
        <v>0.69057811508564204</v>
      </c>
      <c r="J64" s="135">
        <f t="shared" si="5"/>
        <v>0.46038541005709466</v>
      </c>
    </row>
    <row r="65" spans="2:10">
      <c r="B65" s="424">
        <f>Amnt_Deposited!B57</f>
        <v>1996</v>
      </c>
      <c r="C65" s="422">
        <f>IF(Select2=1,Amnt_Deposited!F57,(Amnt_Deposited!F57+Amnt_Deposited!L57*Parameters!$E$50))</f>
        <v>23.184000000000001</v>
      </c>
      <c r="D65" s="499">
        <f>MCF!X64</f>
        <v>0.70499999999999996</v>
      </c>
      <c r="E65" s="167">
        <f t="shared" si="1"/>
        <v>0.70282296</v>
      </c>
      <c r="F65" s="100">
        <f t="shared" si="0"/>
        <v>0.70282296</v>
      </c>
      <c r="G65" s="100">
        <f t="shared" si="2"/>
        <v>0</v>
      </c>
      <c r="H65" s="100">
        <f t="shared" si="3"/>
        <v>8.0469936524890873</v>
      </c>
      <c r="I65" s="100">
        <f t="shared" si="4"/>
        <v>0.69163201437395849</v>
      </c>
      <c r="J65" s="135">
        <f t="shared" si="5"/>
        <v>0.46108800958263896</v>
      </c>
    </row>
    <row r="66" spans="2:10">
      <c r="B66" s="424">
        <f>Amnt_Deposited!B58</f>
        <v>1997</v>
      </c>
      <c r="C66" s="422">
        <f>IF(Select2=1,Amnt_Deposited!F58,(Amnt_Deposited!F58+Amnt_Deposited!L58*Parameters!$E$50))</f>
        <v>23.184000000000001</v>
      </c>
      <c r="D66" s="499">
        <f>MCF!X65</f>
        <v>0.70499999999999996</v>
      </c>
      <c r="E66" s="167">
        <f t="shared" si="1"/>
        <v>0.70282296</v>
      </c>
      <c r="F66" s="100">
        <f t="shared" si="0"/>
        <v>0.70282296</v>
      </c>
      <c r="G66" s="100">
        <f t="shared" si="2"/>
        <v>0</v>
      </c>
      <c r="H66" s="100">
        <f t="shared" si="3"/>
        <v>8.0572214066894006</v>
      </c>
      <c r="I66" s="100">
        <f t="shared" si="4"/>
        <v>0.69259520579968603</v>
      </c>
      <c r="J66" s="135">
        <f t="shared" si="5"/>
        <v>0.46173013719979067</v>
      </c>
    </row>
    <row r="67" spans="2:10">
      <c r="B67" s="424">
        <f>Amnt_Deposited!B59</f>
        <v>1998</v>
      </c>
      <c r="C67" s="422">
        <f>IF(Select2=1,Amnt_Deposited!F59,(Amnt_Deposited!F59+Amnt_Deposited!L59*Parameters!$E$50))</f>
        <v>23.184000000000001</v>
      </c>
      <c r="D67" s="499">
        <f>MCF!X66</f>
        <v>0.70499999999999996</v>
      </c>
      <c r="E67" s="167">
        <f t="shared" si="1"/>
        <v>0.70282296</v>
      </c>
      <c r="F67" s="100">
        <f t="shared" si="0"/>
        <v>0.70282296</v>
      </c>
      <c r="G67" s="100">
        <f t="shared" si="2"/>
        <v>0</v>
      </c>
      <c r="H67" s="100">
        <f t="shared" si="3"/>
        <v>8.0665688702083571</v>
      </c>
      <c r="I67" s="100">
        <f t="shared" si="4"/>
        <v>0.69347549648104423</v>
      </c>
      <c r="J67" s="135">
        <f t="shared" si="5"/>
        <v>0.46231699765402945</v>
      </c>
    </row>
    <row r="68" spans="2:10">
      <c r="B68" s="424">
        <f>Amnt_Deposited!B60</f>
        <v>1999</v>
      </c>
      <c r="C68" s="422">
        <f>IF(Select2=1,Amnt_Deposited!F60,(Amnt_Deposited!F60+Amnt_Deposited!L60*Parameters!$E$50))</f>
        <v>23.184000000000001</v>
      </c>
      <c r="D68" s="499">
        <f>MCF!X67</f>
        <v>0.70499999999999996</v>
      </c>
      <c r="E68" s="167">
        <f t="shared" si="1"/>
        <v>0.70282296</v>
      </c>
      <c r="F68" s="100">
        <f t="shared" si="0"/>
        <v>0.70282296</v>
      </c>
      <c r="G68" s="100">
        <f t="shared" si="2"/>
        <v>0</v>
      </c>
      <c r="H68" s="100">
        <f t="shared" si="3"/>
        <v>8.0751118086215161</v>
      </c>
      <c r="I68" s="100">
        <f t="shared" si="4"/>
        <v>0.69428002158684121</v>
      </c>
      <c r="J68" s="135">
        <f t="shared" si="5"/>
        <v>0.46285334772456077</v>
      </c>
    </row>
    <row r="69" spans="2:10">
      <c r="B69" s="424">
        <f>Amnt_Deposited!B61</f>
        <v>2000</v>
      </c>
      <c r="C69" s="422">
        <f>IF(Select2=1,Amnt_Deposited!F61,(Amnt_Deposited!F61+Amnt_Deposited!L61*Parameters!$E$50))</f>
        <v>23.184000000000001</v>
      </c>
      <c r="D69" s="499">
        <f>MCF!X68</f>
        <v>0.70499999999999996</v>
      </c>
      <c r="E69" s="167">
        <f t="shared" si="1"/>
        <v>0.70282296</v>
      </c>
      <c r="F69" s="100">
        <f t="shared" si="0"/>
        <v>0.70282296</v>
      </c>
      <c r="G69" s="100">
        <f t="shared" si="2"/>
        <v>0</v>
      </c>
      <c r="H69" s="100">
        <f t="shared" si="3"/>
        <v>8.0829194664511537</v>
      </c>
      <c r="I69" s="100">
        <f t="shared" si="4"/>
        <v>0.69501530217036278</v>
      </c>
      <c r="J69" s="135">
        <f t="shared" si="5"/>
        <v>0.46334353478024182</v>
      </c>
    </row>
    <row r="70" spans="2:10">
      <c r="B70" s="424">
        <f>Amnt_Deposited!B62</f>
        <v>2001</v>
      </c>
      <c r="C70" s="422">
        <f>IF(Select2=1,Amnt_Deposited!F62,(Amnt_Deposited!F62+Amnt_Deposited!L62*Parameters!$E$50))</f>
        <v>23.184000000000001</v>
      </c>
      <c r="D70" s="499">
        <f>MCF!X69</f>
        <v>0.70499999999999996</v>
      </c>
      <c r="E70" s="167">
        <f t="shared" si="1"/>
        <v>0.70282296</v>
      </c>
      <c r="F70" s="100">
        <f t="shared" si="0"/>
        <v>0.70282296</v>
      </c>
      <c r="G70" s="100">
        <f t="shared" si="2"/>
        <v>0</v>
      </c>
      <c r="H70" s="100">
        <f t="shared" si="3"/>
        <v>8.0900551284255862</v>
      </c>
      <c r="I70" s="100">
        <f t="shared" si="4"/>
        <v>0.6956872980255675</v>
      </c>
      <c r="J70" s="135">
        <f t="shared" si="5"/>
        <v>0.46379153201704498</v>
      </c>
    </row>
    <row r="71" spans="2:10">
      <c r="B71" s="424">
        <f>Amnt_Deposited!B63</f>
        <v>2002</v>
      </c>
      <c r="C71" s="422">
        <f>IF(Select2=1,Amnt_Deposited!F63,(Amnt_Deposited!F63+Amnt_Deposited!L63*Parameters!$E$50))</f>
        <v>23.184000000000001</v>
      </c>
      <c r="D71" s="499">
        <f>MCF!X70</f>
        <v>0.70499999999999996</v>
      </c>
      <c r="E71" s="167">
        <f t="shared" si="1"/>
        <v>0.70282296</v>
      </c>
      <c r="F71" s="100">
        <f t="shared" si="0"/>
        <v>0.70282296</v>
      </c>
      <c r="G71" s="100">
        <f t="shared" si="2"/>
        <v>0</v>
      </c>
      <c r="H71" s="100">
        <f t="shared" si="3"/>
        <v>8.0965766324315744</v>
      </c>
      <c r="I71" s="100">
        <f t="shared" si="4"/>
        <v>0.69630145599401205</v>
      </c>
      <c r="J71" s="135">
        <f t="shared" si="5"/>
        <v>0.46420097066267468</v>
      </c>
    </row>
    <row r="72" spans="2:10">
      <c r="B72" s="424">
        <f>Amnt_Deposited!B64</f>
        <v>2003</v>
      </c>
      <c r="C72" s="422">
        <f>IF(Select2=1,Amnt_Deposited!F64,(Amnt_Deposited!F64+Amnt_Deposited!L64*Parameters!$E$50))</f>
        <v>23.184000000000001</v>
      </c>
      <c r="D72" s="499">
        <f>MCF!X71</f>
        <v>0.70499999999999996</v>
      </c>
      <c r="E72" s="167">
        <f t="shared" si="1"/>
        <v>0.70282296</v>
      </c>
      <c r="F72" s="100">
        <f t="shared" si="0"/>
        <v>0.70282296</v>
      </c>
      <c r="G72" s="100">
        <f t="shared" si="2"/>
        <v>0</v>
      </c>
      <c r="H72" s="100">
        <f t="shared" si="3"/>
        <v>8.1025368383175191</v>
      </c>
      <c r="I72" s="100">
        <f t="shared" si="4"/>
        <v>0.6968627541140564</v>
      </c>
      <c r="J72" s="135">
        <f t="shared" si="5"/>
        <v>0.46457516940937094</v>
      </c>
    </row>
    <row r="73" spans="2:10">
      <c r="B73" s="424">
        <f>Amnt_Deposited!B65</f>
        <v>2004</v>
      </c>
      <c r="C73" s="422">
        <f>IF(Select2=1,Amnt_Deposited!F65,(Amnt_Deposited!F65+Amnt_Deposited!L65*Parameters!$E$50))</f>
        <v>23.184000000000001</v>
      </c>
      <c r="D73" s="499">
        <f>MCF!X72</f>
        <v>0.70499999999999996</v>
      </c>
      <c r="E73" s="167">
        <f t="shared" si="1"/>
        <v>0.70282296</v>
      </c>
      <c r="F73" s="100">
        <f t="shared" si="0"/>
        <v>0.70282296</v>
      </c>
      <c r="G73" s="100">
        <f t="shared" si="2"/>
        <v>0</v>
      </c>
      <c r="H73" s="100">
        <f t="shared" si="3"/>
        <v>8.1079840563473198</v>
      </c>
      <c r="I73" s="100">
        <f t="shared" si="4"/>
        <v>0.69737574197019914</v>
      </c>
      <c r="J73" s="135">
        <f t="shared" si="5"/>
        <v>0.46491716131346605</v>
      </c>
    </row>
    <row r="74" spans="2:10">
      <c r="B74" s="424">
        <f>Amnt_Deposited!B66</f>
        <v>2005</v>
      </c>
      <c r="C74" s="422">
        <f>IF(Select2=1,Amnt_Deposited!F66,(Amnt_Deposited!F66+Amnt_Deposited!L66*Parameters!$E$50))</f>
        <v>23.184000000000001</v>
      </c>
      <c r="D74" s="499">
        <f>MCF!X73</f>
        <v>0.70499999999999996</v>
      </c>
      <c r="E74" s="167">
        <f t="shared" si="1"/>
        <v>0.70282296</v>
      </c>
      <c r="F74" s="100">
        <f t="shared" si="0"/>
        <v>0.70282296</v>
      </c>
      <c r="G74" s="100">
        <f t="shared" si="2"/>
        <v>0</v>
      </c>
      <c r="H74" s="100">
        <f t="shared" si="3"/>
        <v>8.1129624387777266</v>
      </c>
      <c r="I74" s="100">
        <f t="shared" si="4"/>
        <v>0.69784457756959328</v>
      </c>
      <c r="J74" s="135">
        <f t="shared" si="5"/>
        <v>0.46522971837972882</v>
      </c>
    </row>
    <row r="75" spans="2:10">
      <c r="B75" s="424">
        <f>Amnt_Deposited!B67</f>
        <v>2006</v>
      </c>
      <c r="C75" s="422">
        <f>IF(Select2=1,Amnt_Deposited!F67,(Amnt_Deposited!F67+Amnt_Deposited!L67*Parameters!$E$50))</f>
        <v>23.184000000000001</v>
      </c>
      <c r="D75" s="499">
        <f>MCF!X74</f>
        <v>0.70499999999999996</v>
      </c>
      <c r="E75" s="167">
        <f t="shared" si="1"/>
        <v>0.70282296</v>
      </c>
      <c r="F75" s="100">
        <f t="shared" si="0"/>
        <v>0.70282296</v>
      </c>
      <c r="G75" s="100">
        <f t="shared" si="2"/>
        <v>0</v>
      </c>
      <c r="H75" s="100">
        <f t="shared" si="3"/>
        <v>8.117512337733082</v>
      </c>
      <c r="I75" s="100">
        <f t="shared" si="4"/>
        <v>0.69827306104464493</v>
      </c>
      <c r="J75" s="135">
        <f t="shared" si="5"/>
        <v>0.46551537402976328</v>
      </c>
    </row>
    <row r="76" spans="2:10">
      <c r="B76" s="424">
        <f>Amnt_Deposited!B68</f>
        <v>2007</v>
      </c>
      <c r="C76" s="422">
        <f>IF(Select2=1,Amnt_Deposited!F68,(Amnt_Deposited!F68+Amnt_Deposited!L68*Parameters!$E$50))</f>
        <v>23.184000000000001</v>
      </c>
      <c r="D76" s="499">
        <f>MCF!X75</f>
        <v>0.70499999999999996</v>
      </c>
      <c r="E76" s="167">
        <f t="shared" si="1"/>
        <v>0.70282296</v>
      </c>
      <c r="F76" s="100">
        <f t="shared" si="0"/>
        <v>0.70282296</v>
      </c>
      <c r="G76" s="100">
        <f t="shared" si="2"/>
        <v>0</v>
      </c>
      <c r="H76" s="100">
        <f t="shared" si="3"/>
        <v>8.1216706322782137</v>
      </c>
      <c r="I76" s="100">
        <f t="shared" si="4"/>
        <v>0.69866466545486805</v>
      </c>
      <c r="J76" s="135">
        <f t="shared" si="5"/>
        <v>0.46577644363657866</v>
      </c>
    </row>
    <row r="77" spans="2:10">
      <c r="B77" s="424">
        <f>Amnt_Deposited!B69</f>
        <v>2008</v>
      </c>
      <c r="C77" s="422">
        <f>IF(Select2=1,Amnt_Deposited!F69,(Amnt_Deposited!F69+Amnt_Deposited!L69*Parameters!$E$50))</f>
        <v>23.184000000000001</v>
      </c>
      <c r="D77" s="499">
        <f>MCF!X76</f>
        <v>0.70499999999999996</v>
      </c>
      <c r="E77" s="167">
        <f t="shared" si="1"/>
        <v>0.70282296</v>
      </c>
      <c r="F77" s="100">
        <f t="shared" si="0"/>
        <v>0.70282296</v>
      </c>
      <c r="G77" s="100">
        <f t="shared" si="2"/>
        <v>0</v>
      </c>
      <c r="H77" s="100">
        <f t="shared" si="3"/>
        <v>8.1254710273405539</v>
      </c>
      <c r="I77" s="100">
        <f t="shared" si="4"/>
        <v>0.69902256493766057</v>
      </c>
      <c r="J77" s="135">
        <f t="shared" si="5"/>
        <v>0.46601504329177368</v>
      </c>
    </row>
    <row r="78" spans="2:10">
      <c r="B78" s="424">
        <f>Amnt_Deposited!B70</f>
        <v>2009</v>
      </c>
      <c r="C78" s="422">
        <f>IF(Select2=1,Amnt_Deposited!F70,(Amnt_Deposited!F70+Amnt_Deposited!L70*Parameters!$E$50))</f>
        <v>23.184000000000001</v>
      </c>
      <c r="D78" s="499">
        <f>MCF!X77</f>
        <v>0.70499999999999996</v>
      </c>
      <c r="E78" s="167">
        <f t="shared" si="1"/>
        <v>0.70282296</v>
      </c>
      <c r="F78" s="100">
        <f t="shared" si="0"/>
        <v>0.70282296</v>
      </c>
      <c r="G78" s="100">
        <f t="shared" si="2"/>
        <v>0</v>
      </c>
      <c r="H78" s="100">
        <f t="shared" si="3"/>
        <v>8.1289443269043762</v>
      </c>
      <c r="I78" s="100">
        <f t="shared" si="4"/>
        <v>0.6993496604361773</v>
      </c>
      <c r="J78" s="135">
        <f t="shared" si="5"/>
        <v>0.46623310695745152</v>
      </c>
    </row>
    <row r="79" spans="2:10">
      <c r="B79" s="424">
        <f>Amnt_Deposited!B71</f>
        <v>2010</v>
      </c>
      <c r="C79" s="422">
        <f>IF(Select2=1,Amnt_Deposited!F71,(Amnt_Deposited!F71+Amnt_Deposited!L71*Parameters!$E$50))</f>
        <v>23.184000000000001</v>
      </c>
      <c r="D79" s="499">
        <f>MCF!X78</f>
        <v>0.70499999999999996</v>
      </c>
      <c r="E79" s="167">
        <f t="shared" si="1"/>
        <v>0.70282296</v>
      </c>
      <c r="F79" s="100">
        <f t="shared" si="0"/>
        <v>0.70282296</v>
      </c>
      <c r="G79" s="100">
        <f t="shared" si="2"/>
        <v>0</v>
      </c>
      <c r="H79" s="100">
        <f t="shared" si="3"/>
        <v>8.1321186836915427</v>
      </c>
      <c r="I79" s="100">
        <f t="shared" si="4"/>
        <v>0.69964860321283351</v>
      </c>
      <c r="J79" s="135">
        <f t="shared" si="5"/>
        <v>0.46643240214188897</v>
      </c>
    </row>
    <row r="80" spans="2:10">
      <c r="B80" s="424">
        <f>Amnt_Deposited!B72</f>
        <v>2011</v>
      </c>
      <c r="C80" s="422">
        <f>IF(Select2=1,Amnt_Deposited!F72,(Amnt_Deposited!F72+Amnt_Deposited!L72*Parameters!$E$50))</f>
        <v>23.184000000000001</v>
      </c>
      <c r="D80" s="499">
        <f>MCF!X79</f>
        <v>0.70499999999999996</v>
      </c>
      <c r="E80" s="167">
        <f t="shared" si="1"/>
        <v>0.70282296</v>
      </c>
      <c r="F80" s="100">
        <f t="shared" si="0"/>
        <v>0.70282296</v>
      </c>
      <c r="G80" s="100">
        <f t="shared" si="2"/>
        <v>0</v>
      </c>
      <c r="H80" s="100">
        <f t="shared" si="3"/>
        <v>8.1350198273525116</v>
      </c>
      <c r="I80" s="100">
        <f t="shared" si="4"/>
        <v>0.69992181633903106</v>
      </c>
      <c r="J80" s="135">
        <f t="shared" si="5"/>
        <v>0.46661454422602067</v>
      </c>
    </row>
    <row r="81" spans="2:10">
      <c r="B81" s="424">
        <f>Amnt_Deposited!B73</f>
        <v>2012</v>
      </c>
      <c r="C81" s="422">
        <f>IF(Select2=1,Amnt_Deposited!F73,(Amnt_Deposited!F73+Amnt_Deposited!L73*Parameters!$E$50))</f>
        <v>23.184000000000001</v>
      </c>
      <c r="D81" s="499">
        <f>MCF!X80</f>
        <v>0.70499999999999996</v>
      </c>
      <c r="E81" s="167">
        <f t="shared" si="1"/>
        <v>0.70282296</v>
      </c>
      <c r="F81" s="100">
        <f t="shared" si="0"/>
        <v>0.70282296</v>
      </c>
      <c r="G81" s="100">
        <f t="shared" si="2"/>
        <v>0</v>
      </c>
      <c r="H81" s="100">
        <f t="shared" si="3"/>
        <v>8.137671273017224</v>
      </c>
      <c r="I81" s="100">
        <f t="shared" si="4"/>
        <v>0.70017151433528857</v>
      </c>
      <c r="J81" s="135">
        <f t="shared" si="5"/>
        <v>0.46678100955685903</v>
      </c>
    </row>
    <row r="82" spans="2:10">
      <c r="B82" s="424">
        <f>Amnt_Deposited!B74</f>
        <v>2013</v>
      </c>
      <c r="C82" s="422">
        <f>IF(Select2=1,Amnt_Deposited!F74,(Amnt_Deposited!F74+Amnt_Deposited!L74*Parameters!$E$50))</f>
        <v>23.184000000000001</v>
      </c>
      <c r="D82" s="499">
        <f>MCF!X81</f>
        <v>0.70499999999999996</v>
      </c>
      <c r="E82" s="167">
        <f t="shared" si="1"/>
        <v>0.70282296</v>
      </c>
      <c r="F82" s="100">
        <f t="shared" si="0"/>
        <v>0.70282296</v>
      </c>
      <c r="G82" s="100">
        <f t="shared" si="2"/>
        <v>0</v>
      </c>
      <c r="H82" s="100">
        <f t="shared" si="3"/>
        <v>8.1400945118962564</v>
      </c>
      <c r="I82" s="100">
        <f t="shared" si="4"/>
        <v>0.70039972112096816</v>
      </c>
      <c r="J82" s="135">
        <f t="shared" si="5"/>
        <v>0.46693314741397873</v>
      </c>
    </row>
    <row r="83" spans="2:10">
      <c r="B83" s="424">
        <f>Amnt_Deposited!B75</f>
        <v>2014</v>
      </c>
      <c r="C83" s="422">
        <f>IF(Select2=1,Amnt_Deposited!F75,(Amnt_Deposited!F75+Amnt_Deposited!L75*Parameters!$E$50))</f>
        <v>23.184000000000001</v>
      </c>
      <c r="D83" s="499">
        <f>MCF!X82</f>
        <v>0.70499999999999996</v>
      </c>
      <c r="E83" s="167">
        <f t="shared" si="1"/>
        <v>0.70282296</v>
      </c>
      <c r="F83" s="100">
        <f t="shared" ref="F83:F99" si="6">E83*$I$12</f>
        <v>0.70282296</v>
      </c>
      <c r="G83" s="100">
        <f t="shared" si="2"/>
        <v>0</v>
      </c>
      <c r="H83" s="100">
        <f t="shared" si="3"/>
        <v>8.1423091854771652</v>
      </c>
      <c r="I83" s="100">
        <f t="shared" si="4"/>
        <v>0.70060828641909112</v>
      </c>
      <c r="J83" s="135">
        <f t="shared" si="5"/>
        <v>0.46707219094606073</v>
      </c>
    </row>
    <row r="84" spans="2:10">
      <c r="B84" s="424">
        <f>Amnt_Deposited!B76</f>
        <v>2015</v>
      </c>
      <c r="C84" s="422">
        <f>IF(Select2=1,Amnt_Deposited!F76,(Amnt_Deposited!F76+Amnt_Deposited!L76*Parameters!$E$50))</f>
        <v>23.184000000000001</v>
      </c>
      <c r="D84" s="499">
        <f>MCF!X83</f>
        <v>0.70499999999999996</v>
      </c>
      <c r="E84" s="167">
        <f t="shared" ref="E84:E99" si="7">C84*$I$6*$I$7*D84</f>
        <v>0.70282296</v>
      </c>
      <c r="F84" s="100">
        <f t="shared" si="6"/>
        <v>0.70282296</v>
      </c>
      <c r="G84" s="100">
        <f t="shared" ref="G84:G99" si="8">E84*(1-$I$12)</f>
        <v>0</v>
      </c>
      <c r="H84" s="100">
        <f t="shared" ref="H84:H99" si="9">F84+H83*$I$10</f>
        <v>8.1443332447279548</v>
      </c>
      <c r="I84" s="100">
        <f t="shared" ref="I84:I99" si="10">H83*(1-$I$10)+G84</f>
        <v>0.70079890074921103</v>
      </c>
      <c r="J84" s="135">
        <f t="shared" si="5"/>
        <v>0.46719926716614069</v>
      </c>
    </row>
    <row r="85" spans="2:10">
      <c r="B85" s="424">
        <f>Amnt_Deposited!B77</f>
        <v>2016</v>
      </c>
      <c r="C85" s="422">
        <f>IF(Select2=1,Amnt_Deposited!F77,(Amnt_Deposited!F77+Amnt_Deposited!L77*Parameters!$E$50))</f>
        <v>23.184000000000001</v>
      </c>
      <c r="D85" s="499">
        <f>MCF!X84</f>
        <v>0.70499999999999996</v>
      </c>
      <c r="E85" s="167">
        <f t="shared" si="7"/>
        <v>0.70282296</v>
      </c>
      <c r="F85" s="100">
        <f t="shared" si="6"/>
        <v>0.70282296</v>
      </c>
      <c r="G85" s="100">
        <f t="shared" si="8"/>
        <v>0</v>
      </c>
      <c r="H85" s="100">
        <f t="shared" si="9"/>
        <v>8.1461830955980883</v>
      </c>
      <c r="I85" s="100">
        <f t="shared" si="10"/>
        <v>0.70097310912986732</v>
      </c>
      <c r="J85" s="135">
        <f t="shared" ref="J85:J99" si="11">I85*CH4_fraction*conv</f>
        <v>0.46731540608657818</v>
      </c>
    </row>
    <row r="86" spans="2:10">
      <c r="B86" s="424">
        <f>Amnt_Deposited!B78</f>
        <v>2017</v>
      </c>
      <c r="C86" s="422">
        <f>IF(Select2=1,Amnt_Deposited!F78,(Amnt_Deposited!F78+Amnt_Deposited!L78*Parameters!$E$50))</f>
        <v>23.184000000000001</v>
      </c>
      <c r="D86" s="499">
        <f>MCF!X85</f>
        <v>0.70499999999999996</v>
      </c>
      <c r="E86" s="167">
        <f t="shared" si="7"/>
        <v>0.70282296</v>
      </c>
      <c r="F86" s="100">
        <f t="shared" si="6"/>
        <v>0.70282296</v>
      </c>
      <c r="G86" s="100">
        <f t="shared" si="8"/>
        <v>0</v>
      </c>
      <c r="H86" s="100">
        <f t="shared" si="9"/>
        <v>8.1478737319964036</v>
      </c>
      <c r="I86" s="100">
        <f t="shared" si="10"/>
        <v>0.70113232360168476</v>
      </c>
      <c r="J86" s="135">
        <f t="shared" si="11"/>
        <v>0.46742154906778982</v>
      </c>
    </row>
    <row r="87" spans="2:10">
      <c r="B87" s="424">
        <f>Amnt_Deposited!B79</f>
        <v>2018</v>
      </c>
      <c r="C87" s="422">
        <f>IF(Select2=1,Amnt_Deposited!F79,(Amnt_Deposited!F79+Amnt_Deposited!L79*Parameters!$E$50))</f>
        <v>23.184000000000001</v>
      </c>
      <c r="D87" s="499">
        <f>MCF!X86</f>
        <v>0.70499999999999996</v>
      </c>
      <c r="E87" s="167">
        <f t="shared" si="7"/>
        <v>0.70282296</v>
      </c>
      <c r="F87" s="100">
        <f t="shared" si="6"/>
        <v>0.70282296</v>
      </c>
      <c r="G87" s="100">
        <f t="shared" si="8"/>
        <v>0</v>
      </c>
      <c r="H87" s="100">
        <f t="shared" si="9"/>
        <v>8.1494188573237789</v>
      </c>
      <c r="I87" s="100">
        <f t="shared" si="10"/>
        <v>0.70127783467262506</v>
      </c>
      <c r="J87" s="135">
        <f t="shared" si="11"/>
        <v>0.46751855644841667</v>
      </c>
    </row>
    <row r="88" spans="2:10">
      <c r="B88" s="424">
        <f>Amnt_Deposited!B80</f>
        <v>2019</v>
      </c>
      <c r="C88" s="422">
        <f>IF(Select2=1,Amnt_Deposited!F80,(Amnt_Deposited!F80+Amnt_Deposited!L80*Parameters!$E$50))</f>
        <v>23.184000000000001</v>
      </c>
      <c r="D88" s="499">
        <f>MCF!X87</f>
        <v>0.70499999999999996</v>
      </c>
      <c r="E88" s="167">
        <f t="shared" si="7"/>
        <v>0.70282296</v>
      </c>
      <c r="F88" s="100">
        <f t="shared" si="6"/>
        <v>0.70282296</v>
      </c>
      <c r="G88" s="100">
        <f t="shared" si="8"/>
        <v>0</v>
      </c>
      <c r="H88" s="100">
        <f t="shared" si="9"/>
        <v>8.1508309955456202</v>
      </c>
      <c r="I88" s="100">
        <f t="shared" si="10"/>
        <v>0.70141082177815961</v>
      </c>
      <c r="J88" s="135">
        <f t="shared" si="11"/>
        <v>0.46760721451877307</v>
      </c>
    </row>
    <row r="89" spans="2:10">
      <c r="B89" s="424">
        <f>Amnt_Deposited!B81</f>
        <v>2020</v>
      </c>
      <c r="C89" s="422">
        <f>IF(Select2=1,Amnt_Deposited!F81,(Amnt_Deposited!F81+Amnt_Deposited!L81*Parameters!$E$50))</f>
        <v>23.184000000000001</v>
      </c>
      <c r="D89" s="499">
        <f>MCF!X88</f>
        <v>0.70499999999999996</v>
      </c>
      <c r="E89" s="167">
        <f t="shared" si="7"/>
        <v>0.70282296</v>
      </c>
      <c r="F89" s="100">
        <f t="shared" si="6"/>
        <v>0.70282296</v>
      </c>
      <c r="G89" s="100">
        <f t="shared" si="8"/>
        <v>0</v>
      </c>
      <c r="H89" s="100">
        <f t="shared" si="9"/>
        <v>8.1521215927044732</v>
      </c>
      <c r="I89" s="100">
        <f t="shared" si="10"/>
        <v>0.70153236284114673</v>
      </c>
      <c r="J89" s="135">
        <f t="shared" si="11"/>
        <v>0.4676882418940978</v>
      </c>
    </row>
    <row r="90" spans="2:10">
      <c r="B90" s="424">
        <f>Amnt_Deposited!B82</f>
        <v>2021</v>
      </c>
      <c r="C90" s="422">
        <f>IF(Select2=1,Amnt_Deposited!F82,(Amnt_Deposited!F82+Amnt_Deposited!L82*Parameters!$E$50))</f>
        <v>23.184000000000001</v>
      </c>
      <c r="D90" s="499">
        <f>MCF!X89</f>
        <v>0.70499999999999996</v>
      </c>
      <c r="E90" s="167">
        <f t="shared" si="7"/>
        <v>0.70282296</v>
      </c>
      <c r="F90" s="100">
        <f t="shared" si="6"/>
        <v>0.70282296</v>
      </c>
      <c r="G90" s="100">
        <f t="shared" si="8"/>
        <v>0</v>
      </c>
      <c r="H90" s="100">
        <f t="shared" si="9"/>
        <v>8.1533011096955725</v>
      </c>
      <c r="I90" s="100">
        <f t="shared" si="10"/>
        <v>0.70164344300890147</v>
      </c>
      <c r="J90" s="135">
        <f t="shared" si="11"/>
        <v>0.46776229533926761</v>
      </c>
    </row>
    <row r="91" spans="2:10">
      <c r="B91" s="424">
        <f>Amnt_Deposited!B83</f>
        <v>2022</v>
      </c>
      <c r="C91" s="422">
        <f>IF(Select2=1,Amnt_Deposited!F83,(Amnt_Deposited!F83+Amnt_Deposited!L83*Parameters!$E$50))</f>
        <v>23.184000000000001</v>
      </c>
      <c r="D91" s="499">
        <f>MCF!X90</f>
        <v>0.70499999999999996</v>
      </c>
      <c r="E91" s="167">
        <f t="shared" si="7"/>
        <v>0.70282296</v>
      </c>
      <c r="F91" s="100">
        <f t="shared" si="6"/>
        <v>0.70282296</v>
      </c>
      <c r="G91" s="100">
        <f t="shared" si="8"/>
        <v>0</v>
      </c>
      <c r="H91" s="100">
        <f t="shared" si="9"/>
        <v>8.1543791070572951</v>
      </c>
      <c r="I91" s="100">
        <f t="shared" si="10"/>
        <v>0.7017449626382779</v>
      </c>
      <c r="J91" s="135">
        <f t="shared" si="11"/>
        <v>0.46782997509218527</v>
      </c>
    </row>
    <row r="92" spans="2:10">
      <c r="B92" s="424">
        <f>Amnt_Deposited!B84</f>
        <v>2023</v>
      </c>
      <c r="C92" s="422">
        <f>IF(Select2=1,Amnt_Deposited!F84,(Amnt_Deposited!F84+Amnt_Deposited!L84*Parameters!$E$50))</f>
        <v>23.184000000000001</v>
      </c>
      <c r="D92" s="499">
        <f>MCF!X91</f>
        <v>0.70499999999999996</v>
      </c>
      <c r="E92" s="167">
        <f t="shared" si="7"/>
        <v>0.70282296</v>
      </c>
      <c r="F92" s="100">
        <f t="shared" si="6"/>
        <v>0.70282296</v>
      </c>
      <c r="G92" s="100">
        <f t="shared" si="8"/>
        <v>0</v>
      </c>
      <c r="H92" s="100">
        <f t="shared" si="9"/>
        <v>8.1553643224638126</v>
      </c>
      <c r="I92" s="100">
        <f t="shared" si="10"/>
        <v>0.70183774459348203</v>
      </c>
      <c r="J92" s="135">
        <f t="shared" si="11"/>
        <v>0.46789182972898802</v>
      </c>
    </row>
    <row r="93" spans="2:10">
      <c r="B93" s="424">
        <f>Amnt_Deposited!B85</f>
        <v>2024</v>
      </c>
      <c r="C93" s="422">
        <f>IF(Select2=1,Amnt_Deposited!F85,(Amnt_Deposited!F85+Amnt_Deposited!L85*Parameters!$E$50))</f>
        <v>23.184000000000001</v>
      </c>
      <c r="D93" s="499">
        <f>MCF!X92</f>
        <v>0.70499999999999996</v>
      </c>
      <c r="E93" s="167">
        <f t="shared" si="7"/>
        <v>0.70282296</v>
      </c>
      <c r="F93" s="100">
        <f t="shared" si="6"/>
        <v>0.70282296</v>
      </c>
      <c r="G93" s="100">
        <f t="shared" si="8"/>
        <v>0</v>
      </c>
      <c r="H93" s="100">
        <f t="shared" si="9"/>
        <v>8.1562647415480392</v>
      </c>
      <c r="I93" s="100">
        <f t="shared" si="10"/>
        <v>0.70192254091577355</v>
      </c>
      <c r="J93" s="135">
        <f t="shared" si="11"/>
        <v>0.4679483606105157</v>
      </c>
    </row>
    <row r="94" spans="2:10">
      <c r="B94" s="424">
        <f>Amnt_Deposited!B86</f>
        <v>2025</v>
      </c>
      <c r="C94" s="422">
        <f>IF(Select2=1,Amnt_Deposited!F86,(Amnt_Deposited!F86+Amnt_Deposited!L86*Parameters!$E$50))</f>
        <v>23.184000000000001</v>
      </c>
      <c r="D94" s="499">
        <f>MCF!X93</f>
        <v>0.70499999999999996</v>
      </c>
      <c r="E94" s="167">
        <f t="shared" si="7"/>
        <v>0.70282296</v>
      </c>
      <c r="F94" s="100">
        <f t="shared" si="6"/>
        <v>0.70282296</v>
      </c>
      <c r="G94" s="100">
        <f t="shared" si="8"/>
        <v>0</v>
      </c>
      <c r="H94" s="100">
        <f t="shared" si="9"/>
        <v>8.1570876626289266</v>
      </c>
      <c r="I94" s="100">
        <f t="shared" si="10"/>
        <v>0.70200003891911211</v>
      </c>
      <c r="J94" s="135">
        <f t="shared" si="11"/>
        <v>0.4680000259460747</v>
      </c>
    </row>
    <row r="95" spans="2:10">
      <c r="B95" s="424">
        <f>Amnt_Deposited!B87</f>
        <v>2026</v>
      </c>
      <c r="C95" s="422">
        <f>IF(Select2=1,Amnt_Deposited!F87,(Amnt_Deposited!F87+Amnt_Deposited!L87*Parameters!$E$50))</f>
        <v>23.184000000000001</v>
      </c>
      <c r="D95" s="499">
        <f>MCF!X94</f>
        <v>0.70499999999999996</v>
      </c>
      <c r="E95" s="167">
        <f t="shared" si="7"/>
        <v>0.70282296</v>
      </c>
      <c r="F95" s="100">
        <f t="shared" si="6"/>
        <v>0.70282296</v>
      </c>
      <c r="G95" s="100">
        <f t="shared" si="8"/>
        <v>0</v>
      </c>
      <c r="H95" s="100">
        <f t="shared" si="9"/>
        <v>8.1578397558677676</v>
      </c>
      <c r="I95" s="100">
        <f t="shared" si="10"/>
        <v>0.70207086676115937</v>
      </c>
      <c r="J95" s="135">
        <f t="shared" si="11"/>
        <v>0.46804724450743956</v>
      </c>
    </row>
    <row r="96" spans="2:10">
      <c r="B96" s="424">
        <f>Amnt_Deposited!B88</f>
        <v>2027</v>
      </c>
      <c r="C96" s="422">
        <f>IF(Select2=1,Amnt_Deposited!F88,(Amnt_Deposited!F88+Amnt_Deposited!L88*Parameters!$E$50))</f>
        <v>23.184000000000001</v>
      </c>
      <c r="D96" s="499">
        <f>MCF!X95</f>
        <v>0.70499999999999996</v>
      </c>
      <c r="E96" s="167">
        <f t="shared" si="7"/>
        <v>0.70282296</v>
      </c>
      <c r="F96" s="100">
        <f t="shared" si="6"/>
        <v>0.70282296</v>
      </c>
      <c r="G96" s="100">
        <f t="shared" si="8"/>
        <v>0</v>
      </c>
      <c r="H96" s="100">
        <f t="shared" si="9"/>
        <v>8.1585271173329765</v>
      </c>
      <c r="I96" s="100">
        <f t="shared" si="10"/>
        <v>0.70213559853479202</v>
      </c>
      <c r="J96" s="135">
        <f t="shared" si="11"/>
        <v>0.46809039902319466</v>
      </c>
    </row>
    <row r="97" spans="2:10">
      <c r="B97" s="424">
        <f>Amnt_Deposited!B89</f>
        <v>2028</v>
      </c>
      <c r="C97" s="422">
        <f>IF(Select2=1,Amnt_Deposited!F89,(Amnt_Deposited!F89+Amnt_Deposited!L89*Parameters!$E$50))</f>
        <v>23.184000000000001</v>
      </c>
      <c r="D97" s="499">
        <f>MCF!X96</f>
        <v>0.70499999999999996</v>
      </c>
      <c r="E97" s="167">
        <f t="shared" si="7"/>
        <v>0.70282296</v>
      </c>
      <c r="F97" s="100">
        <f t="shared" si="6"/>
        <v>0.70282296</v>
      </c>
      <c r="G97" s="100">
        <f t="shared" si="8"/>
        <v>0</v>
      </c>
      <c r="H97" s="100">
        <f t="shared" si="9"/>
        <v>8.1591553184115835</v>
      </c>
      <c r="I97" s="100">
        <f t="shared" si="10"/>
        <v>0.70219475892139271</v>
      </c>
      <c r="J97" s="135">
        <f t="shared" si="11"/>
        <v>0.46812983928092844</v>
      </c>
    </row>
    <row r="98" spans="2:10">
      <c r="B98" s="424">
        <f>Amnt_Deposited!B90</f>
        <v>2029</v>
      </c>
      <c r="C98" s="422">
        <f>IF(Select2=1,Amnt_Deposited!F90,(Amnt_Deposited!F90+Amnt_Deposited!L90*Parameters!$E$50))</f>
        <v>23.184000000000001</v>
      </c>
      <c r="D98" s="499">
        <f>MCF!X97</f>
        <v>0.70499999999999996</v>
      </c>
      <c r="E98" s="167">
        <f t="shared" si="7"/>
        <v>0.70282296</v>
      </c>
      <c r="F98" s="100">
        <f t="shared" si="6"/>
        <v>0.70282296</v>
      </c>
      <c r="G98" s="100">
        <f t="shared" si="8"/>
        <v>0</v>
      </c>
      <c r="H98" s="100">
        <f t="shared" si="9"/>
        <v>8.1597294509679443</v>
      </c>
      <c r="I98" s="100">
        <f t="shared" si="10"/>
        <v>0.70224882744363981</v>
      </c>
      <c r="J98" s="135">
        <f t="shared" si="11"/>
        <v>0.4681658849624265</v>
      </c>
    </row>
    <row r="99" spans="2:10" ht="13.8" thickBot="1">
      <c r="B99" s="425">
        <f>Amnt_Deposited!B91</f>
        <v>2030</v>
      </c>
      <c r="C99" s="136">
        <f>IF(Select2=1,Amnt_Deposited!F91,(Amnt_Deposited!F91+Amnt_Deposited!L91*Parameters!$E$50))</f>
        <v>23.184000000000001</v>
      </c>
      <c r="D99" s="500">
        <f>MCF!X98</f>
        <v>0.70499999999999996</v>
      </c>
      <c r="E99" s="167">
        <f t="shared" si="7"/>
        <v>0.70282296</v>
      </c>
      <c r="F99" s="101">
        <f t="shared" si="6"/>
        <v>0.70282296</v>
      </c>
      <c r="G99" s="101">
        <f t="shared" si="8"/>
        <v>0</v>
      </c>
      <c r="H99" s="101">
        <f t="shared" si="9"/>
        <v>8.1602541686156815</v>
      </c>
      <c r="I99" s="101">
        <f t="shared" si="10"/>
        <v>0.7022982423522629</v>
      </c>
      <c r="J99" s="137">
        <f t="shared" si="11"/>
        <v>0.46819882823484194</v>
      </c>
    </row>
  </sheetData>
  <phoneticPr fontId="17" type="noConversion"/>
  <pageMargins left="0.75" right="0.75" top="1" bottom="1" header="0.5" footer="0.5"/>
  <pageSetup paperSize="9" orientation="portrait" horizontalDpi="4294967293"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2:J99"/>
  <sheetViews>
    <sheetView showGridLines="0" workbookViewId="0">
      <selection activeCell="P16" sqref="P16"/>
    </sheetView>
  </sheetViews>
  <sheetFormatPr defaultColWidth="11.44140625" defaultRowHeight="13.2"/>
  <cols>
    <col min="1" max="1" width="3.44140625" style="6" customWidth="1"/>
    <col min="2" max="2" width="5.33203125" style="6" customWidth="1"/>
    <col min="3" max="3" width="9" style="6" customWidth="1"/>
    <col min="4" max="4" width="7.44140625" style="272" customWidth="1"/>
    <col min="5" max="6" width="10.6640625" style="6" customWidth="1"/>
    <col min="7" max="7" width="10.109375" style="6" customWidth="1"/>
    <col min="8" max="8" width="14.33203125" style="6" customWidth="1"/>
    <col min="9" max="9" width="11.44140625" style="6" customWidth="1"/>
    <col min="10" max="10" width="10.33203125" style="6" customWidth="1"/>
    <col min="11" max="16384" width="11.44140625" style="6"/>
  </cols>
  <sheetData>
    <row r="2" spans="1:10" ht="15.6">
      <c r="B2" s="80" t="s">
        <v>185</v>
      </c>
      <c r="C2" s="274"/>
      <c r="D2" s="275"/>
      <c r="E2" s="276"/>
      <c r="F2" s="276"/>
      <c r="G2" s="276"/>
      <c r="H2" s="276"/>
      <c r="I2" s="276"/>
      <c r="J2" s="276"/>
    </row>
    <row r="3" spans="1:10" ht="15">
      <c r="B3" s="174" t="str">
        <f>IF(Select2=2,"This sheet applies only to the waste compositon option and can be deleted when the bulk waste option has been chosen","")</f>
        <v>This sheet applies only to the waste compositon option and can be deleted when the bulk waste option has been chosen</v>
      </c>
      <c r="C3" s="274"/>
      <c r="D3" s="275"/>
      <c r="E3" s="276"/>
      <c r="F3" s="276"/>
      <c r="G3" s="276"/>
      <c r="H3" s="276"/>
      <c r="I3" s="276"/>
      <c r="J3" s="276"/>
    </row>
    <row r="4" spans="1:10" ht="16.2" thickBot="1">
      <c r="B4" s="4"/>
      <c r="C4" s="277"/>
      <c r="D4" s="278"/>
      <c r="E4" s="279"/>
      <c r="F4" s="279"/>
      <c r="G4" s="279"/>
      <c r="H4" s="279"/>
      <c r="I4" s="279"/>
      <c r="J4" s="279"/>
    </row>
    <row r="5" spans="1:10" ht="27" thickBot="1">
      <c r="B5" s="280"/>
      <c r="C5" s="281"/>
      <c r="D5" s="282"/>
      <c r="E5" s="266"/>
      <c r="F5" s="266"/>
      <c r="G5" s="266"/>
      <c r="H5" s="266"/>
      <c r="I5" s="150" t="s">
        <v>8</v>
      </c>
      <c r="J5" s="266"/>
    </row>
    <row r="6" spans="1:10">
      <c r="B6" s="280"/>
      <c r="C6" s="281"/>
      <c r="D6" s="143" t="s">
        <v>10</v>
      </c>
      <c r="E6" s="144"/>
      <c r="F6" s="144"/>
      <c r="G6" s="148"/>
      <c r="H6" s="155" t="s">
        <v>10</v>
      </c>
      <c r="I6" s="329">
        <f>Parameters!M17</f>
        <v>0</v>
      </c>
      <c r="J6" s="266"/>
    </row>
    <row r="7" spans="1:10" ht="13.8" thickBot="1">
      <c r="B7" s="280"/>
      <c r="C7" s="281"/>
      <c r="D7" s="308" t="s">
        <v>14</v>
      </c>
      <c r="E7" s="309"/>
      <c r="F7" s="309"/>
      <c r="G7" s="310"/>
      <c r="H7" s="311" t="s">
        <v>14</v>
      </c>
      <c r="I7" s="637">
        <f>Parameters!E25</f>
        <v>0.5</v>
      </c>
      <c r="J7" s="266"/>
    </row>
    <row r="8" spans="1:10">
      <c r="D8" s="143" t="s">
        <v>226</v>
      </c>
      <c r="E8" s="144"/>
      <c r="F8" s="144"/>
      <c r="G8" s="148"/>
      <c r="H8" s="155" t="s">
        <v>222</v>
      </c>
      <c r="I8" s="149">
        <f>Parameters!M31</f>
        <v>0.09</v>
      </c>
      <c r="J8" s="81"/>
    </row>
    <row r="9" spans="1:10" ht="15.6">
      <c r="D9" s="303" t="s">
        <v>224</v>
      </c>
      <c r="E9" s="304"/>
      <c r="F9" s="304"/>
      <c r="G9" s="305"/>
      <c r="H9" s="306" t="s">
        <v>223</v>
      </c>
      <c r="I9" s="312">
        <f>LN(2)/$I$8</f>
        <v>7.7016353395549482</v>
      </c>
      <c r="J9" s="81"/>
    </row>
    <row r="10" spans="1:10">
      <c r="D10" s="145" t="s">
        <v>95</v>
      </c>
      <c r="E10" s="146"/>
      <c r="F10" s="146"/>
      <c r="G10" s="147"/>
      <c r="H10" s="156" t="s">
        <v>179</v>
      </c>
      <c r="I10" s="82">
        <f>EXP(-$I$8)</f>
        <v>0.91393118527122819</v>
      </c>
      <c r="J10" s="81"/>
    </row>
    <row r="11" spans="1:10">
      <c r="D11" s="145" t="s">
        <v>9</v>
      </c>
      <c r="E11" s="146"/>
      <c r="F11" s="146"/>
      <c r="G11" s="147"/>
      <c r="H11" s="156" t="s">
        <v>94</v>
      </c>
      <c r="I11" s="82">
        <f>Parameters!E40+7</f>
        <v>13</v>
      </c>
      <c r="J11" s="81"/>
    </row>
    <row r="12" spans="1:10" ht="13.8" thickBot="1">
      <c r="D12" s="267" t="s">
        <v>96</v>
      </c>
      <c r="E12" s="268"/>
      <c r="F12" s="268"/>
      <c r="G12" s="269"/>
      <c r="H12" s="270" t="s">
        <v>213</v>
      </c>
      <c r="I12" s="271">
        <f>EXP(-$I$8*((13-I11)/12))</f>
        <v>1</v>
      </c>
      <c r="J12" s="81"/>
    </row>
    <row r="13" spans="1:10" ht="13.8" thickBot="1">
      <c r="C13" s="83"/>
      <c r="D13" s="151" t="s">
        <v>97</v>
      </c>
      <c r="E13" s="152"/>
      <c r="F13" s="152"/>
      <c r="G13" s="153"/>
      <c r="H13" s="157" t="s">
        <v>93</v>
      </c>
      <c r="I13" s="154">
        <f>CH4_fraction</f>
        <v>0.5</v>
      </c>
      <c r="J13" s="81"/>
    </row>
    <row r="14" spans="1:10" ht="13.8" thickBot="1">
      <c r="E14" s="81"/>
      <c r="F14" s="81"/>
      <c r="G14" s="81"/>
      <c r="H14" s="81"/>
      <c r="I14" s="81"/>
      <c r="J14" s="81"/>
    </row>
    <row r="15" spans="1:10" ht="66">
      <c r="B15" s="84" t="s">
        <v>1</v>
      </c>
      <c r="C15" s="85" t="s">
        <v>11</v>
      </c>
      <c r="D15" s="86" t="s">
        <v>12</v>
      </c>
      <c r="E15" s="87" t="s">
        <v>214</v>
      </c>
      <c r="F15" s="87" t="s">
        <v>215</v>
      </c>
      <c r="G15" s="87" t="s">
        <v>216</v>
      </c>
      <c r="H15" s="87" t="s">
        <v>217</v>
      </c>
      <c r="I15" s="87" t="s">
        <v>218</v>
      </c>
      <c r="J15" s="302" t="s">
        <v>219</v>
      </c>
    </row>
    <row r="16" spans="1:10" ht="23.4">
      <c r="A16" s="283"/>
      <c r="B16" s="138"/>
      <c r="C16" s="139" t="s">
        <v>220</v>
      </c>
      <c r="D16" s="140" t="s">
        <v>12</v>
      </c>
      <c r="E16" s="141" t="s">
        <v>221</v>
      </c>
      <c r="F16" s="141" t="s">
        <v>180</v>
      </c>
      <c r="G16" s="141" t="s">
        <v>181</v>
      </c>
      <c r="H16" s="141" t="s">
        <v>182</v>
      </c>
      <c r="I16" s="141" t="s">
        <v>225</v>
      </c>
      <c r="J16" s="142" t="s">
        <v>183</v>
      </c>
    </row>
    <row r="17" spans="2:10" ht="13.8" thickBot="1">
      <c r="B17" s="16"/>
      <c r="C17" s="17" t="s">
        <v>17</v>
      </c>
      <c r="D17" s="88" t="s">
        <v>23</v>
      </c>
      <c r="E17" s="89" t="s">
        <v>17</v>
      </c>
      <c r="F17" s="89" t="s">
        <v>17</v>
      </c>
      <c r="G17" s="89" t="s">
        <v>17</v>
      </c>
      <c r="H17" s="89" t="s">
        <v>17</v>
      </c>
      <c r="I17" s="89" t="s">
        <v>17</v>
      </c>
      <c r="J17" s="90" t="s">
        <v>17</v>
      </c>
    </row>
    <row r="18" spans="2:10" ht="13.8" thickBot="1">
      <c r="B18" s="19"/>
      <c r="C18" s="91"/>
      <c r="D18" s="92"/>
      <c r="E18" s="168"/>
      <c r="F18" s="93"/>
      <c r="G18" s="93"/>
      <c r="H18" s="93"/>
      <c r="I18" s="93"/>
      <c r="J18" s="94"/>
    </row>
    <row r="19" spans="2:10">
      <c r="B19" s="130">
        <f>Amnt_Deposited!B11</f>
        <v>1950</v>
      </c>
      <c r="C19" s="133">
        <f>Amnt_Deposited!G11</f>
        <v>11.040000000000001</v>
      </c>
      <c r="D19" s="495">
        <f>MCF!X18</f>
        <v>0.70499999999999996</v>
      </c>
      <c r="E19" s="167">
        <f>C19*$I$6*$I$7*D19</f>
        <v>0</v>
      </c>
      <c r="F19" s="95">
        <f t="shared" ref="F19:F82" si="0">E19*$I$12</f>
        <v>0</v>
      </c>
      <c r="G19" s="95">
        <f>E19*(1-$I$12)</f>
        <v>0</v>
      </c>
      <c r="H19" s="95">
        <f>F19+H18*$I$10</f>
        <v>0</v>
      </c>
      <c r="I19" s="95">
        <f>H18*(1-$I$10)+G19</f>
        <v>0</v>
      </c>
      <c r="J19" s="97">
        <f>I19*CH4_fraction*conv</f>
        <v>0</v>
      </c>
    </row>
    <row r="20" spans="2:10">
      <c r="B20" s="131">
        <f>Amnt_Deposited!B12</f>
        <v>1951</v>
      </c>
      <c r="C20" s="134">
        <f>Amnt_Deposited!G12</f>
        <v>11.040000000000001</v>
      </c>
      <c r="D20" s="496">
        <f>MCF!X19</f>
        <v>0.70499999999999996</v>
      </c>
      <c r="E20" s="167">
        <f t="shared" ref="E20:E83" si="1">C20*$I$6*$I$7*D20</f>
        <v>0</v>
      </c>
      <c r="F20" s="100">
        <f t="shared" si="0"/>
        <v>0</v>
      </c>
      <c r="G20" s="100">
        <f t="shared" ref="G20:G83" si="2">E20*(1-$I$12)</f>
        <v>0</v>
      </c>
      <c r="H20" s="100">
        <f t="shared" ref="H20:H83" si="3">F20+H19*$I$10</f>
        <v>0</v>
      </c>
      <c r="I20" s="100">
        <f t="shared" ref="I20:I83" si="4">H19*(1-$I$10)+G20</f>
        <v>0</v>
      </c>
      <c r="J20" s="135">
        <f>I20*CH4_fraction*conv</f>
        <v>0</v>
      </c>
    </row>
    <row r="21" spans="2:10">
      <c r="B21" s="131">
        <f>Amnt_Deposited!B13</f>
        <v>1952</v>
      </c>
      <c r="C21" s="134">
        <f>Amnt_Deposited!G13</f>
        <v>11.040000000000001</v>
      </c>
      <c r="D21" s="496">
        <f>MCF!X20</f>
        <v>0.70499999999999996</v>
      </c>
      <c r="E21" s="167">
        <f t="shared" si="1"/>
        <v>0</v>
      </c>
      <c r="F21" s="100">
        <f t="shared" si="0"/>
        <v>0</v>
      </c>
      <c r="G21" s="100">
        <f t="shared" si="2"/>
        <v>0</v>
      </c>
      <c r="H21" s="100">
        <f t="shared" si="3"/>
        <v>0</v>
      </c>
      <c r="I21" s="100">
        <f t="shared" si="4"/>
        <v>0</v>
      </c>
      <c r="J21" s="135">
        <f t="shared" ref="J21:J84" si="5">I21*CH4_fraction*conv</f>
        <v>0</v>
      </c>
    </row>
    <row r="22" spans="2:10">
      <c r="B22" s="131">
        <f>Amnt_Deposited!B14</f>
        <v>1953</v>
      </c>
      <c r="C22" s="134">
        <f>Amnt_Deposited!G14</f>
        <v>11.040000000000001</v>
      </c>
      <c r="D22" s="496">
        <f>MCF!X21</f>
        <v>0.70499999999999996</v>
      </c>
      <c r="E22" s="167">
        <f t="shared" si="1"/>
        <v>0</v>
      </c>
      <c r="F22" s="100">
        <f t="shared" si="0"/>
        <v>0</v>
      </c>
      <c r="G22" s="100">
        <f t="shared" si="2"/>
        <v>0</v>
      </c>
      <c r="H22" s="100">
        <f t="shared" si="3"/>
        <v>0</v>
      </c>
      <c r="I22" s="100">
        <f t="shared" si="4"/>
        <v>0</v>
      </c>
      <c r="J22" s="135">
        <f t="shared" si="5"/>
        <v>0</v>
      </c>
    </row>
    <row r="23" spans="2:10">
      <c r="B23" s="131">
        <f>Amnt_Deposited!B15</f>
        <v>1954</v>
      </c>
      <c r="C23" s="134">
        <f>Amnt_Deposited!G15</f>
        <v>11.040000000000001</v>
      </c>
      <c r="D23" s="496">
        <f>MCF!X22</f>
        <v>0.70499999999999996</v>
      </c>
      <c r="E23" s="167">
        <f t="shared" si="1"/>
        <v>0</v>
      </c>
      <c r="F23" s="100">
        <f t="shared" si="0"/>
        <v>0</v>
      </c>
      <c r="G23" s="100">
        <f t="shared" si="2"/>
        <v>0</v>
      </c>
      <c r="H23" s="100">
        <f t="shared" si="3"/>
        <v>0</v>
      </c>
      <c r="I23" s="100">
        <f t="shared" si="4"/>
        <v>0</v>
      </c>
      <c r="J23" s="135">
        <f t="shared" si="5"/>
        <v>0</v>
      </c>
    </row>
    <row r="24" spans="2:10">
      <c r="B24" s="131">
        <f>Amnt_Deposited!B16</f>
        <v>1955</v>
      </c>
      <c r="C24" s="134">
        <f>Amnt_Deposited!G16</f>
        <v>11.040000000000001</v>
      </c>
      <c r="D24" s="496">
        <f>MCF!X23</f>
        <v>0.70499999999999996</v>
      </c>
      <c r="E24" s="167">
        <f t="shared" si="1"/>
        <v>0</v>
      </c>
      <c r="F24" s="100">
        <f t="shared" si="0"/>
        <v>0</v>
      </c>
      <c r="G24" s="100">
        <f t="shared" si="2"/>
        <v>0</v>
      </c>
      <c r="H24" s="100">
        <f t="shared" si="3"/>
        <v>0</v>
      </c>
      <c r="I24" s="100">
        <f t="shared" si="4"/>
        <v>0</v>
      </c>
      <c r="J24" s="135">
        <f t="shared" si="5"/>
        <v>0</v>
      </c>
    </row>
    <row r="25" spans="2:10">
      <c r="B25" s="131">
        <f>Amnt_Deposited!B17</f>
        <v>1956</v>
      </c>
      <c r="C25" s="134">
        <f>Amnt_Deposited!G17</f>
        <v>11.040000000000001</v>
      </c>
      <c r="D25" s="496">
        <f>MCF!X24</f>
        <v>0.70499999999999996</v>
      </c>
      <c r="E25" s="167">
        <f t="shared" si="1"/>
        <v>0</v>
      </c>
      <c r="F25" s="100">
        <f t="shared" si="0"/>
        <v>0</v>
      </c>
      <c r="G25" s="100">
        <f t="shared" si="2"/>
        <v>0</v>
      </c>
      <c r="H25" s="100">
        <f t="shared" si="3"/>
        <v>0</v>
      </c>
      <c r="I25" s="100">
        <f t="shared" si="4"/>
        <v>0</v>
      </c>
      <c r="J25" s="135">
        <f t="shared" si="5"/>
        <v>0</v>
      </c>
    </row>
    <row r="26" spans="2:10">
      <c r="B26" s="131">
        <f>Amnt_Deposited!B18</f>
        <v>1957</v>
      </c>
      <c r="C26" s="134">
        <f>Amnt_Deposited!G18</f>
        <v>11.040000000000001</v>
      </c>
      <c r="D26" s="496">
        <f>MCF!X25</f>
        <v>0.70499999999999996</v>
      </c>
      <c r="E26" s="167">
        <f t="shared" si="1"/>
        <v>0</v>
      </c>
      <c r="F26" s="100">
        <f t="shared" si="0"/>
        <v>0</v>
      </c>
      <c r="G26" s="100">
        <f t="shared" si="2"/>
        <v>0</v>
      </c>
      <c r="H26" s="100">
        <f t="shared" si="3"/>
        <v>0</v>
      </c>
      <c r="I26" s="100">
        <f t="shared" si="4"/>
        <v>0</v>
      </c>
      <c r="J26" s="135">
        <f t="shared" si="5"/>
        <v>0</v>
      </c>
    </row>
    <row r="27" spans="2:10">
      <c r="B27" s="131">
        <f>Amnt_Deposited!B19</f>
        <v>1958</v>
      </c>
      <c r="C27" s="134">
        <f>Amnt_Deposited!G19</f>
        <v>11.040000000000001</v>
      </c>
      <c r="D27" s="496">
        <f>MCF!X26</f>
        <v>0.70499999999999996</v>
      </c>
      <c r="E27" s="167">
        <f t="shared" si="1"/>
        <v>0</v>
      </c>
      <c r="F27" s="100">
        <f t="shared" si="0"/>
        <v>0</v>
      </c>
      <c r="G27" s="100">
        <f t="shared" si="2"/>
        <v>0</v>
      </c>
      <c r="H27" s="100">
        <f t="shared" si="3"/>
        <v>0</v>
      </c>
      <c r="I27" s="100">
        <f t="shared" si="4"/>
        <v>0</v>
      </c>
      <c r="J27" s="135">
        <f t="shared" si="5"/>
        <v>0</v>
      </c>
    </row>
    <row r="28" spans="2:10">
      <c r="B28" s="131">
        <f>Amnt_Deposited!B20</f>
        <v>1959</v>
      </c>
      <c r="C28" s="134">
        <f>Amnt_Deposited!G20</f>
        <v>11.040000000000001</v>
      </c>
      <c r="D28" s="496">
        <f>MCF!X27</f>
        <v>0.70499999999999996</v>
      </c>
      <c r="E28" s="167">
        <f t="shared" si="1"/>
        <v>0</v>
      </c>
      <c r="F28" s="100">
        <f t="shared" si="0"/>
        <v>0</v>
      </c>
      <c r="G28" s="100">
        <f t="shared" si="2"/>
        <v>0</v>
      </c>
      <c r="H28" s="100">
        <f t="shared" si="3"/>
        <v>0</v>
      </c>
      <c r="I28" s="100">
        <f t="shared" si="4"/>
        <v>0</v>
      </c>
      <c r="J28" s="135">
        <f t="shared" si="5"/>
        <v>0</v>
      </c>
    </row>
    <row r="29" spans="2:10">
      <c r="B29" s="131">
        <f>Amnt_Deposited!B21</f>
        <v>1960</v>
      </c>
      <c r="C29" s="134">
        <f>Amnt_Deposited!G21</f>
        <v>11.040000000000001</v>
      </c>
      <c r="D29" s="496">
        <f>MCF!X28</f>
        <v>0.70499999999999996</v>
      </c>
      <c r="E29" s="167">
        <f t="shared" si="1"/>
        <v>0</v>
      </c>
      <c r="F29" s="100">
        <f t="shared" si="0"/>
        <v>0</v>
      </c>
      <c r="G29" s="100">
        <f t="shared" si="2"/>
        <v>0</v>
      </c>
      <c r="H29" s="100">
        <f t="shared" si="3"/>
        <v>0</v>
      </c>
      <c r="I29" s="100">
        <f t="shared" si="4"/>
        <v>0</v>
      </c>
      <c r="J29" s="135">
        <f t="shared" si="5"/>
        <v>0</v>
      </c>
    </row>
    <row r="30" spans="2:10">
      <c r="B30" s="131">
        <f>Amnt_Deposited!B22</f>
        <v>1961</v>
      </c>
      <c r="C30" s="134">
        <f>Amnt_Deposited!G22</f>
        <v>11.040000000000001</v>
      </c>
      <c r="D30" s="496">
        <f>MCF!X29</f>
        <v>0.70499999999999996</v>
      </c>
      <c r="E30" s="167">
        <f t="shared" si="1"/>
        <v>0</v>
      </c>
      <c r="F30" s="100">
        <f t="shared" si="0"/>
        <v>0</v>
      </c>
      <c r="G30" s="100">
        <f t="shared" si="2"/>
        <v>0</v>
      </c>
      <c r="H30" s="100">
        <f t="shared" si="3"/>
        <v>0</v>
      </c>
      <c r="I30" s="100">
        <f t="shared" si="4"/>
        <v>0</v>
      </c>
      <c r="J30" s="135">
        <f t="shared" si="5"/>
        <v>0</v>
      </c>
    </row>
    <row r="31" spans="2:10">
      <c r="B31" s="131">
        <f>Amnt_Deposited!B23</f>
        <v>1962</v>
      </c>
      <c r="C31" s="134">
        <f>Amnt_Deposited!G23</f>
        <v>11.040000000000001</v>
      </c>
      <c r="D31" s="496">
        <f>MCF!X30</f>
        <v>0.70499999999999996</v>
      </c>
      <c r="E31" s="167">
        <f t="shared" si="1"/>
        <v>0</v>
      </c>
      <c r="F31" s="100">
        <f t="shared" si="0"/>
        <v>0</v>
      </c>
      <c r="G31" s="100">
        <f t="shared" si="2"/>
        <v>0</v>
      </c>
      <c r="H31" s="100">
        <f t="shared" si="3"/>
        <v>0</v>
      </c>
      <c r="I31" s="100">
        <f t="shared" si="4"/>
        <v>0</v>
      </c>
      <c r="J31" s="135">
        <f t="shared" si="5"/>
        <v>0</v>
      </c>
    </row>
    <row r="32" spans="2:10">
      <c r="B32" s="131">
        <f>Amnt_Deposited!B24</f>
        <v>1963</v>
      </c>
      <c r="C32" s="134">
        <f>Amnt_Deposited!G24</f>
        <v>11.040000000000001</v>
      </c>
      <c r="D32" s="496">
        <f>MCF!X31</f>
        <v>0.70499999999999996</v>
      </c>
      <c r="E32" s="167">
        <f t="shared" si="1"/>
        <v>0</v>
      </c>
      <c r="F32" s="100">
        <f t="shared" si="0"/>
        <v>0</v>
      </c>
      <c r="G32" s="100">
        <f t="shared" si="2"/>
        <v>0</v>
      </c>
      <c r="H32" s="100">
        <f t="shared" si="3"/>
        <v>0</v>
      </c>
      <c r="I32" s="100">
        <f t="shared" si="4"/>
        <v>0</v>
      </c>
      <c r="J32" s="135">
        <f t="shared" si="5"/>
        <v>0</v>
      </c>
    </row>
    <row r="33" spans="2:10">
      <c r="B33" s="131">
        <f>Amnt_Deposited!B25</f>
        <v>1964</v>
      </c>
      <c r="C33" s="134">
        <f>Amnt_Deposited!G25</f>
        <v>11.040000000000001</v>
      </c>
      <c r="D33" s="496">
        <f>MCF!X32</f>
        <v>0.70499999999999996</v>
      </c>
      <c r="E33" s="167">
        <f t="shared" si="1"/>
        <v>0</v>
      </c>
      <c r="F33" s="100">
        <f t="shared" si="0"/>
        <v>0</v>
      </c>
      <c r="G33" s="100">
        <f t="shared" si="2"/>
        <v>0</v>
      </c>
      <c r="H33" s="100">
        <f t="shared" si="3"/>
        <v>0</v>
      </c>
      <c r="I33" s="100">
        <f t="shared" si="4"/>
        <v>0</v>
      </c>
      <c r="J33" s="135">
        <f t="shared" si="5"/>
        <v>0</v>
      </c>
    </row>
    <row r="34" spans="2:10">
      <c r="B34" s="131">
        <f>Amnt_Deposited!B26</f>
        <v>1965</v>
      </c>
      <c r="C34" s="134">
        <f>Amnt_Deposited!G26</f>
        <v>11.040000000000001</v>
      </c>
      <c r="D34" s="496">
        <f>MCF!X33</f>
        <v>0.70499999999999996</v>
      </c>
      <c r="E34" s="167">
        <f t="shared" si="1"/>
        <v>0</v>
      </c>
      <c r="F34" s="100">
        <f t="shared" si="0"/>
        <v>0</v>
      </c>
      <c r="G34" s="100">
        <f t="shared" si="2"/>
        <v>0</v>
      </c>
      <c r="H34" s="100">
        <f t="shared" si="3"/>
        <v>0</v>
      </c>
      <c r="I34" s="100">
        <f t="shared" si="4"/>
        <v>0</v>
      </c>
      <c r="J34" s="135">
        <f t="shared" si="5"/>
        <v>0</v>
      </c>
    </row>
    <row r="35" spans="2:10">
      <c r="B35" s="131">
        <f>Amnt_Deposited!B27</f>
        <v>1966</v>
      </c>
      <c r="C35" s="134">
        <f>Amnt_Deposited!G27</f>
        <v>11.040000000000001</v>
      </c>
      <c r="D35" s="496">
        <f>MCF!X34</f>
        <v>0.70499999999999996</v>
      </c>
      <c r="E35" s="167">
        <f t="shared" si="1"/>
        <v>0</v>
      </c>
      <c r="F35" s="100">
        <f t="shared" si="0"/>
        <v>0</v>
      </c>
      <c r="G35" s="100">
        <f t="shared" si="2"/>
        <v>0</v>
      </c>
      <c r="H35" s="100">
        <f t="shared" si="3"/>
        <v>0</v>
      </c>
      <c r="I35" s="100">
        <f t="shared" si="4"/>
        <v>0</v>
      </c>
      <c r="J35" s="135">
        <f t="shared" si="5"/>
        <v>0</v>
      </c>
    </row>
    <row r="36" spans="2:10">
      <c r="B36" s="131">
        <f>Amnt_Deposited!B28</f>
        <v>1967</v>
      </c>
      <c r="C36" s="134">
        <f>Amnt_Deposited!G28</f>
        <v>11.040000000000001</v>
      </c>
      <c r="D36" s="496">
        <f>MCF!X35</f>
        <v>0.70499999999999996</v>
      </c>
      <c r="E36" s="167">
        <f t="shared" si="1"/>
        <v>0</v>
      </c>
      <c r="F36" s="100">
        <f t="shared" si="0"/>
        <v>0</v>
      </c>
      <c r="G36" s="100">
        <f t="shared" si="2"/>
        <v>0</v>
      </c>
      <c r="H36" s="100">
        <f t="shared" si="3"/>
        <v>0</v>
      </c>
      <c r="I36" s="100">
        <f t="shared" si="4"/>
        <v>0</v>
      </c>
      <c r="J36" s="135">
        <f t="shared" si="5"/>
        <v>0</v>
      </c>
    </row>
    <row r="37" spans="2:10">
      <c r="B37" s="131">
        <f>Amnt_Deposited!B29</f>
        <v>1968</v>
      </c>
      <c r="C37" s="134">
        <f>Amnt_Deposited!G29</f>
        <v>11.040000000000001</v>
      </c>
      <c r="D37" s="496">
        <f>MCF!X36</f>
        <v>0.70499999999999996</v>
      </c>
      <c r="E37" s="167">
        <f t="shared" si="1"/>
        <v>0</v>
      </c>
      <c r="F37" s="100">
        <f t="shared" si="0"/>
        <v>0</v>
      </c>
      <c r="G37" s="100">
        <f t="shared" si="2"/>
        <v>0</v>
      </c>
      <c r="H37" s="100">
        <f t="shared" si="3"/>
        <v>0</v>
      </c>
      <c r="I37" s="100">
        <f t="shared" si="4"/>
        <v>0</v>
      </c>
      <c r="J37" s="135">
        <f t="shared" si="5"/>
        <v>0</v>
      </c>
    </row>
    <row r="38" spans="2:10">
      <c r="B38" s="131">
        <f>Amnt_Deposited!B30</f>
        <v>1969</v>
      </c>
      <c r="C38" s="134">
        <f>Amnt_Deposited!G30</f>
        <v>11.040000000000001</v>
      </c>
      <c r="D38" s="496">
        <f>MCF!X37</f>
        <v>0.70499999999999996</v>
      </c>
      <c r="E38" s="167">
        <f t="shared" si="1"/>
        <v>0</v>
      </c>
      <c r="F38" s="100">
        <f t="shared" si="0"/>
        <v>0</v>
      </c>
      <c r="G38" s="100">
        <f t="shared" si="2"/>
        <v>0</v>
      </c>
      <c r="H38" s="100">
        <f t="shared" si="3"/>
        <v>0</v>
      </c>
      <c r="I38" s="100">
        <f t="shared" si="4"/>
        <v>0</v>
      </c>
      <c r="J38" s="135">
        <f t="shared" si="5"/>
        <v>0</v>
      </c>
    </row>
    <row r="39" spans="2:10">
      <c r="B39" s="131">
        <f>Amnt_Deposited!B31</f>
        <v>1970</v>
      </c>
      <c r="C39" s="134">
        <f>Amnt_Deposited!G31</f>
        <v>11.040000000000001</v>
      </c>
      <c r="D39" s="496">
        <f>MCF!X38</f>
        <v>0.70499999999999996</v>
      </c>
      <c r="E39" s="167">
        <f t="shared" si="1"/>
        <v>0</v>
      </c>
      <c r="F39" s="100">
        <f t="shared" si="0"/>
        <v>0</v>
      </c>
      <c r="G39" s="100">
        <f t="shared" si="2"/>
        <v>0</v>
      </c>
      <c r="H39" s="100">
        <f t="shared" si="3"/>
        <v>0</v>
      </c>
      <c r="I39" s="100">
        <f t="shared" si="4"/>
        <v>0</v>
      </c>
      <c r="J39" s="135">
        <f t="shared" si="5"/>
        <v>0</v>
      </c>
    </row>
    <row r="40" spans="2:10">
      <c r="B40" s="131">
        <f>Amnt_Deposited!B32</f>
        <v>1971</v>
      </c>
      <c r="C40" s="134">
        <f>Amnt_Deposited!G32</f>
        <v>11.040000000000001</v>
      </c>
      <c r="D40" s="496">
        <f>MCF!X39</f>
        <v>0.70499999999999996</v>
      </c>
      <c r="E40" s="167">
        <f t="shared" si="1"/>
        <v>0</v>
      </c>
      <c r="F40" s="100">
        <f t="shared" si="0"/>
        <v>0</v>
      </c>
      <c r="G40" s="100">
        <f t="shared" si="2"/>
        <v>0</v>
      </c>
      <c r="H40" s="100">
        <f t="shared" si="3"/>
        <v>0</v>
      </c>
      <c r="I40" s="100">
        <f t="shared" si="4"/>
        <v>0</v>
      </c>
      <c r="J40" s="135">
        <f t="shared" si="5"/>
        <v>0</v>
      </c>
    </row>
    <row r="41" spans="2:10">
      <c r="B41" s="131">
        <f>Amnt_Deposited!B33</f>
        <v>1972</v>
      </c>
      <c r="C41" s="134">
        <f>Amnt_Deposited!G33</f>
        <v>11.040000000000001</v>
      </c>
      <c r="D41" s="496">
        <f>MCF!X40</f>
        <v>0.70499999999999996</v>
      </c>
      <c r="E41" s="167">
        <f t="shared" si="1"/>
        <v>0</v>
      </c>
      <c r="F41" s="100">
        <f t="shared" si="0"/>
        <v>0</v>
      </c>
      <c r="G41" s="100">
        <f t="shared" si="2"/>
        <v>0</v>
      </c>
      <c r="H41" s="100">
        <f t="shared" si="3"/>
        <v>0</v>
      </c>
      <c r="I41" s="100">
        <f t="shared" si="4"/>
        <v>0</v>
      </c>
      <c r="J41" s="135">
        <f t="shared" si="5"/>
        <v>0</v>
      </c>
    </row>
    <row r="42" spans="2:10">
      <c r="B42" s="131">
        <f>Amnt_Deposited!B34</f>
        <v>1973</v>
      </c>
      <c r="C42" s="134">
        <f>Amnt_Deposited!G34</f>
        <v>11.040000000000001</v>
      </c>
      <c r="D42" s="496">
        <f>MCF!X41</f>
        <v>0.70499999999999996</v>
      </c>
      <c r="E42" s="167">
        <f t="shared" si="1"/>
        <v>0</v>
      </c>
      <c r="F42" s="100">
        <f t="shared" si="0"/>
        <v>0</v>
      </c>
      <c r="G42" s="100">
        <f t="shared" si="2"/>
        <v>0</v>
      </c>
      <c r="H42" s="100">
        <f t="shared" si="3"/>
        <v>0</v>
      </c>
      <c r="I42" s="100">
        <f t="shared" si="4"/>
        <v>0</v>
      </c>
      <c r="J42" s="135">
        <f t="shared" si="5"/>
        <v>0</v>
      </c>
    </row>
    <row r="43" spans="2:10">
      <c r="B43" s="131">
        <f>Amnt_Deposited!B35</f>
        <v>1974</v>
      </c>
      <c r="C43" s="134">
        <f>Amnt_Deposited!G35</f>
        <v>11.040000000000001</v>
      </c>
      <c r="D43" s="496">
        <f>MCF!X42</f>
        <v>0.70499999999999996</v>
      </c>
      <c r="E43" s="167">
        <f t="shared" si="1"/>
        <v>0</v>
      </c>
      <c r="F43" s="100">
        <f t="shared" si="0"/>
        <v>0</v>
      </c>
      <c r="G43" s="100">
        <f t="shared" si="2"/>
        <v>0</v>
      </c>
      <c r="H43" s="100">
        <f t="shared" si="3"/>
        <v>0</v>
      </c>
      <c r="I43" s="100">
        <f t="shared" si="4"/>
        <v>0</v>
      </c>
      <c r="J43" s="135">
        <f t="shared" si="5"/>
        <v>0</v>
      </c>
    </row>
    <row r="44" spans="2:10">
      <c r="B44" s="131">
        <f>Amnt_Deposited!B36</f>
        <v>1975</v>
      </c>
      <c r="C44" s="134">
        <f>Amnt_Deposited!G36</f>
        <v>11.040000000000001</v>
      </c>
      <c r="D44" s="496">
        <f>MCF!X43</f>
        <v>0.70499999999999996</v>
      </c>
      <c r="E44" s="167">
        <f t="shared" si="1"/>
        <v>0</v>
      </c>
      <c r="F44" s="100">
        <f t="shared" si="0"/>
        <v>0</v>
      </c>
      <c r="G44" s="100">
        <f t="shared" si="2"/>
        <v>0</v>
      </c>
      <c r="H44" s="100">
        <f t="shared" si="3"/>
        <v>0</v>
      </c>
      <c r="I44" s="100">
        <f t="shared" si="4"/>
        <v>0</v>
      </c>
      <c r="J44" s="135">
        <f t="shared" si="5"/>
        <v>0</v>
      </c>
    </row>
    <row r="45" spans="2:10">
      <c r="B45" s="131">
        <f>Amnt_Deposited!B37</f>
        <v>1976</v>
      </c>
      <c r="C45" s="134">
        <f>Amnt_Deposited!G37</f>
        <v>11.040000000000001</v>
      </c>
      <c r="D45" s="496">
        <f>MCF!X44</f>
        <v>0.70499999999999996</v>
      </c>
      <c r="E45" s="167">
        <f t="shared" si="1"/>
        <v>0</v>
      </c>
      <c r="F45" s="100">
        <f t="shared" si="0"/>
        <v>0</v>
      </c>
      <c r="G45" s="100">
        <f t="shared" si="2"/>
        <v>0</v>
      </c>
      <c r="H45" s="100">
        <f t="shared" si="3"/>
        <v>0</v>
      </c>
      <c r="I45" s="100">
        <f t="shared" si="4"/>
        <v>0</v>
      </c>
      <c r="J45" s="135">
        <f t="shared" si="5"/>
        <v>0</v>
      </c>
    </row>
    <row r="46" spans="2:10">
      <c r="B46" s="131">
        <f>Amnt_Deposited!B38</f>
        <v>1977</v>
      </c>
      <c r="C46" s="134">
        <f>Amnt_Deposited!G38</f>
        <v>11.040000000000001</v>
      </c>
      <c r="D46" s="496">
        <f>MCF!X45</f>
        <v>0.70499999999999996</v>
      </c>
      <c r="E46" s="167">
        <f t="shared" si="1"/>
        <v>0</v>
      </c>
      <c r="F46" s="100">
        <f t="shared" si="0"/>
        <v>0</v>
      </c>
      <c r="G46" s="100">
        <f t="shared" si="2"/>
        <v>0</v>
      </c>
      <c r="H46" s="100">
        <f t="shared" si="3"/>
        <v>0</v>
      </c>
      <c r="I46" s="100">
        <f t="shared" si="4"/>
        <v>0</v>
      </c>
      <c r="J46" s="135">
        <f t="shared" si="5"/>
        <v>0</v>
      </c>
    </row>
    <row r="47" spans="2:10">
      <c r="B47" s="131">
        <f>Amnt_Deposited!B39</f>
        <v>1978</v>
      </c>
      <c r="C47" s="134">
        <f>Amnt_Deposited!G39</f>
        <v>11.040000000000001</v>
      </c>
      <c r="D47" s="496">
        <f>MCF!X46</f>
        <v>0.70499999999999996</v>
      </c>
      <c r="E47" s="167">
        <f t="shared" si="1"/>
        <v>0</v>
      </c>
      <c r="F47" s="100">
        <f t="shared" si="0"/>
        <v>0</v>
      </c>
      <c r="G47" s="100">
        <f t="shared" si="2"/>
        <v>0</v>
      </c>
      <c r="H47" s="100">
        <f t="shared" si="3"/>
        <v>0</v>
      </c>
      <c r="I47" s="100">
        <f t="shared" si="4"/>
        <v>0</v>
      </c>
      <c r="J47" s="135">
        <f t="shared" si="5"/>
        <v>0</v>
      </c>
    </row>
    <row r="48" spans="2:10">
      <c r="B48" s="131">
        <f>Amnt_Deposited!B40</f>
        <v>1979</v>
      </c>
      <c r="C48" s="134">
        <f>Amnt_Deposited!G40</f>
        <v>11.040000000000001</v>
      </c>
      <c r="D48" s="496">
        <f>MCF!X47</f>
        <v>0.70499999999999996</v>
      </c>
      <c r="E48" s="167">
        <f t="shared" si="1"/>
        <v>0</v>
      </c>
      <c r="F48" s="100">
        <f t="shared" si="0"/>
        <v>0</v>
      </c>
      <c r="G48" s="100">
        <f t="shared" si="2"/>
        <v>0</v>
      </c>
      <c r="H48" s="100">
        <f t="shared" si="3"/>
        <v>0</v>
      </c>
      <c r="I48" s="100">
        <f t="shared" si="4"/>
        <v>0</v>
      </c>
      <c r="J48" s="135">
        <f t="shared" si="5"/>
        <v>0</v>
      </c>
    </row>
    <row r="49" spans="2:10">
      <c r="B49" s="131">
        <f>Amnt_Deposited!B41</f>
        <v>1980</v>
      </c>
      <c r="C49" s="134">
        <f>Amnt_Deposited!G41</f>
        <v>11.040000000000001</v>
      </c>
      <c r="D49" s="496">
        <f>MCF!X48</f>
        <v>0.70499999999999996</v>
      </c>
      <c r="E49" s="167">
        <f t="shared" si="1"/>
        <v>0</v>
      </c>
      <c r="F49" s="100">
        <f t="shared" si="0"/>
        <v>0</v>
      </c>
      <c r="G49" s="100">
        <f t="shared" si="2"/>
        <v>0</v>
      </c>
      <c r="H49" s="100">
        <f t="shared" si="3"/>
        <v>0</v>
      </c>
      <c r="I49" s="100">
        <f t="shared" si="4"/>
        <v>0</v>
      </c>
      <c r="J49" s="135">
        <f t="shared" si="5"/>
        <v>0</v>
      </c>
    </row>
    <row r="50" spans="2:10">
      <c r="B50" s="131">
        <f>Amnt_Deposited!B42</f>
        <v>1981</v>
      </c>
      <c r="C50" s="134">
        <f>Amnt_Deposited!G42</f>
        <v>11.040000000000001</v>
      </c>
      <c r="D50" s="496">
        <f>MCF!X49</f>
        <v>0.70499999999999996</v>
      </c>
      <c r="E50" s="167">
        <f t="shared" si="1"/>
        <v>0</v>
      </c>
      <c r="F50" s="100">
        <f t="shared" si="0"/>
        <v>0</v>
      </c>
      <c r="G50" s="100">
        <f t="shared" si="2"/>
        <v>0</v>
      </c>
      <c r="H50" s="100">
        <f t="shared" si="3"/>
        <v>0</v>
      </c>
      <c r="I50" s="100">
        <f t="shared" si="4"/>
        <v>0</v>
      </c>
      <c r="J50" s="135">
        <f t="shared" si="5"/>
        <v>0</v>
      </c>
    </row>
    <row r="51" spans="2:10">
      <c r="B51" s="131">
        <f>Amnt_Deposited!B43</f>
        <v>1982</v>
      </c>
      <c r="C51" s="134">
        <f>Amnt_Deposited!G43</f>
        <v>11.040000000000001</v>
      </c>
      <c r="D51" s="496">
        <f>MCF!X50</f>
        <v>0.70499999999999996</v>
      </c>
      <c r="E51" s="167">
        <f t="shared" si="1"/>
        <v>0</v>
      </c>
      <c r="F51" s="100">
        <f t="shared" si="0"/>
        <v>0</v>
      </c>
      <c r="G51" s="100">
        <f t="shared" si="2"/>
        <v>0</v>
      </c>
      <c r="H51" s="100">
        <f t="shared" si="3"/>
        <v>0</v>
      </c>
      <c r="I51" s="100">
        <f t="shared" si="4"/>
        <v>0</v>
      </c>
      <c r="J51" s="135">
        <f t="shared" si="5"/>
        <v>0</v>
      </c>
    </row>
    <row r="52" spans="2:10">
      <c r="B52" s="131">
        <f>Amnt_Deposited!B44</f>
        <v>1983</v>
      </c>
      <c r="C52" s="134">
        <f>Amnt_Deposited!G44</f>
        <v>11.040000000000001</v>
      </c>
      <c r="D52" s="496">
        <f>MCF!X51</f>
        <v>0.70499999999999996</v>
      </c>
      <c r="E52" s="167">
        <f t="shared" si="1"/>
        <v>0</v>
      </c>
      <c r="F52" s="100">
        <f t="shared" si="0"/>
        <v>0</v>
      </c>
      <c r="G52" s="100">
        <f t="shared" si="2"/>
        <v>0</v>
      </c>
      <c r="H52" s="100">
        <f t="shared" si="3"/>
        <v>0</v>
      </c>
      <c r="I52" s="100">
        <f t="shared" si="4"/>
        <v>0</v>
      </c>
      <c r="J52" s="135">
        <f t="shared" si="5"/>
        <v>0</v>
      </c>
    </row>
    <row r="53" spans="2:10">
      <c r="B53" s="131">
        <f>Amnt_Deposited!B45</f>
        <v>1984</v>
      </c>
      <c r="C53" s="134">
        <f>Amnt_Deposited!G45</f>
        <v>11.040000000000001</v>
      </c>
      <c r="D53" s="496">
        <f>MCF!X52</f>
        <v>0.70499999999999996</v>
      </c>
      <c r="E53" s="167">
        <f t="shared" si="1"/>
        <v>0</v>
      </c>
      <c r="F53" s="100">
        <f t="shared" si="0"/>
        <v>0</v>
      </c>
      <c r="G53" s="100">
        <f t="shared" si="2"/>
        <v>0</v>
      </c>
      <c r="H53" s="100">
        <f t="shared" si="3"/>
        <v>0</v>
      </c>
      <c r="I53" s="100">
        <f t="shared" si="4"/>
        <v>0</v>
      </c>
      <c r="J53" s="135">
        <f t="shared" si="5"/>
        <v>0</v>
      </c>
    </row>
    <row r="54" spans="2:10">
      <c r="B54" s="131">
        <f>Amnt_Deposited!B46</f>
        <v>1985</v>
      </c>
      <c r="C54" s="134">
        <f>Amnt_Deposited!G46</f>
        <v>11.040000000000001</v>
      </c>
      <c r="D54" s="496">
        <f>MCF!X53</f>
        <v>0.70499999999999996</v>
      </c>
      <c r="E54" s="167">
        <f t="shared" si="1"/>
        <v>0</v>
      </c>
      <c r="F54" s="100">
        <f t="shared" si="0"/>
        <v>0</v>
      </c>
      <c r="G54" s="100">
        <f t="shared" si="2"/>
        <v>0</v>
      </c>
      <c r="H54" s="100">
        <f t="shared" si="3"/>
        <v>0</v>
      </c>
      <c r="I54" s="100">
        <f t="shared" si="4"/>
        <v>0</v>
      </c>
      <c r="J54" s="135">
        <f t="shared" si="5"/>
        <v>0</v>
      </c>
    </row>
    <row r="55" spans="2:10">
      <c r="B55" s="131">
        <f>Amnt_Deposited!B47</f>
        <v>1986</v>
      </c>
      <c r="C55" s="134">
        <f>Amnt_Deposited!G47</f>
        <v>11.040000000000001</v>
      </c>
      <c r="D55" s="496">
        <f>MCF!X54</f>
        <v>0.70499999999999996</v>
      </c>
      <c r="E55" s="167">
        <f t="shared" si="1"/>
        <v>0</v>
      </c>
      <c r="F55" s="100">
        <f t="shared" si="0"/>
        <v>0</v>
      </c>
      <c r="G55" s="100">
        <f t="shared" si="2"/>
        <v>0</v>
      </c>
      <c r="H55" s="100">
        <f t="shared" si="3"/>
        <v>0</v>
      </c>
      <c r="I55" s="100">
        <f t="shared" si="4"/>
        <v>0</v>
      </c>
      <c r="J55" s="135">
        <f t="shared" si="5"/>
        <v>0</v>
      </c>
    </row>
    <row r="56" spans="2:10">
      <c r="B56" s="131">
        <f>Amnt_Deposited!B48</f>
        <v>1987</v>
      </c>
      <c r="C56" s="134">
        <f>Amnt_Deposited!G48</f>
        <v>11.040000000000001</v>
      </c>
      <c r="D56" s="496">
        <f>MCF!X55</f>
        <v>0.70499999999999996</v>
      </c>
      <c r="E56" s="167">
        <f t="shared" si="1"/>
        <v>0</v>
      </c>
      <c r="F56" s="100">
        <f t="shared" si="0"/>
        <v>0</v>
      </c>
      <c r="G56" s="100">
        <f t="shared" si="2"/>
        <v>0</v>
      </c>
      <c r="H56" s="100">
        <f t="shared" si="3"/>
        <v>0</v>
      </c>
      <c r="I56" s="100">
        <f t="shared" si="4"/>
        <v>0</v>
      </c>
      <c r="J56" s="135">
        <f t="shared" si="5"/>
        <v>0</v>
      </c>
    </row>
    <row r="57" spans="2:10">
      <c r="B57" s="131">
        <f>Amnt_Deposited!B49</f>
        <v>1988</v>
      </c>
      <c r="C57" s="134">
        <f>Amnt_Deposited!G49</f>
        <v>11.040000000000001</v>
      </c>
      <c r="D57" s="496">
        <f>MCF!X56</f>
        <v>0.70499999999999996</v>
      </c>
      <c r="E57" s="167">
        <f t="shared" si="1"/>
        <v>0</v>
      </c>
      <c r="F57" s="100">
        <f t="shared" si="0"/>
        <v>0</v>
      </c>
      <c r="G57" s="100">
        <f t="shared" si="2"/>
        <v>0</v>
      </c>
      <c r="H57" s="100">
        <f t="shared" si="3"/>
        <v>0</v>
      </c>
      <c r="I57" s="100">
        <f t="shared" si="4"/>
        <v>0</v>
      </c>
      <c r="J57" s="135">
        <f t="shared" si="5"/>
        <v>0</v>
      </c>
    </row>
    <row r="58" spans="2:10">
      <c r="B58" s="131">
        <f>Amnt_Deposited!B50</f>
        <v>1989</v>
      </c>
      <c r="C58" s="134">
        <f>Amnt_Deposited!G50</f>
        <v>11.040000000000001</v>
      </c>
      <c r="D58" s="496">
        <f>MCF!X57</f>
        <v>0.70499999999999996</v>
      </c>
      <c r="E58" s="167">
        <f t="shared" si="1"/>
        <v>0</v>
      </c>
      <c r="F58" s="100">
        <f t="shared" si="0"/>
        <v>0</v>
      </c>
      <c r="G58" s="100">
        <f t="shared" si="2"/>
        <v>0</v>
      </c>
      <c r="H58" s="100">
        <f t="shared" si="3"/>
        <v>0</v>
      </c>
      <c r="I58" s="100">
        <f t="shared" si="4"/>
        <v>0</v>
      </c>
      <c r="J58" s="135">
        <f t="shared" si="5"/>
        <v>0</v>
      </c>
    </row>
    <row r="59" spans="2:10">
      <c r="B59" s="131">
        <f>Amnt_Deposited!B51</f>
        <v>1990</v>
      </c>
      <c r="C59" s="134">
        <f>Amnt_Deposited!G51</f>
        <v>11.040000000000001</v>
      </c>
      <c r="D59" s="496">
        <f>MCF!X58</f>
        <v>0.70499999999999996</v>
      </c>
      <c r="E59" s="167">
        <f t="shared" si="1"/>
        <v>0</v>
      </c>
      <c r="F59" s="100">
        <f t="shared" si="0"/>
        <v>0</v>
      </c>
      <c r="G59" s="100">
        <f t="shared" si="2"/>
        <v>0</v>
      </c>
      <c r="H59" s="100">
        <f t="shared" si="3"/>
        <v>0</v>
      </c>
      <c r="I59" s="100">
        <f t="shared" si="4"/>
        <v>0</v>
      </c>
      <c r="J59" s="135">
        <f t="shared" si="5"/>
        <v>0</v>
      </c>
    </row>
    <row r="60" spans="2:10">
      <c r="B60" s="131">
        <f>Amnt_Deposited!B52</f>
        <v>1991</v>
      </c>
      <c r="C60" s="134">
        <f>Amnt_Deposited!G52</f>
        <v>11.040000000000001</v>
      </c>
      <c r="D60" s="496">
        <f>MCF!X59</f>
        <v>0.70499999999999996</v>
      </c>
      <c r="E60" s="167">
        <f t="shared" si="1"/>
        <v>0</v>
      </c>
      <c r="F60" s="100">
        <f t="shared" si="0"/>
        <v>0</v>
      </c>
      <c r="G60" s="100">
        <f t="shared" si="2"/>
        <v>0</v>
      </c>
      <c r="H60" s="100">
        <f t="shared" si="3"/>
        <v>0</v>
      </c>
      <c r="I60" s="100">
        <f t="shared" si="4"/>
        <v>0</v>
      </c>
      <c r="J60" s="135">
        <f t="shared" si="5"/>
        <v>0</v>
      </c>
    </row>
    <row r="61" spans="2:10">
      <c r="B61" s="131">
        <f>Amnt_Deposited!B53</f>
        <v>1992</v>
      </c>
      <c r="C61" s="134">
        <f>Amnt_Deposited!G53</f>
        <v>11.040000000000001</v>
      </c>
      <c r="D61" s="496">
        <f>MCF!X60</f>
        <v>0.70499999999999996</v>
      </c>
      <c r="E61" s="167">
        <f t="shared" si="1"/>
        <v>0</v>
      </c>
      <c r="F61" s="100">
        <f t="shared" si="0"/>
        <v>0</v>
      </c>
      <c r="G61" s="100">
        <f t="shared" si="2"/>
        <v>0</v>
      </c>
      <c r="H61" s="100">
        <f t="shared" si="3"/>
        <v>0</v>
      </c>
      <c r="I61" s="100">
        <f t="shared" si="4"/>
        <v>0</v>
      </c>
      <c r="J61" s="135">
        <f t="shared" si="5"/>
        <v>0</v>
      </c>
    </row>
    <row r="62" spans="2:10">
      <c r="B62" s="131">
        <f>Amnt_Deposited!B54</f>
        <v>1993</v>
      </c>
      <c r="C62" s="134">
        <f>Amnt_Deposited!G54</f>
        <v>11.040000000000001</v>
      </c>
      <c r="D62" s="496">
        <f>MCF!X61</f>
        <v>0.70499999999999996</v>
      </c>
      <c r="E62" s="167">
        <f t="shared" si="1"/>
        <v>0</v>
      </c>
      <c r="F62" s="100">
        <f t="shared" si="0"/>
        <v>0</v>
      </c>
      <c r="G62" s="100">
        <f t="shared" si="2"/>
        <v>0</v>
      </c>
      <c r="H62" s="100">
        <f t="shared" si="3"/>
        <v>0</v>
      </c>
      <c r="I62" s="100">
        <f t="shared" si="4"/>
        <v>0</v>
      </c>
      <c r="J62" s="135">
        <f t="shared" si="5"/>
        <v>0</v>
      </c>
    </row>
    <row r="63" spans="2:10">
      <c r="B63" s="131">
        <f>Amnt_Deposited!B55</f>
        <v>1994</v>
      </c>
      <c r="C63" s="134">
        <f>Amnt_Deposited!G55</f>
        <v>11.040000000000001</v>
      </c>
      <c r="D63" s="496">
        <f>MCF!X62</f>
        <v>0.70499999999999996</v>
      </c>
      <c r="E63" s="167">
        <f t="shared" si="1"/>
        <v>0</v>
      </c>
      <c r="F63" s="100">
        <f t="shared" si="0"/>
        <v>0</v>
      </c>
      <c r="G63" s="100">
        <f t="shared" si="2"/>
        <v>0</v>
      </c>
      <c r="H63" s="100">
        <f t="shared" si="3"/>
        <v>0</v>
      </c>
      <c r="I63" s="100">
        <f t="shared" si="4"/>
        <v>0</v>
      </c>
      <c r="J63" s="135">
        <f t="shared" si="5"/>
        <v>0</v>
      </c>
    </row>
    <row r="64" spans="2:10">
      <c r="B64" s="131">
        <f>Amnt_Deposited!B56</f>
        <v>1995</v>
      </c>
      <c r="C64" s="134">
        <f>Amnt_Deposited!G56</f>
        <v>11.040000000000001</v>
      </c>
      <c r="D64" s="496">
        <f>MCF!X63</f>
        <v>0.70499999999999996</v>
      </c>
      <c r="E64" s="167">
        <f t="shared" si="1"/>
        <v>0</v>
      </c>
      <c r="F64" s="100">
        <f t="shared" si="0"/>
        <v>0</v>
      </c>
      <c r="G64" s="100">
        <f t="shared" si="2"/>
        <v>0</v>
      </c>
      <c r="H64" s="100">
        <f t="shared" si="3"/>
        <v>0</v>
      </c>
      <c r="I64" s="100">
        <f t="shared" si="4"/>
        <v>0</v>
      </c>
      <c r="J64" s="135">
        <f t="shared" si="5"/>
        <v>0</v>
      </c>
    </row>
    <row r="65" spans="2:10">
      <c r="B65" s="131">
        <f>Amnt_Deposited!B57</f>
        <v>1996</v>
      </c>
      <c r="C65" s="134">
        <f>Amnt_Deposited!G57</f>
        <v>11.040000000000001</v>
      </c>
      <c r="D65" s="496">
        <f>MCF!X64</f>
        <v>0.70499999999999996</v>
      </c>
      <c r="E65" s="167">
        <f t="shared" si="1"/>
        <v>0</v>
      </c>
      <c r="F65" s="100">
        <f t="shared" si="0"/>
        <v>0</v>
      </c>
      <c r="G65" s="100">
        <f t="shared" si="2"/>
        <v>0</v>
      </c>
      <c r="H65" s="100">
        <f t="shared" si="3"/>
        <v>0</v>
      </c>
      <c r="I65" s="100">
        <f t="shared" si="4"/>
        <v>0</v>
      </c>
      <c r="J65" s="135">
        <f t="shared" si="5"/>
        <v>0</v>
      </c>
    </row>
    <row r="66" spans="2:10">
      <c r="B66" s="131">
        <f>Amnt_Deposited!B58</f>
        <v>1997</v>
      </c>
      <c r="C66" s="134">
        <f>Amnt_Deposited!G58</f>
        <v>11.040000000000001</v>
      </c>
      <c r="D66" s="496">
        <f>MCF!X65</f>
        <v>0.70499999999999996</v>
      </c>
      <c r="E66" s="167">
        <f t="shared" si="1"/>
        <v>0</v>
      </c>
      <c r="F66" s="100">
        <f t="shared" si="0"/>
        <v>0</v>
      </c>
      <c r="G66" s="100">
        <f t="shared" si="2"/>
        <v>0</v>
      </c>
      <c r="H66" s="100">
        <f t="shared" si="3"/>
        <v>0</v>
      </c>
      <c r="I66" s="100">
        <f t="shared" si="4"/>
        <v>0</v>
      </c>
      <c r="J66" s="135">
        <f t="shared" si="5"/>
        <v>0</v>
      </c>
    </row>
    <row r="67" spans="2:10">
      <c r="B67" s="131">
        <f>Amnt_Deposited!B59</f>
        <v>1998</v>
      </c>
      <c r="C67" s="134">
        <f>Amnt_Deposited!G59</f>
        <v>11.040000000000001</v>
      </c>
      <c r="D67" s="496">
        <f>MCF!X66</f>
        <v>0.70499999999999996</v>
      </c>
      <c r="E67" s="167">
        <f t="shared" si="1"/>
        <v>0</v>
      </c>
      <c r="F67" s="100">
        <f t="shared" si="0"/>
        <v>0</v>
      </c>
      <c r="G67" s="100">
        <f t="shared" si="2"/>
        <v>0</v>
      </c>
      <c r="H67" s="100">
        <f t="shared" si="3"/>
        <v>0</v>
      </c>
      <c r="I67" s="100">
        <f t="shared" si="4"/>
        <v>0</v>
      </c>
      <c r="J67" s="135">
        <f t="shared" si="5"/>
        <v>0</v>
      </c>
    </row>
    <row r="68" spans="2:10">
      <c r="B68" s="131">
        <f>Amnt_Deposited!B60</f>
        <v>1999</v>
      </c>
      <c r="C68" s="134">
        <f>Amnt_Deposited!G60</f>
        <v>11.040000000000001</v>
      </c>
      <c r="D68" s="496">
        <f>MCF!X67</f>
        <v>0.70499999999999996</v>
      </c>
      <c r="E68" s="167">
        <f t="shared" si="1"/>
        <v>0</v>
      </c>
      <c r="F68" s="100">
        <f t="shared" si="0"/>
        <v>0</v>
      </c>
      <c r="G68" s="100">
        <f t="shared" si="2"/>
        <v>0</v>
      </c>
      <c r="H68" s="100">
        <f t="shared" si="3"/>
        <v>0</v>
      </c>
      <c r="I68" s="100">
        <f t="shared" si="4"/>
        <v>0</v>
      </c>
      <c r="J68" s="135">
        <f t="shared" si="5"/>
        <v>0</v>
      </c>
    </row>
    <row r="69" spans="2:10">
      <c r="B69" s="131">
        <f>Amnt_Deposited!B61</f>
        <v>2000</v>
      </c>
      <c r="C69" s="134">
        <f>Amnt_Deposited!G61</f>
        <v>11.040000000000001</v>
      </c>
      <c r="D69" s="496">
        <f>MCF!X68</f>
        <v>0.70499999999999996</v>
      </c>
      <c r="E69" s="167">
        <f t="shared" si="1"/>
        <v>0</v>
      </c>
      <c r="F69" s="100">
        <f t="shared" si="0"/>
        <v>0</v>
      </c>
      <c r="G69" s="100">
        <f t="shared" si="2"/>
        <v>0</v>
      </c>
      <c r="H69" s="100">
        <f t="shared" si="3"/>
        <v>0</v>
      </c>
      <c r="I69" s="100">
        <f t="shared" si="4"/>
        <v>0</v>
      </c>
      <c r="J69" s="135">
        <f t="shared" si="5"/>
        <v>0</v>
      </c>
    </row>
    <row r="70" spans="2:10">
      <c r="B70" s="131">
        <f>Amnt_Deposited!B62</f>
        <v>2001</v>
      </c>
      <c r="C70" s="134">
        <f>Amnt_Deposited!G62</f>
        <v>11.040000000000001</v>
      </c>
      <c r="D70" s="496">
        <f>MCF!X69</f>
        <v>0.70499999999999996</v>
      </c>
      <c r="E70" s="167">
        <f t="shared" si="1"/>
        <v>0</v>
      </c>
      <c r="F70" s="100">
        <f t="shared" si="0"/>
        <v>0</v>
      </c>
      <c r="G70" s="100">
        <f t="shared" si="2"/>
        <v>0</v>
      </c>
      <c r="H70" s="100">
        <f t="shared" si="3"/>
        <v>0</v>
      </c>
      <c r="I70" s="100">
        <f t="shared" si="4"/>
        <v>0</v>
      </c>
      <c r="J70" s="135">
        <f t="shared" si="5"/>
        <v>0</v>
      </c>
    </row>
    <row r="71" spans="2:10">
      <c r="B71" s="131">
        <f>Amnt_Deposited!B63</f>
        <v>2002</v>
      </c>
      <c r="C71" s="134">
        <f>Amnt_Deposited!G63</f>
        <v>11.040000000000001</v>
      </c>
      <c r="D71" s="496">
        <f>MCF!X70</f>
        <v>0.70499999999999996</v>
      </c>
      <c r="E71" s="167">
        <f t="shared" si="1"/>
        <v>0</v>
      </c>
      <c r="F71" s="100">
        <f t="shared" si="0"/>
        <v>0</v>
      </c>
      <c r="G71" s="100">
        <f t="shared" si="2"/>
        <v>0</v>
      </c>
      <c r="H71" s="100">
        <f t="shared" si="3"/>
        <v>0</v>
      </c>
      <c r="I71" s="100">
        <f t="shared" si="4"/>
        <v>0</v>
      </c>
      <c r="J71" s="135">
        <f t="shared" si="5"/>
        <v>0</v>
      </c>
    </row>
    <row r="72" spans="2:10">
      <c r="B72" s="131">
        <f>Amnt_Deposited!B64</f>
        <v>2003</v>
      </c>
      <c r="C72" s="134">
        <f>Amnt_Deposited!G64</f>
        <v>11.040000000000001</v>
      </c>
      <c r="D72" s="496">
        <f>MCF!X71</f>
        <v>0.70499999999999996</v>
      </c>
      <c r="E72" s="167">
        <f t="shared" si="1"/>
        <v>0</v>
      </c>
      <c r="F72" s="100">
        <f t="shared" si="0"/>
        <v>0</v>
      </c>
      <c r="G72" s="100">
        <f t="shared" si="2"/>
        <v>0</v>
      </c>
      <c r="H72" s="100">
        <f t="shared" si="3"/>
        <v>0</v>
      </c>
      <c r="I72" s="100">
        <f t="shared" si="4"/>
        <v>0</v>
      </c>
      <c r="J72" s="135">
        <f t="shared" si="5"/>
        <v>0</v>
      </c>
    </row>
    <row r="73" spans="2:10">
      <c r="B73" s="131">
        <f>Amnt_Deposited!B65</f>
        <v>2004</v>
      </c>
      <c r="C73" s="134">
        <f>Amnt_Deposited!G65</f>
        <v>11.040000000000001</v>
      </c>
      <c r="D73" s="496">
        <f>MCF!X72</f>
        <v>0.70499999999999996</v>
      </c>
      <c r="E73" s="167">
        <f t="shared" si="1"/>
        <v>0</v>
      </c>
      <c r="F73" s="100">
        <f t="shared" si="0"/>
        <v>0</v>
      </c>
      <c r="G73" s="100">
        <f t="shared" si="2"/>
        <v>0</v>
      </c>
      <c r="H73" s="100">
        <f t="shared" si="3"/>
        <v>0</v>
      </c>
      <c r="I73" s="100">
        <f t="shared" si="4"/>
        <v>0</v>
      </c>
      <c r="J73" s="135">
        <f t="shared" si="5"/>
        <v>0</v>
      </c>
    </row>
    <row r="74" spans="2:10">
      <c r="B74" s="131">
        <f>Amnt_Deposited!B66</f>
        <v>2005</v>
      </c>
      <c r="C74" s="134">
        <f>Amnt_Deposited!G66</f>
        <v>11.040000000000001</v>
      </c>
      <c r="D74" s="496">
        <f>MCF!X73</f>
        <v>0.70499999999999996</v>
      </c>
      <c r="E74" s="167">
        <f t="shared" si="1"/>
        <v>0</v>
      </c>
      <c r="F74" s="100">
        <f t="shared" si="0"/>
        <v>0</v>
      </c>
      <c r="G74" s="100">
        <f t="shared" si="2"/>
        <v>0</v>
      </c>
      <c r="H74" s="100">
        <f t="shared" si="3"/>
        <v>0</v>
      </c>
      <c r="I74" s="100">
        <f t="shared" si="4"/>
        <v>0</v>
      </c>
      <c r="J74" s="135">
        <f t="shared" si="5"/>
        <v>0</v>
      </c>
    </row>
    <row r="75" spans="2:10">
      <c r="B75" s="131">
        <f>Amnt_Deposited!B67</f>
        <v>2006</v>
      </c>
      <c r="C75" s="134">
        <f>Amnt_Deposited!G67</f>
        <v>11.040000000000001</v>
      </c>
      <c r="D75" s="496">
        <f>MCF!X74</f>
        <v>0.70499999999999996</v>
      </c>
      <c r="E75" s="167">
        <f t="shared" si="1"/>
        <v>0</v>
      </c>
      <c r="F75" s="100">
        <f t="shared" si="0"/>
        <v>0</v>
      </c>
      <c r="G75" s="100">
        <f t="shared" si="2"/>
        <v>0</v>
      </c>
      <c r="H75" s="100">
        <f t="shared" si="3"/>
        <v>0</v>
      </c>
      <c r="I75" s="100">
        <f t="shared" si="4"/>
        <v>0</v>
      </c>
      <c r="J75" s="135">
        <f t="shared" si="5"/>
        <v>0</v>
      </c>
    </row>
    <row r="76" spans="2:10">
      <c r="B76" s="131">
        <f>Amnt_Deposited!B68</f>
        <v>2007</v>
      </c>
      <c r="C76" s="134">
        <f>Amnt_Deposited!G68</f>
        <v>11.040000000000001</v>
      </c>
      <c r="D76" s="496">
        <f>MCF!X75</f>
        <v>0.70499999999999996</v>
      </c>
      <c r="E76" s="167">
        <f t="shared" si="1"/>
        <v>0</v>
      </c>
      <c r="F76" s="100">
        <f t="shared" si="0"/>
        <v>0</v>
      </c>
      <c r="G76" s="100">
        <f t="shared" si="2"/>
        <v>0</v>
      </c>
      <c r="H76" s="100">
        <f t="shared" si="3"/>
        <v>0</v>
      </c>
      <c r="I76" s="100">
        <f t="shared" si="4"/>
        <v>0</v>
      </c>
      <c r="J76" s="135">
        <f t="shared" si="5"/>
        <v>0</v>
      </c>
    </row>
    <row r="77" spans="2:10">
      <c r="B77" s="131">
        <f>Amnt_Deposited!B69</f>
        <v>2008</v>
      </c>
      <c r="C77" s="134">
        <f>Amnt_Deposited!G69</f>
        <v>11.040000000000001</v>
      </c>
      <c r="D77" s="496">
        <f>MCF!X76</f>
        <v>0.70499999999999996</v>
      </c>
      <c r="E77" s="167">
        <f t="shared" si="1"/>
        <v>0</v>
      </c>
      <c r="F77" s="100">
        <f t="shared" si="0"/>
        <v>0</v>
      </c>
      <c r="G77" s="100">
        <f t="shared" si="2"/>
        <v>0</v>
      </c>
      <c r="H77" s="100">
        <f t="shared" si="3"/>
        <v>0</v>
      </c>
      <c r="I77" s="100">
        <f t="shared" si="4"/>
        <v>0</v>
      </c>
      <c r="J77" s="135">
        <f t="shared" si="5"/>
        <v>0</v>
      </c>
    </row>
    <row r="78" spans="2:10">
      <c r="B78" s="131">
        <f>Amnt_Deposited!B70</f>
        <v>2009</v>
      </c>
      <c r="C78" s="134">
        <f>Amnt_Deposited!G70</f>
        <v>11.040000000000001</v>
      </c>
      <c r="D78" s="496">
        <f>MCF!X77</f>
        <v>0.70499999999999996</v>
      </c>
      <c r="E78" s="167">
        <f t="shared" si="1"/>
        <v>0</v>
      </c>
      <c r="F78" s="100">
        <f t="shared" si="0"/>
        <v>0</v>
      </c>
      <c r="G78" s="100">
        <f t="shared" si="2"/>
        <v>0</v>
      </c>
      <c r="H78" s="100">
        <f t="shared" si="3"/>
        <v>0</v>
      </c>
      <c r="I78" s="100">
        <f t="shared" si="4"/>
        <v>0</v>
      </c>
      <c r="J78" s="135">
        <f t="shared" si="5"/>
        <v>0</v>
      </c>
    </row>
    <row r="79" spans="2:10">
      <c r="B79" s="131">
        <f>Amnt_Deposited!B71</f>
        <v>2010</v>
      </c>
      <c r="C79" s="134">
        <f>Amnt_Deposited!G71</f>
        <v>11.040000000000001</v>
      </c>
      <c r="D79" s="496">
        <f>MCF!X78</f>
        <v>0.70499999999999996</v>
      </c>
      <c r="E79" s="167">
        <f t="shared" si="1"/>
        <v>0</v>
      </c>
      <c r="F79" s="100">
        <f t="shared" si="0"/>
        <v>0</v>
      </c>
      <c r="G79" s="100">
        <f t="shared" si="2"/>
        <v>0</v>
      </c>
      <c r="H79" s="100">
        <f t="shared" si="3"/>
        <v>0</v>
      </c>
      <c r="I79" s="100">
        <f t="shared" si="4"/>
        <v>0</v>
      </c>
      <c r="J79" s="135">
        <f t="shared" si="5"/>
        <v>0</v>
      </c>
    </row>
    <row r="80" spans="2:10">
      <c r="B80" s="131">
        <f>Amnt_Deposited!B72</f>
        <v>2011</v>
      </c>
      <c r="C80" s="134">
        <f>Amnt_Deposited!G72</f>
        <v>11.040000000000001</v>
      </c>
      <c r="D80" s="496">
        <f>MCF!X79</f>
        <v>0.70499999999999996</v>
      </c>
      <c r="E80" s="167">
        <f t="shared" si="1"/>
        <v>0</v>
      </c>
      <c r="F80" s="100">
        <f t="shared" si="0"/>
        <v>0</v>
      </c>
      <c r="G80" s="100">
        <f t="shared" si="2"/>
        <v>0</v>
      </c>
      <c r="H80" s="100">
        <f t="shared" si="3"/>
        <v>0</v>
      </c>
      <c r="I80" s="100">
        <f t="shared" si="4"/>
        <v>0</v>
      </c>
      <c r="J80" s="135">
        <f t="shared" si="5"/>
        <v>0</v>
      </c>
    </row>
    <row r="81" spans="2:10">
      <c r="B81" s="131">
        <f>Amnt_Deposited!B73</f>
        <v>2012</v>
      </c>
      <c r="C81" s="134">
        <f>Amnt_Deposited!G73</f>
        <v>11.040000000000001</v>
      </c>
      <c r="D81" s="496">
        <f>MCF!X80</f>
        <v>0.70499999999999996</v>
      </c>
      <c r="E81" s="167">
        <f t="shared" si="1"/>
        <v>0</v>
      </c>
      <c r="F81" s="100">
        <f t="shared" si="0"/>
        <v>0</v>
      </c>
      <c r="G81" s="100">
        <f t="shared" si="2"/>
        <v>0</v>
      </c>
      <c r="H81" s="100">
        <f t="shared" si="3"/>
        <v>0</v>
      </c>
      <c r="I81" s="100">
        <f t="shared" si="4"/>
        <v>0</v>
      </c>
      <c r="J81" s="135">
        <f t="shared" si="5"/>
        <v>0</v>
      </c>
    </row>
    <row r="82" spans="2:10">
      <c r="B82" s="131">
        <f>Amnt_Deposited!B74</f>
        <v>2013</v>
      </c>
      <c r="C82" s="134">
        <f>Amnt_Deposited!G74</f>
        <v>11.040000000000001</v>
      </c>
      <c r="D82" s="496">
        <f>MCF!X81</f>
        <v>0.70499999999999996</v>
      </c>
      <c r="E82" s="167">
        <f t="shared" si="1"/>
        <v>0</v>
      </c>
      <c r="F82" s="100">
        <f t="shared" si="0"/>
        <v>0</v>
      </c>
      <c r="G82" s="100">
        <f t="shared" si="2"/>
        <v>0</v>
      </c>
      <c r="H82" s="100">
        <f t="shared" si="3"/>
        <v>0</v>
      </c>
      <c r="I82" s="100">
        <f t="shared" si="4"/>
        <v>0</v>
      </c>
      <c r="J82" s="135">
        <f t="shared" si="5"/>
        <v>0</v>
      </c>
    </row>
    <row r="83" spans="2:10">
      <c r="B83" s="131">
        <f>Amnt_Deposited!B75</f>
        <v>2014</v>
      </c>
      <c r="C83" s="134">
        <f>Amnt_Deposited!G75</f>
        <v>11.040000000000001</v>
      </c>
      <c r="D83" s="496">
        <f>MCF!X82</f>
        <v>0.70499999999999996</v>
      </c>
      <c r="E83" s="167">
        <f t="shared" si="1"/>
        <v>0</v>
      </c>
      <c r="F83" s="100">
        <f t="shared" ref="F83:F99" si="6">E83*$I$12</f>
        <v>0</v>
      </c>
      <c r="G83" s="100">
        <f t="shared" si="2"/>
        <v>0</v>
      </c>
      <c r="H83" s="100">
        <f t="shared" si="3"/>
        <v>0</v>
      </c>
      <c r="I83" s="100">
        <f t="shared" si="4"/>
        <v>0</v>
      </c>
      <c r="J83" s="135">
        <f t="shared" si="5"/>
        <v>0</v>
      </c>
    </row>
    <row r="84" spans="2:10">
      <c r="B84" s="131">
        <f>Amnt_Deposited!B76</f>
        <v>2015</v>
      </c>
      <c r="C84" s="134">
        <f>Amnt_Deposited!G76</f>
        <v>11.040000000000001</v>
      </c>
      <c r="D84" s="496">
        <f>MCF!X83</f>
        <v>0.70499999999999996</v>
      </c>
      <c r="E84" s="167">
        <f t="shared" ref="E84:E99" si="7">C84*$I$6*$I$7*D84</f>
        <v>0</v>
      </c>
      <c r="F84" s="100">
        <f t="shared" si="6"/>
        <v>0</v>
      </c>
      <c r="G84" s="100">
        <f t="shared" ref="G84:G99" si="8">E84*(1-$I$12)</f>
        <v>0</v>
      </c>
      <c r="H84" s="100">
        <f t="shared" ref="H84:H99" si="9">F84+H83*$I$10</f>
        <v>0</v>
      </c>
      <c r="I84" s="100">
        <f t="shared" ref="I84:I99" si="10">H83*(1-$I$10)+G84</f>
        <v>0</v>
      </c>
      <c r="J84" s="135">
        <f t="shared" si="5"/>
        <v>0</v>
      </c>
    </row>
    <row r="85" spans="2:10">
      <c r="B85" s="131">
        <f>Amnt_Deposited!B77</f>
        <v>2016</v>
      </c>
      <c r="C85" s="134">
        <f>Amnt_Deposited!G77</f>
        <v>11.040000000000001</v>
      </c>
      <c r="D85" s="496">
        <f>MCF!X84</f>
        <v>0.70499999999999996</v>
      </c>
      <c r="E85" s="167">
        <f t="shared" si="7"/>
        <v>0</v>
      </c>
      <c r="F85" s="100">
        <f t="shared" si="6"/>
        <v>0</v>
      </c>
      <c r="G85" s="100">
        <f t="shared" si="8"/>
        <v>0</v>
      </c>
      <c r="H85" s="100">
        <f t="shared" si="9"/>
        <v>0</v>
      </c>
      <c r="I85" s="100">
        <f t="shared" si="10"/>
        <v>0</v>
      </c>
      <c r="J85" s="135">
        <f t="shared" ref="J85:J99" si="11">I85*CH4_fraction*conv</f>
        <v>0</v>
      </c>
    </row>
    <row r="86" spans="2:10">
      <c r="B86" s="131">
        <f>Amnt_Deposited!B78</f>
        <v>2017</v>
      </c>
      <c r="C86" s="134">
        <f>Amnt_Deposited!G78</f>
        <v>11.040000000000001</v>
      </c>
      <c r="D86" s="496">
        <f>MCF!X85</f>
        <v>0.70499999999999996</v>
      </c>
      <c r="E86" s="167">
        <f t="shared" si="7"/>
        <v>0</v>
      </c>
      <c r="F86" s="100">
        <f t="shared" si="6"/>
        <v>0</v>
      </c>
      <c r="G86" s="100">
        <f t="shared" si="8"/>
        <v>0</v>
      </c>
      <c r="H86" s="100">
        <f t="shared" si="9"/>
        <v>0</v>
      </c>
      <c r="I86" s="100">
        <f t="shared" si="10"/>
        <v>0</v>
      </c>
      <c r="J86" s="135">
        <f t="shared" si="11"/>
        <v>0</v>
      </c>
    </row>
    <row r="87" spans="2:10">
      <c r="B87" s="131">
        <f>Amnt_Deposited!B79</f>
        <v>2018</v>
      </c>
      <c r="C87" s="134">
        <f>Amnt_Deposited!G79</f>
        <v>11.040000000000001</v>
      </c>
      <c r="D87" s="496">
        <f>MCF!X86</f>
        <v>0.70499999999999996</v>
      </c>
      <c r="E87" s="167">
        <f t="shared" si="7"/>
        <v>0</v>
      </c>
      <c r="F87" s="100">
        <f t="shared" si="6"/>
        <v>0</v>
      </c>
      <c r="G87" s="100">
        <f t="shared" si="8"/>
        <v>0</v>
      </c>
      <c r="H87" s="100">
        <f t="shared" si="9"/>
        <v>0</v>
      </c>
      <c r="I87" s="100">
        <f t="shared" si="10"/>
        <v>0</v>
      </c>
      <c r="J87" s="135">
        <f t="shared" si="11"/>
        <v>0</v>
      </c>
    </row>
    <row r="88" spans="2:10">
      <c r="B88" s="131">
        <f>Amnt_Deposited!B80</f>
        <v>2019</v>
      </c>
      <c r="C88" s="134">
        <f>Amnt_Deposited!G80</f>
        <v>11.040000000000001</v>
      </c>
      <c r="D88" s="496">
        <f>MCF!X87</f>
        <v>0.70499999999999996</v>
      </c>
      <c r="E88" s="167">
        <f t="shared" si="7"/>
        <v>0</v>
      </c>
      <c r="F88" s="100">
        <f t="shared" si="6"/>
        <v>0</v>
      </c>
      <c r="G88" s="100">
        <f t="shared" si="8"/>
        <v>0</v>
      </c>
      <c r="H88" s="100">
        <f t="shared" si="9"/>
        <v>0</v>
      </c>
      <c r="I88" s="100">
        <f t="shared" si="10"/>
        <v>0</v>
      </c>
      <c r="J88" s="135">
        <f t="shared" si="11"/>
        <v>0</v>
      </c>
    </row>
    <row r="89" spans="2:10">
      <c r="B89" s="131">
        <f>Amnt_Deposited!B81</f>
        <v>2020</v>
      </c>
      <c r="C89" s="134">
        <f>Amnt_Deposited!G81</f>
        <v>11.040000000000001</v>
      </c>
      <c r="D89" s="496">
        <f>MCF!X88</f>
        <v>0.70499999999999996</v>
      </c>
      <c r="E89" s="167">
        <f t="shared" si="7"/>
        <v>0</v>
      </c>
      <c r="F89" s="100">
        <f t="shared" si="6"/>
        <v>0</v>
      </c>
      <c r="G89" s="100">
        <f t="shared" si="8"/>
        <v>0</v>
      </c>
      <c r="H89" s="100">
        <f t="shared" si="9"/>
        <v>0</v>
      </c>
      <c r="I89" s="100">
        <f t="shared" si="10"/>
        <v>0</v>
      </c>
      <c r="J89" s="135">
        <f t="shared" si="11"/>
        <v>0</v>
      </c>
    </row>
    <row r="90" spans="2:10">
      <c r="B90" s="131">
        <f>Amnt_Deposited!B82</f>
        <v>2021</v>
      </c>
      <c r="C90" s="134">
        <f>Amnt_Deposited!G82</f>
        <v>11.040000000000001</v>
      </c>
      <c r="D90" s="496">
        <f>MCF!X89</f>
        <v>0.70499999999999996</v>
      </c>
      <c r="E90" s="167">
        <f t="shared" si="7"/>
        <v>0</v>
      </c>
      <c r="F90" s="100">
        <f t="shared" si="6"/>
        <v>0</v>
      </c>
      <c r="G90" s="100">
        <f t="shared" si="8"/>
        <v>0</v>
      </c>
      <c r="H90" s="100">
        <f t="shared" si="9"/>
        <v>0</v>
      </c>
      <c r="I90" s="100">
        <f t="shared" si="10"/>
        <v>0</v>
      </c>
      <c r="J90" s="135">
        <f t="shared" si="11"/>
        <v>0</v>
      </c>
    </row>
    <row r="91" spans="2:10">
      <c r="B91" s="131">
        <f>Amnt_Deposited!B83</f>
        <v>2022</v>
      </c>
      <c r="C91" s="134">
        <f>Amnt_Deposited!G83</f>
        <v>11.040000000000001</v>
      </c>
      <c r="D91" s="496">
        <f>MCF!X90</f>
        <v>0.70499999999999996</v>
      </c>
      <c r="E91" s="167">
        <f t="shared" si="7"/>
        <v>0</v>
      </c>
      <c r="F91" s="100">
        <f t="shared" si="6"/>
        <v>0</v>
      </c>
      <c r="G91" s="100">
        <f t="shared" si="8"/>
        <v>0</v>
      </c>
      <c r="H91" s="100">
        <f t="shared" si="9"/>
        <v>0</v>
      </c>
      <c r="I91" s="100">
        <f t="shared" si="10"/>
        <v>0</v>
      </c>
      <c r="J91" s="135">
        <f t="shared" si="11"/>
        <v>0</v>
      </c>
    </row>
    <row r="92" spans="2:10">
      <c r="B92" s="131">
        <f>Amnt_Deposited!B84</f>
        <v>2023</v>
      </c>
      <c r="C92" s="134">
        <f>Amnt_Deposited!G84</f>
        <v>11.040000000000001</v>
      </c>
      <c r="D92" s="496">
        <f>MCF!X91</f>
        <v>0.70499999999999996</v>
      </c>
      <c r="E92" s="167">
        <f t="shared" si="7"/>
        <v>0</v>
      </c>
      <c r="F92" s="100">
        <f t="shared" si="6"/>
        <v>0</v>
      </c>
      <c r="G92" s="100">
        <f t="shared" si="8"/>
        <v>0</v>
      </c>
      <c r="H92" s="100">
        <f t="shared" si="9"/>
        <v>0</v>
      </c>
      <c r="I92" s="100">
        <f t="shared" si="10"/>
        <v>0</v>
      </c>
      <c r="J92" s="135">
        <f t="shared" si="11"/>
        <v>0</v>
      </c>
    </row>
    <row r="93" spans="2:10">
      <c r="B93" s="131">
        <f>Amnt_Deposited!B85</f>
        <v>2024</v>
      </c>
      <c r="C93" s="134">
        <f>Amnt_Deposited!G85</f>
        <v>11.040000000000001</v>
      </c>
      <c r="D93" s="496">
        <f>MCF!X92</f>
        <v>0.70499999999999996</v>
      </c>
      <c r="E93" s="167">
        <f t="shared" si="7"/>
        <v>0</v>
      </c>
      <c r="F93" s="100">
        <f t="shared" si="6"/>
        <v>0</v>
      </c>
      <c r="G93" s="100">
        <f t="shared" si="8"/>
        <v>0</v>
      </c>
      <c r="H93" s="100">
        <f t="shared" si="9"/>
        <v>0</v>
      </c>
      <c r="I93" s="100">
        <f t="shared" si="10"/>
        <v>0</v>
      </c>
      <c r="J93" s="135">
        <f t="shared" si="11"/>
        <v>0</v>
      </c>
    </row>
    <row r="94" spans="2:10">
      <c r="B94" s="131">
        <f>Amnt_Deposited!B86</f>
        <v>2025</v>
      </c>
      <c r="C94" s="134">
        <f>Amnt_Deposited!G86</f>
        <v>11.040000000000001</v>
      </c>
      <c r="D94" s="496">
        <f>MCF!X93</f>
        <v>0.70499999999999996</v>
      </c>
      <c r="E94" s="167">
        <f t="shared" si="7"/>
        <v>0</v>
      </c>
      <c r="F94" s="100">
        <f t="shared" si="6"/>
        <v>0</v>
      </c>
      <c r="G94" s="100">
        <f t="shared" si="8"/>
        <v>0</v>
      </c>
      <c r="H94" s="100">
        <f t="shared" si="9"/>
        <v>0</v>
      </c>
      <c r="I94" s="100">
        <f t="shared" si="10"/>
        <v>0</v>
      </c>
      <c r="J94" s="135">
        <f t="shared" si="11"/>
        <v>0</v>
      </c>
    </row>
    <row r="95" spans="2:10">
      <c r="B95" s="131">
        <f>Amnt_Deposited!B87</f>
        <v>2026</v>
      </c>
      <c r="C95" s="134">
        <f>Amnt_Deposited!G87</f>
        <v>11.040000000000001</v>
      </c>
      <c r="D95" s="496">
        <f>MCF!X94</f>
        <v>0.70499999999999996</v>
      </c>
      <c r="E95" s="167">
        <f t="shared" si="7"/>
        <v>0</v>
      </c>
      <c r="F95" s="100">
        <f t="shared" si="6"/>
        <v>0</v>
      </c>
      <c r="G95" s="100">
        <f t="shared" si="8"/>
        <v>0</v>
      </c>
      <c r="H95" s="100">
        <f t="shared" si="9"/>
        <v>0</v>
      </c>
      <c r="I95" s="100">
        <f t="shared" si="10"/>
        <v>0</v>
      </c>
      <c r="J95" s="135">
        <f t="shared" si="11"/>
        <v>0</v>
      </c>
    </row>
    <row r="96" spans="2:10">
      <c r="B96" s="131">
        <f>Amnt_Deposited!B88</f>
        <v>2027</v>
      </c>
      <c r="C96" s="134">
        <f>Amnt_Deposited!G88</f>
        <v>11.040000000000001</v>
      </c>
      <c r="D96" s="496">
        <f>MCF!X95</f>
        <v>0.70499999999999996</v>
      </c>
      <c r="E96" s="167">
        <f t="shared" si="7"/>
        <v>0</v>
      </c>
      <c r="F96" s="100">
        <f t="shared" si="6"/>
        <v>0</v>
      </c>
      <c r="G96" s="100">
        <f t="shared" si="8"/>
        <v>0</v>
      </c>
      <c r="H96" s="100">
        <f t="shared" si="9"/>
        <v>0</v>
      </c>
      <c r="I96" s="100">
        <f t="shared" si="10"/>
        <v>0</v>
      </c>
      <c r="J96" s="135">
        <f t="shared" si="11"/>
        <v>0</v>
      </c>
    </row>
    <row r="97" spans="2:10">
      <c r="B97" s="131">
        <f>Amnt_Deposited!B89</f>
        <v>2028</v>
      </c>
      <c r="C97" s="134">
        <f>Amnt_Deposited!G89</f>
        <v>11.040000000000001</v>
      </c>
      <c r="D97" s="496">
        <f>MCF!X96</f>
        <v>0.70499999999999996</v>
      </c>
      <c r="E97" s="167">
        <f t="shared" si="7"/>
        <v>0</v>
      </c>
      <c r="F97" s="100">
        <f t="shared" si="6"/>
        <v>0</v>
      </c>
      <c r="G97" s="100">
        <f t="shared" si="8"/>
        <v>0</v>
      </c>
      <c r="H97" s="100">
        <f t="shared" si="9"/>
        <v>0</v>
      </c>
      <c r="I97" s="100">
        <f t="shared" si="10"/>
        <v>0</v>
      </c>
      <c r="J97" s="135">
        <f t="shared" si="11"/>
        <v>0</v>
      </c>
    </row>
    <row r="98" spans="2:10">
      <c r="B98" s="131">
        <f>Amnt_Deposited!B90</f>
        <v>2029</v>
      </c>
      <c r="C98" s="134">
        <f>Amnt_Deposited!G90</f>
        <v>11.040000000000001</v>
      </c>
      <c r="D98" s="496">
        <f>MCF!X97</f>
        <v>0.70499999999999996</v>
      </c>
      <c r="E98" s="167">
        <f t="shared" si="7"/>
        <v>0</v>
      </c>
      <c r="F98" s="100">
        <f t="shared" si="6"/>
        <v>0</v>
      </c>
      <c r="G98" s="100">
        <f t="shared" si="8"/>
        <v>0</v>
      </c>
      <c r="H98" s="100">
        <f t="shared" si="9"/>
        <v>0</v>
      </c>
      <c r="I98" s="100">
        <f t="shared" si="10"/>
        <v>0</v>
      </c>
      <c r="J98" s="135">
        <f t="shared" si="11"/>
        <v>0</v>
      </c>
    </row>
    <row r="99" spans="2:10" ht="13.8" thickBot="1">
      <c r="B99" s="132">
        <f>Amnt_Deposited!B91</f>
        <v>2030</v>
      </c>
      <c r="C99" s="136">
        <f>Amnt_Deposited!G91</f>
        <v>11.040000000000001</v>
      </c>
      <c r="D99" s="497">
        <f>MCF!X98</f>
        <v>0.70499999999999996</v>
      </c>
      <c r="E99" s="167">
        <f t="shared" si="7"/>
        <v>0</v>
      </c>
      <c r="F99" s="101">
        <f t="shared" si="6"/>
        <v>0</v>
      </c>
      <c r="G99" s="101">
        <f t="shared" si="8"/>
        <v>0</v>
      </c>
      <c r="H99" s="101">
        <f t="shared" si="9"/>
        <v>0</v>
      </c>
      <c r="I99" s="101">
        <f t="shared" si="10"/>
        <v>0</v>
      </c>
      <c r="J99" s="137">
        <f t="shared" si="11"/>
        <v>0</v>
      </c>
    </row>
  </sheetData>
  <phoneticPr fontId="17" type="noConversion"/>
  <pageMargins left="0.75" right="0.75" top="1" bottom="1" header="0.5" footer="0.5"/>
  <headerFooter alignWithMargins="0"/>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2:J99"/>
  <sheetViews>
    <sheetView showGridLines="0" workbookViewId="0">
      <selection activeCell="I13" sqref="I13"/>
    </sheetView>
  </sheetViews>
  <sheetFormatPr defaultColWidth="11.44140625" defaultRowHeight="13.2"/>
  <cols>
    <col min="1" max="1" width="3.44140625" style="6" customWidth="1"/>
    <col min="2" max="2" width="5.33203125" style="6" customWidth="1"/>
    <col min="3" max="3" width="9" style="6" customWidth="1"/>
    <col min="4" max="4" width="7.44140625" style="272" customWidth="1"/>
    <col min="5" max="6" width="10.6640625" style="6" customWidth="1"/>
    <col min="7" max="7" width="10.109375" style="6" customWidth="1"/>
    <col min="8" max="8" width="14.33203125" style="6" customWidth="1"/>
    <col min="9" max="9" width="11.6640625" style="6" customWidth="1"/>
    <col min="10" max="10" width="10.33203125" style="6" customWidth="1"/>
    <col min="11" max="16384" width="11.44140625" style="6"/>
  </cols>
  <sheetData>
    <row r="2" spans="1:10" ht="15.6">
      <c r="B2" s="80" t="s">
        <v>188</v>
      </c>
      <c r="C2" s="274"/>
      <c r="D2" s="275"/>
      <c r="E2" s="276"/>
      <c r="F2" s="276"/>
      <c r="G2" s="276"/>
      <c r="H2" s="276"/>
      <c r="I2" s="276"/>
      <c r="J2" s="276"/>
    </row>
    <row r="3" spans="1:10" ht="15">
      <c r="B3" s="174" t="str">
        <f>IF(Select2=2,"This sheet applies only to the waste compositon option and can be deleted when the bulk waste option has been chosen","")</f>
        <v>This sheet applies only to the waste compositon option and can be deleted when the bulk waste option has been chosen</v>
      </c>
      <c r="C3" s="274"/>
      <c r="D3" s="275"/>
      <c r="E3" s="276"/>
      <c r="F3" s="276"/>
      <c r="G3" s="276"/>
      <c r="H3" s="276"/>
      <c r="I3" s="276"/>
      <c r="J3" s="276"/>
    </row>
    <row r="4" spans="1:10" ht="16.2" thickBot="1">
      <c r="B4" s="4"/>
      <c r="C4" s="277"/>
      <c r="D4" s="278"/>
      <c r="E4" s="279"/>
      <c r="F4" s="279"/>
      <c r="G4" s="279"/>
      <c r="H4" s="279"/>
      <c r="I4" s="279"/>
      <c r="J4" s="279"/>
    </row>
    <row r="5" spans="1:10" ht="27" thickBot="1">
      <c r="B5" s="280"/>
      <c r="C5" s="281"/>
      <c r="D5" s="282"/>
      <c r="E5" s="266"/>
      <c r="F5" s="266"/>
      <c r="G5" s="266"/>
      <c r="H5" s="266"/>
      <c r="I5" s="150" t="s">
        <v>8</v>
      </c>
      <c r="J5" s="266"/>
    </row>
    <row r="6" spans="1:10">
      <c r="B6" s="280"/>
      <c r="C6" s="281"/>
      <c r="D6" s="143" t="s">
        <v>10</v>
      </c>
      <c r="E6" s="144"/>
      <c r="F6" s="144"/>
      <c r="G6" s="148"/>
      <c r="H6" s="155" t="s">
        <v>10</v>
      </c>
      <c r="I6" s="329">
        <f>Parameters!M18</f>
        <v>0</v>
      </c>
      <c r="J6" s="266"/>
    </row>
    <row r="7" spans="1:10" ht="13.8" thickBot="1">
      <c r="B7" s="280"/>
      <c r="C7" s="281"/>
      <c r="D7" s="308" t="s">
        <v>14</v>
      </c>
      <c r="E7" s="309"/>
      <c r="F7" s="309"/>
      <c r="G7" s="310"/>
      <c r="H7" s="311" t="s">
        <v>14</v>
      </c>
      <c r="I7" s="637">
        <f>Parameters!E25</f>
        <v>0.5</v>
      </c>
      <c r="J7" s="266"/>
    </row>
    <row r="8" spans="1:10">
      <c r="D8" s="143" t="s">
        <v>226</v>
      </c>
      <c r="E8" s="144"/>
      <c r="F8" s="144"/>
      <c r="G8" s="148"/>
      <c r="H8" s="155" t="s">
        <v>222</v>
      </c>
      <c r="I8" s="149">
        <f>Parameters!M32</f>
        <v>0.09</v>
      </c>
      <c r="J8" s="81"/>
    </row>
    <row r="9" spans="1:10" ht="15.6">
      <c r="D9" s="303" t="s">
        <v>224</v>
      </c>
      <c r="E9" s="304"/>
      <c r="F9" s="304"/>
      <c r="G9" s="305"/>
      <c r="H9" s="306" t="s">
        <v>223</v>
      </c>
      <c r="I9" s="312">
        <f>LN(2)/$I$8</f>
        <v>7.7016353395549482</v>
      </c>
      <c r="J9" s="81"/>
    </row>
    <row r="10" spans="1:10">
      <c r="D10" s="145" t="s">
        <v>95</v>
      </c>
      <c r="E10" s="146"/>
      <c r="F10" s="146"/>
      <c r="G10" s="147"/>
      <c r="H10" s="156" t="s">
        <v>179</v>
      </c>
      <c r="I10" s="82">
        <f>EXP(-$I$8)</f>
        <v>0.91393118527122819</v>
      </c>
      <c r="J10" s="81"/>
    </row>
    <row r="11" spans="1:10">
      <c r="D11" s="145" t="s">
        <v>9</v>
      </c>
      <c r="E11" s="146"/>
      <c r="F11" s="146"/>
      <c r="G11" s="147"/>
      <c r="H11" s="156" t="s">
        <v>94</v>
      </c>
      <c r="I11" s="82">
        <f>Parameters!E40+7</f>
        <v>13</v>
      </c>
      <c r="J11" s="81"/>
    </row>
    <row r="12" spans="1:10" ht="13.8" thickBot="1">
      <c r="D12" s="267" t="s">
        <v>96</v>
      </c>
      <c r="E12" s="268"/>
      <c r="F12" s="268"/>
      <c r="G12" s="269"/>
      <c r="H12" s="270" t="s">
        <v>213</v>
      </c>
      <c r="I12" s="271">
        <f>EXP(-$I$8*((13-I11)/12))</f>
        <v>1</v>
      </c>
      <c r="J12" s="81"/>
    </row>
    <row r="13" spans="1:10" ht="13.8" thickBot="1">
      <c r="C13" s="83"/>
      <c r="D13" s="151" t="s">
        <v>97</v>
      </c>
      <c r="E13" s="152"/>
      <c r="F13" s="152"/>
      <c r="G13" s="153"/>
      <c r="H13" s="157" t="s">
        <v>93</v>
      </c>
      <c r="I13" s="154">
        <f>CH4_fraction</f>
        <v>0.5</v>
      </c>
      <c r="J13" s="81"/>
    </row>
    <row r="14" spans="1:10" ht="13.8" thickBot="1">
      <c r="E14" s="81"/>
      <c r="F14" s="81"/>
      <c r="G14" s="81"/>
      <c r="H14" s="81"/>
      <c r="I14" s="81"/>
      <c r="J14" s="81"/>
    </row>
    <row r="15" spans="1:10" ht="66">
      <c r="B15" s="84" t="s">
        <v>1</v>
      </c>
      <c r="C15" s="85" t="s">
        <v>11</v>
      </c>
      <c r="D15" s="86" t="s">
        <v>12</v>
      </c>
      <c r="E15" s="87" t="s">
        <v>214</v>
      </c>
      <c r="F15" s="87" t="s">
        <v>215</v>
      </c>
      <c r="G15" s="87" t="s">
        <v>216</v>
      </c>
      <c r="H15" s="87" t="s">
        <v>217</v>
      </c>
      <c r="I15" s="87" t="s">
        <v>218</v>
      </c>
      <c r="J15" s="302" t="s">
        <v>219</v>
      </c>
    </row>
    <row r="16" spans="1:10" ht="23.4">
      <c r="A16" s="283"/>
      <c r="B16" s="138"/>
      <c r="C16" s="139" t="s">
        <v>220</v>
      </c>
      <c r="D16" s="140" t="s">
        <v>12</v>
      </c>
      <c r="E16" s="141" t="s">
        <v>221</v>
      </c>
      <c r="F16" s="141" t="s">
        <v>180</v>
      </c>
      <c r="G16" s="141" t="s">
        <v>181</v>
      </c>
      <c r="H16" s="141" t="s">
        <v>182</v>
      </c>
      <c r="I16" s="141" t="s">
        <v>225</v>
      </c>
      <c r="J16" s="142" t="s">
        <v>183</v>
      </c>
    </row>
    <row r="17" spans="2:10" ht="13.8" thickBot="1">
      <c r="B17" s="16"/>
      <c r="C17" s="17" t="s">
        <v>17</v>
      </c>
      <c r="D17" s="88" t="s">
        <v>23</v>
      </c>
      <c r="E17" s="89" t="s">
        <v>17</v>
      </c>
      <c r="F17" s="89" t="s">
        <v>17</v>
      </c>
      <c r="G17" s="89" t="s">
        <v>17</v>
      </c>
      <c r="H17" s="89" t="s">
        <v>17</v>
      </c>
      <c r="I17" s="89" t="s">
        <v>17</v>
      </c>
      <c r="J17" s="90" t="s">
        <v>17</v>
      </c>
    </row>
    <row r="18" spans="2:10" ht="13.8" thickBot="1">
      <c r="B18" s="19"/>
      <c r="C18" s="91"/>
      <c r="D18" s="92"/>
      <c r="E18" s="168"/>
      <c r="F18" s="93"/>
      <c r="G18" s="93"/>
      <c r="H18" s="93"/>
      <c r="I18" s="93"/>
      <c r="J18" s="94"/>
    </row>
    <row r="19" spans="2:10">
      <c r="B19" s="130">
        <f>Amnt_Deposited!B11</f>
        <v>1950</v>
      </c>
      <c r="C19" s="133">
        <f>Amnt_Deposited!H11</f>
        <v>0</v>
      </c>
      <c r="D19" s="495">
        <f>MCF!X18</f>
        <v>0.70499999999999996</v>
      </c>
      <c r="E19" s="167">
        <f>C19*$I$6*$I$7*D19</f>
        <v>0</v>
      </c>
      <c r="F19" s="95">
        <f t="shared" ref="F19:F82" si="0">E19*$I$12</f>
        <v>0</v>
      </c>
      <c r="G19" s="95">
        <f>E19*(1-$I$12)</f>
        <v>0</v>
      </c>
      <c r="H19" s="95">
        <f>F19+H18*$I$10</f>
        <v>0</v>
      </c>
      <c r="I19" s="95">
        <f>H18*(1-$I$10)+G19</f>
        <v>0</v>
      </c>
      <c r="J19" s="97">
        <f>I19*CH4_fraction*conv</f>
        <v>0</v>
      </c>
    </row>
    <row r="20" spans="2:10">
      <c r="B20" s="131">
        <f>Amnt_Deposited!B12</f>
        <v>1951</v>
      </c>
      <c r="C20" s="134">
        <f>Amnt_Deposited!H12</f>
        <v>0</v>
      </c>
      <c r="D20" s="496">
        <f>MCF!X19</f>
        <v>0.70499999999999996</v>
      </c>
      <c r="E20" s="167">
        <f t="shared" ref="E20:E83" si="1">C20*$I$6*$I$7*D20</f>
        <v>0</v>
      </c>
      <c r="F20" s="100">
        <f t="shared" si="0"/>
        <v>0</v>
      </c>
      <c r="G20" s="100">
        <f t="shared" ref="G20:G83" si="2">E20*(1-$I$12)</f>
        <v>0</v>
      </c>
      <c r="H20" s="100">
        <f t="shared" ref="H20:H83" si="3">F20+H19*$I$10</f>
        <v>0</v>
      </c>
      <c r="I20" s="100">
        <f t="shared" ref="I20:I83" si="4">H19*(1-$I$10)+G20</f>
        <v>0</v>
      </c>
      <c r="J20" s="135">
        <f>I20*CH4_fraction*conv</f>
        <v>0</v>
      </c>
    </row>
    <row r="21" spans="2:10">
      <c r="B21" s="131">
        <f>Amnt_Deposited!B13</f>
        <v>1952</v>
      </c>
      <c r="C21" s="134">
        <f>Amnt_Deposited!H13</f>
        <v>0</v>
      </c>
      <c r="D21" s="496">
        <f>MCF!X20</f>
        <v>0.70499999999999996</v>
      </c>
      <c r="E21" s="167">
        <f t="shared" si="1"/>
        <v>0</v>
      </c>
      <c r="F21" s="100">
        <f t="shared" si="0"/>
        <v>0</v>
      </c>
      <c r="G21" s="100">
        <f t="shared" si="2"/>
        <v>0</v>
      </c>
      <c r="H21" s="100">
        <f t="shared" si="3"/>
        <v>0</v>
      </c>
      <c r="I21" s="100">
        <f t="shared" si="4"/>
        <v>0</v>
      </c>
      <c r="J21" s="135">
        <f t="shared" ref="J21:J84" si="5">I21*CH4_fraction*conv</f>
        <v>0</v>
      </c>
    </row>
    <row r="22" spans="2:10">
      <c r="B22" s="131">
        <f>Amnt_Deposited!B14</f>
        <v>1953</v>
      </c>
      <c r="C22" s="134">
        <f>Amnt_Deposited!H14</f>
        <v>0</v>
      </c>
      <c r="D22" s="496">
        <f>MCF!X21</f>
        <v>0.70499999999999996</v>
      </c>
      <c r="E22" s="167">
        <f t="shared" si="1"/>
        <v>0</v>
      </c>
      <c r="F22" s="100">
        <f t="shared" si="0"/>
        <v>0</v>
      </c>
      <c r="G22" s="100">
        <f t="shared" si="2"/>
        <v>0</v>
      </c>
      <c r="H22" s="100">
        <f t="shared" si="3"/>
        <v>0</v>
      </c>
      <c r="I22" s="100">
        <f t="shared" si="4"/>
        <v>0</v>
      </c>
      <c r="J22" s="135">
        <f t="shared" si="5"/>
        <v>0</v>
      </c>
    </row>
    <row r="23" spans="2:10">
      <c r="B23" s="131">
        <f>Amnt_Deposited!B15</f>
        <v>1954</v>
      </c>
      <c r="C23" s="134">
        <f>Amnt_Deposited!H15</f>
        <v>0</v>
      </c>
      <c r="D23" s="496">
        <f>MCF!X22</f>
        <v>0.70499999999999996</v>
      </c>
      <c r="E23" s="167">
        <f t="shared" si="1"/>
        <v>0</v>
      </c>
      <c r="F23" s="100">
        <f t="shared" si="0"/>
        <v>0</v>
      </c>
      <c r="G23" s="100">
        <f t="shared" si="2"/>
        <v>0</v>
      </c>
      <c r="H23" s="100">
        <f t="shared" si="3"/>
        <v>0</v>
      </c>
      <c r="I23" s="100">
        <f t="shared" si="4"/>
        <v>0</v>
      </c>
      <c r="J23" s="135">
        <f t="shared" si="5"/>
        <v>0</v>
      </c>
    </row>
    <row r="24" spans="2:10">
      <c r="B24" s="131">
        <f>Amnt_Deposited!B16</f>
        <v>1955</v>
      </c>
      <c r="C24" s="134">
        <f>Amnt_Deposited!H16</f>
        <v>0</v>
      </c>
      <c r="D24" s="496">
        <f>MCF!X23</f>
        <v>0.70499999999999996</v>
      </c>
      <c r="E24" s="167">
        <f t="shared" si="1"/>
        <v>0</v>
      </c>
      <c r="F24" s="100">
        <f t="shared" si="0"/>
        <v>0</v>
      </c>
      <c r="G24" s="100">
        <f t="shared" si="2"/>
        <v>0</v>
      </c>
      <c r="H24" s="100">
        <f t="shared" si="3"/>
        <v>0</v>
      </c>
      <c r="I24" s="100">
        <f t="shared" si="4"/>
        <v>0</v>
      </c>
      <c r="J24" s="135">
        <f t="shared" si="5"/>
        <v>0</v>
      </c>
    </row>
    <row r="25" spans="2:10">
      <c r="B25" s="131">
        <f>Amnt_Deposited!B17</f>
        <v>1956</v>
      </c>
      <c r="C25" s="134">
        <f>Amnt_Deposited!H17</f>
        <v>0</v>
      </c>
      <c r="D25" s="496">
        <f>MCF!X24</f>
        <v>0.70499999999999996</v>
      </c>
      <c r="E25" s="167">
        <f t="shared" si="1"/>
        <v>0</v>
      </c>
      <c r="F25" s="100">
        <f t="shared" si="0"/>
        <v>0</v>
      </c>
      <c r="G25" s="100">
        <f t="shared" si="2"/>
        <v>0</v>
      </c>
      <c r="H25" s="100">
        <f t="shared" si="3"/>
        <v>0</v>
      </c>
      <c r="I25" s="100">
        <f t="shared" si="4"/>
        <v>0</v>
      </c>
      <c r="J25" s="135">
        <f t="shared" si="5"/>
        <v>0</v>
      </c>
    </row>
    <row r="26" spans="2:10">
      <c r="B26" s="131">
        <f>Amnt_Deposited!B18</f>
        <v>1957</v>
      </c>
      <c r="C26" s="134">
        <f>Amnt_Deposited!H18</f>
        <v>0</v>
      </c>
      <c r="D26" s="496">
        <f>MCF!X25</f>
        <v>0.70499999999999996</v>
      </c>
      <c r="E26" s="167">
        <f t="shared" si="1"/>
        <v>0</v>
      </c>
      <c r="F26" s="100">
        <f t="shared" si="0"/>
        <v>0</v>
      </c>
      <c r="G26" s="100">
        <f t="shared" si="2"/>
        <v>0</v>
      </c>
      <c r="H26" s="100">
        <f t="shared" si="3"/>
        <v>0</v>
      </c>
      <c r="I26" s="100">
        <f t="shared" si="4"/>
        <v>0</v>
      </c>
      <c r="J26" s="135">
        <f t="shared" si="5"/>
        <v>0</v>
      </c>
    </row>
    <row r="27" spans="2:10">
      <c r="B27" s="131">
        <f>Amnt_Deposited!B19</f>
        <v>1958</v>
      </c>
      <c r="C27" s="134">
        <f>Amnt_Deposited!H19</f>
        <v>0</v>
      </c>
      <c r="D27" s="496">
        <f>MCF!X26</f>
        <v>0.70499999999999996</v>
      </c>
      <c r="E27" s="167">
        <f t="shared" si="1"/>
        <v>0</v>
      </c>
      <c r="F27" s="100">
        <f t="shared" si="0"/>
        <v>0</v>
      </c>
      <c r="G27" s="100">
        <f t="shared" si="2"/>
        <v>0</v>
      </c>
      <c r="H27" s="100">
        <f t="shared" si="3"/>
        <v>0</v>
      </c>
      <c r="I27" s="100">
        <f t="shared" si="4"/>
        <v>0</v>
      </c>
      <c r="J27" s="135">
        <f t="shared" si="5"/>
        <v>0</v>
      </c>
    </row>
    <row r="28" spans="2:10">
      <c r="B28" s="131">
        <f>Amnt_Deposited!B20</f>
        <v>1959</v>
      </c>
      <c r="C28" s="134">
        <f>Amnt_Deposited!H20</f>
        <v>0</v>
      </c>
      <c r="D28" s="496">
        <f>MCF!X27</f>
        <v>0.70499999999999996</v>
      </c>
      <c r="E28" s="167">
        <f t="shared" si="1"/>
        <v>0</v>
      </c>
      <c r="F28" s="100">
        <f t="shared" si="0"/>
        <v>0</v>
      </c>
      <c r="G28" s="100">
        <f t="shared" si="2"/>
        <v>0</v>
      </c>
      <c r="H28" s="100">
        <f t="shared" si="3"/>
        <v>0</v>
      </c>
      <c r="I28" s="100">
        <f t="shared" si="4"/>
        <v>0</v>
      </c>
      <c r="J28" s="135">
        <f t="shared" si="5"/>
        <v>0</v>
      </c>
    </row>
    <row r="29" spans="2:10">
      <c r="B29" s="131">
        <f>Amnt_Deposited!B21</f>
        <v>1960</v>
      </c>
      <c r="C29" s="134">
        <f>Amnt_Deposited!H21</f>
        <v>0</v>
      </c>
      <c r="D29" s="496">
        <f>MCF!X28</f>
        <v>0.70499999999999996</v>
      </c>
      <c r="E29" s="167">
        <f t="shared" si="1"/>
        <v>0</v>
      </c>
      <c r="F29" s="100">
        <f t="shared" si="0"/>
        <v>0</v>
      </c>
      <c r="G29" s="100">
        <f t="shared" si="2"/>
        <v>0</v>
      </c>
      <c r="H29" s="100">
        <f t="shared" si="3"/>
        <v>0</v>
      </c>
      <c r="I29" s="100">
        <f t="shared" si="4"/>
        <v>0</v>
      </c>
      <c r="J29" s="135">
        <f t="shared" si="5"/>
        <v>0</v>
      </c>
    </row>
    <row r="30" spans="2:10">
      <c r="B30" s="131">
        <f>Amnt_Deposited!B22</f>
        <v>1961</v>
      </c>
      <c r="C30" s="134">
        <f>Amnt_Deposited!H22</f>
        <v>0</v>
      </c>
      <c r="D30" s="496">
        <f>MCF!X29</f>
        <v>0.70499999999999996</v>
      </c>
      <c r="E30" s="167">
        <f t="shared" si="1"/>
        <v>0</v>
      </c>
      <c r="F30" s="100">
        <f t="shared" si="0"/>
        <v>0</v>
      </c>
      <c r="G30" s="100">
        <f t="shared" si="2"/>
        <v>0</v>
      </c>
      <c r="H30" s="100">
        <f t="shared" si="3"/>
        <v>0</v>
      </c>
      <c r="I30" s="100">
        <f t="shared" si="4"/>
        <v>0</v>
      </c>
      <c r="J30" s="135">
        <f t="shared" si="5"/>
        <v>0</v>
      </c>
    </row>
    <row r="31" spans="2:10">
      <c r="B31" s="131">
        <f>Amnt_Deposited!B23</f>
        <v>1962</v>
      </c>
      <c r="C31" s="134">
        <f>Amnt_Deposited!H23</f>
        <v>0</v>
      </c>
      <c r="D31" s="496">
        <f>MCF!X30</f>
        <v>0.70499999999999996</v>
      </c>
      <c r="E31" s="167">
        <f t="shared" si="1"/>
        <v>0</v>
      </c>
      <c r="F31" s="100">
        <f t="shared" si="0"/>
        <v>0</v>
      </c>
      <c r="G31" s="100">
        <f t="shared" si="2"/>
        <v>0</v>
      </c>
      <c r="H31" s="100">
        <f t="shared" si="3"/>
        <v>0</v>
      </c>
      <c r="I31" s="100">
        <f t="shared" si="4"/>
        <v>0</v>
      </c>
      <c r="J31" s="135">
        <f t="shared" si="5"/>
        <v>0</v>
      </c>
    </row>
    <row r="32" spans="2:10">
      <c r="B32" s="131">
        <f>Amnt_Deposited!B24</f>
        <v>1963</v>
      </c>
      <c r="C32" s="134">
        <f>Amnt_Deposited!H24</f>
        <v>0</v>
      </c>
      <c r="D32" s="496">
        <f>MCF!X31</f>
        <v>0.70499999999999996</v>
      </c>
      <c r="E32" s="167">
        <f t="shared" si="1"/>
        <v>0</v>
      </c>
      <c r="F32" s="100">
        <f t="shared" si="0"/>
        <v>0</v>
      </c>
      <c r="G32" s="100">
        <f t="shared" si="2"/>
        <v>0</v>
      </c>
      <c r="H32" s="100">
        <f t="shared" si="3"/>
        <v>0</v>
      </c>
      <c r="I32" s="100">
        <f t="shared" si="4"/>
        <v>0</v>
      </c>
      <c r="J32" s="135">
        <f t="shared" si="5"/>
        <v>0</v>
      </c>
    </row>
    <row r="33" spans="2:10">
      <c r="B33" s="131">
        <f>Amnt_Deposited!B25</f>
        <v>1964</v>
      </c>
      <c r="C33" s="134">
        <f>Amnt_Deposited!H25</f>
        <v>0</v>
      </c>
      <c r="D33" s="496">
        <f>MCF!X32</f>
        <v>0.70499999999999996</v>
      </c>
      <c r="E33" s="167">
        <f t="shared" si="1"/>
        <v>0</v>
      </c>
      <c r="F33" s="100">
        <f t="shared" si="0"/>
        <v>0</v>
      </c>
      <c r="G33" s="100">
        <f t="shared" si="2"/>
        <v>0</v>
      </c>
      <c r="H33" s="100">
        <f t="shared" si="3"/>
        <v>0</v>
      </c>
      <c r="I33" s="100">
        <f t="shared" si="4"/>
        <v>0</v>
      </c>
      <c r="J33" s="135">
        <f t="shared" si="5"/>
        <v>0</v>
      </c>
    </row>
    <row r="34" spans="2:10">
      <c r="B34" s="131">
        <f>Amnt_Deposited!B26</f>
        <v>1965</v>
      </c>
      <c r="C34" s="134">
        <f>Amnt_Deposited!H26</f>
        <v>0</v>
      </c>
      <c r="D34" s="496">
        <f>MCF!X33</f>
        <v>0.70499999999999996</v>
      </c>
      <c r="E34" s="167">
        <f t="shared" si="1"/>
        <v>0</v>
      </c>
      <c r="F34" s="100">
        <f t="shared" si="0"/>
        <v>0</v>
      </c>
      <c r="G34" s="100">
        <f t="shared" si="2"/>
        <v>0</v>
      </c>
      <c r="H34" s="100">
        <f t="shared" si="3"/>
        <v>0</v>
      </c>
      <c r="I34" s="100">
        <f t="shared" si="4"/>
        <v>0</v>
      </c>
      <c r="J34" s="135">
        <f t="shared" si="5"/>
        <v>0</v>
      </c>
    </row>
    <row r="35" spans="2:10">
      <c r="B35" s="131">
        <f>Amnt_Deposited!B27</f>
        <v>1966</v>
      </c>
      <c r="C35" s="134">
        <f>Amnt_Deposited!H27</f>
        <v>0</v>
      </c>
      <c r="D35" s="496">
        <f>MCF!X34</f>
        <v>0.70499999999999996</v>
      </c>
      <c r="E35" s="167">
        <f t="shared" si="1"/>
        <v>0</v>
      </c>
      <c r="F35" s="100">
        <f t="shared" si="0"/>
        <v>0</v>
      </c>
      <c r="G35" s="100">
        <f t="shared" si="2"/>
        <v>0</v>
      </c>
      <c r="H35" s="100">
        <f t="shared" si="3"/>
        <v>0</v>
      </c>
      <c r="I35" s="100">
        <f t="shared" si="4"/>
        <v>0</v>
      </c>
      <c r="J35" s="135">
        <f t="shared" si="5"/>
        <v>0</v>
      </c>
    </row>
    <row r="36" spans="2:10">
      <c r="B36" s="131">
        <f>Amnt_Deposited!B28</f>
        <v>1967</v>
      </c>
      <c r="C36" s="134">
        <f>Amnt_Deposited!H28</f>
        <v>0</v>
      </c>
      <c r="D36" s="496">
        <f>MCF!X35</f>
        <v>0.70499999999999996</v>
      </c>
      <c r="E36" s="167">
        <f t="shared" si="1"/>
        <v>0</v>
      </c>
      <c r="F36" s="100">
        <f t="shared" si="0"/>
        <v>0</v>
      </c>
      <c r="G36" s="100">
        <f t="shared" si="2"/>
        <v>0</v>
      </c>
      <c r="H36" s="100">
        <f t="shared" si="3"/>
        <v>0</v>
      </c>
      <c r="I36" s="100">
        <f t="shared" si="4"/>
        <v>0</v>
      </c>
      <c r="J36" s="135">
        <f t="shared" si="5"/>
        <v>0</v>
      </c>
    </row>
    <row r="37" spans="2:10">
      <c r="B37" s="131">
        <f>Amnt_Deposited!B29</f>
        <v>1968</v>
      </c>
      <c r="C37" s="134">
        <f>Amnt_Deposited!H29</f>
        <v>0</v>
      </c>
      <c r="D37" s="496">
        <f>MCF!X36</f>
        <v>0.70499999999999996</v>
      </c>
      <c r="E37" s="167">
        <f t="shared" si="1"/>
        <v>0</v>
      </c>
      <c r="F37" s="100">
        <f t="shared" si="0"/>
        <v>0</v>
      </c>
      <c r="G37" s="100">
        <f t="shared" si="2"/>
        <v>0</v>
      </c>
      <c r="H37" s="100">
        <f t="shared" si="3"/>
        <v>0</v>
      </c>
      <c r="I37" s="100">
        <f t="shared" si="4"/>
        <v>0</v>
      </c>
      <c r="J37" s="135">
        <f t="shared" si="5"/>
        <v>0</v>
      </c>
    </row>
    <row r="38" spans="2:10">
      <c r="B38" s="131">
        <f>Amnt_Deposited!B30</f>
        <v>1969</v>
      </c>
      <c r="C38" s="134">
        <f>Amnt_Deposited!H30</f>
        <v>0</v>
      </c>
      <c r="D38" s="496">
        <f>MCF!X37</f>
        <v>0.70499999999999996</v>
      </c>
      <c r="E38" s="167">
        <f t="shared" si="1"/>
        <v>0</v>
      </c>
      <c r="F38" s="100">
        <f t="shared" si="0"/>
        <v>0</v>
      </c>
      <c r="G38" s="100">
        <f t="shared" si="2"/>
        <v>0</v>
      </c>
      <c r="H38" s="100">
        <f t="shared" si="3"/>
        <v>0</v>
      </c>
      <c r="I38" s="100">
        <f t="shared" si="4"/>
        <v>0</v>
      </c>
      <c r="J38" s="135">
        <f t="shared" si="5"/>
        <v>0</v>
      </c>
    </row>
    <row r="39" spans="2:10">
      <c r="B39" s="131">
        <f>Amnt_Deposited!B31</f>
        <v>1970</v>
      </c>
      <c r="C39" s="134">
        <f>Amnt_Deposited!H31</f>
        <v>0</v>
      </c>
      <c r="D39" s="496">
        <f>MCF!X38</f>
        <v>0.70499999999999996</v>
      </c>
      <c r="E39" s="167">
        <f t="shared" si="1"/>
        <v>0</v>
      </c>
      <c r="F39" s="100">
        <f t="shared" si="0"/>
        <v>0</v>
      </c>
      <c r="G39" s="100">
        <f t="shared" si="2"/>
        <v>0</v>
      </c>
      <c r="H39" s="100">
        <f t="shared" si="3"/>
        <v>0</v>
      </c>
      <c r="I39" s="100">
        <f t="shared" si="4"/>
        <v>0</v>
      </c>
      <c r="J39" s="135">
        <f t="shared" si="5"/>
        <v>0</v>
      </c>
    </row>
    <row r="40" spans="2:10">
      <c r="B40" s="131">
        <f>Amnt_Deposited!B32</f>
        <v>1971</v>
      </c>
      <c r="C40" s="134">
        <f>Amnt_Deposited!H32</f>
        <v>0</v>
      </c>
      <c r="D40" s="496">
        <f>MCF!X39</f>
        <v>0.70499999999999996</v>
      </c>
      <c r="E40" s="167">
        <f t="shared" si="1"/>
        <v>0</v>
      </c>
      <c r="F40" s="100">
        <f t="shared" si="0"/>
        <v>0</v>
      </c>
      <c r="G40" s="100">
        <f t="shared" si="2"/>
        <v>0</v>
      </c>
      <c r="H40" s="100">
        <f t="shared" si="3"/>
        <v>0</v>
      </c>
      <c r="I40" s="100">
        <f t="shared" si="4"/>
        <v>0</v>
      </c>
      <c r="J40" s="135">
        <f t="shared" si="5"/>
        <v>0</v>
      </c>
    </row>
    <row r="41" spans="2:10">
      <c r="B41" s="131">
        <f>Amnt_Deposited!B33</f>
        <v>1972</v>
      </c>
      <c r="C41" s="134">
        <f>Amnt_Deposited!H33</f>
        <v>0</v>
      </c>
      <c r="D41" s="496">
        <f>MCF!X40</f>
        <v>0.70499999999999996</v>
      </c>
      <c r="E41" s="167">
        <f t="shared" si="1"/>
        <v>0</v>
      </c>
      <c r="F41" s="100">
        <f t="shared" si="0"/>
        <v>0</v>
      </c>
      <c r="G41" s="100">
        <f t="shared" si="2"/>
        <v>0</v>
      </c>
      <c r="H41" s="100">
        <f t="shared" si="3"/>
        <v>0</v>
      </c>
      <c r="I41" s="100">
        <f t="shared" si="4"/>
        <v>0</v>
      </c>
      <c r="J41" s="135">
        <f t="shared" si="5"/>
        <v>0</v>
      </c>
    </row>
    <row r="42" spans="2:10">
      <c r="B42" s="131">
        <f>Amnt_Deposited!B34</f>
        <v>1973</v>
      </c>
      <c r="C42" s="134">
        <f>Amnt_Deposited!H34</f>
        <v>0</v>
      </c>
      <c r="D42" s="496">
        <f>MCF!X41</f>
        <v>0.70499999999999996</v>
      </c>
      <c r="E42" s="167">
        <f t="shared" si="1"/>
        <v>0</v>
      </c>
      <c r="F42" s="100">
        <f t="shared" si="0"/>
        <v>0</v>
      </c>
      <c r="G42" s="100">
        <f t="shared" si="2"/>
        <v>0</v>
      </c>
      <c r="H42" s="100">
        <f t="shared" si="3"/>
        <v>0</v>
      </c>
      <c r="I42" s="100">
        <f t="shared" si="4"/>
        <v>0</v>
      </c>
      <c r="J42" s="135">
        <f t="shared" si="5"/>
        <v>0</v>
      </c>
    </row>
    <row r="43" spans="2:10">
      <c r="B43" s="131">
        <f>Amnt_Deposited!B35</f>
        <v>1974</v>
      </c>
      <c r="C43" s="134">
        <f>Amnt_Deposited!H35</f>
        <v>0</v>
      </c>
      <c r="D43" s="496">
        <f>MCF!X42</f>
        <v>0.70499999999999996</v>
      </c>
      <c r="E43" s="167">
        <f t="shared" si="1"/>
        <v>0</v>
      </c>
      <c r="F43" s="100">
        <f t="shared" si="0"/>
        <v>0</v>
      </c>
      <c r="G43" s="100">
        <f t="shared" si="2"/>
        <v>0</v>
      </c>
      <c r="H43" s="100">
        <f t="shared" si="3"/>
        <v>0</v>
      </c>
      <c r="I43" s="100">
        <f t="shared" si="4"/>
        <v>0</v>
      </c>
      <c r="J43" s="135">
        <f t="shared" si="5"/>
        <v>0</v>
      </c>
    </row>
    <row r="44" spans="2:10">
      <c r="B44" s="131">
        <f>Amnt_Deposited!B36</f>
        <v>1975</v>
      </c>
      <c r="C44" s="134">
        <f>Amnt_Deposited!H36</f>
        <v>0</v>
      </c>
      <c r="D44" s="496">
        <f>MCF!X43</f>
        <v>0.70499999999999996</v>
      </c>
      <c r="E44" s="167">
        <f t="shared" si="1"/>
        <v>0</v>
      </c>
      <c r="F44" s="100">
        <f t="shared" si="0"/>
        <v>0</v>
      </c>
      <c r="G44" s="100">
        <f t="shared" si="2"/>
        <v>0</v>
      </c>
      <c r="H44" s="100">
        <f t="shared" si="3"/>
        <v>0</v>
      </c>
      <c r="I44" s="100">
        <f t="shared" si="4"/>
        <v>0</v>
      </c>
      <c r="J44" s="135">
        <f t="shared" si="5"/>
        <v>0</v>
      </c>
    </row>
    <row r="45" spans="2:10">
      <c r="B45" s="131">
        <f>Amnt_Deposited!B37</f>
        <v>1976</v>
      </c>
      <c r="C45" s="134">
        <f>Amnt_Deposited!H37</f>
        <v>0</v>
      </c>
      <c r="D45" s="496">
        <f>MCF!X44</f>
        <v>0.70499999999999996</v>
      </c>
      <c r="E45" s="167">
        <f t="shared" si="1"/>
        <v>0</v>
      </c>
      <c r="F45" s="100">
        <f t="shared" si="0"/>
        <v>0</v>
      </c>
      <c r="G45" s="100">
        <f t="shared" si="2"/>
        <v>0</v>
      </c>
      <c r="H45" s="100">
        <f t="shared" si="3"/>
        <v>0</v>
      </c>
      <c r="I45" s="100">
        <f t="shared" si="4"/>
        <v>0</v>
      </c>
      <c r="J45" s="135">
        <f t="shared" si="5"/>
        <v>0</v>
      </c>
    </row>
    <row r="46" spans="2:10">
      <c r="B46" s="131">
        <f>Amnt_Deposited!B38</f>
        <v>1977</v>
      </c>
      <c r="C46" s="134">
        <f>Amnt_Deposited!H38</f>
        <v>0</v>
      </c>
      <c r="D46" s="496">
        <f>MCF!X45</f>
        <v>0.70499999999999996</v>
      </c>
      <c r="E46" s="167">
        <f t="shared" si="1"/>
        <v>0</v>
      </c>
      <c r="F46" s="100">
        <f t="shared" si="0"/>
        <v>0</v>
      </c>
      <c r="G46" s="100">
        <f t="shared" si="2"/>
        <v>0</v>
      </c>
      <c r="H46" s="100">
        <f t="shared" si="3"/>
        <v>0</v>
      </c>
      <c r="I46" s="100">
        <f t="shared" si="4"/>
        <v>0</v>
      </c>
      <c r="J46" s="135">
        <f t="shared" si="5"/>
        <v>0</v>
      </c>
    </row>
    <row r="47" spans="2:10">
      <c r="B47" s="131">
        <f>Amnt_Deposited!B39</f>
        <v>1978</v>
      </c>
      <c r="C47" s="134">
        <f>Amnt_Deposited!H39</f>
        <v>0</v>
      </c>
      <c r="D47" s="496">
        <f>MCF!X46</f>
        <v>0.70499999999999996</v>
      </c>
      <c r="E47" s="167">
        <f t="shared" si="1"/>
        <v>0</v>
      </c>
      <c r="F47" s="100">
        <f t="shared" si="0"/>
        <v>0</v>
      </c>
      <c r="G47" s="100">
        <f t="shared" si="2"/>
        <v>0</v>
      </c>
      <c r="H47" s="100">
        <f t="shared" si="3"/>
        <v>0</v>
      </c>
      <c r="I47" s="100">
        <f t="shared" si="4"/>
        <v>0</v>
      </c>
      <c r="J47" s="135">
        <f t="shared" si="5"/>
        <v>0</v>
      </c>
    </row>
    <row r="48" spans="2:10">
      <c r="B48" s="131">
        <f>Amnt_Deposited!B40</f>
        <v>1979</v>
      </c>
      <c r="C48" s="134">
        <f>Amnt_Deposited!H40</f>
        <v>0</v>
      </c>
      <c r="D48" s="496">
        <f>MCF!X47</f>
        <v>0.70499999999999996</v>
      </c>
      <c r="E48" s="167">
        <f t="shared" si="1"/>
        <v>0</v>
      </c>
      <c r="F48" s="100">
        <f t="shared" si="0"/>
        <v>0</v>
      </c>
      <c r="G48" s="100">
        <f t="shared" si="2"/>
        <v>0</v>
      </c>
      <c r="H48" s="100">
        <f t="shared" si="3"/>
        <v>0</v>
      </c>
      <c r="I48" s="100">
        <f t="shared" si="4"/>
        <v>0</v>
      </c>
      <c r="J48" s="135">
        <f t="shared" si="5"/>
        <v>0</v>
      </c>
    </row>
    <row r="49" spans="2:10">
      <c r="B49" s="131">
        <f>Amnt_Deposited!B41</f>
        <v>1980</v>
      </c>
      <c r="C49" s="134">
        <f>Amnt_Deposited!H41</f>
        <v>0</v>
      </c>
      <c r="D49" s="496">
        <f>MCF!X48</f>
        <v>0.70499999999999996</v>
      </c>
      <c r="E49" s="167">
        <f t="shared" si="1"/>
        <v>0</v>
      </c>
      <c r="F49" s="100">
        <f t="shared" si="0"/>
        <v>0</v>
      </c>
      <c r="G49" s="100">
        <f t="shared" si="2"/>
        <v>0</v>
      </c>
      <c r="H49" s="100">
        <f t="shared" si="3"/>
        <v>0</v>
      </c>
      <c r="I49" s="100">
        <f t="shared" si="4"/>
        <v>0</v>
      </c>
      <c r="J49" s="135">
        <f t="shared" si="5"/>
        <v>0</v>
      </c>
    </row>
    <row r="50" spans="2:10">
      <c r="B50" s="131">
        <f>Amnt_Deposited!B42</f>
        <v>1981</v>
      </c>
      <c r="C50" s="134">
        <f>Amnt_Deposited!H42</f>
        <v>0</v>
      </c>
      <c r="D50" s="496">
        <f>MCF!X49</f>
        <v>0.70499999999999996</v>
      </c>
      <c r="E50" s="167">
        <f t="shared" si="1"/>
        <v>0</v>
      </c>
      <c r="F50" s="100">
        <f t="shared" si="0"/>
        <v>0</v>
      </c>
      <c r="G50" s="100">
        <f t="shared" si="2"/>
        <v>0</v>
      </c>
      <c r="H50" s="100">
        <f t="shared" si="3"/>
        <v>0</v>
      </c>
      <c r="I50" s="100">
        <f t="shared" si="4"/>
        <v>0</v>
      </c>
      <c r="J50" s="135">
        <f t="shared" si="5"/>
        <v>0</v>
      </c>
    </row>
    <row r="51" spans="2:10">
      <c r="B51" s="131">
        <f>Amnt_Deposited!B43</f>
        <v>1982</v>
      </c>
      <c r="C51" s="134">
        <f>Amnt_Deposited!H43</f>
        <v>0</v>
      </c>
      <c r="D51" s="496">
        <f>MCF!X50</f>
        <v>0.70499999999999996</v>
      </c>
      <c r="E51" s="167">
        <f t="shared" si="1"/>
        <v>0</v>
      </c>
      <c r="F51" s="100">
        <f t="shared" si="0"/>
        <v>0</v>
      </c>
      <c r="G51" s="100">
        <f t="shared" si="2"/>
        <v>0</v>
      </c>
      <c r="H51" s="100">
        <f t="shared" si="3"/>
        <v>0</v>
      </c>
      <c r="I51" s="100">
        <f t="shared" si="4"/>
        <v>0</v>
      </c>
      <c r="J51" s="135">
        <f t="shared" si="5"/>
        <v>0</v>
      </c>
    </row>
    <row r="52" spans="2:10">
      <c r="B52" s="131">
        <f>Amnt_Deposited!B44</f>
        <v>1983</v>
      </c>
      <c r="C52" s="134">
        <f>Amnt_Deposited!H44</f>
        <v>0</v>
      </c>
      <c r="D52" s="496">
        <f>MCF!X51</f>
        <v>0.70499999999999996</v>
      </c>
      <c r="E52" s="167">
        <f t="shared" si="1"/>
        <v>0</v>
      </c>
      <c r="F52" s="100">
        <f t="shared" si="0"/>
        <v>0</v>
      </c>
      <c r="G52" s="100">
        <f t="shared" si="2"/>
        <v>0</v>
      </c>
      <c r="H52" s="100">
        <f t="shared" si="3"/>
        <v>0</v>
      </c>
      <c r="I52" s="100">
        <f t="shared" si="4"/>
        <v>0</v>
      </c>
      <c r="J52" s="135">
        <f t="shared" si="5"/>
        <v>0</v>
      </c>
    </row>
    <row r="53" spans="2:10">
      <c r="B53" s="131">
        <f>Amnt_Deposited!B45</f>
        <v>1984</v>
      </c>
      <c r="C53" s="134">
        <f>Amnt_Deposited!H45</f>
        <v>0</v>
      </c>
      <c r="D53" s="496">
        <f>MCF!X52</f>
        <v>0.70499999999999996</v>
      </c>
      <c r="E53" s="167">
        <f t="shared" si="1"/>
        <v>0</v>
      </c>
      <c r="F53" s="100">
        <f t="shared" si="0"/>
        <v>0</v>
      </c>
      <c r="G53" s="100">
        <f t="shared" si="2"/>
        <v>0</v>
      </c>
      <c r="H53" s="100">
        <f t="shared" si="3"/>
        <v>0</v>
      </c>
      <c r="I53" s="100">
        <f t="shared" si="4"/>
        <v>0</v>
      </c>
      <c r="J53" s="135">
        <f t="shared" si="5"/>
        <v>0</v>
      </c>
    </row>
    <row r="54" spans="2:10">
      <c r="B54" s="131">
        <f>Amnt_Deposited!B46</f>
        <v>1985</v>
      </c>
      <c r="C54" s="134">
        <f>Amnt_Deposited!H46</f>
        <v>0</v>
      </c>
      <c r="D54" s="496">
        <f>MCF!X53</f>
        <v>0.70499999999999996</v>
      </c>
      <c r="E54" s="167">
        <f t="shared" si="1"/>
        <v>0</v>
      </c>
      <c r="F54" s="100">
        <f t="shared" si="0"/>
        <v>0</v>
      </c>
      <c r="G54" s="100">
        <f t="shared" si="2"/>
        <v>0</v>
      </c>
      <c r="H54" s="100">
        <f t="shared" si="3"/>
        <v>0</v>
      </c>
      <c r="I54" s="100">
        <f t="shared" si="4"/>
        <v>0</v>
      </c>
      <c r="J54" s="135">
        <f t="shared" si="5"/>
        <v>0</v>
      </c>
    </row>
    <row r="55" spans="2:10">
      <c r="B55" s="131">
        <f>Amnt_Deposited!B47</f>
        <v>1986</v>
      </c>
      <c r="C55" s="134">
        <f>Amnt_Deposited!H47</f>
        <v>0</v>
      </c>
      <c r="D55" s="496">
        <f>MCF!X54</f>
        <v>0.70499999999999996</v>
      </c>
      <c r="E55" s="167">
        <f t="shared" si="1"/>
        <v>0</v>
      </c>
      <c r="F55" s="100">
        <f t="shared" si="0"/>
        <v>0</v>
      </c>
      <c r="G55" s="100">
        <f t="shared" si="2"/>
        <v>0</v>
      </c>
      <c r="H55" s="100">
        <f t="shared" si="3"/>
        <v>0</v>
      </c>
      <c r="I55" s="100">
        <f t="shared" si="4"/>
        <v>0</v>
      </c>
      <c r="J55" s="135">
        <f t="shared" si="5"/>
        <v>0</v>
      </c>
    </row>
    <row r="56" spans="2:10">
      <c r="B56" s="131">
        <f>Amnt_Deposited!B48</f>
        <v>1987</v>
      </c>
      <c r="C56" s="134">
        <f>Amnt_Deposited!H48</f>
        <v>0</v>
      </c>
      <c r="D56" s="496">
        <f>MCF!X55</f>
        <v>0.70499999999999996</v>
      </c>
      <c r="E56" s="167">
        <f t="shared" si="1"/>
        <v>0</v>
      </c>
      <c r="F56" s="100">
        <f t="shared" si="0"/>
        <v>0</v>
      </c>
      <c r="G56" s="100">
        <f t="shared" si="2"/>
        <v>0</v>
      </c>
      <c r="H56" s="100">
        <f t="shared" si="3"/>
        <v>0</v>
      </c>
      <c r="I56" s="100">
        <f t="shared" si="4"/>
        <v>0</v>
      </c>
      <c r="J56" s="135">
        <f t="shared" si="5"/>
        <v>0</v>
      </c>
    </row>
    <row r="57" spans="2:10">
      <c r="B57" s="131">
        <f>Amnt_Deposited!B49</f>
        <v>1988</v>
      </c>
      <c r="C57" s="134">
        <f>Amnt_Deposited!H49</f>
        <v>0</v>
      </c>
      <c r="D57" s="496">
        <f>MCF!X56</f>
        <v>0.70499999999999996</v>
      </c>
      <c r="E57" s="167">
        <f t="shared" si="1"/>
        <v>0</v>
      </c>
      <c r="F57" s="100">
        <f t="shared" si="0"/>
        <v>0</v>
      </c>
      <c r="G57" s="100">
        <f t="shared" si="2"/>
        <v>0</v>
      </c>
      <c r="H57" s="100">
        <f t="shared" si="3"/>
        <v>0</v>
      </c>
      <c r="I57" s="100">
        <f t="shared" si="4"/>
        <v>0</v>
      </c>
      <c r="J57" s="135">
        <f t="shared" si="5"/>
        <v>0</v>
      </c>
    </row>
    <row r="58" spans="2:10">
      <c r="B58" s="131">
        <f>Amnt_Deposited!B50</f>
        <v>1989</v>
      </c>
      <c r="C58" s="134">
        <f>Amnt_Deposited!H50</f>
        <v>0</v>
      </c>
      <c r="D58" s="496">
        <f>MCF!X57</f>
        <v>0.70499999999999996</v>
      </c>
      <c r="E58" s="167">
        <f t="shared" si="1"/>
        <v>0</v>
      </c>
      <c r="F58" s="100">
        <f t="shared" si="0"/>
        <v>0</v>
      </c>
      <c r="G58" s="100">
        <f t="shared" si="2"/>
        <v>0</v>
      </c>
      <c r="H58" s="100">
        <f t="shared" si="3"/>
        <v>0</v>
      </c>
      <c r="I58" s="100">
        <f t="shared" si="4"/>
        <v>0</v>
      </c>
      <c r="J58" s="135">
        <f t="shared" si="5"/>
        <v>0</v>
      </c>
    </row>
    <row r="59" spans="2:10">
      <c r="B59" s="131">
        <f>Amnt_Deposited!B51</f>
        <v>1990</v>
      </c>
      <c r="C59" s="134">
        <f>Amnt_Deposited!H51</f>
        <v>0</v>
      </c>
      <c r="D59" s="496">
        <f>MCF!X58</f>
        <v>0.70499999999999996</v>
      </c>
      <c r="E59" s="167">
        <f t="shared" si="1"/>
        <v>0</v>
      </c>
      <c r="F59" s="100">
        <f t="shared" si="0"/>
        <v>0</v>
      </c>
      <c r="G59" s="100">
        <f t="shared" si="2"/>
        <v>0</v>
      </c>
      <c r="H59" s="100">
        <f t="shared" si="3"/>
        <v>0</v>
      </c>
      <c r="I59" s="100">
        <f t="shared" si="4"/>
        <v>0</v>
      </c>
      <c r="J59" s="135">
        <f t="shared" si="5"/>
        <v>0</v>
      </c>
    </row>
    <row r="60" spans="2:10">
      <c r="B60" s="131">
        <f>Amnt_Deposited!B52</f>
        <v>1991</v>
      </c>
      <c r="C60" s="134">
        <f>Amnt_Deposited!H52</f>
        <v>0</v>
      </c>
      <c r="D60" s="496">
        <f>MCF!X59</f>
        <v>0.70499999999999996</v>
      </c>
      <c r="E60" s="167">
        <f t="shared" si="1"/>
        <v>0</v>
      </c>
      <c r="F60" s="100">
        <f t="shared" si="0"/>
        <v>0</v>
      </c>
      <c r="G60" s="100">
        <f t="shared" si="2"/>
        <v>0</v>
      </c>
      <c r="H60" s="100">
        <f t="shared" si="3"/>
        <v>0</v>
      </c>
      <c r="I60" s="100">
        <f t="shared" si="4"/>
        <v>0</v>
      </c>
      <c r="J60" s="135">
        <f t="shared" si="5"/>
        <v>0</v>
      </c>
    </row>
    <row r="61" spans="2:10">
      <c r="B61" s="131">
        <f>Amnt_Deposited!B53</f>
        <v>1992</v>
      </c>
      <c r="C61" s="134">
        <f>Amnt_Deposited!H53</f>
        <v>0</v>
      </c>
      <c r="D61" s="496">
        <f>MCF!X60</f>
        <v>0.70499999999999996</v>
      </c>
      <c r="E61" s="167">
        <f t="shared" si="1"/>
        <v>0</v>
      </c>
      <c r="F61" s="100">
        <f t="shared" si="0"/>
        <v>0</v>
      </c>
      <c r="G61" s="100">
        <f t="shared" si="2"/>
        <v>0</v>
      </c>
      <c r="H61" s="100">
        <f t="shared" si="3"/>
        <v>0</v>
      </c>
      <c r="I61" s="100">
        <f t="shared" si="4"/>
        <v>0</v>
      </c>
      <c r="J61" s="135">
        <f t="shared" si="5"/>
        <v>0</v>
      </c>
    </row>
    <row r="62" spans="2:10">
      <c r="B62" s="131">
        <f>Amnt_Deposited!B54</f>
        <v>1993</v>
      </c>
      <c r="C62" s="134">
        <f>Amnt_Deposited!H54</f>
        <v>0</v>
      </c>
      <c r="D62" s="496">
        <f>MCF!X61</f>
        <v>0.70499999999999996</v>
      </c>
      <c r="E62" s="167">
        <f t="shared" si="1"/>
        <v>0</v>
      </c>
      <c r="F62" s="100">
        <f t="shared" si="0"/>
        <v>0</v>
      </c>
      <c r="G62" s="100">
        <f t="shared" si="2"/>
        <v>0</v>
      </c>
      <c r="H62" s="100">
        <f t="shared" si="3"/>
        <v>0</v>
      </c>
      <c r="I62" s="100">
        <f t="shared" si="4"/>
        <v>0</v>
      </c>
      <c r="J62" s="135">
        <f t="shared" si="5"/>
        <v>0</v>
      </c>
    </row>
    <row r="63" spans="2:10">
      <c r="B63" s="131">
        <f>Amnt_Deposited!B55</f>
        <v>1994</v>
      </c>
      <c r="C63" s="134">
        <f>Amnt_Deposited!H55</f>
        <v>0</v>
      </c>
      <c r="D63" s="496">
        <f>MCF!X62</f>
        <v>0.70499999999999996</v>
      </c>
      <c r="E63" s="167">
        <f t="shared" si="1"/>
        <v>0</v>
      </c>
      <c r="F63" s="100">
        <f t="shared" si="0"/>
        <v>0</v>
      </c>
      <c r="G63" s="100">
        <f t="shared" si="2"/>
        <v>0</v>
      </c>
      <c r="H63" s="100">
        <f t="shared" si="3"/>
        <v>0</v>
      </c>
      <c r="I63" s="100">
        <f t="shared" si="4"/>
        <v>0</v>
      </c>
      <c r="J63" s="135">
        <f t="shared" si="5"/>
        <v>0</v>
      </c>
    </row>
    <row r="64" spans="2:10">
      <c r="B64" s="131">
        <f>Amnt_Deposited!B56</f>
        <v>1995</v>
      </c>
      <c r="C64" s="134">
        <f>Amnt_Deposited!H56</f>
        <v>0</v>
      </c>
      <c r="D64" s="496">
        <f>MCF!X63</f>
        <v>0.70499999999999996</v>
      </c>
      <c r="E64" s="167">
        <f t="shared" si="1"/>
        <v>0</v>
      </c>
      <c r="F64" s="100">
        <f t="shared" si="0"/>
        <v>0</v>
      </c>
      <c r="G64" s="100">
        <f t="shared" si="2"/>
        <v>0</v>
      </c>
      <c r="H64" s="100">
        <f t="shared" si="3"/>
        <v>0</v>
      </c>
      <c r="I64" s="100">
        <f t="shared" si="4"/>
        <v>0</v>
      </c>
      <c r="J64" s="135">
        <f t="shared" si="5"/>
        <v>0</v>
      </c>
    </row>
    <row r="65" spans="2:10">
      <c r="B65" s="131">
        <f>Amnt_Deposited!B57</f>
        <v>1996</v>
      </c>
      <c r="C65" s="134">
        <f>Amnt_Deposited!H57</f>
        <v>0</v>
      </c>
      <c r="D65" s="496">
        <f>MCF!X64</f>
        <v>0.70499999999999996</v>
      </c>
      <c r="E65" s="167">
        <f t="shared" si="1"/>
        <v>0</v>
      </c>
      <c r="F65" s="100">
        <f t="shared" si="0"/>
        <v>0</v>
      </c>
      <c r="G65" s="100">
        <f t="shared" si="2"/>
        <v>0</v>
      </c>
      <c r="H65" s="100">
        <f t="shared" si="3"/>
        <v>0</v>
      </c>
      <c r="I65" s="100">
        <f t="shared" si="4"/>
        <v>0</v>
      </c>
      <c r="J65" s="135">
        <f t="shared" si="5"/>
        <v>0</v>
      </c>
    </row>
    <row r="66" spans="2:10">
      <c r="B66" s="131">
        <f>Amnt_Deposited!B58</f>
        <v>1997</v>
      </c>
      <c r="C66" s="134">
        <f>Amnt_Deposited!H58</f>
        <v>0</v>
      </c>
      <c r="D66" s="496">
        <f>MCF!X65</f>
        <v>0.70499999999999996</v>
      </c>
      <c r="E66" s="167">
        <f t="shared" si="1"/>
        <v>0</v>
      </c>
      <c r="F66" s="100">
        <f t="shared" si="0"/>
        <v>0</v>
      </c>
      <c r="G66" s="100">
        <f t="shared" si="2"/>
        <v>0</v>
      </c>
      <c r="H66" s="100">
        <f t="shared" si="3"/>
        <v>0</v>
      </c>
      <c r="I66" s="100">
        <f t="shared" si="4"/>
        <v>0</v>
      </c>
      <c r="J66" s="135">
        <f t="shared" si="5"/>
        <v>0</v>
      </c>
    </row>
    <row r="67" spans="2:10">
      <c r="B67" s="131">
        <f>Amnt_Deposited!B59</f>
        <v>1998</v>
      </c>
      <c r="C67" s="134">
        <f>Amnt_Deposited!H59</f>
        <v>0</v>
      </c>
      <c r="D67" s="496">
        <f>MCF!X66</f>
        <v>0.70499999999999996</v>
      </c>
      <c r="E67" s="167">
        <f t="shared" si="1"/>
        <v>0</v>
      </c>
      <c r="F67" s="100">
        <f t="shared" si="0"/>
        <v>0</v>
      </c>
      <c r="G67" s="100">
        <f t="shared" si="2"/>
        <v>0</v>
      </c>
      <c r="H67" s="100">
        <f t="shared" si="3"/>
        <v>0</v>
      </c>
      <c r="I67" s="100">
        <f t="shared" si="4"/>
        <v>0</v>
      </c>
      <c r="J67" s="135">
        <f t="shared" si="5"/>
        <v>0</v>
      </c>
    </row>
    <row r="68" spans="2:10">
      <c r="B68" s="131">
        <f>Amnt_Deposited!B60</f>
        <v>1999</v>
      </c>
      <c r="C68" s="134">
        <f>Amnt_Deposited!H60</f>
        <v>0</v>
      </c>
      <c r="D68" s="496">
        <f>MCF!X67</f>
        <v>0.70499999999999996</v>
      </c>
      <c r="E68" s="167">
        <f t="shared" si="1"/>
        <v>0</v>
      </c>
      <c r="F68" s="100">
        <f t="shared" si="0"/>
        <v>0</v>
      </c>
      <c r="G68" s="100">
        <f t="shared" si="2"/>
        <v>0</v>
      </c>
      <c r="H68" s="100">
        <f t="shared" si="3"/>
        <v>0</v>
      </c>
      <c r="I68" s="100">
        <f t="shared" si="4"/>
        <v>0</v>
      </c>
      <c r="J68" s="135">
        <f t="shared" si="5"/>
        <v>0</v>
      </c>
    </row>
    <row r="69" spans="2:10">
      <c r="B69" s="131">
        <f>Amnt_Deposited!B61</f>
        <v>2000</v>
      </c>
      <c r="C69" s="134">
        <f>Amnt_Deposited!H61</f>
        <v>0</v>
      </c>
      <c r="D69" s="496">
        <f>MCF!X68</f>
        <v>0.70499999999999996</v>
      </c>
      <c r="E69" s="167">
        <f t="shared" si="1"/>
        <v>0</v>
      </c>
      <c r="F69" s="100">
        <f t="shared" si="0"/>
        <v>0</v>
      </c>
      <c r="G69" s="100">
        <f t="shared" si="2"/>
        <v>0</v>
      </c>
      <c r="H69" s="100">
        <f t="shared" si="3"/>
        <v>0</v>
      </c>
      <c r="I69" s="100">
        <f t="shared" si="4"/>
        <v>0</v>
      </c>
      <c r="J69" s="135">
        <f t="shared" si="5"/>
        <v>0</v>
      </c>
    </row>
    <row r="70" spans="2:10">
      <c r="B70" s="131">
        <f>Amnt_Deposited!B62</f>
        <v>2001</v>
      </c>
      <c r="C70" s="134">
        <f>Amnt_Deposited!H62</f>
        <v>0</v>
      </c>
      <c r="D70" s="496">
        <f>MCF!X69</f>
        <v>0.70499999999999996</v>
      </c>
      <c r="E70" s="167">
        <f t="shared" si="1"/>
        <v>0</v>
      </c>
      <c r="F70" s="100">
        <f t="shared" si="0"/>
        <v>0</v>
      </c>
      <c r="G70" s="100">
        <f t="shared" si="2"/>
        <v>0</v>
      </c>
      <c r="H70" s="100">
        <f t="shared" si="3"/>
        <v>0</v>
      </c>
      <c r="I70" s="100">
        <f t="shared" si="4"/>
        <v>0</v>
      </c>
      <c r="J70" s="135">
        <f t="shared" si="5"/>
        <v>0</v>
      </c>
    </row>
    <row r="71" spans="2:10">
      <c r="B71" s="131">
        <f>Amnt_Deposited!B63</f>
        <v>2002</v>
      </c>
      <c r="C71" s="134">
        <f>Amnt_Deposited!H63</f>
        <v>0</v>
      </c>
      <c r="D71" s="496">
        <f>MCF!X70</f>
        <v>0.70499999999999996</v>
      </c>
      <c r="E71" s="167">
        <f t="shared" si="1"/>
        <v>0</v>
      </c>
      <c r="F71" s="100">
        <f t="shared" si="0"/>
        <v>0</v>
      </c>
      <c r="G71" s="100">
        <f t="shared" si="2"/>
        <v>0</v>
      </c>
      <c r="H71" s="100">
        <f t="shared" si="3"/>
        <v>0</v>
      </c>
      <c r="I71" s="100">
        <f t="shared" si="4"/>
        <v>0</v>
      </c>
      <c r="J71" s="135">
        <f t="shared" si="5"/>
        <v>0</v>
      </c>
    </row>
    <row r="72" spans="2:10">
      <c r="B72" s="131">
        <f>Amnt_Deposited!B64</f>
        <v>2003</v>
      </c>
      <c r="C72" s="134">
        <f>Amnt_Deposited!H64</f>
        <v>0</v>
      </c>
      <c r="D72" s="496">
        <f>MCF!X71</f>
        <v>0.70499999999999996</v>
      </c>
      <c r="E72" s="167">
        <f t="shared" si="1"/>
        <v>0</v>
      </c>
      <c r="F72" s="100">
        <f t="shared" si="0"/>
        <v>0</v>
      </c>
      <c r="G72" s="100">
        <f t="shared" si="2"/>
        <v>0</v>
      </c>
      <c r="H72" s="100">
        <f t="shared" si="3"/>
        <v>0</v>
      </c>
      <c r="I72" s="100">
        <f t="shared" si="4"/>
        <v>0</v>
      </c>
      <c r="J72" s="135">
        <f t="shared" si="5"/>
        <v>0</v>
      </c>
    </row>
    <row r="73" spans="2:10">
      <c r="B73" s="131">
        <f>Amnt_Deposited!B65</f>
        <v>2004</v>
      </c>
      <c r="C73" s="134">
        <f>Amnt_Deposited!H65</f>
        <v>0</v>
      </c>
      <c r="D73" s="496">
        <f>MCF!X72</f>
        <v>0.70499999999999996</v>
      </c>
      <c r="E73" s="167">
        <f t="shared" si="1"/>
        <v>0</v>
      </c>
      <c r="F73" s="100">
        <f t="shared" si="0"/>
        <v>0</v>
      </c>
      <c r="G73" s="100">
        <f t="shared" si="2"/>
        <v>0</v>
      </c>
      <c r="H73" s="100">
        <f t="shared" si="3"/>
        <v>0</v>
      </c>
      <c r="I73" s="100">
        <f t="shared" si="4"/>
        <v>0</v>
      </c>
      <c r="J73" s="135">
        <f t="shared" si="5"/>
        <v>0</v>
      </c>
    </row>
    <row r="74" spans="2:10">
      <c r="B74" s="131">
        <f>Amnt_Deposited!B66</f>
        <v>2005</v>
      </c>
      <c r="C74" s="134">
        <f>Amnt_Deposited!H66</f>
        <v>0</v>
      </c>
      <c r="D74" s="496">
        <f>MCF!X73</f>
        <v>0.70499999999999996</v>
      </c>
      <c r="E74" s="167">
        <f t="shared" si="1"/>
        <v>0</v>
      </c>
      <c r="F74" s="100">
        <f t="shared" si="0"/>
        <v>0</v>
      </c>
      <c r="G74" s="100">
        <f t="shared" si="2"/>
        <v>0</v>
      </c>
      <c r="H74" s="100">
        <f t="shared" si="3"/>
        <v>0</v>
      </c>
      <c r="I74" s="100">
        <f t="shared" si="4"/>
        <v>0</v>
      </c>
      <c r="J74" s="135">
        <f t="shared" si="5"/>
        <v>0</v>
      </c>
    </row>
    <row r="75" spans="2:10">
      <c r="B75" s="131">
        <f>Amnt_Deposited!B67</f>
        <v>2006</v>
      </c>
      <c r="C75" s="134">
        <f>Amnt_Deposited!H67</f>
        <v>0</v>
      </c>
      <c r="D75" s="496">
        <f>MCF!X74</f>
        <v>0.70499999999999996</v>
      </c>
      <c r="E75" s="167">
        <f t="shared" si="1"/>
        <v>0</v>
      </c>
      <c r="F75" s="100">
        <f t="shared" si="0"/>
        <v>0</v>
      </c>
      <c r="G75" s="100">
        <f t="shared" si="2"/>
        <v>0</v>
      </c>
      <c r="H75" s="100">
        <f t="shared" si="3"/>
        <v>0</v>
      </c>
      <c r="I75" s="100">
        <f t="shared" si="4"/>
        <v>0</v>
      </c>
      <c r="J75" s="135">
        <f t="shared" si="5"/>
        <v>0</v>
      </c>
    </row>
    <row r="76" spans="2:10">
      <c r="B76" s="131">
        <f>Amnt_Deposited!B68</f>
        <v>2007</v>
      </c>
      <c r="C76" s="134">
        <f>Amnt_Deposited!H68</f>
        <v>0</v>
      </c>
      <c r="D76" s="496">
        <f>MCF!X75</f>
        <v>0.70499999999999996</v>
      </c>
      <c r="E76" s="167">
        <f t="shared" si="1"/>
        <v>0</v>
      </c>
      <c r="F76" s="100">
        <f t="shared" si="0"/>
        <v>0</v>
      </c>
      <c r="G76" s="100">
        <f t="shared" si="2"/>
        <v>0</v>
      </c>
      <c r="H76" s="100">
        <f t="shared" si="3"/>
        <v>0</v>
      </c>
      <c r="I76" s="100">
        <f t="shared" si="4"/>
        <v>0</v>
      </c>
      <c r="J76" s="135">
        <f t="shared" si="5"/>
        <v>0</v>
      </c>
    </row>
    <row r="77" spans="2:10">
      <c r="B77" s="131">
        <f>Amnt_Deposited!B69</f>
        <v>2008</v>
      </c>
      <c r="C77" s="134">
        <f>Amnt_Deposited!H69</f>
        <v>0</v>
      </c>
      <c r="D77" s="496">
        <f>MCF!X76</f>
        <v>0.70499999999999996</v>
      </c>
      <c r="E77" s="167">
        <f t="shared" si="1"/>
        <v>0</v>
      </c>
      <c r="F77" s="100">
        <f t="shared" si="0"/>
        <v>0</v>
      </c>
      <c r="G77" s="100">
        <f t="shared" si="2"/>
        <v>0</v>
      </c>
      <c r="H77" s="100">
        <f t="shared" si="3"/>
        <v>0</v>
      </c>
      <c r="I77" s="100">
        <f t="shared" si="4"/>
        <v>0</v>
      </c>
      <c r="J77" s="135">
        <f t="shared" si="5"/>
        <v>0</v>
      </c>
    </row>
    <row r="78" spans="2:10">
      <c r="B78" s="131">
        <f>Amnt_Deposited!B70</f>
        <v>2009</v>
      </c>
      <c r="C78" s="134">
        <f>Amnt_Deposited!H70</f>
        <v>0</v>
      </c>
      <c r="D78" s="496">
        <f>MCF!X77</f>
        <v>0.70499999999999996</v>
      </c>
      <c r="E78" s="167">
        <f t="shared" si="1"/>
        <v>0</v>
      </c>
      <c r="F78" s="100">
        <f t="shared" si="0"/>
        <v>0</v>
      </c>
      <c r="G78" s="100">
        <f t="shared" si="2"/>
        <v>0</v>
      </c>
      <c r="H78" s="100">
        <f t="shared" si="3"/>
        <v>0</v>
      </c>
      <c r="I78" s="100">
        <f t="shared" si="4"/>
        <v>0</v>
      </c>
      <c r="J78" s="135">
        <f t="shared" si="5"/>
        <v>0</v>
      </c>
    </row>
    <row r="79" spans="2:10">
      <c r="B79" s="131">
        <f>Amnt_Deposited!B71</f>
        <v>2010</v>
      </c>
      <c r="C79" s="134">
        <f>Amnt_Deposited!H71</f>
        <v>0</v>
      </c>
      <c r="D79" s="496">
        <f>MCF!X78</f>
        <v>0.70499999999999996</v>
      </c>
      <c r="E79" s="167">
        <f t="shared" si="1"/>
        <v>0</v>
      </c>
      <c r="F79" s="100">
        <f t="shared" si="0"/>
        <v>0</v>
      </c>
      <c r="G79" s="100">
        <f t="shared" si="2"/>
        <v>0</v>
      </c>
      <c r="H79" s="100">
        <f t="shared" si="3"/>
        <v>0</v>
      </c>
      <c r="I79" s="100">
        <f t="shared" si="4"/>
        <v>0</v>
      </c>
      <c r="J79" s="135">
        <f t="shared" si="5"/>
        <v>0</v>
      </c>
    </row>
    <row r="80" spans="2:10">
      <c r="B80" s="131">
        <f>Amnt_Deposited!B72</f>
        <v>2011</v>
      </c>
      <c r="C80" s="134">
        <f>Amnt_Deposited!H72</f>
        <v>0</v>
      </c>
      <c r="D80" s="496">
        <f>MCF!X79</f>
        <v>0.70499999999999996</v>
      </c>
      <c r="E80" s="167">
        <f t="shared" si="1"/>
        <v>0</v>
      </c>
      <c r="F80" s="100">
        <f t="shared" si="0"/>
        <v>0</v>
      </c>
      <c r="G80" s="100">
        <f t="shared" si="2"/>
        <v>0</v>
      </c>
      <c r="H80" s="100">
        <f t="shared" si="3"/>
        <v>0</v>
      </c>
      <c r="I80" s="100">
        <f t="shared" si="4"/>
        <v>0</v>
      </c>
      <c r="J80" s="135">
        <f t="shared" si="5"/>
        <v>0</v>
      </c>
    </row>
    <row r="81" spans="2:10">
      <c r="B81" s="131">
        <f>Amnt_Deposited!B73</f>
        <v>2012</v>
      </c>
      <c r="C81" s="134">
        <f>Amnt_Deposited!H73</f>
        <v>0</v>
      </c>
      <c r="D81" s="496">
        <f>MCF!X80</f>
        <v>0.70499999999999996</v>
      </c>
      <c r="E81" s="167">
        <f t="shared" si="1"/>
        <v>0</v>
      </c>
      <c r="F81" s="100">
        <f t="shared" si="0"/>
        <v>0</v>
      </c>
      <c r="G81" s="100">
        <f t="shared" si="2"/>
        <v>0</v>
      </c>
      <c r="H81" s="100">
        <f t="shared" si="3"/>
        <v>0</v>
      </c>
      <c r="I81" s="100">
        <f t="shared" si="4"/>
        <v>0</v>
      </c>
      <c r="J81" s="135">
        <f t="shared" si="5"/>
        <v>0</v>
      </c>
    </row>
    <row r="82" spans="2:10">
      <c r="B82" s="131">
        <f>Amnt_Deposited!B74</f>
        <v>2013</v>
      </c>
      <c r="C82" s="134">
        <f>Amnt_Deposited!H74</f>
        <v>0</v>
      </c>
      <c r="D82" s="496">
        <f>MCF!X81</f>
        <v>0.70499999999999996</v>
      </c>
      <c r="E82" s="167">
        <f t="shared" si="1"/>
        <v>0</v>
      </c>
      <c r="F82" s="100">
        <f t="shared" si="0"/>
        <v>0</v>
      </c>
      <c r="G82" s="100">
        <f t="shared" si="2"/>
        <v>0</v>
      </c>
      <c r="H82" s="100">
        <f t="shared" si="3"/>
        <v>0</v>
      </c>
      <c r="I82" s="100">
        <f t="shared" si="4"/>
        <v>0</v>
      </c>
      <c r="J82" s="135">
        <f t="shared" si="5"/>
        <v>0</v>
      </c>
    </row>
    <row r="83" spans="2:10">
      <c r="B83" s="131">
        <f>Amnt_Deposited!B75</f>
        <v>2014</v>
      </c>
      <c r="C83" s="134">
        <f>Amnt_Deposited!H75</f>
        <v>0</v>
      </c>
      <c r="D83" s="496">
        <f>MCF!X82</f>
        <v>0.70499999999999996</v>
      </c>
      <c r="E83" s="167">
        <f t="shared" si="1"/>
        <v>0</v>
      </c>
      <c r="F83" s="100">
        <f t="shared" ref="F83:F99" si="6">E83*$I$12</f>
        <v>0</v>
      </c>
      <c r="G83" s="100">
        <f t="shared" si="2"/>
        <v>0</v>
      </c>
      <c r="H83" s="100">
        <f t="shared" si="3"/>
        <v>0</v>
      </c>
      <c r="I83" s="100">
        <f t="shared" si="4"/>
        <v>0</v>
      </c>
      <c r="J83" s="135">
        <f t="shared" si="5"/>
        <v>0</v>
      </c>
    </row>
    <row r="84" spans="2:10">
      <c r="B84" s="131">
        <f>Amnt_Deposited!B76</f>
        <v>2015</v>
      </c>
      <c r="C84" s="134">
        <f>Amnt_Deposited!H76</f>
        <v>0</v>
      </c>
      <c r="D84" s="496">
        <f>MCF!X83</f>
        <v>0.70499999999999996</v>
      </c>
      <c r="E84" s="167">
        <f t="shared" ref="E84:E99" si="7">C84*$I$6*$I$7*D84</f>
        <v>0</v>
      </c>
      <c r="F84" s="100">
        <f t="shared" si="6"/>
        <v>0</v>
      </c>
      <c r="G84" s="100">
        <f t="shared" ref="G84:G99" si="8">E84*(1-$I$12)</f>
        <v>0</v>
      </c>
      <c r="H84" s="100">
        <f t="shared" ref="H84:H99" si="9">F84+H83*$I$10</f>
        <v>0</v>
      </c>
      <c r="I84" s="100">
        <f t="shared" ref="I84:I99" si="10">H83*(1-$I$10)+G84</f>
        <v>0</v>
      </c>
      <c r="J84" s="135">
        <f t="shared" si="5"/>
        <v>0</v>
      </c>
    </row>
    <row r="85" spans="2:10">
      <c r="B85" s="131">
        <f>Amnt_Deposited!B77</f>
        <v>2016</v>
      </c>
      <c r="C85" s="134">
        <f>Amnt_Deposited!H77</f>
        <v>0</v>
      </c>
      <c r="D85" s="496">
        <f>MCF!X84</f>
        <v>0.70499999999999996</v>
      </c>
      <c r="E85" s="167">
        <f t="shared" si="7"/>
        <v>0</v>
      </c>
      <c r="F85" s="100">
        <f t="shared" si="6"/>
        <v>0</v>
      </c>
      <c r="G85" s="100">
        <f t="shared" si="8"/>
        <v>0</v>
      </c>
      <c r="H85" s="100">
        <f t="shared" si="9"/>
        <v>0</v>
      </c>
      <c r="I85" s="100">
        <f t="shared" si="10"/>
        <v>0</v>
      </c>
      <c r="J85" s="135">
        <f t="shared" ref="J85:J99" si="11">I85*CH4_fraction*conv</f>
        <v>0</v>
      </c>
    </row>
    <row r="86" spans="2:10">
      <c r="B86" s="131">
        <f>Amnt_Deposited!B78</f>
        <v>2017</v>
      </c>
      <c r="C86" s="134">
        <f>Amnt_Deposited!H78</f>
        <v>0</v>
      </c>
      <c r="D86" s="496">
        <f>MCF!X85</f>
        <v>0.70499999999999996</v>
      </c>
      <c r="E86" s="167">
        <f t="shared" si="7"/>
        <v>0</v>
      </c>
      <c r="F86" s="100">
        <f t="shared" si="6"/>
        <v>0</v>
      </c>
      <c r="G86" s="100">
        <f t="shared" si="8"/>
        <v>0</v>
      </c>
      <c r="H86" s="100">
        <f t="shared" si="9"/>
        <v>0</v>
      </c>
      <c r="I86" s="100">
        <f t="shared" si="10"/>
        <v>0</v>
      </c>
      <c r="J86" s="135">
        <f t="shared" si="11"/>
        <v>0</v>
      </c>
    </row>
    <row r="87" spans="2:10">
      <c r="B87" s="131">
        <f>Amnt_Deposited!B79</f>
        <v>2018</v>
      </c>
      <c r="C87" s="134">
        <f>Amnt_Deposited!H79</f>
        <v>0</v>
      </c>
      <c r="D87" s="496">
        <f>MCF!X86</f>
        <v>0.70499999999999996</v>
      </c>
      <c r="E87" s="167">
        <f t="shared" si="7"/>
        <v>0</v>
      </c>
      <c r="F87" s="100">
        <f t="shared" si="6"/>
        <v>0</v>
      </c>
      <c r="G87" s="100">
        <f t="shared" si="8"/>
        <v>0</v>
      </c>
      <c r="H87" s="100">
        <f t="shared" si="9"/>
        <v>0</v>
      </c>
      <c r="I87" s="100">
        <f t="shared" si="10"/>
        <v>0</v>
      </c>
      <c r="J87" s="135">
        <f t="shared" si="11"/>
        <v>0</v>
      </c>
    </row>
    <row r="88" spans="2:10">
      <c r="B88" s="131">
        <f>Amnt_Deposited!B80</f>
        <v>2019</v>
      </c>
      <c r="C88" s="134">
        <f>Amnt_Deposited!H80</f>
        <v>0</v>
      </c>
      <c r="D88" s="496">
        <f>MCF!X87</f>
        <v>0.70499999999999996</v>
      </c>
      <c r="E88" s="167">
        <f t="shared" si="7"/>
        <v>0</v>
      </c>
      <c r="F88" s="100">
        <f t="shared" si="6"/>
        <v>0</v>
      </c>
      <c r="G88" s="100">
        <f t="shared" si="8"/>
        <v>0</v>
      </c>
      <c r="H88" s="100">
        <f t="shared" si="9"/>
        <v>0</v>
      </c>
      <c r="I88" s="100">
        <f t="shared" si="10"/>
        <v>0</v>
      </c>
      <c r="J88" s="135">
        <f t="shared" si="11"/>
        <v>0</v>
      </c>
    </row>
    <row r="89" spans="2:10">
      <c r="B89" s="131">
        <f>Amnt_Deposited!B81</f>
        <v>2020</v>
      </c>
      <c r="C89" s="134">
        <f>Amnt_Deposited!H81</f>
        <v>0</v>
      </c>
      <c r="D89" s="496">
        <f>MCF!X88</f>
        <v>0.70499999999999996</v>
      </c>
      <c r="E89" s="167">
        <f t="shared" si="7"/>
        <v>0</v>
      </c>
      <c r="F89" s="100">
        <f t="shared" si="6"/>
        <v>0</v>
      </c>
      <c r="G89" s="100">
        <f t="shared" si="8"/>
        <v>0</v>
      </c>
      <c r="H89" s="100">
        <f t="shared" si="9"/>
        <v>0</v>
      </c>
      <c r="I89" s="100">
        <f t="shared" si="10"/>
        <v>0</v>
      </c>
      <c r="J89" s="135">
        <f t="shared" si="11"/>
        <v>0</v>
      </c>
    </row>
    <row r="90" spans="2:10">
      <c r="B90" s="131">
        <f>Amnt_Deposited!B82</f>
        <v>2021</v>
      </c>
      <c r="C90" s="134">
        <f>Amnt_Deposited!H82</f>
        <v>0</v>
      </c>
      <c r="D90" s="496">
        <f>MCF!X89</f>
        <v>0.70499999999999996</v>
      </c>
      <c r="E90" s="167">
        <f t="shared" si="7"/>
        <v>0</v>
      </c>
      <c r="F90" s="100">
        <f t="shared" si="6"/>
        <v>0</v>
      </c>
      <c r="G90" s="100">
        <f t="shared" si="8"/>
        <v>0</v>
      </c>
      <c r="H90" s="100">
        <f t="shared" si="9"/>
        <v>0</v>
      </c>
      <c r="I90" s="100">
        <f t="shared" si="10"/>
        <v>0</v>
      </c>
      <c r="J90" s="135">
        <f t="shared" si="11"/>
        <v>0</v>
      </c>
    </row>
    <row r="91" spans="2:10">
      <c r="B91" s="131">
        <f>Amnt_Deposited!B83</f>
        <v>2022</v>
      </c>
      <c r="C91" s="134">
        <f>Amnt_Deposited!H83</f>
        <v>0</v>
      </c>
      <c r="D91" s="496">
        <f>MCF!X90</f>
        <v>0.70499999999999996</v>
      </c>
      <c r="E91" s="167">
        <f t="shared" si="7"/>
        <v>0</v>
      </c>
      <c r="F91" s="100">
        <f t="shared" si="6"/>
        <v>0</v>
      </c>
      <c r="G91" s="100">
        <f t="shared" si="8"/>
        <v>0</v>
      </c>
      <c r="H91" s="100">
        <f t="shared" si="9"/>
        <v>0</v>
      </c>
      <c r="I91" s="100">
        <f t="shared" si="10"/>
        <v>0</v>
      </c>
      <c r="J91" s="135">
        <f t="shared" si="11"/>
        <v>0</v>
      </c>
    </row>
    <row r="92" spans="2:10">
      <c r="B92" s="131">
        <f>Amnt_Deposited!B84</f>
        <v>2023</v>
      </c>
      <c r="C92" s="134">
        <f>Amnt_Deposited!H84</f>
        <v>0</v>
      </c>
      <c r="D92" s="496">
        <f>MCF!X91</f>
        <v>0.70499999999999996</v>
      </c>
      <c r="E92" s="167">
        <f t="shared" si="7"/>
        <v>0</v>
      </c>
      <c r="F92" s="100">
        <f t="shared" si="6"/>
        <v>0</v>
      </c>
      <c r="G92" s="100">
        <f t="shared" si="8"/>
        <v>0</v>
      </c>
      <c r="H92" s="100">
        <f t="shared" si="9"/>
        <v>0</v>
      </c>
      <c r="I92" s="100">
        <f t="shared" si="10"/>
        <v>0</v>
      </c>
      <c r="J92" s="135">
        <f t="shared" si="11"/>
        <v>0</v>
      </c>
    </row>
    <row r="93" spans="2:10">
      <c r="B93" s="131">
        <f>Amnt_Deposited!B85</f>
        <v>2024</v>
      </c>
      <c r="C93" s="134">
        <f>Amnt_Deposited!H85</f>
        <v>0</v>
      </c>
      <c r="D93" s="496">
        <f>MCF!X92</f>
        <v>0.70499999999999996</v>
      </c>
      <c r="E93" s="167">
        <f t="shared" si="7"/>
        <v>0</v>
      </c>
      <c r="F93" s="100">
        <f t="shared" si="6"/>
        <v>0</v>
      </c>
      <c r="G93" s="100">
        <f t="shared" si="8"/>
        <v>0</v>
      </c>
      <c r="H93" s="100">
        <f t="shared" si="9"/>
        <v>0</v>
      </c>
      <c r="I93" s="100">
        <f t="shared" si="10"/>
        <v>0</v>
      </c>
      <c r="J93" s="135">
        <f t="shared" si="11"/>
        <v>0</v>
      </c>
    </row>
    <row r="94" spans="2:10">
      <c r="B94" s="131">
        <f>Amnt_Deposited!B86</f>
        <v>2025</v>
      </c>
      <c r="C94" s="134">
        <f>Amnt_Deposited!H86</f>
        <v>0</v>
      </c>
      <c r="D94" s="496">
        <f>MCF!X93</f>
        <v>0.70499999999999996</v>
      </c>
      <c r="E94" s="167">
        <f t="shared" si="7"/>
        <v>0</v>
      </c>
      <c r="F94" s="100">
        <f t="shared" si="6"/>
        <v>0</v>
      </c>
      <c r="G94" s="100">
        <f t="shared" si="8"/>
        <v>0</v>
      </c>
      <c r="H94" s="100">
        <f t="shared" si="9"/>
        <v>0</v>
      </c>
      <c r="I94" s="100">
        <f t="shared" si="10"/>
        <v>0</v>
      </c>
      <c r="J94" s="135">
        <f t="shared" si="11"/>
        <v>0</v>
      </c>
    </row>
    <row r="95" spans="2:10">
      <c r="B95" s="131">
        <f>Amnt_Deposited!B87</f>
        <v>2026</v>
      </c>
      <c r="C95" s="134">
        <f>Amnt_Deposited!H87</f>
        <v>0</v>
      </c>
      <c r="D95" s="496">
        <f>MCF!X94</f>
        <v>0.70499999999999996</v>
      </c>
      <c r="E95" s="167">
        <f t="shared" si="7"/>
        <v>0</v>
      </c>
      <c r="F95" s="100">
        <f t="shared" si="6"/>
        <v>0</v>
      </c>
      <c r="G95" s="100">
        <f t="shared" si="8"/>
        <v>0</v>
      </c>
      <c r="H95" s="100">
        <f t="shared" si="9"/>
        <v>0</v>
      </c>
      <c r="I95" s="100">
        <f t="shared" si="10"/>
        <v>0</v>
      </c>
      <c r="J95" s="135">
        <f t="shared" si="11"/>
        <v>0</v>
      </c>
    </row>
    <row r="96" spans="2:10">
      <c r="B96" s="131">
        <f>Amnt_Deposited!B88</f>
        <v>2027</v>
      </c>
      <c r="C96" s="134">
        <f>Amnt_Deposited!H88</f>
        <v>0</v>
      </c>
      <c r="D96" s="496">
        <f>MCF!X95</f>
        <v>0.70499999999999996</v>
      </c>
      <c r="E96" s="167">
        <f t="shared" si="7"/>
        <v>0</v>
      </c>
      <c r="F96" s="100">
        <f t="shared" si="6"/>
        <v>0</v>
      </c>
      <c r="G96" s="100">
        <f t="shared" si="8"/>
        <v>0</v>
      </c>
      <c r="H96" s="100">
        <f t="shared" si="9"/>
        <v>0</v>
      </c>
      <c r="I96" s="100">
        <f t="shared" si="10"/>
        <v>0</v>
      </c>
      <c r="J96" s="135">
        <f t="shared" si="11"/>
        <v>0</v>
      </c>
    </row>
    <row r="97" spans="2:10">
      <c r="B97" s="131">
        <f>Amnt_Deposited!B89</f>
        <v>2028</v>
      </c>
      <c r="C97" s="134">
        <f>Amnt_Deposited!H89</f>
        <v>0</v>
      </c>
      <c r="D97" s="496">
        <f>MCF!X96</f>
        <v>0.70499999999999996</v>
      </c>
      <c r="E97" s="167">
        <f t="shared" si="7"/>
        <v>0</v>
      </c>
      <c r="F97" s="100">
        <f t="shared" si="6"/>
        <v>0</v>
      </c>
      <c r="G97" s="100">
        <f t="shared" si="8"/>
        <v>0</v>
      </c>
      <c r="H97" s="100">
        <f t="shared" si="9"/>
        <v>0</v>
      </c>
      <c r="I97" s="100">
        <f t="shared" si="10"/>
        <v>0</v>
      </c>
      <c r="J97" s="135">
        <f t="shared" si="11"/>
        <v>0</v>
      </c>
    </row>
    <row r="98" spans="2:10">
      <c r="B98" s="131">
        <f>Amnt_Deposited!B90</f>
        <v>2029</v>
      </c>
      <c r="C98" s="134">
        <f>Amnt_Deposited!H90</f>
        <v>0</v>
      </c>
      <c r="D98" s="496">
        <f>MCF!X97</f>
        <v>0.70499999999999996</v>
      </c>
      <c r="E98" s="167">
        <f t="shared" si="7"/>
        <v>0</v>
      </c>
      <c r="F98" s="100">
        <f t="shared" si="6"/>
        <v>0</v>
      </c>
      <c r="G98" s="100">
        <f t="shared" si="8"/>
        <v>0</v>
      </c>
      <c r="H98" s="100">
        <f t="shared" si="9"/>
        <v>0</v>
      </c>
      <c r="I98" s="100">
        <f t="shared" si="10"/>
        <v>0</v>
      </c>
      <c r="J98" s="135">
        <f t="shared" si="11"/>
        <v>0</v>
      </c>
    </row>
    <row r="99" spans="2:10" ht="13.8" thickBot="1">
      <c r="B99" s="132">
        <f>Amnt_Deposited!B91</f>
        <v>2030</v>
      </c>
      <c r="C99" s="136">
        <f>Amnt_Deposited!H91</f>
        <v>0</v>
      </c>
      <c r="D99" s="497">
        <f>MCF!X98</f>
        <v>0.70499999999999996</v>
      </c>
      <c r="E99" s="167">
        <f t="shared" si="7"/>
        <v>0</v>
      </c>
      <c r="F99" s="101">
        <f t="shared" si="6"/>
        <v>0</v>
      </c>
      <c r="G99" s="101">
        <f t="shared" si="8"/>
        <v>0</v>
      </c>
      <c r="H99" s="101">
        <f t="shared" si="9"/>
        <v>0</v>
      </c>
      <c r="I99" s="101">
        <f t="shared" si="10"/>
        <v>0</v>
      </c>
      <c r="J99" s="137">
        <f t="shared" si="11"/>
        <v>0</v>
      </c>
    </row>
  </sheetData>
  <phoneticPr fontId="17" type="noConversion"/>
  <pageMargins left="0.75" right="0.75" top="1" bottom="1" header="0.5" footer="0.5"/>
  <headerFooter alignWithMargins="0"/>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2:J99"/>
  <sheetViews>
    <sheetView showGridLines="0" workbookViewId="0">
      <selection activeCell="N15" sqref="N15"/>
    </sheetView>
  </sheetViews>
  <sheetFormatPr defaultColWidth="11.44140625" defaultRowHeight="13.2"/>
  <cols>
    <col min="1" max="1" width="3.44140625" style="6" customWidth="1"/>
    <col min="2" max="2" width="5.33203125" style="6" customWidth="1"/>
    <col min="3" max="3" width="9" style="6" customWidth="1"/>
    <col min="4" max="4" width="7.44140625" style="272" customWidth="1"/>
    <col min="5" max="6" width="10.6640625" style="6" customWidth="1"/>
    <col min="7" max="7" width="10.109375" style="6" customWidth="1"/>
    <col min="8" max="8" width="14.44140625" style="6" customWidth="1"/>
    <col min="9" max="9" width="11.44140625" style="6" customWidth="1"/>
    <col min="10" max="10" width="10.33203125" style="6" customWidth="1"/>
    <col min="11" max="16384" width="11.44140625" style="6"/>
  </cols>
  <sheetData>
    <row r="2" spans="1:10" ht="15.6">
      <c r="B2" s="80" t="s">
        <v>253</v>
      </c>
      <c r="C2" s="274"/>
      <c r="D2" s="275"/>
      <c r="E2" s="276"/>
      <c r="F2" s="276"/>
      <c r="G2" s="276"/>
      <c r="H2" s="276"/>
      <c r="I2" s="276"/>
      <c r="J2" s="276"/>
    </row>
    <row r="3" spans="1:10" ht="15">
      <c r="B3" s="174"/>
      <c r="C3" s="274"/>
      <c r="D3" s="275"/>
      <c r="E3" s="276"/>
      <c r="F3" s="276"/>
      <c r="G3" s="276"/>
      <c r="H3" s="276"/>
      <c r="I3" s="276"/>
      <c r="J3" s="276"/>
    </row>
    <row r="4" spans="1:10" ht="16.2" thickBot="1">
      <c r="B4" s="4"/>
      <c r="C4" s="277"/>
      <c r="D4" s="278"/>
      <c r="E4" s="279"/>
      <c r="F4" s="279"/>
      <c r="G4" s="279"/>
      <c r="H4" s="279"/>
      <c r="I4" s="279"/>
      <c r="J4" s="279"/>
    </row>
    <row r="5" spans="1:10" ht="27" thickBot="1">
      <c r="B5" s="280"/>
      <c r="C5" s="281"/>
      <c r="D5" s="282"/>
      <c r="E5" s="266"/>
      <c r="F5" s="266"/>
      <c r="G5" s="266"/>
      <c r="H5" s="266"/>
      <c r="I5" s="150" t="s">
        <v>8</v>
      </c>
      <c r="J5" s="266"/>
    </row>
    <row r="6" spans="1:10">
      <c r="B6" s="280"/>
      <c r="C6" s="281"/>
      <c r="D6" s="143" t="s">
        <v>10</v>
      </c>
      <c r="E6" s="144"/>
      <c r="F6" s="144"/>
      <c r="G6" s="148"/>
      <c r="H6" s="155" t="s">
        <v>10</v>
      </c>
      <c r="I6" s="329">
        <f>Parameters!M19</f>
        <v>0.05</v>
      </c>
      <c r="J6" s="266"/>
    </row>
    <row r="7" spans="1:10" ht="13.8" thickBot="1">
      <c r="B7" s="280"/>
      <c r="C7" s="281"/>
      <c r="D7" s="308" t="s">
        <v>14</v>
      </c>
      <c r="E7" s="309"/>
      <c r="F7" s="309"/>
      <c r="G7" s="310"/>
      <c r="H7" s="311" t="s">
        <v>14</v>
      </c>
      <c r="I7" s="637">
        <f>Parameters!E26</f>
        <v>0.7</v>
      </c>
      <c r="J7" s="266"/>
    </row>
    <row r="8" spans="1:10">
      <c r="D8" s="143" t="s">
        <v>226</v>
      </c>
      <c r="E8" s="144"/>
      <c r="F8" s="144"/>
      <c r="G8" s="148"/>
      <c r="H8" s="155" t="s">
        <v>222</v>
      </c>
      <c r="I8" s="149">
        <f>Parameters!M33</f>
        <v>0.185</v>
      </c>
      <c r="J8" s="81"/>
    </row>
    <row r="9" spans="1:10" ht="15.6">
      <c r="D9" s="303" t="s">
        <v>224</v>
      </c>
      <c r="E9" s="304"/>
      <c r="F9" s="304"/>
      <c r="G9" s="305"/>
      <c r="H9" s="306" t="s">
        <v>223</v>
      </c>
      <c r="I9" s="312">
        <f>LN(2)/$I$8</f>
        <v>3.7467415165402449</v>
      </c>
      <c r="J9" s="81"/>
    </row>
    <row r="10" spans="1:10">
      <c r="D10" s="145" t="s">
        <v>95</v>
      </c>
      <c r="E10" s="146"/>
      <c r="F10" s="146"/>
      <c r="G10" s="147"/>
      <c r="H10" s="156" t="s">
        <v>179</v>
      </c>
      <c r="I10" s="82">
        <f>EXP(-$I$8)</f>
        <v>0.83110428385212565</v>
      </c>
      <c r="J10" s="81"/>
    </row>
    <row r="11" spans="1:10">
      <c r="D11" s="145" t="s">
        <v>9</v>
      </c>
      <c r="E11" s="146"/>
      <c r="F11" s="146"/>
      <c r="G11" s="147"/>
      <c r="H11" s="156" t="s">
        <v>94</v>
      </c>
      <c r="I11" s="82">
        <f>Parameters!E40+7</f>
        <v>13</v>
      </c>
      <c r="J11" s="81"/>
    </row>
    <row r="12" spans="1:10" ht="13.8" thickBot="1">
      <c r="D12" s="267" t="s">
        <v>96</v>
      </c>
      <c r="E12" s="268"/>
      <c r="F12" s="268"/>
      <c r="G12" s="269"/>
      <c r="H12" s="270" t="s">
        <v>213</v>
      </c>
      <c r="I12" s="313">
        <f>EXP(-$I$8*((13-I11)/12))</f>
        <v>1</v>
      </c>
      <c r="J12" s="81"/>
    </row>
    <row r="13" spans="1:10" ht="13.8" thickBot="1">
      <c r="C13" s="83"/>
      <c r="D13" s="151" t="s">
        <v>97</v>
      </c>
      <c r="E13" s="152"/>
      <c r="F13" s="152"/>
      <c r="G13" s="153"/>
      <c r="H13" s="157" t="s">
        <v>93</v>
      </c>
      <c r="I13" s="154">
        <f>CH4_fraction</f>
        <v>0.5</v>
      </c>
      <c r="J13" s="81"/>
    </row>
    <row r="14" spans="1:10" ht="13.8" thickBot="1">
      <c r="E14" s="81"/>
      <c r="F14" s="81"/>
      <c r="G14" s="81"/>
      <c r="H14" s="81"/>
      <c r="I14" s="81"/>
      <c r="J14" s="81"/>
    </row>
    <row r="15" spans="1:10" ht="66">
      <c r="B15" s="84" t="s">
        <v>1</v>
      </c>
      <c r="C15" s="85" t="s">
        <v>11</v>
      </c>
      <c r="D15" s="86" t="s">
        <v>12</v>
      </c>
      <c r="E15" s="87" t="s">
        <v>214</v>
      </c>
      <c r="F15" s="87" t="s">
        <v>215</v>
      </c>
      <c r="G15" s="87" t="s">
        <v>216</v>
      </c>
      <c r="H15" s="87" t="s">
        <v>217</v>
      </c>
      <c r="I15" s="87" t="s">
        <v>218</v>
      </c>
      <c r="J15" s="302" t="s">
        <v>219</v>
      </c>
    </row>
    <row r="16" spans="1:10" ht="23.4">
      <c r="A16" s="283"/>
      <c r="B16" s="138"/>
      <c r="C16" s="139" t="s">
        <v>220</v>
      </c>
      <c r="D16" s="140" t="s">
        <v>12</v>
      </c>
      <c r="E16" s="141" t="s">
        <v>221</v>
      </c>
      <c r="F16" s="141" t="s">
        <v>180</v>
      </c>
      <c r="G16" s="141" t="s">
        <v>181</v>
      </c>
      <c r="H16" s="141" t="s">
        <v>182</v>
      </c>
      <c r="I16" s="141" t="s">
        <v>225</v>
      </c>
      <c r="J16" s="142" t="s">
        <v>183</v>
      </c>
    </row>
    <row r="17" spans="2:10" ht="13.8" thickBot="1">
      <c r="B17" s="16"/>
      <c r="C17" s="17" t="s">
        <v>17</v>
      </c>
      <c r="D17" s="88" t="s">
        <v>23</v>
      </c>
      <c r="E17" s="89" t="s">
        <v>17</v>
      </c>
      <c r="F17" s="89" t="s">
        <v>17</v>
      </c>
      <c r="G17" s="89" t="s">
        <v>17</v>
      </c>
      <c r="H17" s="89" t="s">
        <v>17</v>
      </c>
      <c r="I17" s="89" t="s">
        <v>17</v>
      </c>
      <c r="J17" s="90" t="s">
        <v>17</v>
      </c>
    </row>
    <row r="18" spans="2:10" ht="13.8" thickBot="1">
      <c r="B18" s="19"/>
      <c r="C18" s="91"/>
      <c r="D18" s="92"/>
      <c r="E18" s="168"/>
      <c r="F18" s="93"/>
      <c r="G18" s="93"/>
      <c r="H18" s="93"/>
      <c r="I18" s="93"/>
      <c r="J18" s="94"/>
    </row>
    <row r="19" spans="2:10">
      <c r="B19" s="130">
        <f>Amnt_Deposited!B11</f>
        <v>1950</v>
      </c>
      <c r="C19" s="133">
        <f>Amnt_Deposited!I11</f>
        <v>0</v>
      </c>
      <c r="D19" s="495">
        <f>MCF!X18</f>
        <v>0.70499999999999996</v>
      </c>
      <c r="E19" s="167">
        <f>C19*$I$6*$I$7*D19</f>
        <v>0</v>
      </c>
      <c r="F19" s="95">
        <f t="shared" ref="F19:F82" si="0">E19*$I$12</f>
        <v>0</v>
      </c>
      <c r="G19" s="95">
        <f>E19*(1-$I$12)</f>
        <v>0</v>
      </c>
      <c r="H19" s="95">
        <f>F19+H18*$I$10</f>
        <v>0</v>
      </c>
      <c r="I19" s="95">
        <f>H18*(1-$I$10)+G19</f>
        <v>0</v>
      </c>
      <c r="J19" s="97">
        <f>I19*CH4_fraction*conv</f>
        <v>0</v>
      </c>
    </row>
    <row r="20" spans="2:10">
      <c r="B20" s="131">
        <f>Amnt_Deposited!B12</f>
        <v>1951</v>
      </c>
      <c r="C20" s="134">
        <f>Amnt_Deposited!I12</f>
        <v>0</v>
      </c>
      <c r="D20" s="496">
        <f>MCF!X19</f>
        <v>0.70499999999999996</v>
      </c>
      <c r="E20" s="167">
        <f t="shared" ref="E20:E83" si="1">C20*$I$6*$I$7*D20</f>
        <v>0</v>
      </c>
      <c r="F20" s="100">
        <f t="shared" si="0"/>
        <v>0</v>
      </c>
      <c r="G20" s="100">
        <f t="shared" ref="G20:G83" si="2">E20*(1-$I$12)</f>
        <v>0</v>
      </c>
      <c r="H20" s="100">
        <f t="shared" ref="H20:H83" si="3">F20+H19*$I$10</f>
        <v>0</v>
      </c>
      <c r="I20" s="100">
        <f t="shared" ref="I20:I83" si="4">H19*(1-$I$10)+G20</f>
        <v>0</v>
      </c>
      <c r="J20" s="135">
        <f>I20*CH4_fraction*conv</f>
        <v>0</v>
      </c>
    </row>
    <row r="21" spans="2:10">
      <c r="B21" s="131">
        <f>Amnt_Deposited!B13</f>
        <v>1952</v>
      </c>
      <c r="C21" s="134">
        <f>Amnt_Deposited!I13</f>
        <v>0</v>
      </c>
      <c r="D21" s="496">
        <f>MCF!X20</f>
        <v>0.70499999999999996</v>
      </c>
      <c r="E21" s="167">
        <f t="shared" si="1"/>
        <v>0</v>
      </c>
      <c r="F21" s="100">
        <f t="shared" si="0"/>
        <v>0</v>
      </c>
      <c r="G21" s="100">
        <f t="shared" si="2"/>
        <v>0</v>
      </c>
      <c r="H21" s="100">
        <f t="shared" si="3"/>
        <v>0</v>
      </c>
      <c r="I21" s="100">
        <f t="shared" si="4"/>
        <v>0</v>
      </c>
      <c r="J21" s="135">
        <f t="shared" ref="J21:J84" si="5">I21*CH4_fraction*conv</f>
        <v>0</v>
      </c>
    </row>
    <row r="22" spans="2:10">
      <c r="B22" s="131">
        <f>Amnt_Deposited!B14</f>
        <v>1953</v>
      </c>
      <c r="C22" s="134">
        <f>Amnt_Deposited!I14</f>
        <v>0</v>
      </c>
      <c r="D22" s="496">
        <f>MCF!X21</f>
        <v>0.70499999999999996</v>
      </c>
      <c r="E22" s="167">
        <f t="shared" si="1"/>
        <v>0</v>
      </c>
      <c r="F22" s="100">
        <f t="shared" si="0"/>
        <v>0</v>
      </c>
      <c r="G22" s="100">
        <f t="shared" si="2"/>
        <v>0</v>
      </c>
      <c r="H22" s="100">
        <f t="shared" si="3"/>
        <v>0</v>
      </c>
      <c r="I22" s="100">
        <f t="shared" si="4"/>
        <v>0</v>
      </c>
      <c r="J22" s="135">
        <f t="shared" si="5"/>
        <v>0</v>
      </c>
    </row>
    <row r="23" spans="2:10">
      <c r="B23" s="131">
        <f>Amnt_Deposited!B15</f>
        <v>1954</v>
      </c>
      <c r="C23" s="134">
        <f>Amnt_Deposited!I15</f>
        <v>0</v>
      </c>
      <c r="D23" s="496">
        <f>MCF!X22</f>
        <v>0.70499999999999996</v>
      </c>
      <c r="E23" s="167">
        <f t="shared" si="1"/>
        <v>0</v>
      </c>
      <c r="F23" s="100">
        <f t="shared" si="0"/>
        <v>0</v>
      </c>
      <c r="G23" s="100">
        <f t="shared" si="2"/>
        <v>0</v>
      </c>
      <c r="H23" s="100">
        <f t="shared" si="3"/>
        <v>0</v>
      </c>
      <c r="I23" s="100">
        <f t="shared" si="4"/>
        <v>0</v>
      </c>
      <c r="J23" s="135">
        <f t="shared" si="5"/>
        <v>0</v>
      </c>
    </row>
    <row r="24" spans="2:10">
      <c r="B24" s="131">
        <f>Amnt_Deposited!B16</f>
        <v>1955</v>
      </c>
      <c r="C24" s="134">
        <f>Amnt_Deposited!I16</f>
        <v>0</v>
      </c>
      <c r="D24" s="496">
        <f>MCF!X23</f>
        <v>0.70499999999999996</v>
      </c>
      <c r="E24" s="167">
        <f t="shared" si="1"/>
        <v>0</v>
      </c>
      <c r="F24" s="100">
        <f t="shared" si="0"/>
        <v>0</v>
      </c>
      <c r="G24" s="100">
        <f t="shared" si="2"/>
        <v>0</v>
      </c>
      <c r="H24" s="100">
        <f t="shared" si="3"/>
        <v>0</v>
      </c>
      <c r="I24" s="100">
        <f t="shared" si="4"/>
        <v>0</v>
      </c>
      <c r="J24" s="135">
        <f t="shared" si="5"/>
        <v>0</v>
      </c>
    </row>
    <row r="25" spans="2:10">
      <c r="B25" s="131">
        <f>Amnt_Deposited!B17</f>
        <v>1956</v>
      </c>
      <c r="C25" s="134">
        <f>Amnt_Deposited!I17</f>
        <v>0</v>
      </c>
      <c r="D25" s="496">
        <f>MCF!X24</f>
        <v>0.70499999999999996</v>
      </c>
      <c r="E25" s="167">
        <f t="shared" si="1"/>
        <v>0</v>
      </c>
      <c r="F25" s="100">
        <f t="shared" si="0"/>
        <v>0</v>
      </c>
      <c r="G25" s="100">
        <f t="shared" si="2"/>
        <v>0</v>
      </c>
      <c r="H25" s="100">
        <f t="shared" si="3"/>
        <v>0</v>
      </c>
      <c r="I25" s="100">
        <f t="shared" si="4"/>
        <v>0</v>
      </c>
      <c r="J25" s="135">
        <f t="shared" si="5"/>
        <v>0</v>
      </c>
    </row>
    <row r="26" spans="2:10">
      <c r="B26" s="131">
        <f>Amnt_Deposited!B18</f>
        <v>1957</v>
      </c>
      <c r="C26" s="134">
        <f>Amnt_Deposited!I18</f>
        <v>0</v>
      </c>
      <c r="D26" s="496">
        <f>MCF!X25</f>
        <v>0.70499999999999996</v>
      </c>
      <c r="E26" s="167">
        <f t="shared" si="1"/>
        <v>0</v>
      </c>
      <c r="F26" s="100">
        <f t="shared" si="0"/>
        <v>0</v>
      </c>
      <c r="G26" s="100">
        <f t="shared" si="2"/>
        <v>0</v>
      </c>
      <c r="H26" s="100">
        <f t="shared" si="3"/>
        <v>0</v>
      </c>
      <c r="I26" s="100">
        <f t="shared" si="4"/>
        <v>0</v>
      </c>
      <c r="J26" s="135">
        <f t="shared" si="5"/>
        <v>0</v>
      </c>
    </row>
    <row r="27" spans="2:10">
      <c r="B27" s="131">
        <f>Amnt_Deposited!B19</f>
        <v>1958</v>
      </c>
      <c r="C27" s="134">
        <f>Amnt_Deposited!I19</f>
        <v>0</v>
      </c>
      <c r="D27" s="496">
        <f>MCF!X26</f>
        <v>0.70499999999999996</v>
      </c>
      <c r="E27" s="167">
        <f t="shared" si="1"/>
        <v>0</v>
      </c>
      <c r="F27" s="100">
        <f t="shared" si="0"/>
        <v>0</v>
      </c>
      <c r="G27" s="100">
        <f t="shared" si="2"/>
        <v>0</v>
      </c>
      <c r="H27" s="100">
        <f t="shared" si="3"/>
        <v>0</v>
      </c>
      <c r="I27" s="100">
        <f t="shared" si="4"/>
        <v>0</v>
      </c>
      <c r="J27" s="135">
        <f t="shared" si="5"/>
        <v>0</v>
      </c>
    </row>
    <row r="28" spans="2:10">
      <c r="B28" s="131">
        <f>Amnt_Deposited!B20</f>
        <v>1959</v>
      </c>
      <c r="C28" s="134">
        <f>Amnt_Deposited!I20</f>
        <v>0</v>
      </c>
      <c r="D28" s="496">
        <f>MCF!X27</f>
        <v>0.70499999999999996</v>
      </c>
      <c r="E28" s="167">
        <f t="shared" si="1"/>
        <v>0</v>
      </c>
      <c r="F28" s="100">
        <f t="shared" si="0"/>
        <v>0</v>
      </c>
      <c r="G28" s="100">
        <f t="shared" si="2"/>
        <v>0</v>
      </c>
      <c r="H28" s="100">
        <f t="shared" si="3"/>
        <v>0</v>
      </c>
      <c r="I28" s="100">
        <f t="shared" si="4"/>
        <v>0</v>
      </c>
      <c r="J28" s="135">
        <f t="shared" si="5"/>
        <v>0</v>
      </c>
    </row>
    <row r="29" spans="2:10">
      <c r="B29" s="131">
        <f>Amnt_Deposited!B21</f>
        <v>1960</v>
      </c>
      <c r="C29" s="134">
        <f>Amnt_Deposited!I21</f>
        <v>0</v>
      </c>
      <c r="D29" s="496">
        <f>MCF!X28</f>
        <v>0.70499999999999996</v>
      </c>
      <c r="E29" s="167">
        <f t="shared" si="1"/>
        <v>0</v>
      </c>
      <c r="F29" s="100">
        <f t="shared" si="0"/>
        <v>0</v>
      </c>
      <c r="G29" s="100">
        <f t="shared" si="2"/>
        <v>0</v>
      </c>
      <c r="H29" s="100">
        <f t="shared" si="3"/>
        <v>0</v>
      </c>
      <c r="I29" s="100">
        <f t="shared" si="4"/>
        <v>0</v>
      </c>
      <c r="J29" s="135">
        <f t="shared" si="5"/>
        <v>0</v>
      </c>
    </row>
    <row r="30" spans="2:10">
      <c r="B30" s="131">
        <f>Amnt_Deposited!B22</f>
        <v>1961</v>
      </c>
      <c r="C30" s="134">
        <f>Amnt_Deposited!I22</f>
        <v>0</v>
      </c>
      <c r="D30" s="496">
        <f>MCF!X29</f>
        <v>0.70499999999999996</v>
      </c>
      <c r="E30" s="167">
        <f t="shared" si="1"/>
        <v>0</v>
      </c>
      <c r="F30" s="100">
        <f t="shared" si="0"/>
        <v>0</v>
      </c>
      <c r="G30" s="100">
        <f t="shared" si="2"/>
        <v>0</v>
      </c>
      <c r="H30" s="100">
        <f t="shared" si="3"/>
        <v>0</v>
      </c>
      <c r="I30" s="100">
        <f t="shared" si="4"/>
        <v>0</v>
      </c>
      <c r="J30" s="135">
        <f t="shared" si="5"/>
        <v>0</v>
      </c>
    </row>
    <row r="31" spans="2:10">
      <c r="B31" s="131">
        <f>Amnt_Deposited!B23</f>
        <v>1962</v>
      </c>
      <c r="C31" s="134">
        <f>Amnt_Deposited!I23</f>
        <v>0</v>
      </c>
      <c r="D31" s="496">
        <f>MCF!X30</f>
        <v>0.70499999999999996</v>
      </c>
      <c r="E31" s="167">
        <f t="shared" si="1"/>
        <v>0</v>
      </c>
      <c r="F31" s="100">
        <f t="shared" si="0"/>
        <v>0</v>
      </c>
      <c r="G31" s="100">
        <f t="shared" si="2"/>
        <v>0</v>
      </c>
      <c r="H31" s="100">
        <f t="shared" si="3"/>
        <v>0</v>
      </c>
      <c r="I31" s="100">
        <f t="shared" si="4"/>
        <v>0</v>
      </c>
      <c r="J31" s="135">
        <f t="shared" si="5"/>
        <v>0</v>
      </c>
    </row>
    <row r="32" spans="2:10">
      <c r="B32" s="131">
        <f>Amnt_Deposited!B24</f>
        <v>1963</v>
      </c>
      <c r="C32" s="134">
        <f>Amnt_Deposited!I24</f>
        <v>0</v>
      </c>
      <c r="D32" s="496">
        <f>MCF!X31</f>
        <v>0.70499999999999996</v>
      </c>
      <c r="E32" s="167">
        <f t="shared" si="1"/>
        <v>0</v>
      </c>
      <c r="F32" s="100">
        <f t="shared" si="0"/>
        <v>0</v>
      </c>
      <c r="G32" s="100">
        <f t="shared" si="2"/>
        <v>0</v>
      </c>
      <c r="H32" s="100">
        <f t="shared" si="3"/>
        <v>0</v>
      </c>
      <c r="I32" s="100">
        <f t="shared" si="4"/>
        <v>0</v>
      </c>
      <c r="J32" s="135">
        <f t="shared" si="5"/>
        <v>0</v>
      </c>
    </row>
    <row r="33" spans="2:10">
      <c r="B33" s="131">
        <f>Amnt_Deposited!B25</f>
        <v>1964</v>
      </c>
      <c r="C33" s="134">
        <f>Amnt_Deposited!I25</f>
        <v>0</v>
      </c>
      <c r="D33" s="496">
        <f>MCF!X32</f>
        <v>0.70499999999999996</v>
      </c>
      <c r="E33" s="167">
        <f t="shared" si="1"/>
        <v>0</v>
      </c>
      <c r="F33" s="100">
        <f t="shared" si="0"/>
        <v>0</v>
      </c>
      <c r="G33" s="100">
        <f t="shared" si="2"/>
        <v>0</v>
      </c>
      <c r="H33" s="100">
        <f t="shared" si="3"/>
        <v>0</v>
      </c>
      <c r="I33" s="100">
        <f t="shared" si="4"/>
        <v>0</v>
      </c>
      <c r="J33" s="135">
        <f t="shared" si="5"/>
        <v>0</v>
      </c>
    </row>
    <row r="34" spans="2:10">
      <c r="B34" s="131">
        <f>Amnt_Deposited!B26</f>
        <v>1965</v>
      </c>
      <c r="C34" s="134">
        <f>Amnt_Deposited!I26</f>
        <v>0</v>
      </c>
      <c r="D34" s="496">
        <f>MCF!X33</f>
        <v>0.70499999999999996</v>
      </c>
      <c r="E34" s="167">
        <f t="shared" si="1"/>
        <v>0</v>
      </c>
      <c r="F34" s="100">
        <f t="shared" si="0"/>
        <v>0</v>
      </c>
      <c r="G34" s="100">
        <f t="shared" si="2"/>
        <v>0</v>
      </c>
      <c r="H34" s="100">
        <f t="shared" si="3"/>
        <v>0</v>
      </c>
      <c r="I34" s="100">
        <f t="shared" si="4"/>
        <v>0</v>
      </c>
      <c r="J34" s="135">
        <f t="shared" si="5"/>
        <v>0</v>
      </c>
    </row>
    <row r="35" spans="2:10">
      <c r="B35" s="131">
        <f>Amnt_Deposited!B27</f>
        <v>1966</v>
      </c>
      <c r="C35" s="134">
        <f>Amnt_Deposited!I27</f>
        <v>0</v>
      </c>
      <c r="D35" s="496">
        <f>MCF!X34</f>
        <v>0.70499999999999996</v>
      </c>
      <c r="E35" s="167">
        <f t="shared" si="1"/>
        <v>0</v>
      </c>
      <c r="F35" s="100">
        <f t="shared" si="0"/>
        <v>0</v>
      </c>
      <c r="G35" s="100">
        <f t="shared" si="2"/>
        <v>0</v>
      </c>
      <c r="H35" s="100">
        <f t="shared" si="3"/>
        <v>0</v>
      </c>
      <c r="I35" s="100">
        <f t="shared" si="4"/>
        <v>0</v>
      </c>
      <c r="J35" s="135">
        <f t="shared" si="5"/>
        <v>0</v>
      </c>
    </row>
    <row r="36" spans="2:10">
      <c r="B36" s="131">
        <f>Amnt_Deposited!B28</f>
        <v>1967</v>
      </c>
      <c r="C36" s="134">
        <f>Amnt_Deposited!I28</f>
        <v>0</v>
      </c>
      <c r="D36" s="496">
        <f>MCF!X35</f>
        <v>0.70499999999999996</v>
      </c>
      <c r="E36" s="167">
        <f t="shared" si="1"/>
        <v>0</v>
      </c>
      <c r="F36" s="100">
        <f t="shared" si="0"/>
        <v>0</v>
      </c>
      <c r="G36" s="100">
        <f t="shared" si="2"/>
        <v>0</v>
      </c>
      <c r="H36" s="100">
        <f t="shared" si="3"/>
        <v>0</v>
      </c>
      <c r="I36" s="100">
        <f t="shared" si="4"/>
        <v>0</v>
      </c>
      <c r="J36" s="135">
        <f t="shared" si="5"/>
        <v>0</v>
      </c>
    </row>
    <row r="37" spans="2:10">
      <c r="B37" s="131">
        <f>Amnt_Deposited!B29</f>
        <v>1968</v>
      </c>
      <c r="C37" s="134">
        <f>Amnt_Deposited!I29</f>
        <v>0</v>
      </c>
      <c r="D37" s="496">
        <f>MCF!X36</f>
        <v>0.70499999999999996</v>
      </c>
      <c r="E37" s="167">
        <f t="shared" si="1"/>
        <v>0</v>
      </c>
      <c r="F37" s="100">
        <f t="shared" si="0"/>
        <v>0</v>
      </c>
      <c r="G37" s="100">
        <f t="shared" si="2"/>
        <v>0</v>
      </c>
      <c r="H37" s="100">
        <f t="shared" si="3"/>
        <v>0</v>
      </c>
      <c r="I37" s="100">
        <f t="shared" si="4"/>
        <v>0</v>
      </c>
      <c r="J37" s="135">
        <f t="shared" si="5"/>
        <v>0</v>
      </c>
    </row>
    <row r="38" spans="2:10">
      <c r="B38" s="131">
        <f>Amnt_Deposited!B30</f>
        <v>1969</v>
      </c>
      <c r="C38" s="134">
        <f>Amnt_Deposited!I30</f>
        <v>0</v>
      </c>
      <c r="D38" s="496">
        <f>MCF!X37</f>
        <v>0.70499999999999996</v>
      </c>
      <c r="E38" s="167">
        <f t="shared" si="1"/>
        <v>0</v>
      </c>
      <c r="F38" s="100">
        <f t="shared" si="0"/>
        <v>0</v>
      </c>
      <c r="G38" s="100">
        <f t="shared" si="2"/>
        <v>0</v>
      </c>
      <c r="H38" s="100">
        <f t="shared" si="3"/>
        <v>0</v>
      </c>
      <c r="I38" s="100">
        <f t="shared" si="4"/>
        <v>0</v>
      </c>
      <c r="J38" s="135">
        <f t="shared" si="5"/>
        <v>0</v>
      </c>
    </row>
    <row r="39" spans="2:10">
      <c r="B39" s="131">
        <f>Amnt_Deposited!B31</f>
        <v>1970</v>
      </c>
      <c r="C39" s="134">
        <f>Amnt_Deposited!I31</f>
        <v>0</v>
      </c>
      <c r="D39" s="496">
        <f>MCF!X38</f>
        <v>0.70499999999999996</v>
      </c>
      <c r="E39" s="167">
        <f t="shared" si="1"/>
        <v>0</v>
      </c>
      <c r="F39" s="100">
        <f t="shared" si="0"/>
        <v>0</v>
      </c>
      <c r="G39" s="100">
        <f t="shared" si="2"/>
        <v>0</v>
      </c>
      <c r="H39" s="100">
        <f t="shared" si="3"/>
        <v>0</v>
      </c>
      <c r="I39" s="100">
        <f t="shared" si="4"/>
        <v>0</v>
      </c>
      <c r="J39" s="135">
        <f t="shared" si="5"/>
        <v>0</v>
      </c>
    </row>
    <row r="40" spans="2:10">
      <c r="B40" s="131">
        <f>Amnt_Deposited!B32</f>
        <v>1971</v>
      </c>
      <c r="C40" s="134">
        <f>Amnt_Deposited!I32</f>
        <v>0</v>
      </c>
      <c r="D40" s="496">
        <f>MCF!X39</f>
        <v>0.70499999999999996</v>
      </c>
      <c r="E40" s="167">
        <f t="shared" si="1"/>
        <v>0</v>
      </c>
      <c r="F40" s="100">
        <f t="shared" si="0"/>
        <v>0</v>
      </c>
      <c r="G40" s="100">
        <f t="shared" si="2"/>
        <v>0</v>
      </c>
      <c r="H40" s="100">
        <f t="shared" si="3"/>
        <v>0</v>
      </c>
      <c r="I40" s="100">
        <f t="shared" si="4"/>
        <v>0</v>
      </c>
      <c r="J40" s="135">
        <f t="shared" si="5"/>
        <v>0</v>
      </c>
    </row>
    <row r="41" spans="2:10">
      <c r="B41" s="131">
        <f>Amnt_Deposited!B33</f>
        <v>1972</v>
      </c>
      <c r="C41" s="134">
        <f>Amnt_Deposited!I33</f>
        <v>0</v>
      </c>
      <c r="D41" s="496">
        <f>MCF!X40</f>
        <v>0.70499999999999996</v>
      </c>
      <c r="E41" s="167">
        <f t="shared" si="1"/>
        <v>0</v>
      </c>
      <c r="F41" s="100">
        <f t="shared" si="0"/>
        <v>0</v>
      </c>
      <c r="G41" s="100">
        <f t="shared" si="2"/>
        <v>0</v>
      </c>
      <c r="H41" s="100">
        <f t="shared" si="3"/>
        <v>0</v>
      </c>
      <c r="I41" s="100">
        <f t="shared" si="4"/>
        <v>0</v>
      </c>
      <c r="J41" s="135">
        <f t="shared" si="5"/>
        <v>0</v>
      </c>
    </row>
    <row r="42" spans="2:10">
      <c r="B42" s="131">
        <f>Amnt_Deposited!B34</f>
        <v>1973</v>
      </c>
      <c r="C42" s="134">
        <f>Amnt_Deposited!I34</f>
        <v>0</v>
      </c>
      <c r="D42" s="496">
        <f>MCF!X41</f>
        <v>0.70499999999999996</v>
      </c>
      <c r="E42" s="167">
        <f t="shared" si="1"/>
        <v>0</v>
      </c>
      <c r="F42" s="100">
        <f t="shared" si="0"/>
        <v>0</v>
      </c>
      <c r="G42" s="100">
        <f t="shared" si="2"/>
        <v>0</v>
      </c>
      <c r="H42" s="100">
        <f t="shared" si="3"/>
        <v>0</v>
      </c>
      <c r="I42" s="100">
        <f t="shared" si="4"/>
        <v>0</v>
      </c>
      <c r="J42" s="135">
        <f t="shared" si="5"/>
        <v>0</v>
      </c>
    </row>
    <row r="43" spans="2:10">
      <c r="B43" s="131">
        <f>Amnt_Deposited!B35</f>
        <v>1974</v>
      </c>
      <c r="C43" s="134">
        <f>Amnt_Deposited!I35</f>
        <v>0</v>
      </c>
      <c r="D43" s="496">
        <f>MCF!X42</f>
        <v>0.70499999999999996</v>
      </c>
      <c r="E43" s="167">
        <f t="shared" si="1"/>
        <v>0</v>
      </c>
      <c r="F43" s="100">
        <f t="shared" si="0"/>
        <v>0</v>
      </c>
      <c r="G43" s="100">
        <f t="shared" si="2"/>
        <v>0</v>
      </c>
      <c r="H43" s="100">
        <f t="shared" si="3"/>
        <v>0</v>
      </c>
      <c r="I43" s="100">
        <f t="shared" si="4"/>
        <v>0</v>
      </c>
      <c r="J43" s="135">
        <f t="shared" si="5"/>
        <v>0</v>
      </c>
    </row>
    <row r="44" spans="2:10">
      <c r="B44" s="131">
        <f>Amnt_Deposited!B36</f>
        <v>1975</v>
      </c>
      <c r="C44" s="134">
        <f>Amnt_Deposited!I36</f>
        <v>0</v>
      </c>
      <c r="D44" s="496">
        <f>MCF!X43</f>
        <v>0.70499999999999996</v>
      </c>
      <c r="E44" s="167">
        <f t="shared" si="1"/>
        <v>0</v>
      </c>
      <c r="F44" s="100">
        <f t="shared" si="0"/>
        <v>0</v>
      </c>
      <c r="G44" s="100">
        <f t="shared" si="2"/>
        <v>0</v>
      </c>
      <c r="H44" s="100">
        <f t="shared" si="3"/>
        <v>0</v>
      </c>
      <c r="I44" s="100">
        <f t="shared" si="4"/>
        <v>0</v>
      </c>
      <c r="J44" s="135">
        <f t="shared" si="5"/>
        <v>0</v>
      </c>
    </row>
    <row r="45" spans="2:10">
      <c r="B45" s="131">
        <f>Amnt_Deposited!B37</f>
        <v>1976</v>
      </c>
      <c r="C45" s="134">
        <f>Amnt_Deposited!I37</f>
        <v>0</v>
      </c>
      <c r="D45" s="496">
        <f>MCF!X44</f>
        <v>0.70499999999999996</v>
      </c>
      <c r="E45" s="167">
        <f t="shared" si="1"/>
        <v>0</v>
      </c>
      <c r="F45" s="100">
        <f t="shared" si="0"/>
        <v>0</v>
      </c>
      <c r="G45" s="100">
        <f t="shared" si="2"/>
        <v>0</v>
      </c>
      <c r="H45" s="100">
        <f t="shared" si="3"/>
        <v>0</v>
      </c>
      <c r="I45" s="100">
        <f t="shared" si="4"/>
        <v>0</v>
      </c>
      <c r="J45" s="135">
        <f t="shared" si="5"/>
        <v>0</v>
      </c>
    </row>
    <row r="46" spans="2:10">
      <c r="B46" s="131">
        <f>Amnt_Deposited!B38</f>
        <v>1977</v>
      </c>
      <c r="C46" s="134">
        <f>Amnt_Deposited!I38</f>
        <v>0</v>
      </c>
      <c r="D46" s="496">
        <f>MCF!X45</f>
        <v>0.70499999999999996</v>
      </c>
      <c r="E46" s="167">
        <f t="shared" si="1"/>
        <v>0</v>
      </c>
      <c r="F46" s="100">
        <f t="shared" si="0"/>
        <v>0</v>
      </c>
      <c r="G46" s="100">
        <f t="shared" si="2"/>
        <v>0</v>
      </c>
      <c r="H46" s="100">
        <f t="shared" si="3"/>
        <v>0</v>
      </c>
      <c r="I46" s="100">
        <f t="shared" si="4"/>
        <v>0</v>
      </c>
      <c r="J46" s="135">
        <f t="shared" si="5"/>
        <v>0</v>
      </c>
    </row>
    <row r="47" spans="2:10">
      <c r="B47" s="131">
        <f>Amnt_Deposited!B39</f>
        <v>1978</v>
      </c>
      <c r="C47" s="134">
        <f>Amnt_Deposited!I39</f>
        <v>0</v>
      </c>
      <c r="D47" s="496">
        <f>MCF!X46</f>
        <v>0.70499999999999996</v>
      </c>
      <c r="E47" s="167">
        <f t="shared" si="1"/>
        <v>0</v>
      </c>
      <c r="F47" s="100">
        <f t="shared" si="0"/>
        <v>0</v>
      </c>
      <c r="G47" s="100">
        <f t="shared" si="2"/>
        <v>0</v>
      </c>
      <c r="H47" s="100">
        <f t="shared" si="3"/>
        <v>0</v>
      </c>
      <c r="I47" s="100">
        <f t="shared" si="4"/>
        <v>0</v>
      </c>
      <c r="J47" s="135">
        <f t="shared" si="5"/>
        <v>0</v>
      </c>
    </row>
    <row r="48" spans="2:10">
      <c r="B48" s="131">
        <f>Amnt_Deposited!B40</f>
        <v>1979</v>
      </c>
      <c r="C48" s="134">
        <f>Amnt_Deposited!I40</f>
        <v>0</v>
      </c>
      <c r="D48" s="496">
        <f>MCF!X47</f>
        <v>0.70499999999999996</v>
      </c>
      <c r="E48" s="167">
        <f t="shared" si="1"/>
        <v>0</v>
      </c>
      <c r="F48" s="100">
        <f t="shared" si="0"/>
        <v>0</v>
      </c>
      <c r="G48" s="100">
        <f t="shared" si="2"/>
        <v>0</v>
      </c>
      <c r="H48" s="100">
        <f t="shared" si="3"/>
        <v>0</v>
      </c>
      <c r="I48" s="100">
        <f t="shared" si="4"/>
        <v>0</v>
      </c>
      <c r="J48" s="135">
        <f t="shared" si="5"/>
        <v>0</v>
      </c>
    </row>
    <row r="49" spans="2:10">
      <c r="B49" s="131">
        <f>Amnt_Deposited!B41</f>
        <v>1980</v>
      </c>
      <c r="C49" s="134">
        <f>Amnt_Deposited!I41</f>
        <v>0</v>
      </c>
      <c r="D49" s="496">
        <f>MCF!X48</f>
        <v>0.70499999999999996</v>
      </c>
      <c r="E49" s="167">
        <f t="shared" si="1"/>
        <v>0</v>
      </c>
      <c r="F49" s="100">
        <f t="shared" si="0"/>
        <v>0</v>
      </c>
      <c r="G49" s="100">
        <f t="shared" si="2"/>
        <v>0</v>
      </c>
      <c r="H49" s="100">
        <f t="shared" si="3"/>
        <v>0</v>
      </c>
      <c r="I49" s="100">
        <f t="shared" si="4"/>
        <v>0</v>
      </c>
      <c r="J49" s="135">
        <f t="shared" si="5"/>
        <v>0</v>
      </c>
    </row>
    <row r="50" spans="2:10">
      <c r="B50" s="131">
        <f>Amnt_Deposited!B42</f>
        <v>1981</v>
      </c>
      <c r="C50" s="134">
        <f>Amnt_Deposited!I42</f>
        <v>0</v>
      </c>
      <c r="D50" s="496">
        <f>MCF!X49</f>
        <v>0.70499999999999996</v>
      </c>
      <c r="E50" s="167">
        <f t="shared" si="1"/>
        <v>0</v>
      </c>
      <c r="F50" s="100">
        <f t="shared" si="0"/>
        <v>0</v>
      </c>
      <c r="G50" s="100">
        <f t="shared" si="2"/>
        <v>0</v>
      </c>
      <c r="H50" s="100">
        <f t="shared" si="3"/>
        <v>0</v>
      </c>
      <c r="I50" s="100">
        <f t="shared" si="4"/>
        <v>0</v>
      </c>
      <c r="J50" s="135">
        <f t="shared" si="5"/>
        <v>0</v>
      </c>
    </row>
    <row r="51" spans="2:10">
      <c r="B51" s="131">
        <f>Amnt_Deposited!B43</f>
        <v>1982</v>
      </c>
      <c r="C51" s="134">
        <f>Amnt_Deposited!I43</f>
        <v>0</v>
      </c>
      <c r="D51" s="496">
        <f>MCF!X50</f>
        <v>0.70499999999999996</v>
      </c>
      <c r="E51" s="167">
        <f t="shared" si="1"/>
        <v>0</v>
      </c>
      <c r="F51" s="100">
        <f t="shared" si="0"/>
        <v>0</v>
      </c>
      <c r="G51" s="100">
        <f t="shared" si="2"/>
        <v>0</v>
      </c>
      <c r="H51" s="100">
        <f t="shared" si="3"/>
        <v>0</v>
      </c>
      <c r="I51" s="100">
        <f t="shared" si="4"/>
        <v>0</v>
      </c>
      <c r="J51" s="135">
        <f t="shared" si="5"/>
        <v>0</v>
      </c>
    </row>
    <row r="52" spans="2:10">
      <c r="B52" s="131">
        <f>Amnt_Deposited!B44</f>
        <v>1983</v>
      </c>
      <c r="C52" s="134">
        <f>Amnt_Deposited!I44</f>
        <v>0</v>
      </c>
      <c r="D52" s="496">
        <f>MCF!X51</f>
        <v>0.70499999999999996</v>
      </c>
      <c r="E52" s="167">
        <f t="shared" si="1"/>
        <v>0</v>
      </c>
      <c r="F52" s="100">
        <f t="shared" si="0"/>
        <v>0</v>
      </c>
      <c r="G52" s="100">
        <f t="shared" si="2"/>
        <v>0</v>
      </c>
      <c r="H52" s="100">
        <f t="shared" si="3"/>
        <v>0</v>
      </c>
      <c r="I52" s="100">
        <f t="shared" si="4"/>
        <v>0</v>
      </c>
      <c r="J52" s="135">
        <f t="shared" si="5"/>
        <v>0</v>
      </c>
    </row>
    <row r="53" spans="2:10">
      <c r="B53" s="131">
        <f>Amnt_Deposited!B45</f>
        <v>1984</v>
      </c>
      <c r="C53" s="134">
        <f>Amnt_Deposited!I45</f>
        <v>0</v>
      </c>
      <c r="D53" s="496">
        <f>MCF!X52</f>
        <v>0.70499999999999996</v>
      </c>
      <c r="E53" s="167">
        <f t="shared" si="1"/>
        <v>0</v>
      </c>
      <c r="F53" s="100">
        <f t="shared" si="0"/>
        <v>0</v>
      </c>
      <c r="G53" s="100">
        <f t="shared" si="2"/>
        <v>0</v>
      </c>
      <c r="H53" s="100">
        <f t="shared" si="3"/>
        <v>0</v>
      </c>
      <c r="I53" s="100">
        <f t="shared" si="4"/>
        <v>0</v>
      </c>
      <c r="J53" s="135">
        <f t="shared" si="5"/>
        <v>0</v>
      </c>
    </row>
    <row r="54" spans="2:10">
      <c r="B54" s="131">
        <f>Amnt_Deposited!B46</f>
        <v>1985</v>
      </c>
      <c r="C54" s="134">
        <f>Amnt_Deposited!I46</f>
        <v>0</v>
      </c>
      <c r="D54" s="496">
        <f>MCF!X53</f>
        <v>0.70499999999999996</v>
      </c>
      <c r="E54" s="167">
        <f t="shared" si="1"/>
        <v>0</v>
      </c>
      <c r="F54" s="100">
        <f t="shared" si="0"/>
        <v>0</v>
      </c>
      <c r="G54" s="100">
        <f t="shared" si="2"/>
        <v>0</v>
      </c>
      <c r="H54" s="100">
        <f t="shared" si="3"/>
        <v>0</v>
      </c>
      <c r="I54" s="100">
        <f t="shared" si="4"/>
        <v>0</v>
      </c>
      <c r="J54" s="135">
        <f t="shared" si="5"/>
        <v>0</v>
      </c>
    </row>
    <row r="55" spans="2:10">
      <c r="B55" s="131">
        <f>Amnt_Deposited!B47</f>
        <v>1986</v>
      </c>
      <c r="C55" s="134">
        <f>Amnt_Deposited!I47</f>
        <v>0</v>
      </c>
      <c r="D55" s="496">
        <f>MCF!X54</f>
        <v>0.70499999999999996</v>
      </c>
      <c r="E55" s="167">
        <f t="shared" si="1"/>
        <v>0</v>
      </c>
      <c r="F55" s="100">
        <f t="shared" si="0"/>
        <v>0</v>
      </c>
      <c r="G55" s="100">
        <f t="shared" si="2"/>
        <v>0</v>
      </c>
      <c r="H55" s="100">
        <f t="shared" si="3"/>
        <v>0</v>
      </c>
      <c r="I55" s="100">
        <f t="shared" si="4"/>
        <v>0</v>
      </c>
      <c r="J55" s="135">
        <f t="shared" si="5"/>
        <v>0</v>
      </c>
    </row>
    <row r="56" spans="2:10">
      <c r="B56" s="131">
        <f>Amnt_Deposited!B48</f>
        <v>1987</v>
      </c>
      <c r="C56" s="134">
        <f>Amnt_Deposited!I48</f>
        <v>0</v>
      </c>
      <c r="D56" s="496">
        <f>MCF!X55</f>
        <v>0.70499999999999996</v>
      </c>
      <c r="E56" s="167">
        <f t="shared" si="1"/>
        <v>0</v>
      </c>
      <c r="F56" s="100">
        <f t="shared" si="0"/>
        <v>0</v>
      </c>
      <c r="G56" s="100">
        <f t="shared" si="2"/>
        <v>0</v>
      </c>
      <c r="H56" s="100">
        <f t="shared" si="3"/>
        <v>0</v>
      </c>
      <c r="I56" s="100">
        <f t="shared" si="4"/>
        <v>0</v>
      </c>
      <c r="J56" s="135">
        <f t="shared" si="5"/>
        <v>0</v>
      </c>
    </row>
    <row r="57" spans="2:10">
      <c r="B57" s="131">
        <f>Amnt_Deposited!B49</f>
        <v>1988</v>
      </c>
      <c r="C57" s="134">
        <f>Amnt_Deposited!I49</f>
        <v>0</v>
      </c>
      <c r="D57" s="496">
        <f>MCF!X56</f>
        <v>0.70499999999999996</v>
      </c>
      <c r="E57" s="167">
        <f t="shared" si="1"/>
        <v>0</v>
      </c>
      <c r="F57" s="100">
        <f t="shared" si="0"/>
        <v>0</v>
      </c>
      <c r="G57" s="100">
        <f t="shared" si="2"/>
        <v>0</v>
      </c>
      <c r="H57" s="100">
        <f t="shared" si="3"/>
        <v>0</v>
      </c>
      <c r="I57" s="100">
        <f t="shared" si="4"/>
        <v>0</v>
      </c>
      <c r="J57" s="135">
        <f t="shared" si="5"/>
        <v>0</v>
      </c>
    </row>
    <row r="58" spans="2:10">
      <c r="B58" s="131">
        <f>Amnt_Deposited!B50</f>
        <v>1989</v>
      </c>
      <c r="C58" s="134">
        <f>Amnt_Deposited!I50</f>
        <v>0</v>
      </c>
      <c r="D58" s="496">
        <f>MCF!X57</f>
        <v>0.70499999999999996</v>
      </c>
      <c r="E58" s="167">
        <f t="shared" si="1"/>
        <v>0</v>
      </c>
      <c r="F58" s="100">
        <f t="shared" si="0"/>
        <v>0</v>
      </c>
      <c r="G58" s="100">
        <f t="shared" si="2"/>
        <v>0</v>
      </c>
      <c r="H58" s="100">
        <f t="shared" si="3"/>
        <v>0</v>
      </c>
      <c r="I58" s="100">
        <f t="shared" si="4"/>
        <v>0</v>
      </c>
      <c r="J58" s="135">
        <f t="shared" si="5"/>
        <v>0</v>
      </c>
    </row>
    <row r="59" spans="2:10">
      <c r="B59" s="131">
        <f>Amnt_Deposited!B51</f>
        <v>1990</v>
      </c>
      <c r="C59" s="134">
        <f>Amnt_Deposited!I51</f>
        <v>0</v>
      </c>
      <c r="D59" s="496">
        <f>MCF!X58</f>
        <v>0.70499999999999996</v>
      </c>
      <c r="E59" s="167">
        <f t="shared" si="1"/>
        <v>0</v>
      </c>
      <c r="F59" s="100">
        <f t="shared" si="0"/>
        <v>0</v>
      </c>
      <c r="G59" s="100">
        <f t="shared" si="2"/>
        <v>0</v>
      </c>
      <c r="H59" s="100">
        <f t="shared" si="3"/>
        <v>0</v>
      </c>
      <c r="I59" s="100">
        <f t="shared" si="4"/>
        <v>0</v>
      </c>
      <c r="J59" s="135">
        <f t="shared" si="5"/>
        <v>0</v>
      </c>
    </row>
    <row r="60" spans="2:10">
      <c r="B60" s="131">
        <f>Amnt_Deposited!B52</f>
        <v>1991</v>
      </c>
      <c r="C60" s="134">
        <f>Amnt_Deposited!I52</f>
        <v>0</v>
      </c>
      <c r="D60" s="496">
        <f>MCF!X59</f>
        <v>0.70499999999999996</v>
      </c>
      <c r="E60" s="167">
        <f t="shared" si="1"/>
        <v>0</v>
      </c>
      <c r="F60" s="100">
        <f t="shared" si="0"/>
        <v>0</v>
      </c>
      <c r="G60" s="100">
        <f t="shared" si="2"/>
        <v>0</v>
      </c>
      <c r="H60" s="100">
        <f t="shared" si="3"/>
        <v>0</v>
      </c>
      <c r="I60" s="100">
        <f t="shared" si="4"/>
        <v>0</v>
      </c>
      <c r="J60" s="135">
        <f t="shared" si="5"/>
        <v>0</v>
      </c>
    </row>
    <row r="61" spans="2:10">
      <c r="B61" s="131">
        <f>Amnt_Deposited!B53</f>
        <v>1992</v>
      </c>
      <c r="C61" s="134">
        <f>Amnt_Deposited!I53</f>
        <v>0</v>
      </c>
      <c r="D61" s="496">
        <f>MCF!X60</f>
        <v>0.70499999999999996</v>
      </c>
      <c r="E61" s="167">
        <f t="shared" si="1"/>
        <v>0</v>
      </c>
      <c r="F61" s="100">
        <f t="shared" si="0"/>
        <v>0</v>
      </c>
      <c r="G61" s="100">
        <f t="shared" si="2"/>
        <v>0</v>
      </c>
      <c r="H61" s="100">
        <f t="shared" si="3"/>
        <v>0</v>
      </c>
      <c r="I61" s="100">
        <f t="shared" si="4"/>
        <v>0</v>
      </c>
      <c r="J61" s="135">
        <f t="shared" si="5"/>
        <v>0</v>
      </c>
    </row>
    <row r="62" spans="2:10">
      <c r="B62" s="131">
        <f>Amnt_Deposited!B54</f>
        <v>1993</v>
      </c>
      <c r="C62" s="134">
        <f>Amnt_Deposited!I54</f>
        <v>0</v>
      </c>
      <c r="D62" s="496">
        <f>MCF!X61</f>
        <v>0.70499999999999996</v>
      </c>
      <c r="E62" s="167">
        <f t="shared" si="1"/>
        <v>0</v>
      </c>
      <c r="F62" s="100">
        <f t="shared" si="0"/>
        <v>0</v>
      </c>
      <c r="G62" s="100">
        <f t="shared" si="2"/>
        <v>0</v>
      </c>
      <c r="H62" s="100">
        <f t="shared" si="3"/>
        <v>0</v>
      </c>
      <c r="I62" s="100">
        <f t="shared" si="4"/>
        <v>0</v>
      </c>
      <c r="J62" s="135">
        <f t="shared" si="5"/>
        <v>0</v>
      </c>
    </row>
    <row r="63" spans="2:10">
      <c r="B63" s="131">
        <f>Amnt_Deposited!B55</f>
        <v>1994</v>
      </c>
      <c r="C63" s="134">
        <f>Amnt_Deposited!I55</f>
        <v>0</v>
      </c>
      <c r="D63" s="496">
        <f>MCF!X62</f>
        <v>0.70499999999999996</v>
      </c>
      <c r="E63" s="167">
        <f t="shared" si="1"/>
        <v>0</v>
      </c>
      <c r="F63" s="100">
        <f t="shared" si="0"/>
        <v>0</v>
      </c>
      <c r="G63" s="100">
        <f t="shared" si="2"/>
        <v>0</v>
      </c>
      <c r="H63" s="100">
        <f t="shared" si="3"/>
        <v>0</v>
      </c>
      <c r="I63" s="100">
        <f t="shared" si="4"/>
        <v>0</v>
      </c>
      <c r="J63" s="135">
        <f t="shared" si="5"/>
        <v>0</v>
      </c>
    </row>
    <row r="64" spans="2:10">
      <c r="B64" s="131">
        <f>Amnt_Deposited!B56</f>
        <v>1995</v>
      </c>
      <c r="C64" s="134">
        <f>Amnt_Deposited!I56</f>
        <v>0</v>
      </c>
      <c r="D64" s="496">
        <f>MCF!X63</f>
        <v>0.70499999999999996</v>
      </c>
      <c r="E64" s="167">
        <f t="shared" si="1"/>
        <v>0</v>
      </c>
      <c r="F64" s="100">
        <f t="shared" si="0"/>
        <v>0</v>
      </c>
      <c r="G64" s="100">
        <f t="shared" si="2"/>
        <v>0</v>
      </c>
      <c r="H64" s="100">
        <f t="shared" si="3"/>
        <v>0</v>
      </c>
      <c r="I64" s="100">
        <f t="shared" si="4"/>
        <v>0</v>
      </c>
      <c r="J64" s="135">
        <f t="shared" si="5"/>
        <v>0</v>
      </c>
    </row>
    <row r="65" spans="2:10">
      <c r="B65" s="131">
        <f>Amnt_Deposited!B57</f>
        <v>1996</v>
      </c>
      <c r="C65" s="134">
        <f>Amnt_Deposited!I57</f>
        <v>0</v>
      </c>
      <c r="D65" s="496">
        <f>MCF!X64</f>
        <v>0.70499999999999996</v>
      </c>
      <c r="E65" s="167">
        <f t="shared" si="1"/>
        <v>0</v>
      </c>
      <c r="F65" s="100">
        <f t="shared" si="0"/>
        <v>0</v>
      </c>
      <c r="G65" s="100">
        <f t="shared" si="2"/>
        <v>0</v>
      </c>
      <c r="H65" s="100">
        <f t="shared" si="3"/>
        <v>0</v>
      </c>
      <c r="I65" s="100">
        <f t="shared" si="4"/>
        <v>0</v>
      </c>
      <c r="J65" s="135">
        <f t="shared" si="5"/>
        <v>0</v>
      </c>
    </row>
    <row r="66" spans="2:10">
      <c r="B66" s="131">
        <f>Amnt_Deposited!B58</f>
        <v>1997</v>
      </c>
      <c r="C66" s="134">
        <f>Amnt_Deposited!I58</f>
        <v>0</v>
      </c>
      <c r="D66" s="496">
        <f>MCF!X65</f>
        <v>0.70499999999999996</v>
      </c>
      <c r="E66" s="167">
        <f t="shared" si="1"/>
        <v>0</v>
      </c>
      <c r="F66" s="100">
        <f t="shared" si="0"/>
        <v>0</v>
      </c>
      <c r="G66" s="100">
        <f t="shared" si="2"/>
        <v>0</v>
      </c>
      <c r="H66" s="100">
        <f t="shared" si="3"/>
        <v>0</v>
      </c>
      <c r="I66" s="100">
        <f t="shared" si="4"/>
        <v>0</v>
      </c>
      <c r="J66" s="135">
        <f t="shared" si="5"/>
        <v>0</v>
      </c>
    </row>
    <row r="67" spans="2:10">
      <c r="B67" s="131">
        <f>Amnt_Deposited!B59</f>
        <v>1998</v>
      </c>
      <c r="C67" s="134">
        <f>Amnt_Deposited!I59</f>
        <v>0</v>
      </c>
      <c r="D67" s="496">
        <f>MCF!X66</f>
        <v>0.70499999999999996</v>
      </c>
      <c r="E67" s="167">
        <f t="shared" si="1"/>
        <v>0</v>
      </c>
      <c r="F67" s="100">
        <f t="shared" si="0"/>
        <v>0</v>
      </c>
      <c r="G67" s="100">
        <f t="shared" si="2"/>
        <v>0</v>
      </c>
      <c r="H67" s="100">
        <f t="shared" si="3"/>
        <v>0</v>
      </c>
      <c r="I67" s="100">
        <f t="shared" si="4"/>
        <v>0</v>
      </c>
      <c r="J67" s="135">
        <f t="shared" si="5"/>
        <v>0</v>
      </c>
    </row>
    <row r="68" spans="2:10">
      <c r="B68" s="131">
        <f>Amnt_Deposited!B60</f>
        <v>1999</v>
      </c>
      <c r="C68" s="134">
        <f>Amnt_Deposited!I60</f>
        <v>0</v>
      </c>
      <c r="D68" s="496">
        <f>MCF!X67</f>
        <v>0.70499999999999996</v>
      </c>
      <c r="E68" s="167">
        <f t="shared" si="1"/>
        <v>0</v>
      </c>
      <c r="F68" s="100">
        <f t="shared" si="0"/>
        <v>0</v>
      </c>
      <c r="G68" s="100">
        <f t="shared" si="2"/>
        <v>0</v>
      </c>
      <c r="H68" s="100">
        <f t="shared" si="3"/>
        <v>0</v>
      </c>
      <c r="I68" s="100">
        <f t="shared" si="4"/>
        <v>0</v>
      </c>
      <c r="J68" s="135">
        <f t="shared" si="5"/>
        <v>0</v>
      </c>
    </row>
    <row r="69" spans="2:10">
      <c r="B69" s="131">
        <f>Amnt_Deposited!B61</f>
        <v>2000</v>
      </c>
      <c r="C69" s="134">
        <f>Amnt_Deposited!I61</f>
        <v>0</v>
      </c>
      <c r="D69" s="496">
        <f>MCF!X68</f>
        <v>0.70499999999999996</v>
      </c>
      <c r="E69" s="167">
        <f t="shared" si="1"/>
        <v>0</v>
      </c>
      <c r="F69" s="100">
        <f t="shared" si="0"/>
        <v>0</v>
      </c>
      <c r="G69" s="100">
        <f t="shared" si="2"/>
        <v>0</v>
      </c>
      <c r="H69" s="100">
        <f t="shared" si="3"/>
        <v>0</v>
      </c>
      <c r="I69" s="100">
        <f t="shared" si="4"/>
        <v>0</v>
      </c>
      <c r="J69" s="135">
        <f t="shared" si="5"/>
        <v>0</v>
      </c>
    </row>
    <row r="70" spans="2:10">
      <c r="B70" s="131">
        <f>Amnt_Deposited!B62</f>
        <v>2001</v>
      </c>
      <c r="C70" s="134">
        <f>Amnt_Deposited!I62</f>
        <v>0</v>
      </c>
      <c r="D70" s="496">
        <f>MCF!X69</f>
        <v>0.70499999999999996</v>
      </c>
      <c r="E70" s="167">
        <f t="shared" si="1"/>
        <v>0</v>
      </c>
      <c r="F70" s="100">
        <f t="shared" si="0"/>
        <v>0</v>
      </c>
      <c r="G70" s="100">
        <f t="shared" si="2"/>
        <v>0</v>
      </c>
      <c r="H70" s="100">
        <f t="shared" si="3"/>
        <v>0</v>
      </c>
      <c r="I70" s="100">
        <f t="shared" si="4"/>
        <v>0</v>
      </c>
      <c r="J70" s="135">
        <f t="shared" si="5"/>
        <v>0</v>
      </c>
    </row>
    <row r="71" spans="2:10">
      <c r="B71" s="131">
        <f>Amnt_Deposited!B63</f>
        <v>2002</v>
      </c>
      <c r="C71" s="134">
        <f>Amnt_Deposited!I63</f>
        <v>0</v>
      </c>
      <c r="D71" s="496">
        <f>MCF!X70</f>
        <v>0.70499999999999996</v>
      </c>
      <c r="E71" s="167">
        <f t="shared" si="1"/>
        <v>0</v>
      </c>
      <c r="F71" s="100">
        <f t="shared" si="0"/>
        <v>0</v>
      </c>
      <c r="G71" s="100">
        <f t="shared" si="2"/>
        <v>0</v>
      </c>
      <c r="H71" s="100">
        <f t="shared" si="3"/>
        <v>0</v>
      </c>
      <c r="I71" s="100">
        <f t="shared" si="4"/>
        <v>0</v>
      </c>
      <c r="J71" s="135">
        <f t="shared" si="5"/>
        <v>0</v>
      </c>
    </row>
    <row r="72" spans="2:10">
      <c r="B72" s="131">
        <f>Amnt_Deposited!B64</f>
        <v>2003</v>
      </c>
      <c r="C72" s="134">
        <f>Amnt_Deposited!I64</f>
        <v>0</v>
      </c>
      <c r="D72" s="496">
        <f>MCF!X71</f>
        <v>0.70499999999999996</v>
      </c>
      <c r="E72" s="167">
        <f t="shared" si="1"/>
        <v>0</v>
      </c>
      <c r="F72" s="100">
        <f t="shared" si="0"/>
        <v>0</v>
      </c>
      <c r="G72" s="100">
        <f t="shared" si="2"/>
        <v>0</v>
      </c>
      <c r="H72" s="100">
        <f t="shared" si="3"/>
        <v>0</v>
      </c>
      <c r="I72" s="100">
        <f t="shared" si="4"/>
        <v>0</v>
      </c>
      <c r="J72" s="135">
        <f t="shared" si="5"/>
        <v>0</v>
      </c>
    </row>
    <row r="73" spans="2:10">
      <c r="B73" s="131">
        <f>Amnt_Deposited!B65</f>
        <v>2004</v>
      </c>
      <c r="C73" s="134">
        <f>Amnt_Deposited!I65</f>
        <v>0</v>
      </c>
      <c r="D73" s="496">
        <f>MCF!X72</f>
        <v>0.70499999999999996</v>
      </c>
      <c r="E73" s="167">
        <f t="shared" si="1"/>
        <v>0</v>
      </c>
      <c r="F73" s="100">
        <f t="shared" si="0"/>
        <v>0</v>
      </c>
      <c r="G73" s="100">
        <f t="shared" si="2"/>
        <v>0</v>
      </c>
      <c r="H73" s="100">
        <f t="shared" si="3"/>
        <v>0</v>
      </c>
      <c r="I73" s="100">
        <f t="shared" si="4"/>
        <v>0</v>
      </c>
      <c r="J73" s="135">
        <f t="shared" si="5"/>
        <v>0</v>
      </c>
    </row>
    <row r="74" spans="2:10">
      <c r="B74" s="131">
        <f>Amnt_Deposited!B66</f>
        <v>2005</v>
      </c>
      <c r="C74" s="134">
        <f>Amnt_Deposited!I66</f>
        <v>0</v>
      </c>
      <c r="D74" s="496">
        <f>MCF!X73</f>
        <v>0.70499999999999996</v>
      </c>
      <c r="E74" s="167">
        <f t="shared" si="1"/>
        <v>0</v>
      </c>
      <c r="F74" s="100">
        <f t="shared" si="0"/>
        <v>0</v>
      </c>
      <c r="G74" s="100">
        <f t="shared" si="2"/>
        <v>0</v>
      </c>
      <c r="H74" s="100">
        <f t="shared" si="3"/>
        <v>0</v>
      </c>
      <c r="I74" s="100">
        <f t="shared" si="4"/>
        <v>0</v>
      </c>
      <c r="J74" s="135">
        <f t="shared" si="5"/>
        <v>0</v>
      </c>
    </row>
    <row r="75" spans="2:10">
      <c r="B75" s="131">
        <f>Amnt_Deposited!B67</f>
        <v>2006</v>
      </c>
      <c r="C75" s="134">
        <f>Amnt_Deposited!I67</f>
        <v>0</v>
      </c>
      <c r="D75" s="496">
        <f>MCF!X74</f>
        <v>0.70499999999999996</v>
      </c>
      <c r="E75" s="167">
        <f t="shared" si="1"/>
        <v>0</v>
      </c>
      <c r="F75" s="100">
        <f t="shared" si="0"/>
        <v>0</v>
      </c>
      <c r="G75" s="100">
        <f t="shared" si="2"/>
        <v>0</v>
      </c>
      <c r="H75" s="100">
        <f t="shared" si="3"/>
        <v>0</v>
      </c>
      <c r="I75" s="100">
        <f t="shared" si="4"/>
        <v>0</v>
      </c>
      <c r="J75" s="135">
        <f t="shared" si="5"/>
        <v>0</v>
      </c>
    </row>
    <row r="76" spans="2:10">
      <c r="B76" s="131">
        <f>Amnt_Deposited!B68</f>
        <v>2007</v>
      </c>
      <c r="C76" s="134">
        <f>Amnt_Deposited!I68</f>
        <v>0</v>
      </c>
      <c r="D76" s="496">
        <f>MCF!X75</f>
        <v>0.70499999999999996</v>
      </c>
      <c r="E76" s="167">
        <f t="shared" si="1"/>
        <v>0</v>
      </c>
      <c r="F76" s="100">
        <f t="shared" si="0"/>
        <v>0</v>
      </c>
      <c r="G76" s="100">
        <f t="shared" si="2"/>
        <v>0</v>
      </c>
      <c r="H76" s="100">
        <f t="shared" si="3"/>
        <v>0</v>
      </c>
      <c r="I76" s="100">
        <f t="shared" si="4"/>
        <v>0</v>
      </c>
      <c r="J76" s="135">
        <f t="shared" si="5"/>
        <v>0</v>
      </c>
    </row>
    <row r="77" spans="2:10">
      <c r="B77" s="131">
        <f>Amnt_Deposited!B69</f>
        <v>2008</v>
      </c>
      <c r="C77" s="134">
        <f>Amnt_Deposited!I69</f>
        <v>0</v>
      </c>
      <c r="D77" s="496">
        <f>MCF!X76</f>
        <v>0.70499999999999996</v>
      </c>
      <c r="E77" s="167">
        <f t="shared" si="1"/>
        <v>0</v>
      </c>
      <c r="F77" s="100">
        <f t="shared" si="0"/>
        <v>0</v>
      </c>
      <c r="G77" s="100">
        <f t="shared" si="2"/>
        <v>0</v>
      </c>
      <c r="H77" s="100">
        <f t="shared" si="3"/>
        <v>0</v>
      </c>
      <c r="I77" s="100">
        <f t="shared" si="4"/>
        <v>0</v>
      </c>
      <c r="J77" s="135">
        <f t="shared" si="5"/>
        <v>0</v>
      </c>
    </row>
    <row r="78" spans="2:10">
      <c r="B78" s="131">
        <f>Amnt_Deposited!B70</f>
        <v>2009</v>
      </c>
      <c r="C78" s="134">
        <f>Amnt_Deposited!I70</f>
        <v>0</v>
      </c>
      <c r="D78" s="496">
        <f>MCF!X77</f>
        <v>0.70499999999999996</v>
      </c>
      <c r="E78" s="167">
        <f t="shared" si="1"/>
        <v>0</v>
      </c>
      <c r="F78" s="100">
        <f t="shared" si="0"/>
        <v>0</v>
      </c>
      <c r="G78" s="100">
        <f t="shared" si="2"/>
        <v>0</v>
      </c>
      <c r="H78" s="100">
        <f t="shared" si="3"/>
        <v>0</v>
      </c>
      <c r="I78" s="100">
        <f t="shared" si="4"/>
        <v>0</v>
      </c>
      <c r="J78" s="135">
        <f t="shared" si="5"/>
        <v>0</v>
      </c>
    </row>
    <row r="79" spans="2:10">
      <c r="B79" s="131">
        <f>Amnt_Deposited!B71</f>
        <v>2010</v>
      </c>
      <c r="C79" s="134">
        <f>Amnt_Deposited!I71</f>
        <v>0</v>
      </c>
      <c r="D79" s="496">
        <f>MCF!X78</f>
        <v>0.70499999999999996</v>
      </c>
      <c r="E79" s="167">
        <f t="shared" si="1"/>
        <v>0</v>
      </c>
      <c r="F79" s="100">
        <f t="shared" si="0"/>
        <v>0</v>
      </c>
      <c r="G79" s="100">
        <f t="shared" si="2"/>
        <v>0</v>
      </c>
      <c r="H79" s="100">
        <f t="shared" si="3"/>
        <v>0</v>
      </c>
      <c r="I79" s="100">
        <f t="shared" si="4"/>
        <v>0</v>
      </c>
      <c r="J79" s="135">
        <f t="shared" si="5"/>
        <v>0</v>
      </c>
    </row>
    <row r="80" spans="2:10">
      <c r="B80" s="131">
        <f>Amnt_Deposited!B72</f>
        <v>2011</v>
      </c>
      <c r="C80" s="134">
        <f>Amnt_Deposited!I72</f>
        <v>0</v>
      </c>
      <c r="D80" s="496">
        <f>MCF!X79</f>
        <v>0.70499999999999996</v>
      </c>
      <c r="E80" s="167">
        <f t="shared" si="1"/>
        <v>0</v>
      </c>
      <c r="F80" s="100">
        <f t="shared" si="0"/>
        <v>0</v>
      </c>
      <c r="G80" s="100">
        <f t="shared" si="2"/>
        <v>0</v>
      </c>
      <c r="H80" s="100">
        <f t="shared" si="3"/>
        <v>0</v>
      </c>
      <c r="I80" s="100">
        <f t="shared" si="4"/>
        <v>0</v>
      </c>
      <c r="J80" s="135">
        <f t="shared" si="5"/>
        <v>0</v>
      </c>
    </row>
    <row r="81" spans="2:10">
      <c r="B81" s="131">
        <f>Amnt_Deposited!B73</f>
        <v>2012</v>
      </c>
      <c r="C81" s="134">
        <f>Amnt_Deposited!I73</f>
        <v>0</v>
      </c>
      <c r="D81" s="496">
        <f>MCF!X80</f>
        <v>0.70499999999999996</v>
      </c>
      <c r="E81" s="167">
        <f t="shared" si="1"/>
        <v>0</v>
      </c>
      <c r="F81" s="100">
        <f t="shared" si="0"/>
        <v>0</v>
      </c>
      <c r="G81" s="100">
        <f t="shared" si="2"/>
        <v>0</v>
      </c>
      <c r="H81" s="100">
        <f t="shared" si="3"/>
        <v>0</v>
      </c>
      <c r="I81" s="100">
        <f t="shared" si="4"/>
        <v>0</v>
      </c>
      <c r="J81" s="135">
        <f t="shared" si="5"/>
        <v>0</v>
      </c>
    </row>
    <row r="82" spans="2:10">
      <c r="B82" s="131">
        <f>Amnt_Deposited!B74</f>
        <v>2013</v>
      </c>
      <c r="C82" s="134">
        <f>Amnt_Deposited!I74</f>
        <v>0</v>
      </c>
      <c r="D82" s="496">
        <f>MCF!X81</f>
        <v>0.70499999999999996</v>
      </c>
      <c r="E82" s="167">
        <f t="shared" si="1"/>
        <v>0</v>
      </c>
      <c r="F82" s="100">
        <f t="shared" si="0"/>
        <v>0</v>
      </c>
      <c r="G82" s="100">
        <f t="shared" si="2"/>
        <v>0</v>
      </c>
      <c r="H82" s="100">
        <f t="shared" si="3"/>
        <v>0</v>
      </c>
      <c r="I82" s="100">
        <f t="shared" si="4"/>
        <v>0</v>
      </c>
      <c r="J82" s="135">
        <f t="shared" si="5"/>
        <v>0</v>
      </c>
    </row>
    <row r="83" spans="2:10">
      <c r="B83" s="131">
        <f>Amnt_Deposited!B75</f>
        <v>2014</v>
      </c>
      <c r="C83" s="134">
        <f>Amnt_Deposited!I75</f>
        <v>0</v>
      </c>
      <c r="D83" s="496">
        <f>MCF!X82</f>
        <v>0.70499999999999996</v>
      </c>
      <c r="E83" s="167">
        <f t="shared" si="1"/>
        <v>0</v>
      </c>
      <c r="F83" s="100">
        <f t="shared" ref="F83:F99" si="6">E83*$I$12</f>
        <v>0</v>
      </c>
      <c r="G83" s="100">
        <f t="shared" si="2"/>
        <v>0</v>
      </c>
      <c r="H83" s="100">
        <f t="shared" si="3"/>
        <v>0</v>
      </c>
      <c r="I83" s="100">
        <f t="shared" si="4"/>
        <v>0</v>
      </c>
      <c r="J83" s="135">
        <f t="shared" si="5"/>
        <v>0</v>
      </c>
    </row>
    <row r="84" spans="2:10">
      <c r="B84" s="131">
        <f>Amnt_Deposited!B76</f>
        <v>2015</v>
      </c>
      <c r="C84" s="134">
        <f>Amnt_Deposited!I76</f>
        <v>0</v>
      </c>
      <c r="D84" s="496">
        <f>MCF!X83</f>
        <v>0.70499999999999996</v>
      </c>
      <c r="E84" s="167">
        <f t="shared" ref="E84:E99" si="7">C84*$I$6*$I$7*D84</f>
        <v>0</v>
      </c>
      <c r="F84" s="100">
        <f t="shared" si="6"/>
        <v>0</v>
      </c>
      <c r="G84" s="100">
        <f t="shared" ref="G84:G99" si="8">E84*(1-$I$12)</f>
        <v>0</v>
      </c>
      <c r="H84" s="100">
        <f t="shared" ref="H84:H99" si="9">F84+H83*$I$10</f>
        <v>0</v>
      </c>
      <c r="I84" s="100">
        <f t="shared" ref="I84:I99" si="10">H83*(1-$I$10)+G84</f>
        <v>0</v>
      </c>
      <c r="J84" s="135">
        <f t="shared" si="5"/>
        <v>0</v>
      </c>
    </row>
    <row r="85" spans="2:10">
      <c r="B85" s="131">
        <f>Amnt_Deposited!B77</f>
        <v>2016</v>
      </c>
      <c r="C85" s="134">
        <f>Amnt_Deposited!I77</f>
        <v>0</v>
      </c>
      <c r="D85" s="496">
        <f>MCF!X84</f>
        <v>0.70499999999999996</v>
      </c>
      <c r="E85" s="167">
        <f t="shared" si="7"/>
        <v>0</v>
      </c>
      <c r="F85" s="100">
        <f t="shared" si="6"/>
        <v>0</v>
      </c>
      <c r="G85" s="100">
        <f t="shared" si="8"/>
        <v>0</v>
      </c>
      <c r="H85" s="100">
        <f t="shared" si="9"/>
        <v>0</v>
      </c>
      <c r="I85" s="100">
        <f t="shared" si="10"/>
        <v>0</v>
      </c>
      <c r="J85" s="135">
        <f t="shared" ref="J85:J99" si="11">I85*CH4_fraction*conv</f>
        <v>0</v>
      </c>
    </row>
    <row r="86" spans="2:10">
      <c r="B86" s="131">
        <f>Amnt_Deposited!B78</f>
        <v>2017</v>
      </c>
      <c r="C86" s="134">
        <f>Amnt_Deposited!I78</f>
        <v>0</v>
      </c>
      <c r="D86" s="496">
        <f>MCF!X85</f>
        <v>0.70499999999999996</v>
      </c>
      <c r="E86" s="167">
        <f t="shared" si="7"/>
        <v>0</v>
      </c>
      <c r="F86" s="100">
        <f t="shared" si="6"/>
        <v>0</v>
      </c>
      <c r="G86" s="100">
        <f t="shared" si="8"/>
        <v>0</v>
      </c>
      <c r="H86" s="100">
        <f t="shared" si="9"/>
        <v>0</v>
      </c>
      <c r="I86" s="100">
        <f t="shared" si="10"/>
        <v>0</v>
      </c>
      <c r="J86" s="135">
        <f t="shared" si="11"/>
        <v>0</v>
      </c>
    </row>
    <row r="87" spans="2:10">
      <c r="B87" s="131">
        <f>Amnt_Deposited!B79</f>
        <v>2018</v>
      </c>
      <c r="C87" s="134">
        <f>Amnt_Deposited!I79</f>
        <v>0</v>
      </c>
      <c r="D87" s="496">
        <f>MCF!X86</f>
        <v>0.70499999999999996</v>
      </c>
      <c r="E87" s="167">
        <f t="shared" si="7"/>
        <v>0</v>
      </c>
      <c r="F87" s="100">
        <f t="shared" si="6"/>
        <v>0</v>
      </c>
      <c r="G87" s="100">
        <f t="shared" si="8"/>
        <v>0</v>
      </c>
      <c r="H87" s="100">
        <f t="shared" si="9"/>
        <v>0</v>
      </c>
      <c r="I87" s="100">
        <f t="shared" si="10"/>
        <v>0</v>
      </c>
      <c r="J87" s="135">
        <f t="shared" si="11"/>
        <v>0</v>
      </c>
    </row>
    <row r="88" spans="2:10">
      <c r="B88" s="131">
        <f>Amnt_Deposited!B80</f>
        <v>2019</v>
      </c>
      <c r="C88" s="134">
        <f>Amnt_Deposited!I80</f>
        <v>0</v>
      </c>
      <c r="D88" s="496">
        <f>MCF!X87</f>
        <v>0.70499999999999996</v>
      </c>
      <c r="E88" s="167">
        <f t="shared" si="7"/>
        <v>0</v>
      </c>
      <c r="F88" s="100">
        <f t="shared" si="6"/>
        <v>0</v>
      </c>
      <c r="G88" s="100">
        <f t="shared" si="8"/>
        <v>0</v>
      </c>
      <c r="H88" s="100">
        <f t="shared" si="9"/>
        <v>0</v>
      </c>
      <c r="I88" s="100">
        <f t="shared" si="10"/>
        <v>0</v>
      </c>
      <c r="J88" s="135">
        <f t="shared" si="11"/>
        <v>0</v>
      </c>
    </row>
    <row r="89" spans="2:10">
      <c r="B89" s="131">
        <f>Amnt_Deposited!B81</f>
        <v>2020</v>
      </c>
      <c r="C89" s="134">
        <f>Amnt_Deposited!I81</f>
        <v>0</v>
      </c>
      <c r="D89" s="496">
        <f>MCF!X88</f>
        <v>0.70499999999999996</v>
      </c>
      <c r="E89" s="167">
        <f t="shared" si="7"/>
        <v>0</v>
      </c>
      <c r="F89" s="100">
        <f t="shared" si="6"/>
        <v>0</v>
      </c>
      <c r="G89" s="100">
        <f t="shared" si="8"/>
        <v>0</v>
      </c>
      <c r="H89" s="100">
        <f t="shared" si="9"/>
        <v>0</v>
      </c>
      <c r="I89" s="100">
        <f t="shared" si="10"/>
        <v>0</v>
      </c>
      <c r="J89" s="135">
        <f t="shared" si="11"/>
        <v>0</v>
      </c>
    </row>
    <row r="90" spans="2:10">
      <c r="B90" s="131">
        <f>Amnt_Deposited!B82</f>
        <v>2021</v>
      </c>
      <c r="C90" s="134">
        <f>Amnt_Deposited!I82</f>
        <v>0</v>
      </c>
      <c r="D90" s="496">
        <f>MCF!X89</f>
        <v>0.70499999999999996</v>
      </c>
      <c r="E90" s="167">
        <f t="shared" si="7"/>
        <v>0</v>
      </c>
      <c r="F90" s="100">
        <f t="shared" si="6"/>
        <v>0</v>
      </c>
      <c r="G90" s="100">
        <f t="shared" si="8"/>
        <v>0</v>
      </c>
      <c r="H90" s="100">
        <f t="shared" si="9"/>
        <v>0</v>
      </c>
      <c r="I90" s="100">
        <f t="shared" si="10"/>
        <v>0</v>
      </c>
      <c r="J90" s="135">
        <f t="shared" si="11"/>
        <v>0</v>
      </c>
    </row>
    <row r="91" spans="2:10">
      <c r="B91" s="131">
        <f>Amnt_Deposited!B83</f>
        <v>2022</v>
      </c>
      <c r="C91" s="134">
        <f>Amnt_Deposited!I83</f>
        <v>0</v>
      </c>
      <c r="D91" s="496">
        <f>MCF!X90</f>
        <v>0.70499999999999996</v>
      </c>
      <c r="E91" s="167">
        <f t="shared" si="7"/>
        <v>0</v>
      </c>
      <c r="F91" s="100">
        <f t="shared" si="6"/>
        <v>0</v>
      </c>
      <c r="G91" s="100">
        <f t="shared" si="8"/>
        <v>0</v>
      </c>
      <c r="H91" s="100">
        <f t="shared" si="9"/>
        <v>0</v>
      </c>
      <c r="I91" s="100">
        <f t="shared" si="10"/>
        <v>0</v>
      </c>
      <c r="J91" s="135">
        <f t="shared" si="11"/>
        <v>0</v>
      </c>
    </row>
    <row r="92" spans="2:10">
      <c r="B92" s="131">
        <f>Amnt_Deposited!B84</f>
        <v>2023</v>
      </c>
      <c r="C92" s="134">
        <f>Amnt_Deposited!I84</f>
        <v>0</v>
      </c>
      <c r="D92" s="496">
        <f>MCF!X91</f>
        <v>0.70499999999999996</v>
      </c>
      <c r="E92" s="167">
        <f t="shared" si="7"/>
        <v>0</v>
      </c>
      <c r="F92" s="100">
        <f t="shared" si="6"/>
        <v>0</v>
      </c>
      <c r="G92" s="100">
        <f t="shared" si="8"/>
        <v>0</v>
      </c>
      <c r="H92" s="100">
        <f t="shared" si="9"/>
        <v>0</v>
      </c>
      <c r="I92" s="100">
        <f t="shared" si="10"/>
        <v>0</v>
      </c>
      <c r="J92" s="135">
        <f t="shared" si="11"/>
        <v>0</v>
      </c>
    </row>
    <row r="93" spans="2:10">
      <c r="B93" s="131">
        <f>Amnt_Deposited!B85</f>
        <v>2024</v>
      </c>
      <c r="C93" s="134">
        <f>Amnt_Deposited!I85</f>
        <v>0</v>
      </c>
      <c r="D93" s="496">
        <f>MCF!X92</f>
        <v>0.70499999999999996</v>
      </c>
      <c r="E93" s="167">
        <f t="shared" si="7"/>
        <v>0</v>
      </c>
      <c r="F93" s="100">
        <f t="shared" si="6"/>
        <v>0</v>
      </c>
      <c r="G93" s="100">
        <f t="shared" si="8"/>
        <v>0</v>
      </c>
      <c r="H93" s="100">
        <f t="shared" si="9"/>
        <v>0</v>
      </c>
      <c r="I93" s="100">
        <f t="shared" si="10"/>
        <v>0</v>
      </c>
      <c r="J93" s="135">
        <f t="shared" si="11"/>
        <v>0</v>
      </c>
    </row>
    <row r="94" spans="2:10">
      <c r="B94" s="131">
        <f>Amnt_Deposited!B86</f>
        <v>2025</v>
      </c>
      <c r="C94" s="134">
        <f>Amnt_Deposited!I86</f>
        <v>0</v>
      </c>
      <c r="D94" s="496">
        <f>MCF!X93</f>
        <v>0.70499999999999996</v>
      </c>
      <c r="E94" s="167">
        <f t="shared" si="7"/>
        <v>0</v>
      </c>
      <c r="F94" s="100">
        <f t="shared" si="6"/>
        <v>0</v>
      </c>
      <c r="G94" s="100">
        <f t="shared" si="8"/>
        <v>0</v>
      </c>
      <c r="H94" s="100">
        <f t="shared" si="9"/>
        <v>0</v>
      </c>
      <c r="I94" s="100">
        <f t="shared" si="10"/>
        <v>0</v>
      </c>
      <c r="J94" s="135">
        <f t="shared" si="11"/>
        <v>0</v>
      </c>
    </row>
    <row r="95" spans="2:10">
      <c r="B95" s="131">
        <f>Amnt_Deposited!B87</f>
        <v>2026</v>
      </c>
      <c r="C95" s="134">
        <f>Amnt_Deposited!I87</f>
        <v>0</v>
      </c>
      <c r="D95" s="496">
        <f>MCF!X94</f>
        <v>0.70499999999999996</v>
      </c>
      <c r="E95" s="167">
        <f t="shared" si="7"/>
        <v>0</v>
      </c>
      <c r="F95" s="100">
        <f t="shared" si="6"/>
        <v>0</v>
      </c>
      <c r="G95" s="100">
        <f t="shared" si="8"/>
        <v>0</v>
      </c>
      <c r="H95" s="100">
        <f t="shared" si="9"/>
        <v>0</v>
      </c>
      <c r="I95" s="100">
        <f t="shared" si="10"/>
        <v>0</v>
      </c>
      <c r="J95" s="135">
        <f t="shared" si="11"/>
        <v>0</v>
      </c>
    </row>
    <row r="96" spans="2:10">
      <c r="B96" s="131">
        <f>Amnt_Deposited!B88</f>
        <v>2027</v>
      </c>
      <c r="C96" s="134">
        <f>Amnt_Deposited!I88</f>
        <v>0</v>
      </c>
      <c r="D96" s="496">
        <f>MCF!X95</f>
        <v>0.70499999999999996</v>
      </c>
      <c r="E96" s="167">
        <f t="shared" si="7"/>
        <v>0</v>
      </c>
      <c r="F96" s="100">
        <f t="shared" si="6"/>
        <v>0</v>
      </c>
      <c r="G96" s="100">
        <f t="shared" si="8"/>
        <v>0</v>
      </c>
      <c r="H96" s="100">
        <f t="shared" si="9"/>
        <v>0</v>
      </c>
      <c r="I96" s="100">
        <f t="shared" si="10"/>
        <v>0</v>
      </c>
      <c r="J96" s="135">
        <f t="shared" si="11"/>
        <v>0</v>
      </c>
    </row>
    <row r="97" spans="2:10">
      <c r="B97" s="131">
        <f>Amnt_Deposited!B89</f>
        <v>2028</v>
      </c>
      <c r="C97" s="134">
        <f>Amnt_Deposited!I89</f>
        <v>0</v>
      </c>
      <c r="D97" s="496">
        <f>MCF!X96</f>
        <v>0.70499999999999996</v>
      </c>
      <c r="E97" s="167">
        <f t="shared" si="7"/>
        <v>0</v>
      </c>
      <c r="F97" s="100">
        <f t="shared" si="6"/>
        <v>0</v>
      </c>
      <c r="G97" s="100">
        <f t="shared" si="8"/>
        <v>0</v>
      </c>
      <c r="H97" s="100">
        <f t="shared" si="9"/>
        <v>0</v>
      </c>
      <c r="I97" s="100">
        <f t="shared" si="10"/>
        <v>0</v>
      </c>
      <c r="J97" s="135">
        <f t="shared" si="11"/>
        <v>0</v>
      </c>
    </row>
    <row r="98" spans="2:10">
      <c r="B98" s="131">
        <f>Amnt_Deposited!B90</f>
        <v>2029</v>
      </c>
      <c r="C98" s="134">
        <f>Amnt_Deposited!I90</f>
        <v>0</v>
      </c>
      <c r="D98" s="496">
        <f>MCF!X97</f>
        <v>0.70499999999999996</v>
      </c>
      <c r="E98" s="167">
        <f t="shared" si="7"/>
        <v>0</v>
      </c>
      <c r="F98" s="100">
        <f t="shared" si="6"/>
        <v>0</v>
      </c>
      <c r="G98" s="100">
        <f t="shared" si="8"/>
        <v>0</v>
      </c>
      <c r="H98" s="100">
        <f t="shared" si="9"/>
        <v>0</v>
      </c>
      <c r="I98" s="100">
        <f t="shared" si="10"/>
        <v>0</v>
      </c>
      <c r="J98" s="135">
        <f t="shared" si="11"/>
        <v>0</v>
      </c>
    </row>
    <row r="99" spans="2:10" ht="13.8" thickBot="1">
      <c r="B99" s="132">
        <f>Amnt_Deposited!B91</f>
        <v>2030</v>
      </c>
      <c r="C99" s="136">
        <f>Amnt_Deposited!I91</f>
        <v>0</v>
      </c>
      <c r="D99" s="497">
        <f>MCF!X98</f>
        <v>0.70499999999999996</v>
      </c>
      <c r="E99" s="167">
        <f t="shared" si="7"/>
        <v>0</v>
      </c>
      <c r="F99" s="101">
        <f t="shared" si="6"/>
        <v>0</v>
      </c>
      <c r="G99" s="101">
        <f t="shared" si="8"/>
        <v>0</v>
      </c>
      <c r="H99" s="101">
        <f t="shared" si="9"/>
        <v>0</v>
      </c>
      <c r="I99" s="101">
        <f t="shared" si="10"/>
        <v>0</v>
      </c>
      <c r="J99" s="137">
        <f t="shared" si="11"/>
        <v>0</v>
      </c>
    </row>
  </sheetData>
  <phoneticPr fontId="17" type="noConversion"/>
  <pageMargins left="0.75" right="0.75" top="1" bottom="1" header="0.5" footer="0.5"/>
  <headerFooter alignWithMargins="0"/>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2:J99"/>
  <sheetViews>
    <sheetView showGridLines="0" workbookViewId="0">
      <selection activeCell="N21" sqref="N21"/>
    </sheetView>
  </sheetViews>
  <sheetFormatPr defaultColWidth="11.44140625" defaultRowHeight="13.2"/>
  <cols>
    <col min="1" max="1" width="5.33203125" style="6" customWidth="1"/>
    <col min="2" max="2" width="9" style="6" customWidth="1"/>
    <col min="3" max="4" width="7.44140625" style="272" customWidth="1"/>
    <col min="5" max="6" width="10.6640625" style="6" customWidth="1"/>
    <col min="7" max="7" width="14.44140625" style="6" customWidth="1"/>
    <col min="8" max="8" width="12.6640625" style="6" customWidth="1"/>
    <col min="9" max="9" width="11.44140625" style="6" customWidth="1"/>
    <col min="10" max="10" width="10.33203125" style="6" customWidth="1"/>
    <col min="11" max="16384" width="11.44140625" style="6"/>
  </cols>
  <sheetData>
    <row r="2" spans="1:10" ht="15.6">
      <c r="B2" s="80" t="s">
        <v>228</v>
      </c>
      <c r="C2" s="275"/>
      <c r="D2" s="275"/>
      <c r="E2" s="276"/>
      <c r="F2" s="276"/>
      <c r="G2" s="276"/>
      <c r="H2" s="276"/>
      <c r="I2" s="276"/>
      <c r="J2" s="276"/>
    </row>
    <row r="3" spans="1:10" ht="15">
      <c r="A3" s="174" t="str">
        <f>IF(Select2=1,"This sheet applies only to the bulk waste option and can be deleted when the waste composition option has been chosen","")</f>
        <v/>
      </c>
      <c r="B3" s="274"/>
      <c r="C3" s="275"/>
      <c r="D3" s="275"/>
      <c r="E3" s="276"/>
      <c r="F3" s="276"/>
      <c r="G3" s="276"/>
      <c r="H3" s="276"/>
      <c r="I3" s="276"/>
      <c r="J3" s="276"/>
    </row>
    <row r="4" spans="1:10" ht="16.2" thickBot="1">
      <c r="A4" s="4"/>
      <c r="B4" s="277"/>
      <c r="C4" s="278"/>
      <c r="D4" s="278"/>
      <c r="E4" s="279"/>
      <c r="F4" s="279"/>
      <c r="G4" s="279"/>
      <c r="H4" s="279"/>
      <c r="I4" s="279"/>
      <c r="J4" s="279"/>
    </row>
    <row r="5" spans="1:10" ht="27" thickBot="1">
      <c r="A5" s="280"/>
      <c r="B5" s="281"/>
      <c r="C5" s="282"/>
      <c r="D5" s="266"/>
      <c r="E5" s="266"/>
      <c r="F5" s="266"/>
      <c r="G5" s="266"/>
      <c r="H5" s="150" t="s">
        <v>8</v>
      </c>
      <c r="J5" s="266"/>
    </row>
    <row r="6" spans="1:10">
      <c r="A6" s="280"/>
      <c r="B6" s="281"/>
      <c r="C6" s="143" t="s">
        <v>10</v>
      </c>
      <c r="D6" s="144"/>
      <c r="E6" s="144"/>
      <c r="F6" s="148"/>
      <c r="G6" s="155" t="s">
        <v>10</v>
      </c>
      <c r="H6" s="329">
        <f>Parameters!M20</f>
        <v>0.15</v>
      </c>
      <c r="J6" s="266"/>
    </row>
    <row r="7" spans="1:10" ht="13.8" thickBot="1">
      <c r="A7" s="280"/>
      <c r="B7" s="281"/>
      <c r="C7" s="308" t="s">
        <v>14</v>
      </c>
      <c r="D7" s="309"/>
      <c r="E7" s="309"/>
      <c r="F7" s="310"/>
      <c r="G7" s="311" t="s">
        <v>14</v>
      </c>
      <c r="H7" s="654">
        <f>DOCF</f>
        <v>0.5</v>
      </c>
      <c r="J7" s="266"/>
    </row>
    <row r="8" spans="1:10">
      <c r="C8" s="143" t="s">
        <v>226</v>
      </c>
      <c r="D8" s="144"/>
      <c r="E8" s="144"/>
      <c r="F8" s="148"/>
      <c r="G8" s="155" t="s">
        <v>222</v>
      </c>
      <c r="H8" s="149">
        <f>Parameters!M34</f>
        <v>0.09</v>
      </c>
      <c r="J8" s="81"/>
    </row>
    <row r="9" spans="1:10" ht="15.6">
      <c r="C9" s="303" t="s">
        <v>224</v>
      </c>
      <c r="D9" s="304"/>
      <c r="E9" s="304"/>
      <c r="F9" s="305"/>
      <c r="G9" s="306" t="s">
        <v>223</v>
      </c>
      <c r="H9" s="312">
        <f>LN(2)/$H$8</f>
        <v>7.7016353395549482</v>
      </c>
      <c r="J9" s="81"/>
    </row>
    <row r="10" spans="1:10">
      <c r="C10" s="145" t="s">
        <v>95</v>
      </c>
      <c r="D10" s="146"/>
      <c r="E10" s="146"/>
      <c r="F10" s="147"/>
      <c r="G10" s="156" t="s">
        <v>179</v>
      </c>
      <c r="H10" s="82">
        <f>EXP(-$H$8)</f>
        <v>0.91393118527122819</v>
      </c>
      <c r="J10" s="81"/>
    </row>
    <row r="11" spans="1:10">
      <c r="C11" s="145" t="s">
        <v>9</v>
      </c>
      <c r="D11" s="146"/>
      <c r="E11" s="146"/>
      <c r="F11" s="147"/>
      <c r="G11" s="156" t="s">
        <v>94</v>
      </c>
      <c r="H11" s="82">
        <f>Parameters!E40+7</f>
        <v>13</v>
      </c>
      <c r="J11" s="81"/>
    </row>
    <row r="12" spans="1:10" ht="13.8" thickBot="1">
      <c r="C12" s="267" t="s">
        <v>96</v>
      </c>
      <c r="D12" s="268"/>
      <c r="E12" s="268"/>
      <c r="F12" s="269"/>
      <c r="G12" s="270" t="s">
        <v>213</v>
      </c>
      <c r="H12" s="271">
        <f>EXP(-$H$8*((13-H11)/12))</f>
        <v>1</v>
      </c>
      <c r="J12" s="81"/>
    </row>
    <row r="13" spans="1:10" ht="13.8" thickBot="1">
      <c r="B13" s="83"/>
      <c r="C13" s="151" t="s">
        <v>97</v>
      </c>
      <c r="D13" s="152"/>
      <c r="E13" s="152"/>
      <c r="F13" s="153"/>
      <c r="G13" s="157" t="s">
        <v>93</v>
      </c>
      <c r="H13" s="154">
        <f>CH4_fraction</f>
        <v>0.5</v>
      </c>
      <c r="J13" s="81"/>
    </row>
    <row r="14" spans="1:10" ht="13.8" thickBot="1">
      <c r="E14" s="81"/>
      <c r="F14" s="81"/>
      <c r="G14" s="81"/>
      <c r="H14" s="81"/>
      <c r="I14" s="81"/>
      <c r="J14" s="81"/>
    </row>
    <row r="15" spans="1:10" ht="52.8">
      <c r="A15" s="84" t="s">
        <v>1</v>
      </c>
      <c r="B15" s="85" t="s">
        <v>11</v>
      </c>
      <c r="C15" s="86" t="s">
        <v>12</v>
      </c>
      <c r="D15" s="86" t="s">
        <v>10</v>
      </c>
      <c r="E15" s="87" t="s">
        <v>214</v>
      </c>
      <c r="F15" s="87" t="s">
        <v>215</v>
      </c>
      <c r="G15" s="87" t="s">
        <v>216</v>
      </c>
      <c r="H15" s="87" t="s">
        <v>217</v>
      </c>
      <c r="I15" s="87" t="s">
        <v>218</v>
      </c>
      <c r="J15" s="302" t="s">
        <v>219</v>
      </c>
    </row>
    <row r="16" spans="1:10" ht="23.4">
      <c r="A16" s="138"/>
      <c r="B16" s="139" t="s">
        <v>220</v>
      </c>
      <c r="C16" s="140" t="s">
        <v>12</v>
      </c>
      <c r="D16" s="140" t="s">
        <v>10</v>
      </c>
      <c r="E16" s="141" t="s">
        <v>221</v>
      </c>
      <c r="F16" s="141" t="s">
        <v>180</v>
      </c>
      <c r="G16" s="141" t="s">
        <v>181</v>
      </c>
      <c r="H16" s="141" t="s">
        <v>182</v>
      </c>
      <c r="I16" s="141" t="s">
        <v>225</v>
      </c>
      <c r="J16" s="142" t="s">
        <v>183</v>
      </c>
    </row>
    <row r="17" spans="1:10" ht="13.8" thickBot="1">
      <c r="A17" s="16"/>
      <c r="B17" s="17" t="s">
        <v>17</v>
      </c>
      <c r="C17" s="88" t="s">
        <v>23</v>
      </c>
      <c r="D17" s="88" t="s">
        <v>23</v>
      </c>
      <c r="E17" s="89" t="s">
        <v>17</v>
      </c>
      <c r="F17" s="89" t="s">
        <v>17</v>
      </c>
      <c r="G17" s="89" t="s">
        <v>17</v>
      </c>
      <c r="H17" s="89" t="s">
        <v>17</v>
      </c>
      <c r="I17" s="89" t="s">
        <v>17</v>
      </c>
      <c r="J17" s="90" t="s">
        <v>17</v>
      </c>
    </row>
    <row r="18" spans="1:10" ht="13.8" thickBot="1">
      <c r="A18" s="19"/>
      <c r="B18" s="91"/>
      <c r="C18" s="92"/>
      <c r="D18" s="318"/>
      <c r="E18" s="168"/>
      <c r="F18" s="93"/>
      <c r="G18" s="93"/>
      <c r="H18" s="93"/>
      <c r="I18" s="93"/>
      <c r="J18" s="94"/>
    </row>
    <row r="19" spans="1:10">
      <c r="A19" s="130">
        <f>Amnt_Deposited!B11</f>
        <v>1950</v>
      </c>
      <c r="B19" s="133">
        <f>Amnt_Deposited!J11</f>
        <v>1104</v>
      </c>
      <c r="C19" s="96">
        <f>MCF!X18</f>
        <v>0.70499999999999996</v>
      </c>
      <c r="D19" s="501">
        <f>$H$6</f>
        <v>0.15</v>
      </c>
      <c r="E19" s="167">
        <f>B19*D19*$H$7*C19</f>
        <v>58.373999999999995</v>
      </c>
      <c r="F19" s="95">
        <f t="shared" ref="F19:F50" si="0">E19*$H$12</f>
        <v>58.373999999999995</v>
      </c>
      <c r="G19" s="95">
        <f t="shared" ref="G19:G50" si="1">E19*(1-$H$12)</f>
        <v>0</v>
      </c>
      <c r="H19" s="95">
        <f t="shared" ref="H19:H50" si="2">F19+H18*$H$10</f>
        <v>58.373999999999995</v>
      </c>
      <c r="I19" s="95">
        <f t="shared" ref="I19:I50" si="3">H18*(1-$H$10)+G19</f>
        <v>0</v>
      </c>
      <c r="J19" s="97">
        <f>I19*CH4_fraction*conv</f>
        <v>0</v>
      </c>
    </row>
    <row r="20" spans="1:10">
      <c r="A20" s="131">
        <f>Amnt_Deposited!B12</f>
        <v>1951</v>
      </c>
      <c r="B20" s="134">
        <f>Amnt_Deposited!J12</f>
        <v>1104</v>
      </c>
      <c r="C20" s="98">
        <f>MCF!X19</f>
        <v>0.70499999999999996</v>
      </c>
      <c r="D20" s="501">
        <f t="shared" ref="D20:D83" si="4">$H$6</f>
        <v>0.15</v>
      </c>
      <c r="E20" s="167">
        <f t="shared" ref="E20:E83" si="5">B20*D20*$H$7*C20</f>
        <v>58.373999999999995</v>
      </c>
      <c r="F20" s="100">
        <f t="shared" si="0"/>
        <v>58.373999999999995</v>
      </c>
      <c r="G20" s="100">
        <f t="shared" si="1"/>
        <v>0</v>
      </c>
      <c r="H20" s="100">
        <f t="shared" si="2"/>
        <v>111.72381900902266</v>
      </c>
      <c r="I20" s="100">
        <f t="shared" si="3"/>
        <v>5.0241809909773254</v>
      </c>
      <c r="J20" s="135">
        <f>I20*CH4_fraction*conv</f>
        <v>3.3494539939848833</v>
      </c>
    </row>
    <row r="21" spans="1:10">
      <c r="A21" s="131">
        <f>Amnt_Deposited!B13</f>
        <v>1952</v>
      </c>
      <c r="B21" s="134">
        <f>Amnt_Deposited!J13</f>
        <v>1104</v>
      </c>
      <c r="C21" s="98">
        <f>MCF!X20</f>
        <v>0.70499999999999996</v>
      </c>
      <c r="D21" s="501">
        <f t="shared" si="4"/>
        <v>0.15</v>
      </c>
      <c r="E21" s="167">
        <f t="shared" si="5"/>
        <v>58.373999999999995</v>
      </c>
      <c r="F21" s="100">
        <f t="shared" si="0"/>
        <v>58.373999999999995</v>
      </c>
      <c r="G21" s="100">
        <f t="shared" si="1"/>
        <v>0</v>
      </c>
      <c r="H21" s="100">
        <f t="shared" si="2"/>
        <v>160.48188232994426</v>
      </c>
      <c r="I21" s="100">
        <f t="shared" si="3"/>
        <v>9.6159366790784055</v>
      </c>
      <c r="J21" s="135">
        <f t="shared" ref="J21:J84" si="6">I21*CH4_fraction*conv</f>
        <v>6.4106244527189364</v>
      </c>
    </row>
    <row r="22" spans="1:10">
      <c r="A22" s="131">
        <f>Amnt_Deposited!B14</f>
        <v>1953</v>
      </c>
      <c r="B22" s="134">
        <f>Amnt_Deposited!J14</f>
        <v>1104</v>
      </c>
      <c r="C22" s="98">
        <f>MCF!X21</f>
        <v>0.70499999999999996</v>
      </c>
      <c r="D22" s="501">
        <f t="shared" si="4"/>
        <v>0.15</v>
      </c>
      <c r="E22" s="167">
        <f t="shared" si="5"/>
        <v>58.373999999999995</v>
      </c>
      <c r="F22" s="100">
        <f t="shared" si="0"/>
        <v>58.373999999999995</v>
      </c>
      <c r="G22" s="100">
        <f t="shared" si="1"/>
        <v>0</v>
      </c>
      <c r="H22" s="100">
        <f t="shared" si="2"/>
        <v>205.04339693236372</v>
      </c>
      <c r="I22" s="100">
        <f t="shared" si="3"/>
        <v>13.812485397580531</v>
      </c>
      <c r="J22" s="135">
        <f t="shared" si="6"/>
        <v>9.20832359838702</v>
      </c>
    </row>
    <row r="23" spans="1:10">
      <c r="A23" s="131">
        <f>Amnt_Deposited!B15</f>
        <v>1954</v>
      </c>
      <c r="B23" s="134">
        <f>Amnt_Deposited!J15</f>
        <v>1104</v>
      </c>
      <c r="C23" s="98">
        <f>MCF!X22</f>
        <v>0.70499999999999996</v>
      </c>
      <c r="D23" s="501">
        <f t="shared" si="4"/>
        <v>0.15</v>
      </c>
      <c r="E23" s="167">
        <f t="shared" si="5"/>
        <v>58.373999999999995</v>
      </c>
      <c r="F23" s="100">
        <f t="shared" si="0"/>
        <v>58.373999999999995</v>
      </c>
      <c r="G23" s="100">
        <f t="shared" si="1"/>
        <v>0</v>
      </c>
      <c r="H23" s="100">
        <f t="shared" si="2"/>
        <v>245.76955479043409</v>
      </c>
      <c r="I23" s="100">
        <f t="shared" si="3"/>
        <v>17.647842141929633</v>
      </c>
      <c r="J23" s="135">
        <f t="shared" si="6"/>
        <v>11.765228094619754</v>
      </c>
    </row>
    <row r="24" spans="1:10">
      <c r="A24" s="131">
        <f>Amnt_Deposited!B16</f>
        <v>1955</v>
      </c>
      <c r="B24" s="134">
        <f>Amnt_Deposited!J16</f>
        <v>1104</v>
      </c>
      <c r="C24" s="98">
        <f>MCF!X23</f>
        <v>0.70499999999999996</v>
      </c>
      <c r="D24" s="501">
        <f t="shared" si="4"/>
        <v>0.15</v>
      </c>
      <c r="E24" s="167">
        <f t="shared" si="5"/>
        <v>58.373999999999995</v>
      </c>
      <c r="F24" s="100">
        <f t="shared" si="0"/>
        <v>58.373999999999995</v>
      </c>
      <c r="G24" s="100">
        <f t="shared" si="1"/>
        <v>0</v>
      </c>
      <c r="H24" s="100">
        <f t="shared" si="2"/>
        <v>282.99046051320352</v>
      </c>
      <c r="I24" s="100">
        <f t="shared" si="3"/>
        <v>21.153094277230604</v>
      </c>
      <c r="J24" s="135">
        <f t="shared" si="6"/>
        <v>14.102062851487069</v>
      </c>
    </row>
    <row r="25" spans="1:10">
      <c r="A25" s="131">
        <f>Amnt_Deposited!B17</f>
        <v>1956</v>
      </c>
      <c r="B25" s="134">
        <f>Amnt_Deposited!J17</f>
        <v>1104</v>
      </c>
      <c r="C25" s="98">
        <f>MCF!X24</f>
        <v>0.70499999999999996</v>
      </c>
      <c r="D25" s="501">
        <f t="shared" si="4"/>
        <v>0.15</v>
      </c>
      <c r="E25" s="167">
        <f t="shared" si="5"/>
        <v>58.373999999999995</v>
      </c>
      <c r="F25" s="100">
        <f t="shared" si="0"/>
        <v>58.373999999999995</v>
      </c>
      <c r="G25" s="100">
        <f t="shared" si="1"/>
        <v>0</v>
      </c>
      <c r="H25" s="100">
        <f t="shared" si="2"/>
        <v>317.00780699728273</v>
      </c>
      <c r="I25" s="100">
        <f t="shared" si="3"/>
        <v>24.35665351592073</v>
      </c>
      <c r="J25" s="135">
        <f t="shared" si="6"/>
        <v>16.237769010613817</v>
      </c>
    </row>
    <row r="26" spans="1:10">
      <c r="A26" s="131">
        <f>Amnt_Deposited!B18</f>
        <v>1957</v>
      </c>
      <c r="B26" s="134">
        <f>Amnt_Deposited!J18</f>
        <v>1104</v>
      </c>
      <c r="C26" s="98">
        <f>MCF!X25</f>
        <v>0.70499999999999996</v>
      </c>
      <c r="D26" s="501">
        <f t="shared" si="4"/>
        <v>0.15</v>
      </c>
      <c r="E26" s="167">
        <f t="shared" si="5"/>
        <v>58.373999999999995</v>
      </c>
      <c r="F26" s="100">
        <f t="shared" si="0"/>
        <v>58.373999999999995</v>
      </c>
      <c r="G26" s="100">
        <f t="shared" si="1"/>
        <v>0</v>
      </c>
      <c r="H26" s="100">
        <f t="shared" si="2"/>
        <v>348.09732078925936</v>
      </c>
      <c r="I26" s="100">
        <f t="shared" si="3"/>
        <v>27.284486208023381</v>
      </c>
      <c r="J26" s="135">
        <f t="shared" si="6"/>
        <v>18.189657472015586</v>
      </c>
    </row>
    <row r="27" spans="1:10">
      <c r="A27" s="131">
        <f>Amnt_Deposited!B19</f>
        <v>1958</v>
      </c>
      <c r="B27" s="134">
        <f>Amnt_Deposited!J19</f>
        <v>1104</v>
      </c>
      <c r="C27" s="98">
        <f>MCF!X26</f>
        <v>0.70499999999999996</v>
      </c>
      <c r="D27" s="501">
        <f t="shared" si="4"/>
        <v>0.15</v>
      </c>
      <c r="E27" s="167">
        <f t="shared" si="5"/>
        <v>58.373999999999995</v>
      </c>
      <c r="F27" s="100">
        <f t="shared" si="0"/>
        <v>58.373999999999995</v>
      </c>
      <c r="G27" s="100">
        <f t="shared" si="1"/>
        <v>0</v>
      </c>
      <c r="H27" s="100">
        <f t="shared" si="2"/>
        <v>376.51099697866675</v>
      </c>
      <c r="I27" s="100">
        <f t="shared" si="3"/>
        <v>29.960323810592612</v>
      </c>
      <c r="J27" s="135">
        <f t="shared" si="6"/>
        <v>19.97354920706174</v>
      </c>
    </row>
    <row r="28" spans="1:10">
      <c r="A28" s="131">
        <f>Amnt_Deposited!B20</f>
        <v>1959</v>
      </c>
      <c r="B28" s="134">
        <f>Amnt_Deposited!J20</f>
        <v>1104</v>
      </c>
      <c r="C28" s="98">
        <f>MCF!X27</f>
        <v>0.70499999999999996</v>
      </c>
      <c r="D28" s="501">
        <f t="shared" si="4"/>
        <v>0.15</v>
      </c>
      <c r="E28" s="167">
        <f t="shared" si="5"/>
        <v>58.373999999999995</v>
      </c>
      <c r="F28" s="100">
        <f t="shared" si="0"/>
        <v>58.373999999999995</v>
      </c>
      <c r="G28" s="100">
        <f t="shared" si="1"/>
        <v>0</v>
      </c>
      <c r="H28" s="100">
        <f t="shared" si="2"/>
        <v>402.47914173636468</v>
      </c>
      <c r="I28" s="100">
        <f t="shared" si="3"/>
        <v>32.405855242302032</v>
      </c>
      <c r="J28" s="135">
        <f t="shared" si="6"/>
        <v>21.603903494868021</v>
      </c>
    </row>
    <row r="29" spans="1:10">
      <c r="A29" s="131">
        <f>Amnt_Deposited!B21</f>
        <v>1960</v>
      </c>
      <c r="B29" s="134">
        <f>Amnt_Deposited!J21</f>
        <v>1104</v>
      </c>
      <c r="C29" s="98">
        <f>MCF!X28</f>
        <v>0.70499999999999996</v>
      </c>
      <c r="D29" s="501">
        <f t="shared" si="4"/>
        <v>0.15</v>
      </c>
      <c r="E29" s="167">
        <f t="shared" si="5"/>
        <v>58.373999999999995</v>
      </c>
      <c r="F29" s="100">
        <f t="shared" si="0"/>
        <v>58.373999999999995</v>
      </c>
      <c r="G29" s="100">
        <f t="shared" si="1"/>
        <v>0</v>
      </c>
      <c r="H29" s="100">
        <f t="shared" si="2"/>
        <v>426.21223905406237</v>
      </c>
      <c r="I29" s="100">
        <f t="shared" si="3"/>
        <v>34.640902682302261</v>
      </c>
      <c r="J29" s="135">
        <f t="shared" si="6"/>
        <v>23.093935121534841</v>
      </c>
    </row>
    <row r="30" spans="1:10">
      <c r="A30" s="131">
        <f>Amnt_Deposited!B22</f>
        <v>1961</v>
      </c>
      <c r="B30" s="134">
        <f>Amnt_Deposited!J22</f>
        <v>1104</v>
      </c>
      <c r="C30" s="98">
        <f>MCF!X29</f>
        <v>0.70499999999999996</v>
      </c>
      <c r="D30" s="501">
        <f t="shared" si="4"/>
        <v>0.15</v>
      </c>
      <c r="E30" s="167">
        <f t="shared" si="5"/>
        <v>58.373999999999995</v>
      </c>
      <c r="F30" s="100">
        <f t="shared" si="0"/>
        <v>58.373999999999995</v>
      </c>
      <c r="G30" s="100">
        <f t="shared" si="1"/>
        <v>0</v>
      </c>
      <c r="H30" s="100">
        <f t="shared" si="2"/>
        <v>447.9026568157833</v>
      </c>
      <c r="I30" s="100">
        <f t="shared" si="3"/>
        <v>36.683582238279094</v>
      </c>
      <c r="J30" s="135">
        <f t="shared" si="6"/>
        <v>24.455721492186061</v>
      </c>
    </row>
    <row r="31" spans="1:10">
      <c r="A31" s="131">
        <f>Amnt_Deposited!B23</f>
        <v>1962</v>
      </c>
      <c r="B31" s="134">
        <f>Amnt_Deposited!J23</f>
        <v>1104</v>
      </c>
      <c r="C31" s="98">
        <f>MCF!X30</f>
        <v>0.70499999999999996</v>
      </c>
      <c r="D31" s="501">
        <f t="shared" si="4"/>
        <v>0.15</v>
      </c>
      <c r="E31" s="167">
        <f t="shared" si="5"/>
        <v>58.373999999999995</v>
      </c>
      <c r="F31" s="100">
        <f t="shared" si="0"/>
        <v>58.373999999999995</v>
      </c>
      <c r="G31" s="100">
        <f t="shared" si="1"/>
        <v>0</v>
      </c>
      <c r="H31" s="100">
        <f t="shared" si="2"/>
        <v>467.726206029781</v>
      </c>
      <c r="I31" s="100">
        <f t="shared" si="3"/>
        <v>38.550450786002315</v>
      </c>
      <c r="J31" s="135">
        <f t="shared" si="6"/>
        <v>25.700300524001541</v>
      </c>
    </row>
    <row r="32" spans="1:10">
      <c r="A32" s="131">
        <f>Amnt_Deposited!B24</f>
        <v>1963</v>
      </c>
      <c r="B32" s="134">
        <f>Amnt_Deposited!J24</f>
        <v>1104</v>
      </c>
      <c r="C32" s="98">
        <f>MCF!X31</f>
        <v>0.70499999999999996</v>
      </c>
      <c r="D32" s="501">
        <f t="shared" si="4"/>
        <v>0.15</v>
      </c>
      <c r="E32" s="167">
        <f t="shared" si="5"/>
        <v>58.373999999999995</v>
      </c>
      <c r="F32" s="100">
        <f t="shared" si="0"/>
        <v>58.373999999999995</v>
      </c>
      <c r="G32" s="100">
        <f t="shared" si="1"/>
        <v>0</v>
      </c>
      <c r="H32" s="100">
        <f t="shared" si="2"/>
        <v>485.84356585921239</v>
      </c>
      <c r="I32" s="100">
        <f t="shared" si="3"/>
        <v>40.256640170568573</v>
      </c>
      <c r="J32" s="135">
        <f t="shared" si="6"/>
        <v>26.837760113712381</v>
      </c>
    </row>
    <row r="33" spans="1:10">
      <c r="A33" s="131">
        <f>Amnt_Deposited!B25</f>
        <v>1964</v>
      </c>
      <c r="B33" s="134">
        <f>Amnt_Deposited!J25</f>
        <v>1104</v>
      </c>
      <c r="C33" s="98">
        <f>MCF!X32</f>
        <v>0.70499999999999996</v>
      </c>
      <c r="D33" s="501">
        <f t="shared" si="4"/>
        <v>0.15</v>
      </c>
      <c r="E33" s="167">
        <f t="shared" si="5"/>
        <v>58.373999999999995</v>
      </c>
      <c r="F33" s="100">
        <f t="shared" si="0"/>
        <v>58.373999999999995</v>
      </c>
      <c r="G33" s="100">
        <f t="shared" si="1"/>
        <v>0</v>
      </c>
      <c r="H33" s="100">
        <f t="shared" si="2"/>
        <v>502.40158600210998</v>
      </c>
      <c r="I33" s="100">
        <f t="shared" si="3"/>
        <v>41.815979857102398</v>
      </c>
      <c r="J33" s="135">
        <f t="shared" si="6"/>
        <v>27.877319904734932</v>
      </c>
    </row>
    <row r="34" spans="1:10">
      <c r="A34" s="131">
        <f>Amnt_Deposited!B26</f>
        <v>1965</v>
      </c>
      <c r="B34" s="134">
        <f>Amnt_Deposited!J26</f>
        <v>1104</v>
      </c>
      <c r="C34" s="98">
        <f>MCF!X33</f>
        <v>0.70499999999999996</v>
      </c>
      <c r="D34" s="501">
        <f t="shared" si="4"/>
        <v>0.15</v>
      </c>
      <c r="E34" s="167">
        <f t="shared" si="5"/>
        <v>58.373999999999995</v>
      </c>
      <c r="F34" s="100">
        <f t="shared" si="0"/>
        <v>58.373999999999995</v>
      </c>
      <c r="G34" s="100">
        <f t="shared" si="1"/>
        <v>0</v>
      </c>
      <c r="H34" s="100">
        <f t="shared" si="2"/>
        <v>517.53447697705326</v>
      </c>
      <c r="I34" s="100">
        <f t="shared" si="3"/>
        <v>43.241109025056723</v>
      </c>
      <c r="J34" s="135">
        <f t="shared" si="6"/>
        <v>28.827406016704479</v>
      </c>
    </row>
    <row r="35" spans="1:10">
      <c r="A35" s="131">
        <f>Amnt_Deposited!B27</f>
        <v>1966</v>
      </c>
      <c r="B35" s="134">
        <f>Amnt_Deposited!J27</f>
        <v>1104</v>
      </c>
      <c r="C35" s="98">
        <f>MCF!X34</f>
        <v>0.70499999999999996</v>
      </c>
      <c r="D35" s="501">
        <f t="shared" si="4"/>
        <v>0.15</v>
      </c>
      <c r="E35" s="167">
        <f t="shared" si="5"/>
        <v>58.373999999999995</v>
      </c>
      <c r="F35" s="100">
        <f t="shared" si="0"/>
        <v>58.373999999999995</v>
      </c>
      <c r="G35" s="100">
        <f t="shared" si="1"/>
        <v>0</v>
      </c>
      <c r="H35" s="100">
        <f t="shared" si="2"/>
        <v>531.36489796236344</v>
      </c>
      <c r="I35" s="100">
        <f t="shared" si="3"/>
        <v>44.543579014689819</v>
      </c>
      <c r="J35" s="135">
        <f t="shared" si="6"/>
        <v>29.695719343126544</v>
      </c>
    </row>
    <row r="36" spans="1:10">
      <c r="A36" s="131">
        <f>Amnt_Deposited!B28</f>
        <v>1967</v>
      </c>
      <c r="B36" s="134">
        <f>Amnt_Deposited!J28</f>
        <v>1104</v>
      </c>
      <c r="C36" s="98">
        <f>MCF!X35</f>
        <v>0.70499999999999996</v>
      </c>
      <c r="D36" s="501">
        <f t="shared" si="4"/>
        <v>0.15</v>
      </c>
      <c r="E36" s="167">
        <f t="shared" si="5"/>
        <v>58.373999999999995</v>
      </c>
      <c r="F36" s="100">
        <f t="shared" si="0"/>
        <v>58.373999999999995</v>
      </c>
      <c r="G36" s="100">
        <f t="shared" si="1"/>
        <v>0</v>
      </c>
      <c r="H36" s="100">
        <f t="shared" si="2"/>
        <v>544.00495100626802</v>
      </c>
      <c r="I36" s="100">
        <f t="shared" si="3"/>
        <v>45.733946956095402</v>
      </c>
      <c r="J36" s="135">
        <f t="shared" si="6"/>
        <v>30.489297970730266</v>
      </c>
    </row>
    <row r="37" spans="1:10">
      <c r="A37" s="131">
        <f>Amnt_Deposited!B29</f>
        <v>1968</v>
      </c>
      <c r="B37" s="134">
        <f>Amnt_Deposited!J29</f>
        <v>1104</v>
      </c>
      <c r="C37" s="98">
        <f>MCF!X36</f>
        <v>0.70499999999999996</v>
      </c>
      <c r="D37" s="501">
        <f t="shared" si="4"/>
        <v>0.15</v>
      </c>
      <c r="E37" s="167">
        <f t="shared" si="5"/>
        <v>58.373999999999995</v>
      </c>
      <c r="F37" s="100">
        <f t="shared" si="0"/>
        <v>58.373999999999995</v>
      </c>
      <c r="G37" s="100">
        <f t="shared" si="1"/>
        <v>0</v>
      </c>
      <c r="H37" s="100">
        <f t="shared" si="2"/>
        <v>555.55708966657494</v>
      </c>
      <c r="I37" s="100">
        <f t="shared" si="3"/>
        <v>46.821861339693072</v>
      </c>
      <c r="J37" s="135">
        <f t="shared" si="6"/>
        <v>31.214574226462048</v>
      </c>
    </row>
    <row r="38" spans="1:10">
      <c r="A38" s="131">
        <f>Amnt_Deposited!B30</f>
        <v>1969</v>
      </c>
      <c r="B38" s="134">
        <f>Amnt_Deposited!J30</f>
        <v>1104</v>
      </c>
      <c r="C38" s="98">
        <f>MCF!X37</f>
        <v>0.70499999999999996</v>
      </c>
      <c r="D38" s="501">
        <f t="shared" si="4"/>
        <v>0.15</v>
      </c>
      <c r="E38" s="167">
        <f t="shared" si="5"/>
        <v>58.373999999999995</v>
      </c>
      <c r="F38" s="100">
        <f t="shared" si="0"/>
        <v>58.373999999999995</v>
      </c>
      <c r="G38" s="100">
        <f t="shared" si="1"/>
        <v>0</v>
      </c>
      <c r="H38" s="100">
        <f t="shared" si="2"/>
        <v>566.11494944480683</v>
      </c>
      <c r="I38" s="100">
        <f t="shared" si="3"/>
        <v>47.816140221768109</v>
      </c>
      <c r="J38" s="135">
        <f t="shared" si="6"/>
        <v>31.87742681451207</v>
      </c>
    </row>
    <row r="39" spans="1:10">
      <c r="A39" s="131">
        <f>Amnt_Deposited!B31</f>
        <v>1970</v>
      </c>
      <c r="B39" s="134">
        <f>Amnt_Deposited!J31</f>
        <v>1104</v>
      </c>
      <c r="C39" s="98">
        <f>MCF!X38</f>
        <v>0.70499999999999996</v>
      </c>
      <c r="D39" s="501">
        <f t="shared" si="4"/>
        <v>0.15</v>
      </c>
      <c r="E39" s="167">
        <f t="shared" si="5"/>
        <v>58.373999999999995</v>
      </c>
      <c r="F39" s="100">
        <f t="shared" si="0"/>
        <v>58.373999999999995</v>
      </c>
      <c r="G39" s="100">
        <f t="shared" si="1"/>
        <v>0</v>
      </c>
      <c r="H39" s="100">
        <f t="shared" si="2"/>
        <v>575.76410674585372</v>
      </c>
      <c r="I39" s="100">
        <f t="shared" si="3"/>
        <v>48.724842698953104</v>
      </c>
      <c r="J39" s="135">
        <f t="shared" si="6"/>
        <v>32.483228465968736</v>
      </c>
    </row>
    <row r="40" spans="1:10">
      <c r="A40" s="131">
        <f>Amnt_Deposited!B32</f>
        <v>1971</v>
      </c>
      <c r="B40" s="134">
        <f>Amnt_Deposited!J32</f>
        <v>1104</v>
      </c>
      <c r="C40" s="98">
        <f>MCF!X39</f>
        <v>0.70499999999999996</v>
      </c>
      <c r="D40" s="501">
        <f t="shared" si="4"/>
        <v>0.15</v>
      </c>
      <c r="E40" s="167">
        <f t="shared" si="5"/>
        <v>58.373999999999995</v>
      </c>
      <c r="F40" s="100">
        <f t="shared" si="0"/>
        <v>58.373999999999995</v>
      </c>
      <c r="G40" s="100">
        <f t="shared" si="1"/>
        <v>0</v>
      </c>
      <c r="H40" s="100">
        <f t="shared" si="2"/>
        <v>584.58277251486811</v>
      </c>
      <c r="I40" s="100">
        <f t="shared" si="3"/>
        <v>49.555334230985679</v>
      </c>
      <c r="J40" s="135">
        <f t="shared" si="6"/>
        <v>33.036889487323783</v>
      </c>
    </row>
    <row r="41" spans="1:10">
      <c r="A41" s="131">
        <f>Amnt_Deposited!B33</f>
        <v>1972</v>
      </c>
      <c r="B41" s="134">
        <f>Amnt_Deposited!J33</f>
        <v>1104</v>
      </c>
      <c r="C41" s="98">
        <f>MCF!X40</f>
        <v>0.70499999999999996</v>
      </c>
      <c r="D41" s="501">
        <f t="shared" si="4"/>
        <v>0.15</v>
      </c>
      <c r="E41" s="167">
        <f t="shared" si="5"/>
        <v>58.373999999999995</v>
      </c>
      <c r="F41" s="100">
        <f t="shared" si="0"/>
        <v>58.373999999999995</v>
      </c>
      <c r="G41" s="100">
        <f t="shared" si="1"/>
        <v>0</v>
      </c>
      <c r="H41" s="100">
        <f t="shared" si="2"/>
        <v>592.64242617365414</v>
      </c>
      <c r="I41" s="100">
        <f t="shared" si="3"/>
        <v>50.314346341213941</v>
      </c>
      <c r="J41" s="135">
        <f t="shared" si="6"/>
        <v>33.542897560809294</v>
      </c>
    </row>
    <row r="42" spans="1:10">
      <c r="A42" s="131">
        <f>Amnt_Deposited!B34</f>
        <v>1973</v>
      </c>
      <c r="B42" s="134">
        <f>Amnt_Deposited!J34</f>
        <v>1104</v>
      </c>
      <c r="C42" s="98">
        <f>MCF!X41</f>
        <v>0.70499999999999996</v>
      </c>
      <c r="D42" s="501">
        <f t="shared" si="4"/>
        <v>0.15</v>
      </c>
      <c r="E42" s="167">
        <f t="shared" si="5"/>
        <v>58.373999999999995</v>
      </c>
      <c r="F42" s="100">
        <f t="shared" si="0"/>
        <v>58.373999999999995</v>
      </c>
      <c r="G42" s="100">
        <f t="shared" si="1"/>
        <v>0</v>
      </c>
      <c r="H42" s="100">
        <f t="shared" si="2"/>
        <v>600.00839499490405</v>
      </c>
      <c r="I42" s="100">
        <f t="shared" si="3"/>
        <v>51.008031178750066</v>
      </c>
      <c r="J42" s="135">
        <f t="shared" si="6"/>
        <v>34.005354119166711</v>
      </c>
    </row>
    <row r="43" spans="1:10">
      <c r="A43" s="131">
        <f>Amnt_Deposited!B35</f>
        <v>1974</v>
      </c>
      <c r="B43" s="134">
        <f>Amnt_Deposited!J35</f>
        <v>1104</v>
      </c>
      <c r="C43" s="98">
        <f>MCF!X42</f>
        <v>0.70499999999999996</v>
      </c>
      <c r="D43" s="501">
        <f t="shared" si="4"/>
        <v>0.15</v>
      </c>
      <c r="E43" s="167">
        <f t="shared" si="5"/>
        <v>58.373999999999995</v>
      </c>
      <c r="F43" s="100">
        <f t="shared" si="0"/>
        <v>58.373999999999995</v>
      </c>
      <c r="G43" s="100">
        <f t="shared" si="1"/>
        <v>0</v>
      </c>
      <c r="H43" s="100">
        <f t="shared" si="2"/>
        <v>606.74038361037992</v>
      </c>
      <c r="I43" s="100">
        <f t="shared" si="3"/>
        <v>51.642011384524132</v>
      </c>
      <c r="J43" s="135">
        <f t="shared" si="6"/>
        <v>34.42800758968275</v>
      </c>
    </row>
    <row r="44" spans="1:10">
      <c r="A44" s="131">
        <f>Amnt_Deposited!B36</f>
        <v>1975</v>
      </c>
      <c r="B44" s="134">
        <f>Amnt_Deposited!J36</f>
        <v>1104</v>
      </c>
      <c r="C44" s="98">
        <f>MCF!X43</f>
        <v>0.70499999999999996</v>
      </c>
      <c r="D44" s="501">
        <f t="shared" si="4"/>
        <v>0.15</v>
      </c>
      <c r="E44" s="167">
        <f t="shared" si="5"/>
        <v>58.373999999999995</v>
      </c>
      <c r="F44" s="100">
        <f t="shared" si="0"/>
        <v>58.373999999999995</v>
      </c>
      <c r="G44" s="100">
        <f t="shared" si="1"/>
        <v>0</v>
      </c>
      <c r="H44" s="100">
        <f t="shared" si="2"/>
        <v>612.89295794495422</v>
      </c>
      <c r="I44" s="100">
        <f t="shared" si="3"/>
        <v>52.221425665425727</v>
      </c>
      <c r="J44" s="135">
        <f t="shared" si="6"/>
        <v>34.814283776950482</v>
      </c>
    </row>
    <row r="45" spans="1:10">
      <c r="A45" s="131">
        <f>Amnt_Deposited!B37</f>
        <v>1976</v>
      </c>
      <c r="B45" s="134">
        <f>Amnt_Deposited!J37</f>
        <v>1104</v>
      </c>
      <c r="C45" s="98">
        <f>MCF!X44</f>
        <v>0.70499999999999996</v>
      </c>
      <c r="D45" s="501">
        <f t="shared" si="4"/>
        <v>0.15</v>
      </c>
      <c r="E45" s="167">
        <f t="shared" si="5"/>
        <v>58.373999999999995</v>
      </c>
      <c r="F45" s="100">
        <f t="shared" si="0"/>
        <v>58.373999999999995</v>
      </c>
      <c r="G45" s="100">
        <f t="shared" si="1"/>
        <v>0</v>
      </c>
      <c r="H45" s="100">
        <f t="shared" si="2"/>
        <v>618.51598749902109</v>
      </c>
      <c r="I45" s="100">
        <f t="shared" si="3"/>
        <v>52.750970445933199</v>
      </c>
      <c r="J45" s="135">
        <f t="shared" si="6"/>
        <v>35.167313630622132</v>
      </c>
    </row>
    <row r="46" spans="1:10">
      <c r="A46" s="131">
        <f>Amnt_Deposited!B38</f>
        <v>1977</v>
      </c>
      <c r="B46" s="134">
        <f>Amnt_Deposited!J38</f>
        <v>1104</v>
      </c>
      <c r="C46" s="98">
        <f>MCF!X45</f>
        <v>0.70499999999999996</v>
      </c>
      <c r="D46" s="501">
        <f t="shared" si="4"/>
        <v>0.15</v>
      </c>
      <c r="E46" s="167">
        <f t="shared" si="5"/>
        <v>58.373999999999995</v>
      </c>
      <c r="F46" s="100">
        <f t="shared" si="0"/>
        <v>58.373999999999995</v>
      </c>
      <c r="G46" s="100">
        <f t="shared" si="1"/>
        <v>0</v>
      </c>
      <c r="H46" s="100">
        <f t="shared" si="2"/>
        <v>623.65504956418454</v>
      </c>
      <c r="I46" s="100">
        <f t="shared" si="3"/>
        <v>53.234937934836587</v>
      </c>
      <c r="J46" s="135">
        <f t="shared" si="6"/>
        <v>35.489958623224389</v>
      </c>
    </row>
    <row r="47" spans="1:10">
      <c r="A47" s="131">
        <f>Amnt_Deposited!B39</f>
        <v>1978</v>
      </c>
      <c r="B47" s="134">
        <f>Amnt_Deposited!J39</f>
        <v>1104</v>
      </c>
      <c r="C47" s="98">
        <f>MCF!X46</f>
        <v>0.70499999999999996</v>
      </c>
      <c r="D47" s="501">
        <f t="shared" si="4"/>
        <v>0.15</v>
      </c>
      <c r="E47" s="167">
        <f t="shared" si="5"/>
        <v>58.373999999999995</v>
      </c>
      <c r="F47" s="100">
        <f t="shared" si="0"/>
        <v>58.373999999999995</v>
      </c>
      <c r="G47" s="100">
        <f t="shared" si="1"/>
        <v>0</v>
      </c>
      <c r="H47" s="100">
        <f t="shared" si="2"/>
        <v>628.35179864858173</v>
      </c>
      <c r="I47" s="100">
        <f t="shared" si="3"/>
        <v>53.677250915602805</v>
      </c>
      <c r="J47" s="135">
        <f t="shared" si="6"/>
        <v>35.784833943735201</v>
      </c>
    </row>
    <row r="48" spans="1:10">
      <c r="A48" s="131">
        <f>Amnt_Deposited!B40</f>
        <v>1979</v>
      </c>
      <c r="B48" s="134">
        <f>Amnt_Deposited!J40</f>
        <v>1104</v>
      </c>
      <c r="C48" s="98">
        <f>MCF!X47</f>
        <v>0.70499999999999996</v>
      </c>
      <c r="D48" s="501">
        <f t="shared" si="4"/>
        <v>0.15</v>
      </c>
      <c r="E48" s="167">
        <f t="shared" si="5"/>
        <v>58.373999999999995</v>
      </c>
      <c r="F48" s="100">
        <f t="shared" si="0"/>
        <v>58.373999999999995</v>
      </c>
      <c r="G48" s="100">
        <f t="shared" si="1"/>
        <v>0</v>
      </c>
      <c r="H48" s="100">
        <f t="shared" si="2"/>
        <v>632.64430410620639</v>
      </c>
      <c r="I48" s="100">
        <f t="shared" si="3"/>
        <v>54.08149454237531</v>
      </c>
      <c r="J48" s="135">
        <f t="shared" si="6"/>
        <v>36.054329694916873</v>
      </c>
    </row>
    <row r="49" spans="1:10">
      <c r="A49" s="131">
        <f>Amnt_Deposited!B41</f>
        <v>1980</v>
      </c>
      <c r="B49" s="134">
        <f>Amnt_Deposited!J41</f>
        <v>1104</v>
      </c>
      <c r="C49" s="98">
        <f>MCF!X48</f>
        <v>0.70499999999999996</v>
      </c>
      <c r="D49" s="501">
        <f t="shared" si="4"/>
        <v>0.15</v>
      </c>
      <c r="E49" s="167">
        <f t="shared" si="5"/>
        <v>58.373999999999995</v>
      </c>
      <c r="F49" s="100">
        <f t="shared" si="0"/>
        <v>58.373999999999995</v>
      </c>
      <c r="G49" s="100">
        <f t="shared" si="1"/>
        <v>0</v>
      </c>
      <c r="H49" s="100">
        <f t="shared" si="2"/>
        <v>636.56735870687658</v>
      </c>
      <c r="I49" s="100">
        <f t="shared" si="3"/>
        <v>54.450945399329854</v>
      </c>
      <c r="J49" s="135">
        <f t="shared" si="6"/>
        <v>36.300630266219898</v>
      </c>
    </row>
    <row r="50" spans="1:10">
      <c r="A50" s="131">
        <f>Amnt_Deposited!B42</f>
        <v>1981</v>
      </c>
      <c r="B50" s="134">
        <f>Amnt_Deposited!J42</f>
        <v>1104</v>
      </c>
      <c r="C50" s="98">
        <f>MCF!X49</f>
        <v>0.70499999999999996</v>
      </c>
      <c r="D50" s="501">
        <f t="shared" si="4"/>
        <v>0.15</v>
      </c>
      <c r="E50" s="167">
        <f t="shared" si="5"/>
        <v>58.373999999999995</v>
      </c>
      <c r="F50" s="100">
        <f t="shared" si="0"/>
        <v>58.373999999999995</v>
      </c>
      <c r="G50" s="100">
        <f t="shared" si="1"/>
        <v>0</v>
      </c>
      <c r="H50" s="100">
        <f t="shared" si="2"/>
        <v>640.1527606479508</v>
      </c>
      <c r="I50" s="100">
        <f t="shared" si="3"/>
        <v>54.788598058925793</v>
      </c>
      <c r="J50" s="135">
        <f t="shared" si="6"/>
        <v>36.525732039283859</v>
      </c>
    </row>
    <row r="51" spans="1:10">
      <c r="A51" s="131">
        <f>Amnt_Deposited!B43</f>
        <v>1982</v>
      </c>
      <c r="B51" s="134">
        <f>Amnt_Deposited!J43</f>
        <v>1104</v>
      </c>
      <c r="C51" s="98">
        <f>MCF!X50</f>
        <v>0.70499999999999996</v>
      </c>
      <c r="D51" s="501">
        <f t="shared" si="4"/>
        <v>0.15</v>
      </c>
      <c r="E51" s="167">
        <f t="shared" si="5"/>
        <v>58.373999999999995</v>
      </c>
      <c r="F51" s="100">
        <f t="shared" ref="F51:F82" si="7">E51*$H$12</f>
        <v>58.373999999999995</v>
      </c>
      <c r="G51" s="100">
        <f t="shared" ref="G51:G82" si="8">E51*(1-$H$12)</f>
        <v>0</v>
      </c>
      <c r="H51" s="100">
        <f t="shared" ref="H51:H82" si="9">F51+H50*$H$10</f>
        <v>643.42957129363049</v>
      </c>
      <c r="I51" s="100">
        <f t="shared" ref="I51:I82" si="10">H50*(1-$H$10)+G51</f>
        <v>55.097189354320285</v>
      </c>
      <c r="J51" s="135">
        <f t="shared" si="6"/>
        <v>36.731459569546857</v>
      </c>
    </row>
    <row r="52" spans="1:10">
      <c r="A52" s="131">
        <f>Amnt_Deposited!B44</f>
        <v>1983</v>
      </c>
      <c r="B52" s="134">
        <f>Amnt_Deposited!J44</f>
        <v>1104</v>
      </c>
      <c r="C52" s="98">
        <f>MCF!X51</f>
        <v>0.70499999999999996</v>
      </c>
      <c r="D52" s="501">
        <f t="shared" si="4"/>
        <v>0.15</v>
      </c>
      <c r="E52" s="167">
        <f t="shared" si="5"/>
        <v>58.373999999999995</v>
      </c>
      <c r="F52" s="100">
        <f t="shared" si="7"/>
        <v>58.373999999999995</v>
      </c>
      <c r="G52" s="100">
        <f t="shared" si="8"/>
        <v>0</v>
      </c>
      <c r="H52" s="100">
        <f t="shared" si="9"/>
        <v>646.424350730946</v>
      </c>
      <c r="I52" s="100">
        <f t="shared" si="10"/>
        <v>55.379220562684559</v>
      </c>
      <c r="J52" s="135">
        <f t="shared" si="6"/>
        <v>36.919480375123037</v>
      </c>
    </row>
    <row r="53" spans="1:10">
      <c r="A53" s="131">
        <f>Amnt_Deposited!B45</f>
        <v>1984</v>
      </c>
      <c r="B53" s="134">
        <f>Amnt_Deposited!J45</f>
        <v>1104</v>
      </c>
      <c r="C53" s="98">
        <f>MCF!X52</f>
        <v>0.70499999999999996</v>
      </c>
      <c r="D53" s="501">
        <f t="shared" si="4"/>
        <v>0.15</v>
      </c>
      <c r="E53" s="167">
        <f t="shared" si="5"/>
        <v>58.373999999999995</v>
      </c>
      <c r="F53" s="100">
        <f t="shared" si="7"/>
        <v>58.373999999999995</v>
      </c>
      <c r="G53" s="100">
        <f t="shared" si="8"/>
        <v>0</v>
      </c>
      <c r="H53" s="100">
        <f t="shared" si="9"/>
        <v>649.16137305171765</v>
      </c>
      <c r="I53" s="100">
        <f t="shared" si="10"/>
        <v>55.636977679228401</v>
      </c>
      <c r="J53" s="135">
        <f t="shared" si="6"/>
        <v>37.091318452818932</v>
      </c>
    </row>
    <row r="54" spans="1:10">
      <c r="A54" s="131">
        <f>Amnt_Deposited!B46</f>
        <v>1985</v>
      </c>
      <c r="B54" s="134">
        <f>Amnt_Deposited!J46</f>
        <v>1104</v>
      </c>
      <c r="C54" s="98">
        <f>MCF!X53</f>
        <v>0.70499999999999996</v>
      </c>
      <c r="D54" s="501">
        <f t="shared" si="4"/>
        <v>0.15</v>
      </c>
      <c r="E54" s="167">
        <f t="shared" si="5"/>
        <v>58.373999999999995</v>
      </c>
      <c r="F54" s="100">
        <f t="shared" si="7"/>
        <v>58.373999999999995</v>
      </c>
      <c r="G54" s="100">
        <f t="shared" si="8"/>
        <v>0</v>
      </c>
      <c r="H54" s="100">
        <f t="shared" si="9"/>
        <v>651.66282310545421</v>
      </c>
      <c r="I54" s="100">
        <f t="shared" si="10"/>
        <v>55.872549946263412</v>
      </c>
      <c r="J54" s="135">
        <f t="shared" si="6"/>
        <v>37.24836663084227</v>
      </c>
    </row>
    <row r="55" spans="1:10">
      <c r="A55" s="131">
        <f>Amnt_Deposited!B47</f>
        <v>1986</v>
      </c>
      <c r="B55" s="134">
        <f>Amnt_Deposited!J47</f>
        <v>1104</v>
      </c>
      <c r="C55" s="98">
        <f>MCF!X54</f>
        <v>0.70499999999999996</v>
      </c>
      <c r="D55" s="501">
        <f t="shared" si="4"/>
        <v>0.15</v>
      </c>
      <c r="E55" s="167">
        <f t="shared" si="5"/>
        <v>58.373999999999995</v>
      </c>
      <c r="F55" s="100">
        <f t="shared" si="7"/>
        <v>58.373999999999995</v>
      </c>
      <c r="G55" s="100">
        <f t="shared" si="8"/>
        <v>0</v>
      </c>
      <c r="H55" s="100">
        <f t="shared" si="9"/>
        <v>653.94897631796255</v>
      </c>
      <c r="I55" s="100">
        <f t="shared" si="10"/>
        <v>56.087846787491742</v>
      </c>
      <c r="J55" s="135">
        <f t="shared" si="6"/>
        <v>37.391897858327823</v>
      </c>
    </row>
    <row r="56" spans="1:10">
      <c r="A56" s="131">
        <f>Amnt_Deposited!B48</f>
        <v>1987</v>
      </c>
      <c r="B56" s="134">
        <f>Amnt_Deposited!J48</f>
        <v>1104</v>
      </c>
      <c r="C56" s="98">
        <f>MCF!X55</f>
        <v>0.70499999999999996</v>
      </c>
      <c r="D56" s="501">
        <f t="shared" si="4"/>
        <v>0.15</v>
      </c>
      <c r="E56" s="167">
        <f t="shared" si="5"/>
        <v>58.373999999999995</v>
      </c>
      <c r="F56" s="100">
        <f t="shared" si="7"/>
        <v>58.373999999999995</v>
      </c>
      <c r="G56" s="100">
        <f t="shared" si="8"/>
        <v>0</v>
      </c>
      <c r="H56" s="100">
        <f t="shared" si="9"/>
        <v>656.03836303318189</v>
      </c>
      <c r="I56" s="100">
        <f t="shared" si="10"/>
        <v>56.284613284780704</v>
      </c>
      <c r="J56" s="135">
        <f t="shared" si="6"/>
        <v>37.523075523187131</v>
      </c>
    </row>
    <row r="57" spans="1:10">
      <c r="A57" s="131">
        <f>Amnt_Deposited!B49</f>
        <v>1988</v>
      </c>
      <c r="B57" s="134">
        <f>Amnt_Deposited!J49</f>
        <v>1104</v>
      </c>
      <c r="C57" s="98">
        <f>MCF!X56</f>
        <v>0.70499999999999996</v>
      </c>
      <c r="D57" s="501">
        <f t="shared" si="4"/>
        <v>0.15</v>
      </c>
      <c r="E57" s="167">
        <f t="shared" si="5"/>
        <v>58.373999999999995</v>
      </c>
      <c r="F57" s="100">
        <f t="shared" si="7"/>
        <v>58.373999999999995</v>
      </c>
      <c r="G57" s="100">
        <f t="shared" si="8"/>
        <v>0</v>
      </c>
      <c r="H57" s="100">
        <f t="shared" si="9"/>
        <v>657.94791871031225</v>
      </c>
      <c r="I57" s="100">
        <f t="shared" si="10"/>
        <v>56.464444322869674</v>
      </c>
      <c r="J57" s="135">
        <f t="shared" si="6"/>
        <v>37.642962881913114</v>
      </c>
    </row>
    <row r="58" spans="1:10">
      <c r="A58" s="131">
        <f>Amnt_Deposited!B50</f>
        <v>1989</v>
      </c>
      <c r="B58" s="134">
        <f>Amnt_Deposited!J50</f>
        <v>1104</v>
      </c>
      <c r="C58" s="98">
        <f>MCF!X57</f>
        <v>0.70499999999999996</v>
      </c>
      <c r="D58" s="501">
        <f t="shared" si="4"/>
        <v>0.15</v>
      </c>
      <c r="E58" s="167">
        <f t="shared" si="5"/>
        <v>58.373999999999995</v>
      </c>
      <c r="F58" s="100">
        <f t="shared" si="7"/>
        <v>58.373999999999995</v>
      </c>
      <c r="G58" s="100">
        <f t="shared" si="8"/>
        <v>0</v>
      </c>
      <c r="H58" s="100">
        <f t="shared" si="9"/>
        <v>659.69312119365338</v>
      </c>
      <c r="I58" s="100">
        <f t="shared" si="10"/>
        <v>56.628797516658885</v>
      </c>
      <c r="J58" s="135">
        <f t="shared" si="6"/>
        <v>37.752531677772588</v>
      </c>
    </row>
    <row r="59" spans="1:10">
      <c r="A59" s="131">
        <f>Amnt_Deposited!B51</f>
        <v>1990</v>
      </c>
      <c r="B59" s="134">
        <f>Amnt_Deposited!J51</f>
        <v>1104</v>
      </c>
      <c r="C59" s="98">
        <f>MCF!X58</f>
        <v>0.70499999999999996</v>
      </c>
      <c r="D59" s="501">
        <f t="shared" si="4"/>
        <v>0.15</v>
      </c>
      <c r="E59" s="167">
        <f t="shared" si="5"/>
        <v>58.373999999999995</v>
      </c>
      <c r="F59" s="100">
        <f t="shared" si="7"/>
        <v>58.373999999999995</v>
      </c>
      <c r="G59" s="100">
        <f t="shared" si="8"/>
        <v>0</v>
      </c>
      <c r="H59" s="100">
        <f t="shared" si="9"/>
        <v>661.2881161677916</v>
      </c>
      <c r="I59" s="100">
        <f t="shared" si="10"/>
        <v>56.779005025861764</v>
      </c>
      <c r="J59" s="135">
        <f t="shared" si="6"/>
        <v>37.852670017241174</v>
      </c>
    </row>
    <row r="60" spans="1:10">
      <c r="A60" s="131">
        <f>Amnt_Deposited!B52</f>
        <v>1991</v>
      </c>
      <c r="B60" s="134">
        <f>Amnt_Deposited!J52</f>
        <v>1104</v>
      </c>
      <c r="C60" s="98">
        <f>MCF!X59</f>
        <v>0.70499999999999996</v>
      </c>
      <c r="D60" s="501">
        <f t="shared" si="4"/>
        <v>0.15</v>
      </c>
      <c r="E60" s="167">
        <f t="shared" si="5"/>
        <v>58.373999999999995</v>
      </c>
      <c r="F60" s="100">
        <f t="shared" si="7"/>
        <v>58.373999999999995</v>
      </c>
      <c r="G60" s="100">
        <f t="shared" si="8"/>
        <v>0</v>
      </c>
      <c r="H60" s="100">
        <f t="shared" si="9"/>
        <v>662.74583181500748</v>
      </c>
      <c r="I60" s="100">
        <f t="shared" si="10"/>
        <v>56.916284352784189</v>
      </c>
      <c r="J60" s="135">
        <f t="shared" si="6"/>
        <v>37.944189568522788</v>
      </c>
    </row>
    <row r="61" spans="1:10">
      <c r="A61" s="131">
        <f>Amnt_Deposited!B53</f>
        <v>1992</v>
      </c>
      <c r="B61" s="134">
        <f>Amnt_Deposited!J53</f>
        <v>1104</v>
      </c>
      <c r="C61" s="98">
        <f>MCF!X60</f>
        <v>0.70499999999999996</v>
      </c>
      <c r="D61" s="501">
        <f t="shared" si="4"/>
        <v>0.15</v>
      </c>
      <c r="E61" s="167">
        <f t="shared" si="5"/>
        <v>58.373999999999995</v>
      </c>
      <c r="F61" s="100">
        <f t="shared" si="7"/>
        <v>58.373999999999995</v>
      </c>
      <c r="G61" s="100">
        <f t="shared" si="8"/>
        <v>0</v>
      </c>
      <c r="H61" s="100">
        <f t="shared" si="9"/>
        <v>664.07808360425588</v>
      </c>
      <c r="I61" s="100">
        <f t="shared" si="10"/>
        <v>57.041748210751642</v>
      </c>
      <c r="J61" s="135">
        <f t="shared" si="6"/>
        <v>38.02783214050109</v>
      </c>
    </row>
    <row r="62" spans="1:10">
      <c r="A62" s="131">
        <f>Amnt_Deposited!B54</f>
        <v>1993</v>
      </c>
      <c r="B62" s="134">
        <f>Amnt_Deposited!J54</f>
        <v>1104</v>
      </c>
      <c r="C62" s="98">
        <f>MCF!X61</f>
        <v>0.70499999999999996</v>
      </c>
      <c r="D62" s="501">
        <f t="shared" si="4"/>
        <v>0.15</v>
      </c>
      <c r="E62" s="167">
        <f t="shared" si="5"/>
        <v>58.373999999999995</v>
      </c>
      <c r="F62" s="100">
        <f t="shared" si="7"/>
        <v>58.373999999999995</v>
      </c>
      <c r="G62" s="100">
        <f t="shared" si="8"/>
        <v>0</v>
      </c>
      <c r="H62" s="100">
        <f t="shared" si="9"/>
        <v>665.29567006108334</v>
      </c>
      <c r="I62" s="100">
        <f t="shared" si="10"/>
        <v>57.15641354317254</v>
      </c>
      <c r="J62" s="135">
        <f t="shared" si="6"/>
        <v>38.104275695448358</v>
      </c>
    </row>
    <row r="63" spans="1:10">
      <c r="A63" s="131">
        <f>Amnt_Deposited!B55</f>
        <v>1994</v>
      </c>
      <c r="B63" s="134">
        <f>Amnt_Deposited!J55</f>
        <v>1104</v>
      </c>
      <c r="C63" s="98">
        <f>MCF!X62</f>
        <v>0.70499999999999996</v>
      </c>
      <c r="D63" s="501">
        <f t="shared" si="4"/>
        <v>0.15</v>
      </c>
      <c r="E63" s="167">
        <f t="shared" si="5"/>
        <v>58.373999999999995</v>
      </c>
      <c r="F63" s="100">
        <f t="shared" si="7"/>
        <v>58.373999999999995</v>
      </c>
      <c r="G63" s="100">
        <f t="shared" si="8"/>
        <v>0</v>
      </c>
      <c r="H63" s="100">
        <f t="shared" si="9"/>
        <v>666.40846029474187</v>
      </c>
      <c r="I63" s="100">
        <f t="shared" si="10"/>
        <v>57.26120976634148</v>
      </c>
      <c r="J63" s="135">
        <f t="shared" si="6"/>
        <v>38.174139844227653</v>
      </c>
    </row>
    <row r="64" spans="1:10">
      <c r="A64" s="131">
        <f>Amnt_Deposited!B56</f>
        <v>1995</v>
      </c>
      <c r="B64" s="134">
        <f>Amnt_Deposited!J56</f>
        <v>1104</v>
      </c>
      <c r="C64" s="98">
        <f>MCF!X63</f>
        <v>0.70499999999999996</v>
      </c>
      <c r="D64" s="501">
        <f t="shared" si="4"/>
        <v>0.15</v>
      </c>
      <c r="E64" s="167">
        <f t="shared" si="5"/>
        <v>58.373999999999995</v>
      </c>
      <c r="F64" s="100">
        <f t="shared" si="7"/>
        <v>58.373999999999995</v>
      </c>
      <c r="G64" s="100">
        <f t="shared" si="8"/>
        <v>0</v>
      </c>
      <c r="H64" s="100">
        <f t="shared" si="9"/>
        <v>667.42547399194768</v>
      </c>
      <c r="I64" s="100">
        <f t="shared" si="10"/>
        <v>57.356986302794226</v>
      </c>
      <c r="J64" s="135">
        <f t="shared" si="6"/>
        <v>38.237990868529479</v>
      </c>
    </row>
    <row r="65" spans="1:10">
      <c r="A65" s="131">
        <f>Amnt_Deposited!B57</f>
        <v>1996</v>
      </c>
      <c r="B65" s="134">
        <f>Amnt_Deposited!J57</f>
        <v>1104</v>
      </c>
      <c r="C65" s="98">
        <f>MCF!X64</f>
        <v>0.70499999999999996</v>
      </c>
      <c r="D65" s="501">
        <f t="shared" si="4"/>
        <v>0.15</v>
      </c>
      <c r="E65" s="167">
        <f t="shared" si="5"/>
        <v>58.373999999999995</v>
      </c>
      <c r="F65" s="100">
        <f t="shared" si="7"/>
        <v>58.373999999999995</v>
      </c>
      <c r="G65" s="100">
        <f t="shared" si="8"/>
        <v>0</v>
      </c>
      <c r="H65" s="100">
        <f t="shared" si="9"/>
        <v>668.35495452567204</v>
      </c>
      <c r="I65" s="100">
        <f t="shared" si="10"/>
        <v>57.444519466275658</v>
      </c>
      <c r="J65" s="135">
        <f t="shared" si="6"/>
        <v>38.296346310850438</v>
      </c>
    </row>
    <row r="66" spans="1:10">
      <c r="A66" s="131">
        <f>Amnt_Deposited!B58</f>
        <v>1997</v>
      </c>
      <c r="B66" s="134">
        <f>Amnt_Deposited!J58</f>
        <v>1104</v>
      </c>
      <c r="C66" s="98">
        <f>MCF!X65</f>
        <v>0.70499999999999996</v>
      </c>
      <c r="D66" s="501">
        <f t="shared" si="4"/>
        <v>0.15</v>
      </c>
      <c r="E66" s="167">
        <f t="shared" si="5"/>
        <v>58.373999999999995</v>
      </c>
      <c r="F66" s="100">
        <f t="shared" si="7"/>
        <v>58.373999999999995</v>
      </c>
      <c r="G66" s="100">
        <f t="shared" si="8"/>
        <v>0</v>
      </c>
      <c r="H66" s="100">
        <f t="shared" si="9"/>
        <v>669.20443577154526</v>
      </c>
      <c r="I66" s="100">
        <f t="shared" si="10"/>
        <v>57.524518754126781</v>
      </c>
      <c r="J66" s="135">
        <f t="shared" si="6"/>
        <v>38.349679169417854</v>
      </c>
    </row>
    <row r="67" spans="1:10">
      <c r="A67" s="131">
        <f>Amnt_Deposited!B59</f>
        <v>1998</v>
      </c>
      <c r="B67" s="134">
        <f>Amnt_Deposited!J59</f>
        <v>1104</v>
      </c>
      <c r="C67" s="98">
        <f>MCF!X66</f>
        <v>0.70499999999999996</v>
      </c>
      <c r="D67" s="501">
        <f t="shared" si="4"/>
        <v>0.15</v>
      </c>
      <c r="E67" s="167">
        <f t="shared" si="5"/>
        <v>58.373999999999995</v>
      </c>
      <c r="F67" s="100">
        <f t="shared" si="7"/>
        <v>58.373999999999995</v>
      </c>
      <c r="G67" s="100">
        <f t="shared" si="8"/>
        <v>0</v>
      </c>
      <c r="H67" s="100">
        <f t="shared" si="9"/>
        <v>669.98080317345193</v>
      </c>
      <c r="I67" s="100">
        <f t="shared" si="10"/>
        <v>57.597632598093405</v>
      </c>
      <c r="J67" s="135">
        <f t="shared" si="6"/>
        <v>38.398421732062268</v>
      </c>
    </row>
    <row r="68" spans="1:10">
      <c r="A68" s="131">
        <f>Amnt_Deposited!B60</f>
        <v>1999</v>
      </c>
      <c r="B68" s="134">
        <f>Amnt_Deposited!J60</f>
        <v>1104</v>
      </c>
      <c r="C68" s="98">
        <f>MCF!X67</f>
        <v>0.70499999999999996</v>
      </c>
      <c r="D68" s="501">
        <f t="shared" si="4"/>
        <v>0.15</v>
      </c>
      <c r="E68" s="167">
        <f t="shared" si="5"/>
        <v>58.373999999999995</v>
      </c>
      <c r="F68" s="100">
        <f t="shared" si="7"/>
        <v>58.373999999999995</v>
      </c>
      <c r="G68" s="100">
        <f t="shared" si="8"/>
        <v>0</v>
      </c>
      <c r="H68" s="100">
        <f t="shared" si="9"/>
        <v>670.69034955328243</v>
      </c>
      <c r="I68" s="100">
        <f t="shared" si="10"/>
        <v>57.664453620169567</v>
      </c>
      <c r="J68" s="135">
        <f t="shared" si="6"/>
        <v>38.442969080113045</v>
      </c>
    </row>
    <row r="69" spans="1:10">
      <c r="A69" s="131">
        <f>Amnt_Deposited!B61</f>
        <v>2000</v>
      </c>
      <c r="B69" s="134">
        <f>Amnt_Deposited!J61</f>
        <v>1104</v>
      </c>
      <c r="C69" s="98">
        <f>MCF!X68</f>
        <v>0.70499999999999996</v>
      </c>
      <c r="D69" s="501">
        <f t="shared" si="4"/>
        <v>0.15</v>
      </c>
      <c r="E69" s="167">
        <f t="shared" si="5"/>
        <v>58.373999999999995</v>
      </c>
      <c r="F69" s="100">
        <f t="shared" si="7"/>
        <v>58.373999999999995</v>
      </c>
      <c r="G69" s="100">
        <f t="shared" si="8"/>
        <v>0</v>
      </c>
      <c r="H69" s="100">
        <f t="shared" si="9"/>
        <v>671.33882611720583</v>
      </c>
      <c r="I69" s="100">
        <f t="shared" si="10"/>
        <v>57.725523436076671</v>
      </c>
      <c r="J69" s="135">
        <f t="shared" si="6"/>
        <v>38.48368229071778</v>
      </c>
    </row>
    <row r="70" spans="1:10">
      <c r="A70" s="131">
        <f>Amnt_Deposited!B62</f>
        <v>2001</v>
      </c>
      <c r="B70" s="134">
        <f>Amnt_Deposited!J62</f>
        <v>1104</v>
      </c>
      <c r="C70" s="98">
        <f>MCF!X69</f>
        <v>0.70499999999999996</v>
      </c>
      <c r="D70" s="501">
        <f t="shared" si="4"/>
        <v>0.15</v>
      </c>
      <c r="E70" s="167">
        <f t="shared" si="5"/>
        <v>58.373999999999995</v>
      </c>
      <c r="F70" s="100">
        <f t="shared" si="7"/>
        <v>58.373999999999995</v>
      </c>
      <c r="G70" s="100">
        <f t="shared" si="8"/>
        <v>0</v>
      </c>
      <c r="H70" s="100">
        <f t="shared" si="9"/>
        <v>671.93148907189288</v>
      </c>
      <c r="I70" s="100">
        <f t="shared" si="10"/>
        <v>57.781337045312945</v>
      </c>
      <c r="J70" s="135">
        <f t="shared" si="6"/>
        <v>38.520891363541963</v>
      </c>
    </row>
    <row r="71" spans="1:10">
      <c r="A71" s="131">
        <f>Amnt_Deposited!B63</f>
        <v>2002</v>
      </c>
      <c r="B71" s="134">
        <f>Amnt_Deposited!J63</f>
        <v>1104</v>
      </c>
      <c r="C71" s="98">
        <f>MCF!X70</f>
        <v>0.70499999999999996</v>
      </c>
      <c r="D71" s="501">
        <f t="shared" si="4"/>
        <v>0.15</v>
      </c>
      <c r="E71" s="167">
        <f t="shared" si="5"/>
        <v>58.373999999999995</v>
      </c>
      <c r="F71" s="100">
        <f t="shared" si="7"/>
        <v>58.373999999999995</v>
      </c>
      <c r="G71" s="100">
        <f t="shared" si="8"/>
        <v>0</v>
      </c>
      <c r="H71" s="100">
        <f t="shared" si="9"/>
        <v>672.4731422285364</v>
      </c>
      <c r="I71" s="100">
        <f t="shared" si="10"/>
        <v>57.832346843356511</v>
      </c>
      <c r="J71" s="135">
        <f t="shared" si="6"/>
        <v>38.554897895571003</v>
      </c>
    </row>
    <row r="72" spans="1:10">
      <c r="A72" s="131">
        <f>Amnt_Deposited!B64</f>
        <v>2003</v>
      </c>
      <c r="B72" s="134">
        <f>Amnt_Deposited!J64</f>
        <v>1104</v>
      </c>
      <c r="C72" s="98">
        <f>MCF!X71</f>
        <v>0.70499999999999996</v>
      </c>
      <c r="D72" s="501">
        <f t="shared" si="4"/>
        <v>0.15</v>
      </c>
      <c r="E72" s="167">
        <f t="shared" si="5"/>
        <v>58.373999999999995</v>
      </c>
      <c r="F72" s="100">
        <f t="shared" si="7"/>
        <v>58.373999999999995</v>
      </c>
      <c r="G72" s="100">
        <f t="shared" si="8"/>
        <v>0</v>
      </c>
      <c r="H72" s="100">
        <f t="shared" si="9"/>
        <v>672.96817593999356</v>
      </c>
      <c r="I72" s="100">
        <f t="shared" si="10"/>
        <v>57.878966288542919</v>
      </c>
      <c r="J72" s="135">
        <f t="shared" si="6"/>
        <v>38.585977525695277</v>
      </c>
    </row>
    <row r="73" spans="1:10">
      <c r="A73" s="131">
        <f>Amnt_Deposited!B65</f>
        <v>2004</v>
      </c>
      <c r="B73" s="134">
        <f>Amnt_Deposited!J65</f>
        <v>1104</v>
      </c>
      <c r="C73" s="98">
        <f>MCF!X72</f>
        <v>0.70499999999999996</v>
      </c>
      <c r="D73" s="501">
        <f t="shared" si="4"/>
        <v>0.15</v>
      </c>
      <c r="E73" s="167">
        <f t="shared" si="5"/>
        <v>58.373999999999995</v>
      </c>
      <c r="F73" s="100">
        <f t="shared" si="7"/>
        <v>58.373999999999995</v>
      </c>
      <c r="G73" s="100">
        <f t="shared" si="8"/>
        <v>0</v>
      </c>
      <c r="H73" s="100">
        <f t="shared" si="9"/>
        <v>673.42060268665477</v>
      </c>
      <c r="I73" s="100">
        <f t="shared" si="10"/>
        <v>57.921573253338821</v>
      </c>
      <c r="J73" s="135">
        <f t="shared" si="6"/>
        <v>38.614382168892547</v>
      </c>
    </row>
    <row r="74" spans="1:10">
      <c r="A74" s="131">
        <f>Amnt_Deposited!B66</f>
        <v>2005</v>
      </c>
      <c r="B74" s="134">
        <f>Amnt_Deposited!J66</f>
        <v>1104</v>
      </c>
      <c r="C74" s="98">
        <f>MCF!X73</f>
        <v>0.70499999999999996</v>
      </c>
      <c r="D74" s="501">
        <f t="shared" si="4"/>
        <v>0.15</v>
      </c>
      <c r="E74" s="167">
        <f t="shared" si="5"/>
        <v>58.373999999999995</v>
      </c>
      <c r="F74" s="100">
        <f t="shared" si="7"/>
        <v>58.373999999999995</v>
      </c>
      <c r="G74" s="100">
        <f t="shared" si="8"/>
        <v>0</v>
      </c>
      <c r="H74" s="100">
        <f t="shared" si="9"/>
        <v>673.83408959947928</v>
      </c>
      <c r="I74" s="100">
        <f t="shared" si="10"/>
        <v>57.960513087175542</v>
      </c>
      <c r="J74" s="135">
        <f t="shared" si="6"/>
        <v>38.640342058117028</v>
      </c>
    </row>
    <row r="75" spans="1:10">
      <c r="A75" s="131">
        <f>Amnt_Deposited!B67</f>
        <v>2006</v>
      </c>
      <c r="B75" s="134">
        <f>Amnt_Deposited!J67</f>
        <v>1104</v>
      </c>
      <c r="C75" s="98">
        <f>MCF!X74</f>
        <v>0.70499999999999996</v>
      </c>
      <c r="D75" s="501">
        <f t="shared" si="4"/>
        <v>0.15</v>
      </c>
      <c r="E75" s="167">
        <f t="shared" si="5"/>
        <v>58.373999999999995</v>
      </c>
      <c r="F75" s="100">
        <f t="shared" si="7"/>
        <v>58.373999999999995</v>
      </c>
      <c r="G75" s="100">
        <f t="shared" si="8"/>
        <v>0</v>
      </c>
      <c r="H75" s="100">
        <f t="shared" si="9"/>
        <v>674.21198818381106</v>
      </c>
      <c r="I75" s="100">
        <f t="shared" si="10"/>
        <v>57.996101415668207</v>
      </c>
      <c r="J75" s="135">
        <f t="shared" si="6"/>
        <v>38.664067610445471</v>
      </c>
    </row>
    <row r="76" spans="1:10">
      <c r="A76" s="131">
        <f>Amnt_Deposited!B68</f>
        <v>2007</v>
      </c>
      <c r="B76" s="134">
        <f>Amnt_Deposited!J68</f>
        <v>1104</v>
      </c>
      <c r="C76" s="98">
        <f>MCF!X75</f>
        <v>0.70499999999999996</v>
      </c>
      <c r="D76" s="501">
        <f t="shared" si="4"/>
        <v>0.15</v>
      </c>
      <c r="E76" s="167">
        <f t="shared" si="5"/>
        <v>58.373999999999995</v>
      </c>
      <c r="F76" s="100">
        <f t="shared" si="7"/>
        <v>58.373999999999995</v>
      </c>
      <c r="G76" s="100">
        <f t="shared" si="8"/>
        <v>0</v>
      </c>
      <c r="H76" s="100">
        <f t="shared" si="9"/>
        <v>674.55736148490178</v>
      </c>
      <c r="I76" s="100">
        <f t="shared" si="10"/>
        <v>58.028626698909328</v>
      </c>
      <c r="J76" s="135">
        <f t="shared" si="6"/>
        <v>38.685751132606214</v>
      </c>
    </row>
    <row r="77" spans="1:10">
      <c r="A77" s="131">
        <f>Amnt_Deposited!B69</f>
        <v>2008</v>
      </c>
      <c r="B77" s="134">
        <f>Amnt_Deposited!J69</f>
        <v>1104</v>
      </c>
      <c r="C77" s="98">
        <f>MCF!X76</f>
        <v>0.70499999999999996</v>
      </c>
      <c r="D77" s="501">
        <f t="shared" si="4"/>
        <v>0.15</v>
      </c>
      <c r="E77" s="167">
        <f t="shared" si="5"/>
        <v>58.373999999999995</v>
      </c>
      <c r="F77" s="100">
        <f t="shared" si="7"/>
        <v>58.373999999999995</v>
      </c>
      <c r="G77" s="100">
        <f t="shared" si="8"/>
        <v>0</v>
      </c>
      <c r="H77" s="100">
        <f t="shared" si="9"/>
        <v>674.87300891532868</v>
      </c>
      <c r="I77" s="100">
        <f t="shared" si="10"/>
        <v>58.058352569573167</v>
      </c>
      <c r="J77" s="135">
        <f t="shared" si="6"/>
        <v>38.705568379715444</v>
      </c>
    </row>
    <row r="78" spans="1:10">
      <c r="A78" s="131">
        <f>Amnt_Deposited!B70</f>
        <v>2009</v>
      </c>
      <c r="B78" s="134">
        <f>Amnt_Deposited!J70</f>
        <v>1104</v>
      </c>
      <c r="C78" s="98">
        <f>MCF!X77</f>
        <v>0.70499999999999996</v>
      </c>
      <c r="D78" s="501">
        <f t="shared" si="4"/>
        <v>0.15</v>
      </c>
      <c r="E78" s="167">
        <f t="shared" si="5"/>
        <v>58.373999999999995</v>
      </c>
      <c r="F78" s="100">
        <f t="shared" si="7"/>
        <v>58.373999999999995</v>
      </c>
      <c r="G78" s="100">
        <f t="shared" si="8"/>
        <v>0</v>
      </c>
      <c r="H78" s="100">
        <f t="shared" si="9"/>
        <v>675.16148894554647</v>
      </c>
      <c r="I78" s="100">
        <f t="shared" si="10"/>
        <v>58.08551996978219</v>
      </c>
      <c r="J78" s="135">
        <f t="shared" si="6"/>
        <v>38.723679979854793</v>
      </c>
    </row>
    <row r="79" spans="1:10">
      <c r="A79" s="131">
        <f>Amnt_Deposited!B71</f>
        <v>2010</v>
      </c>
      <c r="B79" s="134">
        <f>Amnt_Deposited!J71</f>
        <v>1104</v>
      </c>
      <c r="C79" s="98">
        <f>MCF!X78</f>
        <v>0.70499999999999996</v>
      </c>
      <c r="D79" s="501">
        <f t="shared" si="4"/>
        <v>0.15</v>
      </c>
      <c r="E79" s="167">
        <f t="shared" si="5"/>
        <v>58.373999999999995</v>
      </c>
      <c r="F79" s="100">
        <f t="shared" si="7"/>
        <v>58.373999999999995</v>
      </c>
      <c r="G79" s="100">
        <f t="shared" si="8"/>
        <v>0</v>
      </c>
      <c r="H79" s="100">
        <f t="shared" si="9"/>
        <v>675.42513984149048</v>
      </c>
      <c r="I79" s="100">
        <f t="shared" si="10"/>
        <v>58.110349104055956</v>
      </c>
      <c r="J79" s="135">
        <f t="shared" si="6"/>
        <v>38.740232736037299</v>
      </c>
    </row>
    <row r="80" spans="1:10">
      <c r="A80" s="131">
        <f>Amnt_Deposited!B72</f>
        <v>2011</v>
      </c>
      <c r="B80" s="134">
        <f>Amnt_Deposited!J72</f>
        <v>1104</v>
      </c>
      <c r="C80" s="98">
        <f>MCF!X79</f>
        <v>0.70499999999999996</v>
      </c>
      <c r="D80" s="501">
        <f t="shared" si="4"/>
        <v>0.15</v>
      </c>
      <c r="E80" s="167">
        <f t="shared" si="5"/>
        <v>58.373999999999995</v>
      </c>
      <c r="F80" s="100">
        <f t="shared" si="7"/>
        <v>58.373999999999995</v>
      </c>
      <c r="G80" s="100">
        <f t="shared" si="8"/>
        <v>0</v>
      </c>
      <c r="H80" s="100">
        <f t="shared" si="9"/>
        <v>675.66609861731843</v>
      </c>
      <c r="I80" s="100">
        <f t="shared" si="10"/>
        <v>58.13304122417204</v>
      </c>
      <c r="J80" s="135">
        <f t="shared" si="6"/>
        <v>38.755360816114688</v>
      </c>
    </row>
    <row r="81" spans="1:10">
      <c r="A81" s="131">
        <f>Amnt_Deposited!B73</f>
        <v>2012</v>
      </c>
      <c r="B81" s="134">
        <f>Amnt_Deposited!J73</f>
        <v>1104</v>
      </c>
      <c r="C81" s="98">
        <f>MCF!X80</f>
        <v>0.70499999999999996</v>
      </c>
      <c r="D81" s="501">
        <f t="shared" si="4"/>
        <v>0.15</v>
      </c>
      <c r="E81" s="167">
        <f t="shared" si="5"/>
        <v>58.373999999999995</v>
      </c>
      <c r="F81" s="100">
        <f t="shared" si="7"/>
        <v>58.373999999999995</v>
      </c>
      <c r="G81" s="100">
        <f t="shared" si="8"/>
        <v>0</v>
      </c>
      <c r="H81" s="100">
        <f t="shared" si="9"/>
        <v>675.8863183569124</v>
      </c>
      <c r="I81" s="100">
        <f t="shared" si="10"/>
        <v>58.153780260406045</v>
      </c>
      <c r="J81" s="135">
        <f t="shared" si="6"/>
        <v>38.769186840270692</v>
      </c>
    </row>
    <row r="82" spans="1:10">
      <c r="A82" s="131">
        <f>Amnt_Deposited!B74</f>
        <v>2013</v>
      </c>
      <c r="B82" s="134">
        <f>Amnt_Deposited!J74</f>
        <v>1104</v>
      </c>
      <c r="C82" s="98">
        <f>MCF!X81</f>
        <v>0.70499999999999996</v>
      </c>
      <c r="D82" s="501">
        <f t="shared" si="4"/>
        <v>0.15</v>
      </c>
      <c r="E82" s="167">
        <f t="shared" si="5"/>
        <v>58.373999999999995</v>
      </c>
      <c r="F82" s="100">
        <f t="shared" si="7"/>
        <v>58.373999999999995</v>
      </c>
      <c r="G82" s="100">
        <f t="shared" si="8"/>
        <v>0</v>
      </c>
      <c r="H82" s="100">
        <f t="shared" si="9"/>
        <v>676.08758404453965</v>
      </c>
      <c r="I82" s="100">
        <f t="shared" si="10"/>
        <v>58.172734312372775</v>
      </c>
      <c r="J82" s="135">
        <f t="shared" si="6"/>
        <v>38.781822874915179</v>
      </c>
    </row>
    <row r="83" spans="1:10">
      <c r="A83" s="131">
        <f>Amnt_Deposited!B75</f>
        <v>2014</v>
      </c>
      <c r="B83" s="134">
        <f>Amnt_Deposited!J75</f>
        <v>1104</v>
      </c>
      <c r="C83" s="98">
        <f>MCF!X82</f>
        <v>0.70499999999999996</v>
      </c>
      <c r="D83" s="501">
        <f t="shared" si="4"/>
        <v>0.15</v>
      </c>
      <c r="E83" s="167">
        <f t="shared" si="5"/>
        <v>58.373999999999995</v>
      </c>
      <c r="F83" s="100">
        <f t="shared" ref="F83:F99" si="11">E83*$H$12</f>
        <v>58.373999999999995</v>
      </c>
      <c r="G83" s="100">
        <f t="shared" ref="G83:G99" si="12">E83*(1-$H$12)</f>
        <v>0</v>
      </c>
      <c r="H83" s="100">
        <f t="shared" ref="H83:H99" si="13">F83+H82*$H$10</f>
        <v>676.27152703298725</v>
      </c>
      <c r="I83" s="100">
        <f t="shared" ref="I83:I99" si="14">H82*(1-$H$10)+G83</f>
        <v>58.190057011552426</v>
      </c>
      <c r="J83" s="135">
        <f t="shared" si="6"/>
        <v>38.793371341034948</v>
      </c>
    </row>
    <row r="84" spans="1:10">
      <c r="A84" s="131">
        <f>Amnt_Deposited!B76</f>
        <v>2015</v>
      </c>
      <c r="B84" s="134">
        <f>Amnt_Deposited!J76</f>
        <v>1104</v>
      </c>
      <c r="C84" s="98">
        <f>MCF!X83</f>
        <v>0.70499999999999996</v>
      </c>
      <c r="D84" s="501">
        <f t="shared" ref="D84:D99" si="15">$H$6</f>
        <v>0.15</v>
      </c>
      <c r="E84" s="167">
        <f t="shared" ref="E84:E99" si="16">B84*D84*$H$7*C84</f>
        <v>58.373999999999995</v>
      </c>
      <c r="F84" s="100">
        <f t="shared" si="11"/>
        <v>58.373999999999995</v>
      </c>
      <c r="G84" s="100">
        <f t="shared" si="12"/>
        <v>0</v>
      </c>
      <c r="H84" s="100">
        <f t="shared" si="13"/>
        <v>676.43963826644153</v>
      </c>
      <c r="I84" s="100">
        <f t="shared" si="14"/>
        <v>58.205888766545776</v>
      </c>
      <c r="J84" s="135">
        <f t="shared" si="6"/>
        <v>38.803925844363846</v>
      </c>
    </row>
    <row r="85" spans="1:10">
      <c r="A85" s="131">
        <f>Amnt_Deposited!B77</f>
        <v>2016</v>
      </c>
      <c r="B85" s="134">
        <f>Amnt_Deposited!J77</f>
        <v>1104</v>
      </c>
      <c r="C85" s="98">
        <f>MCF!X84</f>
        <v>0.70499999999999996</v>
      </c>
      <c r="D85" s="501">
        <f t="shared" si="15"/>
        <v>0.15</v>
      </c>
      <c r="E85" s="167">
        <f t="shared" si="16"/>
        <v>58.373999999999995</v>
      </c>
      <c r="F85" s="100">
        <f t="shared" si="11"/>
        <v>58.373999999999995</v>
      </c>
      <c r="G85" s="100">
        <f t="shared" si="12"/>
        <v>0</v>
      </c>
      <c r="H85" s="100">
        <f t="shared" si="13"/>
        <v>676.59328036528973</v>
      </c>
      <c r="I85" s="100">
        <f t="shared" si="14"/>
        <v>58.220357901151779</v>
      </c>
      <c r="J85" s="135">
        <f t="shared" ref="J85:J99" si="17">I85*CH4_fraction*conv</f>
        <v>38.813571934101184</v>
      </c>
    </row>
    <row r="86" spans="1:10">
      <c r="A86" s="131">
        <f>Amnt_Deposited!B78</f>
        <v>2017</v>
      </c>
      <c r="B86" s="134">
        <f>Amnt_Deposited!J78</f>
        <v>1104</v>
      </c>
      <c r="C86" s="98">
        <f>MCF!X85</f>
        <v>0.70499999999999996</v>
      </c>
      <c r="D86" s="501">
        <f t="shared" si="15"/>
        <v>0.15</v>
      </c>
      <c r="E86" s="167">
        <f t="shared" si="16"/>
        <v>58.373999999999995</v>
      </c>
      <c r="F86" s="100">
        <f t="shared" si="11"/>
        <v>58.373999999999995</v>
      </c>
      <c r="G86" s="100">
        <f t="shared" si="12"/>
        <v>0</v>
      </c>
      <c r="H86" s="100">
        <f t="shared" si="13"/>
        <v>676.73369867079771</v>
      </c>
      <c r="I86" s="100">
        <f t="shared" si="14"/>
        <v>58.233581694492088</v>
      </c>
      <c r="J86" s="135">
        <f t="shared" si="17"/>
        <v>38.822387796328059</v>
      </c>
    </row>
    <row r="87" spans="1:10">
      <c r="A87" s="131">
        <f>Amnt_Deposited!B79</f>
        <v>2018</v>
      </c>
      <c r="B87" s="134">
        <f>Amnt_Deposited!J79</f>
        <v>1104</v>
      </c>
      <c r="C87" s="98">
        <f>MCF!X86</f>
        <v>0.70499999999999996</v>
      </c>
      <c r="D87" s="501">
        <f t="shared" si="15"/>
        <v>0.15</v>
      </c>
      <c r="E87" s="167">
        <f t="shared" si="16"/>
        <v>58.373999999999995</v>
      </c>
      <c r="F87" s="100">
        <f t="shared" si="11"/>
        <v>58.373999999999995</v>
      </c>
      <c r="G87" s="100">
        <f t="shared" si="12"/>
        <v>0</v>
      </c>
      <c r="H87" s="100">
        <f t="shared" si="13"/>
        <v>676.86203133918434</v>
      </c>
      <c r="I87" s="100">
        <f t="shared" si="14"/>
        <v>58.245667331613383</v>
      </c>
      <c r="J87" s="135">
        <f t="shared" si="17"/>
        <v>38.830444887742253</v>
      </c>
    </row>
    <row r="88" spans="1:10">
      <c r="A88" s="131">
        <f>Amnt_Deposited!B80</f>
        <v>2019</v>
      </c>
      <c r="B88" s="134">
        <f>Amnt_Deposited!J80</f>
        <v>1104</v>
      </c>
      <c r="C88" s="98">
        <f>MCF!X87</f>
        <v>0.70499999999999996</v>
      </c>
      <c r="D88" s="501">
        <f t="shared" si="15"/>
        <v>0.15</v>
      </c>
      <c r="E88" s="167">
        <f t="shared" si="16"/>
        <v>58.373999999999995</v>
      </c>
      <c r="F88" s="100">
        <f t="shared" si="11"/>
        <v>58.373999999999995</v>
      </c>
      <c r="G88" s="100">
        <f t="shared" si="12"/>
        <v>0</v>
      </c>
      <c r="H88" s="100">
        <f t="shared" si="13"/>
        <v>676.97931856691196</v>
      </c>
      <c r="I88" s="100">
        <f t="shared" si="14"/>
        <v>58.256712772272401</v>
      </c>
      <c r="J88" s="135">
        <f t="shared" si="17"/>
        <v>38.837808514848263</v>
      </c>
    </row>
    <row r="89" spans="1:10">
      <c r="A89" s="131">
        <f>Amnt_Deposited!B81</f>
        <v>2020</v>
      </c>
      <c r="B89" s="134">
        <f>Amnt_Deposited!J81</f>
        <v>1104</v>
      </c>
      <c r="C89" s="98">
        <f>MCF!X88</f>
        <v>0.70499999999999996</v>
      </c>
      <c r="D89" s="501">
        <f t="shared" si="15"/>
        <v>0.15</v>
      </c>
      <c r="E89" s="167">
        <f t="shared" si="16"/>
        <v>58.373999999999995</v>
      </c>
      <c r="F89" s="100">
        <f t="shared" si="11"/>
        <v>58.373999999999995</v>
      </c>
      <c r="G89" s="100">
        <f t="shared" si="12"/>
        <v>0</v>
      </c>
      <c r="H89" s="100">
        <f t="shared" si="13"/>
        <v>677.0865110219662</v>
      </c>
      <c r="I89" s="100">
        <f t="shared" si="14"/>
        <v>58.266807544945735</v>
      </c>
      <c r="J89" s="135">
        <f t="shared" si="17"/>
        <v>38.844538363297154</v>
      </c>
    </row>
    <row r="90" spans="1:10">
      <c r="A90" s="131">
        <f>Amnt_Deposited!B82</f>
        <v>2021</v>
      </c>
      <c r="B90" s="134">
        <f>Amnt_Deposited!J82</f>
        <v>1104</v>
      </c>
      <c r="C90" s="98">
        <f>MCF!X89</f>
        <v>0.70499999999999996</v>
      </c>
      <c r="D90" s="501">
        <f t="shared" si="15"/>
        <v>0.15</v>
      </c>
      <c r="E90" s="167">
        <f t="shared" si="16"/>
        <v>58.373999999999995</v>
      </c>
      <c r="F90" s="100">
        <f t="shared" si="11"/>
        <v>58.373999999999995</v>
      </c>
      <c r="G90" s="100">
        <f t="shared" si="12"/>
        <v>0</v>
      </c>
      <c r="H90" s="100">
        <f t="shared" si="13"/>
        <v>677.18447754946612</v>
      </c>
      <c r="I90" s="100">
        <f t="shared" si="14"/>
        <v>58.276033472500124</v>
      </c>
      <c r="J90" s="135">
        <f t="shared" si="17"/>
        <v>38.85068898166675</v>
      </c>
    </row>
    <row r="91" spans="1:10">
      <c r="A91" s="131">
        <f>Amnt_Deposited!B83</f>
        <v>2022</v>
      </c>
      <c r="B91" s="134">
        <f>Amnt_Deposited!J83</f>
        <v>1104</v>
      </c>
      <c r="C91" s="98">
        <f>MCF!X90</f>
        <v>0.70499999999999996</v>
      </c>
      <c r="D91" s="501">
        <f t="shared" si="15"/>
        <v>0.15</v>
      </c>
      <c r="E91" s="167">
        <f t="shared" si="16"/>
        <v>58.373999999999995</v>
      </c>
      <c r="F91" s="100">
        <f t="shared" si="11"/>
        <v>58.373999999999995</v>
      </c>
      <c r="G91" s="100">
        <f t="shared" si="12"/>
        <v>0</v>
      </c>
      <c r="H91" s="100">
        <f t="shared" si="13"/>
        <v>677.27401221406103</v>
      </c>
      <c r="I91" s="100">
        <f t="shared" si="14"/>
        <v>58.284465335405137</v>
      </c>
      <c r="J91" s="135">
        <f t="shared" si="17"/>
        <v>38.856310223603423</v>
      </c>
    </row>
    <row r="92" spans="1:10">
      <c r="A92" s="131">
        <f>Amnt_Deposited!B84</f>
        <v>2023</v>
      </c>
      <c r="B92" s="134">
        <f>Amnt_Deposited!J84</f>
        <v>1104</v>
      </c>
      <c r="C92" s="98">
        <f>MCF!X91</f>
        <v>0.70499999999999996</v>
      </c>
      <c r="D92" s="501">
        <f t="shared" si="15"/>
        <v>0.15</v>
      </c>
      <c r="E92" s="167">
        <f t="shared" si="16"/>
        <v>58.373999999999995</v>
      </c>
      <c r="F92" s="100">
        <f t="shared" si="11"/>
        <v>58.373999999999995</v>
      </c>
      <c r="G92" s="100">
        <f t="shared" si="12"/>
        <v>0</v>
      </c>
      <c r="H92" s="100">
        <f t="shared" si="13"/>
        <v>677.35584073619714</v>
      </c>
      <c r="I92" s="100">
        <f t="shared" si="14"/>
        <v>58.29217147786396</v>
      </c>
      <c r="J92" s="135">
        <f t="shared" si="17"/>
        <v>38.861447651909302</v>
      </c>
    </row>
    <row r="93" spans="1:10">
      <c r="A93" s="131">
        <f>Amnt_Deposited!B85</f>
        <v>2024</v>
      </c>
      <c r="B93" s="134">
        <f>Amnt_Deposited!J85</f>
        <v>1104</v>
      </c>
      <c r="C93" s="98">
        <f>MCF!X92</f>
        <v>0.70499999999999996</v>
      </c>
      <c r="D93" s="501">
        <f t="shared" si="15"/>
        <v>0.15</v>
      </c>
      <c r="E93" s="167">
        <f t="shared" si="16"/>
        <v>58.373999999999995</v>
      </c>
      <c r="F93" s="100">
        <f t="shared" si="11"/>
        <v>58.373999999999995</v>
      </c>
      <c r="G93" s="100">
        <f t="shared" si="12"/>
        <v>0</v>
      </c>
      <c r="H93" s="100">
        <f t="shared" si="13"/>
        <v>677.43062637442199</v>
      </c>
      <c r="I93" s="100">
        <f t="shared" si="14"/>
        <v>58.299214361775221</v>
      </c>
      <c r="J93" s="135">
        <f t="shared" si="17"/>
        <v>38.866142907850147</v>
      </c>
    </row>
    <row r="94" spans="1:10">
      <c r="A94" s="131">
        <f>Amnt_Deposited!B86</f>
        <v>2025</v>
      </c>
      <c r="B94" s="134">
        <f>Amnt_Deposited!J86</f>
        <v>1104</v>
      </c>
      <c r="C94" s="98">
        <f>MCF!X93</f>
        <v>0.70499999999999996</v>
      </c>
      <c r="D94" s="501">
        <f t="shared" si="15"/>
        <v>0.15</v>
      </c>
      <c r="E94" s="167">
        <f t="shared" si="16"/>
        <v>58.373999999999995</v>
      </c>
      <c r="F94" s="100">
        <f t="shared" si="11"/>
        <v>58.373999999999995</v>
      </c>
      <c r="G94" s="100">
        <f t="shared" si="12"/>
        <v>0</v>
      </c>
      <c r="H94" s="100">
        <f t="shared" si="13"/>
        <v>677.49897530140606</v>
      </c>
      <c r="I94" s="100">
        <f t="shared" si="14"/>
        <v>58.305651073015966</v>
      </c>
      <c r="J94" s="135">
        <f t="shared" si="17"/>
        <v>38.870434048677311</v>
      </c>
    </row>
    <row r="95" spans="1:10">
      <c r="A95" s="131">
        <f>Amnt_Deposited!B87</f>
        <v>2026</v>
      </c>
      <c r="B95" s="134">
        <f>Amnt_Deposited!J87</f>
        <v>1104</v>
      </c>
      <c r="C95" s="98">
        <f>MCF!X94</f>
        <v>0.70499999999999996</v>
      </c>
      <c r="D95" s="501">
        <f t="shared" si="15"/>
        <v>0.15</v>
      </c>
      <c r="E95" s="167">
        <f t="shared" si="16"/>
        <v>58.373999999999995</v>
      </c>
      <c r="F95" s="100">
        <f t="shared" si="11"/>
        <v>58.373999999999995</v>
      </c>
      <c r="G95" s="100">
        <f t="shared" si="12"/>
        <v>0</v>
      </c>
      <c r="H95" s="100">
        <f t="shared" si="13"/>
        <v>677.56144151725664</v>
      </c>
      <c r="I95" s="100">
        <f t="shared" si="14"/>
        <v>58.311533784149468</v>
      </c>
      <c r="J95" s="135">
        <f t="shared" si="17"/>
        <v>38.874355856099641</v>
      </c>
    </row>
    <row r="96" spans="1:10">
      <c r="A96" s="131">
        <f>Amnt_Deposited!B88</f>
        <v>2027</v>
      </c>
      <c r="B96" s="134">
        <f>Amnt_Deposited!J88</f>
        <v>1104</v>
      </c>
      <c r="C96" s="98">
        <f>MCF!X95</f>
        <v>0.70499999999999996</v>
      </c>
      <c r="D96" s="501">
        <f t="shared" si="15"/>
        <v>0.15</v>
      </c>
      <c r="E96" s="167">
        <f t="shared" si="16"/>
        <v>58.373999999999995</v>
      </c>
      <c r="F96" s="100">
        <f t="shared" si="11"/>
        <v>58.373999999999995</v>
      </c>
      <c r="G96" s="100">
        <f t="shared" si="12"/>
        <v>0</v>
      </c>
      <c r="H96" s="100">
        <f t="shared" si="13"/>
        <v>677.61853133994839</v>
      </c>
      <c r="I96" s="100">
        <f t="shared" si="14"/>
        <v>58.316910177308323</v>
      </c>
      <c r="J96" s="135">
        <f t="shared" si="17"/>
        <v>38.877940118205544</v>
      </c>
    </row>
    <row r="97" spans="1:10">
      <c r="A97" s="131">
        <f>Amnt_Deposited!B89</f>
        <v>2028</v>
      </c>
      <c r="B97" s="134">
        <f>Amnt_Deposited!J89</f>
        <v>1104</v>
      </c>
      <c r="C97" s="98">
        <f>MCF!X96</f>
        <v>0.70499999999999996</v>
      </c>
      <c r="D97" s="501">
        <f t="shared" si="15"/>
        <v>0.15</v>
      </c>
      <c r="E97" s="167">
        <f t="shared" si="16"/>
        <v>58.373999999999995</v>
      </c>
      <c r="F97" s="100">
        <f t="shared" si="11"/>
        <v>58.373999999999995</v>
      </c>
      <c r="G97" s="100">
        <f t="shared" si="12"/>
        <v>0</v>
      </c>
      <c r="H97" s="100">
        <f t="shared" si="13"/>
        <v>677.67070750926791</v>
      </c>
      <c r="I97" s="100">
        <f t="shared" si="14"/>
        <v>58.321823830680472</v>
      </c>
      <c r="J97" s="135">
        <f t="shared" si="17"/>
        <v>38.881215887120312</v>
      </c>
    </row>
    <row r="98" spans="1:10">
      <c r="A98" s="131">
        <f>Amnt_Deposited!B90</f>
        <v>2029</v>
      </c>
      <c r="B98" s="134">
        <f>Amnt_Deposited!J90</f>
        <v>1104</v>
      </c>
      <c r="C98" s="98">
        <f>MCF!X97</f>
        <v>0.70499999999999996</v>
      </c>
      <c r="D98" s="501">
        <f t="shared" si="15"/>
        <v>0.15</v>
      </c>
      <c r="E98" s="167">
        <f t="shared" si="16"/>
        <v>58.373999999999995</v>
      </c>
      <c r="F98" s="100">
        <f t="shared" si="11"/>
        <v>58.373999999999995</v>
      </c>
      <c r="G98" s="100">
        <f t="shared" si="12"/>
        <v>0</v>
      </c>
      <c r="H98" s="100">
        <f t="shared" si="13"/>
        <v>677.71839293753703</v>
      </c>
      <c r="I98" s="100">
        <f t="shared" si="14"/>
        <v>58.326314571730897</v>
      </c>
      <c r="J98" s="135">
        <f t="shared" si="17"/>
        <v>38.884209714487262</v>
      </c>
    </row>
    <row r="99" spans="1:10" ht="13.8" thickBot="1">
      <c r="A99" s="132">
        <f>Amnt_Deposited!B91</f>
        <v>2030</v>
      </c>
      <c r="B99" s="136">
        <f>Amnt_Deposited!J91</f>
        <v>1104</v>
      </c>
      <c r="C99" s="99">
        <f>MCF!X98</f>
        <v>0.70499999999999996</v>
      </c>
      <c r="D99" s="502">
        <f t="shared" si="15"/>
        <v>0.15</v>
      </c>
      <c r="E99" s="167">
        <f t="shared" si="16"/>
        <v>58.373999999999995</v>
      </c>
      <c r="F99" s="101">
        <f t="shared" si="11"/>
        <v>58.373999999999995</v>
      </c>
      <c r="G99" s="101">
        <f t="shared" si="12"/>
        <v>0</v>
      </c>
      <c r="H99" s="101">
        <f t="shared" si="13"/>
        <v>677.76197413751515</v>
      </c>
      <c r="I99" s="101">
        <f t="shared" si="14"/>
        <v>58.330418800021853</v>
      </c>
      <c r="J99" s="137">
        <f t="shared" si="17"/>
        <v>38.886945866681231</v>
      </c>
    </row>
  </sheetData>
  <phoneticPr fontId="17"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34"/>
    <pageSetUpPr fitToPage="1"/>
  </sheetPr>
  <dimension ref="A1:M55"/>
  <sheetViews>
    <sheetView showGridLines="0" workbookViewId="0">
      <pane xSplit="2" ySplit="8" topLeftCell="C36" activePane="bottomRight" state="frozen"/>
      <selection pane="topRight"/>
      <selection pane="bottomLeft"/>
      <selection pane="bottomRight" activeCell="G4" sqref="G4"/>
    </sheetView>
  </sheetViews>
  <sheetFormatPr defaultColWidth="11.44140625" defaultRowHeight="13.2"/>
  <cols>
    <col min="1" max="1" width="2.6640625" customWidth="1"/>
    <col min="2" max="2" width="37.6640625" customWidth="1"/>
    <col min="3" max="5" width="10.44140625" customWidth="1"/>
    <col min="6" max="6" width="23.6640625" customWidth="1"/>
    <col min="7" max="7" width="95.44140625" customWidth="1"/>
    <col min="8" max="8" width="11.44140625" customWidth="1"/>
    <col min="9" max="9" width="4.109375" customWidth="1"/>
    <col min="10" max="10" width="5" customWidth="1"/>
    <col min="11" max="11" width="9.33203125" customWidth="1"/>
    <col min="12" max="12" width="38" customWidth="1"/>
    <col min="13" max="13" width="9.44140625" customWidth="1"/>
  </cols>
  <sheetData>
    <row r="1" spans="1:13" ht="13.8" thickBot="1"/>
    <row r="2" spans="1:13" ht="16.2" thickBot="1">
      <c r="B2" s="12" t="s">
        <v>16</v>
      </c>
      <c r="C2" s="5" t="s">
        <v>33</v>
      </c>
      <c r="D2" s="663"/>
      <c r="E2" s="664"/>
      <c r="F2" s="665"/>
    </row>
    <row r="3" spans="1:13" ht="16.2" thickBot="1">
      <c r="B3" s="12"/>
      <c r="C3" s="649" t="s">
        <v>300</v>
      </c>
      <c r="D3" s="663"/>
      <c r="E3" s="664"/>
      <c r="F3" s="665"/>
    </row>
    <row r="4" spans="1:13">
      <c r="B4" s="13" t="s">
        <v>245</v>
      </c>
    </row>
    <row r="5" spans="1:13">
      <c r="B5" s="13" t="s">
        <v>34</v>
      </c>
    </row>
    <row r="6" spans="1:13" ht="13.8" thickBot="1">
      <c r="B6" s="13"/>
    </row>
    <row r="7" spans="1:13">
      <c r="A7" s="1"/>
      <c r="C7" s="659" t="s">
        <v>20</v>
      </c>
      <c r="D7" s="660"/>
      <c r="E7" s="661" t="s">
        <v>120</v>
      </c>
      <c r="F7" s="662"/>
    </row>
    <row r="8" spans="1:13" ht="13.8" thickBot="1">
      <c r="C8" s="160"/>
      <c r="D8" s="161"/>
      <c r="E8" s="301" t="s">
        <v>15</v>
      </c>
      <c r="F8" s="207" t="s">
        <v>21</v>
      </c>
      <c r="G8" s="578" t="s">
        <v>266</v>
      </c>
    </row>
    <row r="9" spans="1:13" ht="13.8" thickBot="1">
      <c r="B9" s="63" t="s">
        <v>102</v>
      </c>
      <c r="C9" s="162"/>
      <c r="D9" s="163">
        <v>1950</v>
      </c>
      <c r="E9" s="165">
        <v>1950</v>
      </c>
      <c r="F9" s="164"/>
    </row>
    <row r="10" spans="1:13" ht="13.8" thickBot="1">
      <c r="B10" s="41"/>
      <c r="C10" s="523"/>
      <c r="D10" s="524"/>
      <c r="E10" s="525"/>
      <c r="F10" s="42"/>
      <c r="L10" t="s">
        <v>158</v>
      </c>
    </row>
    <row r="11" spans="1:13" ht="13.8" thickBot="1">
      <c r="B11" s="63" t="s">
        <v>154</v>
      </c>
      <c r="C11" s="526"/>
      <c r="D11" s="527"/>
      <c r="E11" s="528"/>
      <c r="F11" s="64"/>
    </row>
    <row r="12" spans="1:13" ht="13.8" thickBot="1">
      <c r="B12" s="63" t="s">
        <v>155</v>
      </c>
      <c r="C12" s="529" t="s">
        <v>135</v>
      </c>
      <c r="D12" s="530" t="s">
        <v>137</v>
      </c>
      <c r="E12" s="568"/>
      <c r="F12" s="210"/>
      <c r="L12" t="s">
        <v>157</v>
      </c>
    </row>
    <row r="13" spans="1:13">
      <c r="B13" s="8" t="str">
        <f>IF(Select2=1,"Food waste","Bulk MSW")</f>
        <v>Bulk MSW</v>
      </c>
      <c r="C13" s="217" t="str">
        <f>INDEX(DOC_table,IF(Select2=1,1,9),2)</f>
        <v>0.08-0.17</v>
      </c>
      <c r="D13" s="49">
        <f>IF(Select2=1,INDEX(DOC_table,1,1),INDEX(Regional_data,Select3,12))</f>
        <v>0.15</v>
      </c>
      <c r="E13" s="566">
        <f>D13</f>
        <v>0.15</v>
      </c>
      <c r="F13" s="170"/>
      <c r="G13" s="565" t="str">
        <f>IF(Select2=1,"May include garden waste provided that a suitable value of DOC is used","")</f>
        <v/>
      </c>
      <c r="L13" s="68" t="s">
        <v>7</v>
      </c>
      <c r="M13" s="68">
        <f t="shared" ref="M13:M18" si="0">IF(Select2=1,E13,0)</f>
        <v>0</v>
      </c>
    </row>
    <row r="14" spans="1:13">
      <c r="B14" s="8" t="str">
        <f>IF(Select2=1,"Garden","Industrial waste")</f>
        <v>Industrial waste</v>
      </c>
      <c r="C14" s="217" t="str">
        <f>INDEX(DOC_table,IF(Select2=1,2,10),2)</f>
        <v>0-0.54</v>
      </c>
      <c r="D14" s="49">
        <f>INDEX(DOC_table,IF(Select2=1,2,10),1)</f>
        <v>0.15</v>
      </c>
      <c r="E14" s="316">
        <f t="shared" ref="E14:E21" si="1">D14</f>
        <v>0.15</v>
      </c>
      <c r="F14" s="295"/>
      <c r="G14" s="565" t="str">
        <f>IF(Select2=1,"Garden (yard) and park waste and other moderately fast degrading waste","The composition of industrial waste will vary significantly by country. This DOC value should match the amounts entered (see guidelines).")</f>
        <v>The composition of industrial waste will vary significantly by country. This DOC value should match the amounts entered (see guidelines).</v>
      </c>
      <c r="L14" s="8" t="s">
        <v>54</v>
      </c>
      <c r="M14" s="2">
        <f>IF(Select2=1,E14,E53)</f>
        <v>0.2</v>
      </c>
    </row>
    <row r="15" spans="1:13">
      <c r="B15" s="2" t="str">
        <f>IF(Select2=1,"Paper","Sewage sludge")</f>
        <v>Sewage sludge</v>
      </c>
      <c r="C15" s="217" t="str">
        <f>INDEX(DOC_table,IF(Select2=1,3,7),2)</f>
        <v>0.04-0.05</v>
      </c>
      <c r="D15" s="49">
        <f>INDEX(DOC_table,IF(Select2=1,3,7),1)</f>
        <v>0.05</v>
      </c>
      <c r="E15" s="316">
        <f t="shared" si="1"/>
        <v>0.05</v>
      </c>
      <c r="F15" s="295"/>
      <c r="G15" s="6"/>
      <c r="L15" s="2" t="s">
        <v>2</v>
      </c>
      <c r="M15" s="2">
        <f>IF(Select2=1,E15,E54)</f>
        <v>0.4</v>
      </c>
    </row>
    <row r="16" spans="1:13">
      <c r="B16" s="2" t="str">
        <f>IF(Select2=1,"Wood and straw","")</f>
        <v/>
      </c>
      <c r="C16" s="218" t="str">
        <f>IF(Select2=1,INDEX(DOC_table,4,2),"")</f>
        <v/>
      </c>
      <c r="D16" s="21" t="str">
        <f>IF(Select2=1,INDEX(DOC_table,4,1),"")</f>
        <v/>
      </c>
      <c r="E16" s="316" t="str">
        <f>D16</f>
        <v/>
      </c>
      <c r="F16" s="295"/>
      <c r="G16" s="6"/>
      <c r="L16" s="2" t="s">
        <v>55</v>
      </c>
      <c r="M16" s="2">
        <f>IF(Select2=1,E16,E55)</f>
        <v>0.43</v>
      </c>
    </row>
    <row r="17" spans="2:13">
      <c r="B17" s="2" t="str">
        <f>IF(Select2=1,"Textiles","")</f>
        <v/>
      </c>
      <c r="C17" s="218" t="str">
        <f>IF(Select2=1,INDEX(DOC_table,5,2),"")</f>
        <v/>
      </c>
      <c r="D17" s="21" t="str">
        <f>IF(Select2=1,INDEX(DOC_table,5,1),"")</f>
        <v/>
      </c>
      <c r="E17" s="316" t="str">
        <f t="shared" si="1"/>
        <v/>
      </c>
      <c r="F17" s="295"/>
      <c r="G17" s="565" t="str">
        <f>IF(Select2=1,"Natural textiles such as wool and cotton. The default DOC value assumes 40% of textiles are synthetic materials that do not contain DOC","")</f>
        <v/>
      </c>
      <c r="L17" s="2" t="s">
        <v>18</v>
      </c>
      <c r="M17" s="2">
        <f t="shared" si="0"/>
        <v>0</v>
      </c>
    </row>
    <row r="18" spans="2:13">
      <c r="B18" s="188" t="str">
        <f>IF(Select2=1,"Disposable nappies","")</f>
        <v/>
      </c>
      <c r="C18" s="219" t="str">
        <f>IF(Select2=1,INDEX(DOC_table,6,2),"")</f>
        <v/>
      </c>
      <c r="D18" s="243" t="str">
        <f>IF(Select2=1,INDEX(DOC_table,6,1),"")</f>
        <v/>
      </c>
      <c r="E18" s="316" t="str">
        <f t="shared" si="1"/>
        <v/>
      </c>
      <c r="F18" s="295"/>
      <c r="G18" s="6"/>
      <c r="L18" s="188" t="s">
        <v>162</v>
      </c>
      <c r="M18" s="2">
        <f t="shared" si="0"/>
        <v>0</v>
      </c>
    </row>
    <row r="19" spans="2:13">
      <c r="B19" s="188" t="str">
        <f>IF(Select2=1,"Sewage sludge","")</f>
        <v/>
      </c>
      <c r="C19" s="219" t="str">
        <f>IF(Select2=1,INDEX(DOC_table,7,2),"")</f>
        <v/>
      </c>
      <c r="D19" s="243" t="str">
        <f>IF(Select2=1,INDEX(DOC_table,7,1),"")</f>
        <v/>
      </c>
      <c r="E19" s="316" t="str">
        <f t="shared" si="1"/>
        <v/>
      </c>
      <c r="F19" s="295"/>
      <c r="G19" s="6"/>
      <c r="L19" s="188" t="s">
        <v>163</v>
      </c>
      <c r="M19" s="2">
        <f>IF(Select2=1,E19,E15)</f>
        <v>0.05</v>
      </c>
    </row>
    <row r="20" spans="2:13">
      <c r="B20" s="188"/>
      <c r="C20" s="219"/>
      <c r="D20" s="427" t="s">
        <v>254</v>
      </c>
      <c r="E20" s="316" t="str">
        <f t="shared" si="1"/>
        <v/>
      </c>
      <c r="F20" s="295"/>
      <c r="G20" s="6"/>
      <c r="L20" s="188" t="s">
        <v>255</v>
      </c>
      <c r="M20" s="2">
        <f>IF(Select2=1,0,E13)</f>
        <v>0.15</v>
      </c>
    </row>
    <row r="21" spans="2:13" ht="13.8" thickBot="1">
      <c r="B21" s="39" t="str">
        <f>IF(Select2=1,"Industrial waste","")</f>
        <v/>
      </c>
      <c r="C21" s="220" t="str">
        <f>IF(Select2=1,INDEX(DOC_table,10,2),"")</f>
        <v/>
      </c>
      <c r="D21" s="22" t="str">
        <f>IF(Select2=1,INDEX(DOC_table,10,1),"")</f>
        <v/>
      </c>
      <c r="E21" s="317" t="str">
        <f t="shared" si="1"/>
        <v/>
      </c>
      <c r="F21" s="296"/>
      <c r="G21" s="565" t="str">
        <f>IF(Select2=1,"The composition of industrial waste will vary significantly by country. This DOC value should match the amounts entered (see Guidelines).","")</f>
        <v/>
      </c>
      <c r="L21" s="39" t="s">
        <v>26</v>
      </c>
      <c r="M21" s="39">
        <f>IF(Select2=1,E21,E$14)</f>
        <v>0.15</v>
      </c>
    </row>
    <row r="22" spans="2:13" ht="13.8" thickBot="1">
      <c r="B22" s="41"/>
      <c r="C22" s="19"/>
      <c r="D22" s="42"/>
      <c r="E22" s="6"/>
      <c r="F22" s="41"/>
      <c r="G22" s="6"/>
    </row>
    <row r="23" spans="2:13" ht="13.8" thickBot="1">
      <c r="B23" s="63" t="s">
        <v>52</v>
      </c>
      <c r="C23" s="105"/>
      <c r="D23" s="48">
        <v>0.5</v>
      </c>
      <c r="E23" s="569">
        <f>D23</f>
        <v>0.5</v>
      </c>
      <c r="F23" s="575"/>
      <c r="G23" s="6"/>
    </row>
    <row r="24" spans="2:13" ht="26.4">
      <c r="B24" s="639" t="s">
        <v>283</v>
      </c>
      <c r="C24" s="593"/>
      <c r="D24" s="641">
        <v>0.1</v>
      </c>
      <c r="E24" s="644">
        <f>D24</f>
        <v>0.1</v>
      </c>
      <c r="F24" s="587"/>
      <c r="G24" s="6"/>
    </row>
    <row r="25" spans="2:13" ht="26.4">
      <c r="B25" s="640" t="s">
        <v>284</v>
      </c>
      <c r="C25" s="594"/>
      <c r="D25" s="642">
        <v>0.5</v>
      </c>
      <c r="E25" s="645">
        <f>D25</f>
        <v>0.5</v>
      </c>
      <c r="F25" s="588"/>
      <c r="G25" s="6"/>
    </row>
    <row r="26" spans="2:13" ht="40.200000000000003" thickBot="1">
      <c r="B26" s="640" t="s">
        <v>296</v>
      </c>
      <c r="C26" s="595"/>
      <c r="D26" s="643">
        <v>0.7</v>
      </c>
      <c r="E26" s="646">
        <f>D26</f>
        <v>0.7</v>
      </c>
      <c r="F26" s="589"/>
      <c r="G26" s="6"/>
      <c r="L26" t="s">
        <v>153</v>
      </c>
    </row>
    <row r="27" spans="2:13" ht="13.8" thickBot="1">
      <c r="B27" s="606"/>
      <c r="C27" s="607"/>
      <c r="D27" s="608"/>
      <c r="E27" s="608"/>
      <c r="F27" s="609"/>
      <c r="G27" s="6"/>
      <c r="L27" s="68" t="s">
        <v>7</v>
      </c>
      <c r="M27" s="68">
        <f t="shared" ref="M27:M32" si="2">IF(Select2=1,E30,E$30)</f>
        <v>0.09</v>
      </c>
    </row>
    <row r="28" spans="2:13" ht="13.8" thickBot="1">
      <c r="B28" s="63" t="s">
        <v>263</v>
      </c>
      <c r="C28" s="526"/>
      <c r="D28" s="527"/>
      <c r="E28" s="570"/>
      <c r="F28" s="576"/>
      <c r="G28" s="6"/>
      <c r="L28" s="8" t="s">
        <v>54</v>
      </c>
      <c r="M28" s="2">
        <f t="shared" si="2"/>
        <v>0.09</v>
      </c>
    </row>
    <row r="29" spans="2:13" ht="16.2" thickBot="1">
      <c r="B29" s="203" t="s">
        <v>227</v>
      </c>
      <c r="C29" s="531" t="s">
        <v>135</v>
      </c>
      <c r="D29" s="532" t="s">
        <v>137</v>
      </c>
      <c r="E29" s="571"/>
      <c r="F29" s="577"/>
      <c r="G29" s="6"/>
      <c r="L29" s="2" t="s">
        <v>2</v>
      </c>
      <c r="M29" s="2">
        <f t="shared" si="2"/>
        <v>0.09</v>
      </c>
    </row>
    <row r="30" spans="2:13">
      <c r="B30" s="8" t="str">
        <f>IF(Select2=1,"Food waste","Bulk MSW")</f>
        <v>Bulk MSW</v>
      </c>
      <c r="C30" s="216" t="str">
        <f>INDEX(half_life,IF(Select2=1,4,5),selected*2)</f>
        <v>0.08–0.1</v>
      </c>
      <c r="D30" s="128">
        <f>INDEX(half_life,IF(Select2=1,4,5),selected*2-1)</f>
        <v>0.09</v>
      </c>
      <c r="E30" s="572">
        <f t="shared" ref="E30:E38" si="3">D30</f>
        <v>0.09</v>
      </c>
      <c r="F30" s="170"/>
      <c r="G30" s="565" t="str">
        <f>IF(Select2=1,"May include garden waste provided that a suitable value of DOC is used","")</f>
        <v/>
      </c>
      <c r="L30" s="2" t="s">
        <v>55</v>
      </c>
      <c r="M30" s="2">
        <f t="shared" si="2"/>
        <v>0.09</v>
      </c>
    </row>
    <row r="31" spans="2:13">
      <c r="B31" s="8" t="str">
        <f>IF(Select2=1,"Garden","Industrial waste")</f>
        <v>Industrial waste</v>
      </c>
      <c r="C31" s="217" t="str">
        <f>INDEX(half_life,IF(Select2=1,3,5),selected*2)</f>
        <v>0.08–0.1</v>
      </c>
      <c r="D31" s="106">
        <f>INDEX(half_life,IF(Select2=1,3,5),selected*2-1)</f>
        <v>0.09</v>
      </c>
      <c r="E31" s="573">
        <f t="shared" si="3"/>
        <v>0.09</v>
      </c>
      <c r="F31" s="72"/>
      <c r="G31" s="565" t="str">
        <f>IF(Select2=1,"Garden (yard) and park waste and other moderately fast degrading waste","The composition of industrial waste will vary significantly by country. This DOC value should match the amounts entered (see guidelines).")</f>
        <v>The composition of industrial waste will vary significantly by country. This DOC value should match the amounts entered (see guidelines).</v>
      </c>
      <c r="L31" s="2" t="s">
        <v>18</v>
      </c>
      <c r="M31" s="2">
        <f t="shared" si="2"/>
        <v>0.09</v>
      </c>
    </row>
    <row r="32" spans="2:13">
      <c r="B32" s="2" t="str">
        <f>IF(Select2=1,"Paper","Sewage sludge")</f>
        <v>Sewage sludge</v>
      </c>
      <c r="C32" s="217" t="str">
        <f>INDEX(half_life,IF(Select2=1,1,4),selected*2)</f>
        <v>0.1–0.2</v>
      </c>
      <c r="D32" s="106">
        <f>INDEX(half_life,IF(Select2=1,1,4),selected*2-1)</f>
        <v>0.185</v>
      </c>
      <c r="E32" s="573">
        <f t="shared" si="3"/>
        <v>0.185</v>
      </c>
      <c r="F32" s="72"/>
      <c r="G32" s="6"/>
      <c r="L32" s="188" t="s">
        <v>162</v>
      </c>
      <c r="M32" s="2">
        <f t="shared" si="2"/>
        <v>0.09</v>
      </c>
    </row>
    <row r="33" spans="2:13">
      <c r="B33" s="2" t="str">
        <f>IF(Select2=1,"Wood and straw","")</f>
        <v/>
      </c>
      <c r="C33" s="218" t="str">
        <f>IF(Select2=1,INDEX(half_life,2,selected*2),"")</f>
        <v/>
      </c>
      <c r="D33" s="106" t="str">
        <f>IF(Select2=1,INDEX(half_life,2,selected*2-1),"")</f>
        <v/>
      </c>
      <c r="E33" s="573" t="str">
        <f t="shared" si="3"/>
        <v/>
      </c>
      <c r="F33" s="72"/>
      <c r="G33" s="6"/>
      <c r="L33" s="604" t="s">
        <v>163</v>
      </c>
      <c r="M33" s="605">
        <f>IF(Select2=1,E36,E32)</f>
        <v>0.185</v>
      </c>
    </row>
    <row r="34" spans="2:13">
      <c r="B34" s="2" t="str">
        <f>IF(Select2=1,"Textiles","")</f>
        <v/>
      </c>
      <c r="C34" s="218" t="str">
        <f>IF(Select2=1,INDEX(half_life,1,selected*2),"")</f>
        <v/>
      </c>
      <c r="D34" s="106" t="str">
        <f>IF(Select2=1,INDEX(half_life,1,selected*2-1),"")</f>
        <v/>
      </c>
      <c r="E34" s="567" t="str">
        <f t="shared" si="3"/>
        <v/>
      </c>
      <c r="F34" s="295"/>
      <c r="G34" s="565" t="str">
        <f>IF(Select2=1,"Natural textiles such as wool and cotton. Synthetic textiles are assumed not to contain DOC","")</f>
        <v/>
      </c>
      <c r="L34" s="188" t="s">
        <v>255</v>
      </c>
      <c r="M34" s="2">
        <f>IF(Select2=1,E$38,E$30)</f>
        <v>0.09</v>
      </c>
    </row>
    <row r="35" spans="2:13" ht="13.8" thickBot="1">
      <c r="B35" s="188" t="str">
        <f>IF(Select2=1,"Disposable nappies","")</f>
        <v/>
      </c>
      <c r="C35" s="218" t="str">
        <f>IF(Select2=1,INDEX(half_life,3,selected*2),"")</f>
        <v/>
      </c>
      <c r="D35" s="106" t="str">
        <f>IF(Select2=1,INDEX(half_life,3,selected*2-1),"")</f>
        <v/>
      </c>
      <c r="E35" s="567" t="str">
        <f t="shared" si="3"/>
        <v/>
      </c>
      <c r="F35" s="295"/>
      <c r="L35" s="39" t="s">
        <v>26</v>
      </c>
      <c r="M35" s="39">
        <f>IF(Select2=1,E38,E$31)</f>
        <v>0.09</v>
      </c>
    </row>
    <row r="36" spans="2:13">
      <c r="B36" s="188" t="str">
        <f>IF(Select2=1,"Sewage sludge","")</f>
        <v/>
      </c>
      <c r="C36" s="218" t="str">
        <f>IF(Select2=1,INDEX(half_life,4,selected*2),"")</f>
        <v/>
      </c>
      <c r="D36" s="106" t="str">
        <f>IF(Select2=1,INDEX(half_life,4,selected*2-1),"")</f>
        <v/>
      </c>
      <c r="E36" s="567" t="str">
        <f t="shared" si="3"/>
        <v/>
      </c>
      <c r="F36" s="295"/>
    </row>
    <row r="37" spans="2:13">
      <c r="B37" s="188"/>
      <c r="C37" s="218"/>
      <c r="D37" s="428" t="s">
        <v>254</v>
      </c>
      <c r="E37" s="567" t="str">
        <f t="shared" si="3"/>
        <v/>
      </c>
      <c r="F37" s="295"/>
    </row>
    <row r="38" spans="2:13" ht="13.8" thickBot="1">
      <c r="B38" s="39" t="str">
        <f>IF(Select2=1,"Industrial waste","")</f>
        <v/>
      </c>
      <c r="C38" s="220" t="str">
        <f>IF(Select2=1,INDEX(half_life,5,selected*2),"")</f>
        <v/>
      </c>
      <c r="D38" s="189" t="str">
        <f>IF(Select2=1,INDEX(half_life,5,selected*2-1),"")</f>
        <v/>
      </c>
      <c r="E38" s="574" t="str">
        <f t="shared" si="3"/>
        <v/>
      </c>
      <c r="F38" s="296"/>
      <c r="G38" s="565" t="str">
        <f>IF(Select2=1,"The composition of industrial waste will vary significantly by country. This DOC value should match the amounts entered (see Guidelines).","")</f>
        <v/>
      </c>
    </row>
    <row r="39" spans="2:13" ht="13.8" thickBot="1">
      <c r="B39" s="41"/>
      <c r="C39" s="19"/>
      <c r="D39" s="42"/>
      <c r="E39" s="23"/>
      <c r="F39" s="42"/>
    </row>
    <row r="40" spans="2:13" ht="13.8" thickBot="1">
      <c r="B40" s="63" t="s">
        <v>51</v>
      </c>
      <c r="C40" s="66"/>
      <c r="D40" s="48">
        <v>6</v>
      </c>
      <c r="E40" s="70">
        <v>6</v>
      </c>
      <c r="F40" s="71"/>
    </row>
    <row r="41" spans="2:13" ht="13.8" thickBot="1">
      <c r="B41" s="41"/>
      <c r="C41" s="19"/>
      <c r="D41" s="42"/>
      <c r="E41" s="43"/>
      <c r="F41" s="42"/>
    </row>
    <row r="42" spans="2:13" ht="13.8" thickBot="1">
      <c r="B42" s="63" t="s">
        <v>262</v>
      </c>
      <c r="C42" s="66"/>
      <c r="D42" s="40">
        <v>0.5</v>
      </c>
      <c r="E42" s="70">
        <f>D42</f>
        <v>0.5</v>
      </c>
      <c r="F42" s="71"/>
    </row>
    <row r="43" spans="2:13" ht="13.8" thickBot="1">
      <c r="B43" s="41"/>
      <c r="C43" s="19"/>
      <c r="D43" s="42"/>
      <c r="E43" s="23"/>
      <c r="F43" s="42"/>
    </row>
    <row r="44" spans="2:13" ht="16.2" thickBot="1">
      <c r="B44" s="63" t="s">
        <v>24</v>
      </c>
      <c r="C44" s="66"/>
      <c r="D44" s="44">
        <f>16/12</f>
        <v>1.3333333333333333</v>
      </c>
      <c r="E44" s="45">
        <f>16/12</f>
        <v>1.3333333333333333</v>
      </c>
      <c r="F44" s="46"/>
    </row>
    <row r="45" spans="2:13" ht="13.8" thickBot="1">
      <c r="B45" s="41"/>
      <c r="C45" s="19"/>
      <c r="D45" s="42"/>
      <c r="E45" s="23"/>
      <c r="F45" s="42"/>
    </row>
    <row r="46" spans="2:13" ht="13.8" thickBot="1">
      <c r="B46" s="63" t="s">
        <v>25</v>
      </c>
      <c r="C46" s="66"/>
      <c r="D46" s="40">
        <v>0</v>
      </c>
      <c r="E46" s="70">
        <f>D46</f>
        <v>0</v>
      </c>
      <c r="F46" s="71"/>
    </row>
    <row r="47" spans="2:13" ht="13.8" thickBot="1">
      <c r="B47" s="47"/>
      <c r="C47" s="19"/>
      <c r="D47" s="42"/>
      <c r="E47" s="23"/>
      <c r="F47" s="42"/>
    </row>
    <row r="48" spans="2:13" ht="13.8" thickBot="1">
      <c r="B48" s="63" t="s">
        <v>91</v>
      </c>
      <c r="C48" s="66"/>
      <c r="D48" s="64"/>
      <c r="E48" s="65"/>
      <c r="F48" s="64"/>
    </row>
    <row r="49" spans="2:6">
      <c r="B49" s="477" t="s">
        <v>231</v>
      </c>
      <c r="C49" s="470"/>
      <c r="D49" s="475">
        <v>0</v>
      </c>
      <c r="E49" s="515">
        <f>D49</f>
        <v>0</v>
      </c>
      <c r="F49" s="129"/>
    </row>
    <row r="50" spans="2:6" ht="13.8" thickBot="1">
      <c r="B50" s="478" t="s">
        <v>232</v>
      </c>
      <c r="C50" s="472"/>
      <c r="D50" s="476">
        <v>0</v>
      </c>
      <c r="E50" s="78">
        <f>D50</f>
        <v>0</v>
      </c>
      <c r="F50" s="69"/>
    </row>
    <row r="51" spans="2:6" ht="13.8" thickBot="1">
      <c r="B51" s="180"/>
      <c r="C51" s="344"/>
      <c r="D51" s="346"/>
      <c r="E51" s="348"/>
      <c r="F51" s="347"/>
    </row>
    <row r="52" spans="2:6" ht="27" thickBot="1">
      <c r="B52" s="466" t="s">
        <v>264</v>
      </c>
      <c r="C52" s="209"/>
      <c r="D52" s="345"/>
      <c r="E52" s="345"/>
      <c r="F52" s="210"/>
    </row>
    <row r="53" spans="2:6">
      <c r="B53" s="467" t="str">
        <f>IF(Select2=1,"","DOC for garden waste")</f>
        <v>DOC for garden waste</v>
      </c>
      <c r="C53" s="470"/>
      <c r="D53" s="473">
        <f>IF(Select2=1,"",INDEX(DOC_table,2,1))</f>
        <v>0.2</v>
      </c>
      <c r="E53" s="517">
        <f>D53</f>
        <v>0.2</v>
      </c>
      <c r="F53" s="518"/>
    </row>
    <row r="54" spans="2:6">
      <c r="B54" s="468" t="str">
        <f>IF(Select2=1,"","DOC for paper and cardboard")</f>
        <v>DOC for paper and cardboard</v>
      </c>
      <c r="C54" s="471"/>
      <c r="D54" s="474">
        <f>IF(Select2=1,"",INDEX(DOC_table,3,1))</f>
        <v>0.4</v>
      </c>
      <c r="E54" s="519">
        <f>D54</f>
        <v>0.4</v>
      </c>
      <c r="F54" s="520"/>
    </row>
    <row r="55" spans="2:6" ht="13.8" thickBot="1">
      <c r="B55" s="469" t="str">
        <f>IF(Select2=1,"","DOC for wood and straw")</f>
        <v>DOC for wood and straw</v>
      </c>
      <c r="C55" s="472"/>
      <c r="D55" s="479">
        <f>IF(Select2=1,"",INDEX(DOC_table,4,1))</f>
        <v>0.43</v>
      </c>
      <c r="E55" s="521">
        <f>D55</f>
        <v>0.43</v>
      </c>
      <c r="F55" s="522"/>
    </row>
  </sheetData>
  <customSheetViews>
    <customSheetView guid="{B400968E-E9A7-41C3-9739-36597C9C6BC6}" showGridLines="0" showRuler="0">
      <pane xSplit="2" ySplit="8" topLeftCell="C28" activePane="bottomRight" state="frozen"/>
      <selection pane="bottomRight" activeCell="B30" sqref="B30"/>
      <pageMargins left="0.75" right="0.75" top="1" bottom="1" header="0.5" footer="0.5"/>
      <pageSetup paperSize="9" scale="86" orientation="portrait"/>
      <headerFooter alignWithMargins="0"/>
    </customSheetView>
  </customSheetViews>
  <mergeCells count="4">
    <mergeCell ref="C7:D7"/>
    <mergeCell ref="E7:F7"/>
    <mergeCell ref="D2:F2"/>
    <mergeCell ref="D3:F3"/>
  </mergeCells>
  <phoneticPr fontId="17" type="noConversion"/>
  <conditionalFormatting sqref="G38 G17 G21 G13 G34 G30">
    <cfRule type="expression" dxfId="2" priority="1" stopIfTrue="1">
      <formula>IF(Select2=1,TRUE,FALSE)</formula>
    </cfRule>
  </conditionalFormatting>
  <conditionalFormatting sqref="G14 G31">
    <cfRule type="expression" dxfId="1" priority="2" stopIfTrue="1">
      <formula>IF(Select2=1,TRUE,FALSE)</formula>
    </cfRule>
    <cfRule type="expression" dxfId="0" priority="3" stopIfTrue="1">
      <formula>IF(Select2=2,TRUE,FALSE)</formula>
    </cfRule>
  </conditionalFormatting>
  <dataValidations xWindow="891" yWindow="760" count="5">
    <dataValidation type="whole" allowBlank="1" showInputMessage="1" showErrorMessage="1" errorTitle="Error in delay time" error="Please enter a whole number of months between 0 and 24" sqref="E40" xr:uid="{00000000-0002-0000-0100-000000000000}">
      <formula1>0</formula1>
      <formula2>24</formula2>
    </dataValidation>
    <dataValidation type="decimal" allowBlank="1" showInputMessage="1" showErrorMessage="1" error="Please enter a number between 0 and 1" sqref="E42 E46" xr:uid="{00000000-0002-0000-0100-00000100000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E13:E21" xr:uid="{00000000-0002-0000-0100-000002000000}">
      <formula1>0</formula1>
      <formula2>1</formula2>
    </dataValidation>
    <dataValidation type="decimal" allowBlank="1" showInputMessage="1" showErrorMessage="1" error="Please enter a number between 0 and 10000" sqref="E30:E38" xr:uid="{00000000-0002-0000-0100-000003000000}">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23:E26" xr:uid="{00000000-0002-0000-0100-000004000000}">
      <formula1>0</formula1>
      <formula2>1</formula2>
    </dataValidation>
  </dataValidations>
  <pageMargins left="0.75" right="0.75" top="1" bottom="1" header="0.5" footer="0.5"/>
  <pageSetup paperSize="9" scale="8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4344" r:id="rId4" name="Drop Down 8">
              <controlPr defaultSize="0" autoLine="0" autoPict="0">
                <anchor moveWithCells="1">
                  <from>
                    <xdr:col>2</xdr:col>
                    <xdr:colOff>99060</xdr:colOff>
                    <xdr:row>26</xdr:row>
                    <xdr:rowOff>137160</xdr:rowOff>
                  </from>
                  <to>
                    <xdr:col>4</xdr:col>
                    <xdr:colOff>0</xdr:colOff>
                    <xdr:row>28</xdr:row>
                    <xdr:rowOff>0</xdr:rowOff>
                  </to>
                </anchor>
              </controlPr>
            </control>
          </mc:Choice>
        </mc:AlternateContent>
        <mc:AlternateContent xmlns:mc="http://schemas.openxmlformats.org/markup-compatibility/2006">
          <mc:Choice Requires="x14">
            <control shapeId="14345" r:id="rId5" name="Drop Down 9">
              <controlPr defaultSize="0" autoLine="0" autoPict="0">
                <anchor moveWithCells="1">
                  <from>
                    <xdr:col>2</xdr:col>
                    <xdr:colOff>99060</xdr:colOff>
                    <xdr:row>9</xdr:row>
                    <xdr:rowOff>137160</xdr:rowOff>
                  </from>
                  <to>
                    <xdr:col>4</xdr:col>
                    <xdr:colOff>0</xdr:colOff>
                    <xdr:row>11</xdr:row>
                    <xdr:rowOff>0</xdr:rowOff>
                  </to>
                </anchor>
              </controlPr>
            </control>
          </mc:Choice>
        </mc:AlternateContent>
        <mc:AlternateContent xmlns:mc="http://schemas.openxmlformats.org/markup-compatibility/2006">
          <mc:Choice Requires="x14">
            <control shapeId="14348" r:id="rId6" name="Drop Down 12">
              <controlPr defaultSize="0" autoLine="0" autoPict="0">
                <anchor moveWithCells="1">
                  <from>
                    <xdr:col>3</xdr:col>
                    <xdr:colOff>30480</xdr:colOff>
                    <xdr:row>1</xdr:row>
                    <xdr:rowOff>190500</xdr:rowOff>
                  </from>
                  <to>
                    <xdr:col>5</xdr:col>
                    <xdr:colOff>1615440</xdr:colOff>
                    <xdr:row>2</xdr:row>
                    <xdr:rowOff>190500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2:J99"/>
  <sheetViews>
    <sheetView showGridLines="0" workbookViewId="0">
      <selection activeCell="I7" sqref="I7"/>
    </sheetView>
  </sheetViews>
  <sheetFormatPr defaultColWidth="11.44140625" defaultRowHeight="13.2"/>
  <cols>
    <col min="1" max="1" width="3.44140625" style="6" customWidth="1"/>
    <col min="2" max="2" width="5.33203125" style="6" customWidth="1"/>
    <col min="3" max="3" width="9" style="6" customWidth="1"/>
    <col min="4" max="4" width="7.44140625" style="272" customWidth="1"/>
    <col min="5" max="6" width="10.6640625" style="6" customWidth="1"/>
    <col min="7" max="7" width="10.109375" style="6" customWidth="1"/>
    <col min="8" max="8" width="14.44140625" style="6" customWidth="1"/>
    <col min="9" max="9" width="11.6640625" style="6" customWidth="1"/>
    <col min="10" max="10" width="10.33203125" style="6" customWidth="1"/>
    <col min="11" max="16384" width="11.44140625" style="6"/>
  </cols>
  <sheetData>
    <row r="2" spans="1:10" ht="15.6">
      <c r="B2" s="80" t="s">
        <v>195</v>
      </c>
      <c r="C2" s="274"/>
      <c r="D2" s="275"/>
      <c r="E2" s="276"/>
      <c r="F2" s="276"/>
      <c r="G2" s="276"/>
      <c r="H2" s="276"/>
      <c r="I2" s="276"/>
      <c r="J2" s="276"/>
    </row>
    <row r="3" spans="1:10" ht="15.6">
      <c r="B3" s="4"/>
      <c r="C3" s="274"/>
      <c r="D3" s="275"/>
      <c r="E3" s="276"/>
      <c r="F3" s="276"/>
      <c r="G3" s="276"/>
      <c r="H3" s="276"/>
      <c r="I3" s="276"/>
      <c r="J3" s="276"/>
    </row>
    <row r="4" spans="1:10" ht="16.2" thickBot="1">
      <c r="B4" s="4"/>
      <c r="C4" s="277"/>
      <c r="D4" s="278"/>
      <c r="E4" s="279"/>
      <c r="F4" s="279"/>
      <c r="G4" s="279"/>
      <c r="H4" s="279"/>
      <c r="I4" s="279"/>
      <c r="J4" s="279"/>
    </row>
    <row r="5" spans="1:10" ht="27" thickBot="1">
      <c r="B5" s="280"/>
      <c r="C5" s="281"/>
      <c r="D5" s="282"/>
      <c r="E5" s="266"/>
      <c r="F5" s="266"/>
      <c r="G5" s="266"/>
      <c r="H5" s="266"/>
      <c r="I5" s="150" t="s">
        <v>8</v>
      </c>
      <c r="J5" s="266"/>
    </row>
    <row r="6" spans="1:10">
      <c r="B6" s="280"/>
      <c r="C6" s="281"/>
      <c r="D6" s="143" t="s">
        <v>10</v>
      </c>
      <c r="E6" s="144"/>
      <c r="F6" s="144"/>
      <c r="G6" s="148"/>
      <c r="H6" s="155" t="s">
        <v>10</v>
      </c>
      <c r="I6" s="307">
        <f>Parameters!M21</f>
        <v>0.15</v>
      </c>
      <c r="J6" s="266"/>
    </row>
    <row r="7" spans="1:10" ht="13.8" thickBot="1">
      <c r="B7" s="280"/>
      <c r="C7" s="281"/>
      <c r="D7" s="308" t="s">
        <v>14</v>
      </c>
      <c r="E7" s="309"/>
      <c r="F7" s="309"/>
      <c r="G7" s="310"/>
      <c r="H7" s="311" t="s">
        <v>14</v>
      </c>
      <c r="I7" s="654">
        <f>DOCF</f>
        <v>0.5</v>
      </c>
      <c r="J7" s="266"/>
    </row>
    <row r="8" spans="1:10">
      <c r="D8" s="143" t="s">
        <v>226</v>
      </c>
      <c r="E8" s="144"/>
      <c r="F8" s="144"/>
      <c r="G8" s="148"/>
      <c r="H8" s="155" t="s">
        <v>222</v>
      </c>
      <c r="I8" s="149">
        <f>Parameters!M35</f>
        <v>0.09</v>
      </c>
      <c r="J8" s="81"/>
    </row>
    <row r="9" spans="1:10" ht="15.6">
      <c r="D9" s="303" t="s">
        <v>224</v>
      </c>
      <c r="E9" s="304"/>
      <c r="F9" s="304"/>
      <c r="G9" s="305"/>
      <c r="H9" s="306" t="s">
        <v>223</v>
      </c>
      <c r="I9" s="312">
        <f>LN(2)/$I$8</f>
        <v>7.7016353395549482</v>
      </c>
      <c r="J9" s="81"/>
    </row>
    <row r="10" spans="1:10">
      <c r="D10" s="145" t="s">
        <v>95</v>
      </c>
      <c r="E10" s="146"/>
      <c r="F10" s="146"/>
      <c r="G10" s="147"/>
      <c r="H10" s="156" t="s">
        <v>179</v>
      </c>
      <c r="I10" s="82">
        <f>EXP(-$I$8)</f>
        <v>0.91393118527122819</v>
      </c>
      <c r="J10" s="81"/>
    </row>
    <row r="11" spans="1:10">
      <c r="D11" s="145" t="s">
        <v>9</v>
      </c>
      <c r="E11" s="146"/>
      <c r="F11" s="146"/>
      <c r="G11" s="147"/>
      <c r="H11" s="156" t="s">
        <v>94</v>
      </c>
      <c r="I11" s="82">
        <f>Parameters!E40+7</f>
        <v>13</v>
      </c>
      <c r="J11" s="81"/>
    </row>
    <row r="12" spans="1:10" ht="13.8" thickBot="1">
      <c r="D12" s="267" t="s">
        <v>96</v>
      </c>
      <c r="E12" s="268"/>
      <c r="F12" s="268"/>
      <c r="G12" s="269"/>
      <c r="H12" s="270" t="s">
        <v>213</v>
      </c>
      <c r="I12" s="271">
        <f>EXP(-$I$8*((13-I11)/12))</f>
        <v>1</v>
      </c>
      <c r="J12" s="81"/>
    </row>
    <row r="13" spans="1:10" ht="13.8" thickBot="1">
      <c r="C13" s="83"/>
      <c r="D13" s="151" t="s">
        <v>97</v>
      </c>
      <c r="E13" s="152"/>
      <c r="F13" s="152"/>
      <c r="G13" s="153"/>
      <c r="H13" s="157" t="s">
        <v>93</v>
      </c>
      <c r="I13" s="154">
        <f>CH4_fraction</f>
        <v>0.5</v>
      </c>
      <c r="J13" s="81"/>
    </row>
    <row r="14" spans="1:10" ht="13.8" thickBot="1">
      <c r="E14" s="81"/>
      <c r="F14" s="81"/>
      <c r="G14" s="81"/>
      <c r="H14" s="81"/>
      <c r="I14" s="81"/>
      <c r="J14" s="81"/>
    </row>
    <row r="15" spans="1:10" ht="66">
      <c r="B15" s="84" t="s">
        <v>1</v>
      </c>
      <c r="C15" s="85" t="s">
        <v>11</v>
      </c>
      <c r="D15" s="86" t="s">
        <v>12</v>
      </c>
      <c r="E15" s="87" t="s">
        <v>214</v>
      </c>
      <c r="F15" s="87" t="s">
        <v>215</v>
      </c>
      <c r="G15" s="87" t="s">
        <v>216</v>
      </c>
      <c r="H15" s="87" t="s">
        <v>217</v>
      </c>
      <c r="I15" s="87" t="s">
        <v>218</v>
      </c>
      <c r="J15" s="302" t="s">
        <v>219</v>
      </c>
    </row>
    <row r="16" spans="1:10" ht="23.4">
      <c r="A16" s="283"/>
      <c r="B16" s="138"/>
      <c r="C16" s="139" t="s">
        <v>220</v>
      </c>
      <c r="D16" s="140" t="s">
        <v>12</v>
      </c>
      <c r="E16" s="141" t="s">
        <v>221</v>
      </c>
      <c r="F16" s="141" t="s">
        <v>180</v>
      </c>
      <c r="G16" s="141" t="s">
        <v>181</v>
      </c>
      <c r="H16" s="141" t="s">
        <v>182</v>
      </c>
      <c r="I16" s="141" t="s">
        <v>225</v>
      </c>
      <c r="J16" s="142" t="s">
        <v>183</v>
      </c>
    </row>
    <row r="17" spans="2:10" ht="13.8" thickBot="1">
      <c r="B17" s="16"/>
      <c r="C17" s="17" t="s">
        <v>17</v>
      </c>
      <c r="D17" s="88" t="s">
        <v>23</v>
      </c>
      <c r="E17" s="89" t="s">
        <v>17</v>
      </c>
      <c r="F17" s="89" t="s">
        <v>17</v>
      </c>
      <c r="G17" s="89" t="s">
        <v>17</v>
      </c>
      <c r="H17" s="89" t="s">
        <v>17</v>
      </c>
      <c r="I17" s="89" t="s">
        <v>17</v>
      </c>
      <c r="J17" s="90" t="s">
        <v>17</v>
      </c>
    </row>
    <row r="18" spans="2:10" ht="13.8" thickBot="1">
      <c r="B18" s="19"/>
      <c r="C18" s="91"/>
      <c r="D18" s="92"/>
      <c r="E18" s="168"/>
      <c r="F18" s="93"/>
      <c r="G18" s="93"/>
      <c r="H18" s="93"/>
      <c r="I18" s="93"/>
      <c r="J18" s="94"/>
    </row>
    <row r="19" spans="2:10">
      <c r="B19" s="130">
        <f>Amnt_Deposited!B11</f>
        <v>1950</v>
      </c>
      <c r="C19" s="133">
        <f>Amnt_Deposited!L11</f>
        <v>500</v>
      </c>
      <c r="D19" s="96">
        <f>MCF!Y18</f>
        <v>0.71500000000000008</v>
      </c>
      <c r="E19" s="167">
        <f>C19*$I$6*$I$7*D19</f>
        <v>26.812500000000004</v>
      </c>
      <c r="F19" s="95">
        <f t="shared" ref="F19:F82" si="0">E19*$I$12</f>
        <v>26.812500000000004</v>
      </c>
      <c r="G19" s="95">
        <f>E19*(1-$I$12)</f>
        <v>0</v>
      </c>
      <c r="H19" s="95">
        <f>F19+H18*$I$10</f>
        <v>26.812500000000004</v>
      </c>
      <c r="I19" s="95">
        <f>H18*(1-$I$10)+G19</f>
        <v>0</v>
      </c>
      <c r="J19" s="97">
        <f>I19*CH4_fraction*conv</f>
        <v>0</v>
      </c>
    </row>
    <row r="20" spans="2:10">
      <c r="B20" s="131">
        <f>Amnt_Deposited!B12</f>
        <v>1951</v>
      </c>
      <c r="C20" s="134">
        <f>Amnt_Deposited!L12</f>
        <v>500</v>
      </c>
      <c r="D20" s="98">
        <f>MCF!Y19</f>
        <v>0.71500000000000008</v>
      </c>
      <c r="E20" s="167">
        <f t="shared" ref="E20:E83" si="1">C20*$I$6*$I$7*D20</f>
        <v>26.812500000000004</v>
      </c>
      <c r="F20" s="100">
        <f t="shared" si="0"/>
        <v>26.812500000000004</v>
      </c>
      <c r="G20" s="100">
        <f t="shared" ref="G20:G83" si="2">E20*(1-$I$12)</f>
        <v>0</v>
      </c>
      <c r="H20" s="100">
        <f t="shared" ref="H20:H83" si="3">F20+H19*$I$10</f>
        <v>51.317279905084817</v>
      </c>
      <c r="I20" s="100">
        <f t="shared" ref="I20:I83" si="4">H19*(1-$I$10)+G20</f>
        <v>2.3077200949151946</v>
      </c>
      <c r="J20" s="135">
        <f>I20*CH4_fraction*conv</f>
        <v>1.5384800632767963</v>
      </c>
    </row>
    <row r="21" spans="2:10">
      <c r="B21" s="131">
        <f>Amnt_Deposited!B13</f>
        <v>1952</v>
      </c>
      <c r="C21" s="134">
        <f>Amnt_Deposited!L13</f>
        <v>500</v>
      </c>
      <c r="D21" s="98">
        <f>MCF!Y20</f>
        <v>0.71500000000000008</v>
      </c>
      <c r="E21" s="167">
        <f t="shared" si="1"/>
        <v>26.812500000000004</v>
      </c>
      <c r="F21" s="100">
        <f t="shared" si="0"/>
        <v>26.812500000000004</v>
      </c>
      <c r="G21" s="100">
        <f t="shared" si="2"/>
        <v>0</v>
      </c>
      <c r="H21" s="100">
        <f t="shared" si="3"/>
        <v>73.712962448549547</v>
      </c>
      <c r="I21" s="100">
        <f t="shared" si="4"/>
        <v>4.41681745653527</v>
      </c>
      <c r="J21" s="135">
        <f t="shared" ref="J21:J84" si="5">I21*CH4_fraction*conv</f>
        <v>2.9445449710235132</v>
      </c>
    </row>
    <row r="22" spans="2:10">
      <c r="B22" s="131">
        <f>Amnt_Deposited!B14</f>
        <v>1953</v>
      </c>
      <c r="C22" s="134">
        <f>Amnt_Deposited!L14</f>
        <v>500</v>
      </c>
      <c r="D22" s="98">
        <f>MCF!Y21</f>
        <v>0.71500000000000008</v>
      </c>
      <c r="E22" s="167">
        <f t="shared" si="1"/>
        <v>26.812500000000004</v>
      </c>
      <c r="F22" s="100">
        <f t="shared" si="0"/>
        <v>26.812500000000004</v>
      </c>
      <c r="G22" s="100">
        <f t="shared" si="2"/>
        <v>0</v>
      </c>
      <c r="H22" s="100">
        <f t="shared" si="3"/>
        <v>94.181075140456429</v>
      </c>
      <c r="I22" s="100">
        <f t="shared" si="4"/>
        <v>6.3443873080931246</v>
      </c>
      <c r="J22" s="135">
        <f t="shared" si="5"/>
        <v>4.2295915387287497</v>
      </c>
    </row>
    <row r="23" spans="2:10">
      <c r="B23" s="131">
        <f>Amnt_Deposited!B15</f>
        <v>1954</v>
      </c>
      <c r="C23" s="134">
        <f>Amnt_Deposited!L15</f>
        <v>500</v>
      </c>
      <c r="D23" s="98">
        <f>MCF!Y22</f>
        <v>0.71500000000000008</v>
      </c>
      <c r="E23" s="167">
        <f t="shared" si="1"/>
        <v>26.812500000000004</v>
      </c>
      <c r="F23" s="100">
        <f t="shared" si="0"/>
        <v>26.812500000000004</v>
      </c>
      <c r="G23" s="100">
        <f t="shared" si="2"/>
        <v>0</v>
      </c>
      <c r="H23" s="100">
        <f t="shared" si="3"/>
        <v>112.88752163323595</v>
      </c>
      <c r="I23" s="100">
        <f t="shared" si="4"/>
        <v>8.1060535072204818</v>
      </c>
      <c r="J23" s="135">
        <f t="shared" si="5"/>
        <v>5.4040356714803206</v>
      </c>
    </row>
    <row r="24" spans="2:10">
      <c r="B24" s="131">
        <f>Amnt_Deposited!B16</f>
        <v>1955</v>
      </c>
      <c r="C24" s="134">
        <f>Amnt_Deposited!L16</f>
        <v>500</v>
      </c>
      <c r="D24" s="98">
        <f>MCF!Y23</f>
        <v>0.71500000000000008</v>
      </c>
      <c r="E24" s="167">
        <f t="shared" si="1"/>
        <v>26.812500000000004</v>
      </c>
      <c r="F24" s="100">
        <f t="shared" si="0"/>
        <v>26.812500000000004</v>
      </c>
      <c r="G24" s="100">
        <f t="shared" si="2"/>
        <v>0</v>
      </c>
      <c r="H24" s="100">
        <f t="shared" si="3"/>
        <v>129.98392644859476</v>
      </c>
      <c r="I24" s="100">
        <f t="shared" si="4"/>
        <v>9.7160951846412047</v>
      </c>
      <c r="J24" s="135">
        <f t="shared" si="5"/>
        <v>6.4773967897608031</v>
      </c>
    </row>
    <row r="25" spans="2:10">
      <c r="B25" s="131">
        <f>Amnt_Deposited!B17</f>
        <v>1956</v>
      </c>
      <c r="C25" s="134">
        <f>Amnt_Deposited!L17</f>
        <v>500</v>
      </c>
      <c r="D25" s="98">
        <f>MCF!Y24</f>
        <v>0.71500000000000008</v>
      </c>
      <c r="E25" s="167">
        <f t="shared" si="1"/>
        <v>26.812500000000004</v>
      </c>
      <c r="F25" s="100">
        <f t="shared" si="0"/>
        <v>26.812500000000004</v>
      </c>
      <c r="G25" s="100">
        <f t="shared" si="2"/>
        <v>0</v>
      </c>
      <c r="H25" s="100">
        <f t="shared" si="3"/>
        <v>145.60886396537236</v>
      </c>
      <c r="I25" s="100">
        <f t="shared" si="4"/>
        <v>11.187562483222404</v>
      </c>
      <c r="J25" s="135">
        <f t="shared" si="5"/>
        <v>7.4583749888149358</v>
      </c>
    </row>
    <row r="26" spans="2:10">
      <c r="B26" s="131">
        <f>Amnt_Deposited!B18</f>
        <v>1957</v>
      </c>
      <c r="C26" s="134">
        <f>Amnt_Deposited!L18</f>
        <v>500</v>
      </c>
      <c r="D26" s="98">
        <f>MCF!Y25</f>
        <v>0.71500000000000008</v>
      </c>
      <c r="E26" s="167">
        <f t="shared" si="1"/>
        <v>26.812500000000004</v>
      </c>
      <c r="F26" s="100">
        <f t="shared" si="0"/>
        <v>26.812500000000004</v>
      </c>
      <c r="G26" s="100">
        <f t="shared" si="2"/>
        <v>0</v>
      </c>
      <c r="H26" s="100">
        <f t="shared" si="3"/>
        <v>159.88898162986979</v>
      </c>
      <c r="I26" s="100">
        <f t="shared" si="4"/>
        <v>12.532382335502572</v>
      </c>
      <c r="J26" s="135">
        <f t="shared" si="5"/>
        <v>8.3549215570017132</v>
      </c>
    </row>
    <row r="27" spans="2:10">
      <c r="B27" s="131">
        <f>Amnt_Deposited!B19</f>
        <v>1958</v>
      </c>
      <c r="C27" s="134">
        <f>Amnt_Deposited!L19</f>
        <v>500</v>
      </c>
      <c r="D27" s="98">
        <f>MCF!Y26</f>
        <v>0.71500000000000008</v>
      </c>
      <c r="E27" s="167">
        <f t="shared" si="1"/>
        <v>26.812500000000004</v>
      </c>
      <c r="F27" s="100">
        <f t="shared" si="0"/>
        <v>26.812500000000004</v>
      </c>
      <c r="G27" s="100">
        <f t="shared" si="2"/>
        <v>0</v>
      </c>
      <c r="H27" s="100">
        <f t="shared" si="3"/>
        <v>172.94002649279653</v>
      </c>
      <c r="I27" s="100">
        <f t="shared" si="4"/>
        <v>13.761455137073263</v>
      </c>
      <c r="J27" s="135">
        <f t="shared" si="5"/>
        <v>9.1743034247155073</v>
      </c>
    </row>
    <row r="28" spans="2:10">
      <c r="B28" s="131">
        <f>Amnt_Deposited!B20</f>
        <v>1959</v>
      </c>
      <c r="C28" s="134">
        <f>Amnt_Deposited!L20</f>
        <v>500</v>
      </c>
      <c r="D28" s="98">
        <f>MCF!Y27</f>
        <v>0.71500000000000008</v>
      </c>
      <c r="E28" s="167">
        <f t="shared" si="1"/>
        <v>26.812500000000004</v>
      </c>
      <c r="F28" s="100">
        <f t="shared" si="0"/>
        <v>26.812500000000004</v>
      </c>
      <c r="G28" s="100">
        <f t="shared" si="2"/>
        <v>0</v>
      </c>
      <c r="H28" s="100">
        <f t="shared" si="3"/>
        <v>184.86778339339915</v>
      </c>
      <c r="I28" s="100">
        <f t="shared" si="4"/>
        <v>14.884743099397394</v>
      </c>
      <c r="J28" s="135">
        <f t="shared" si="5"/>
        <v>9.9231620662649291</v>
      </c>
    </row>
    <row r="29" spans="2:10">
      <c r="B29" s="131">
        <f>Amnt_Deposited!B21</f>
        <v>1960</v>
      </c>
      <c r="C29" s="134">
        <f>Amnt_Deposited!L21</f>
        <v>500</v>
      </c>
      <c r="D29" s="98">
        <f>MCF!Y28</f>
        <v>0.71500000000000008</v>
      </c>
      <c r="E29" s="167">
        <f t="shared" si="1"/>
        <v>26.812500000000004</v>
      </c>
      <c r="F29" s="100">
        <f t="shared" si="0"/>
        <v>26.812500000000004</v>
      </c>
      <c r="G29" s="100">
        <f t="shared" si="2"/>
        <v>0</v>
      </c>
      <c r="H29" s="100">
        <f t="shared" si="3"/>
        <v>195.76893239519396</v>
      </c>
      <c r="I29" s="100">
        <f t="shared" si="4"/>
        <v>15.91135099820519</v>
      </c>
      <c r="J29" s="135">
        <f t="shared" si="5"/>
        <v>10.607567332136792</v>
      </c>
    </row>
    <row r="30" spans="2:10">
      <c r="B30" s="131">
        <f>Amnt_Deposited!B22</f>
        <v>1961</v>
      </c>
      <c r="C30" s="134">
        <f>Amnt_Deposited!L22</f>
        <v>500</v>
      </c>
      <c r="D30" s="98">
        <f>MCF!Y29</f>
        <v>0.71500000000000008</v>
      </c>
      <c r="E30" s="167">
        <f t="shared" si="1"/>
        <v>26.812500000000004</v>
      </c>
      <c r="F30" s="100">
        <f t="shared" si="0"/>
        <v>26.812500000000004</v>
      </c>
      <c r="G30" s="100">
        <f t="shared" si="2"/>
        <v>0</v>
      </c>
      <c r="H30" s="100">
        <f t="shared" si="3"/>
        <v>205.73183242322256</v>
      </c>
      <c r="I30" s="100">
        <f t="shared" si="4"/>
        <v>16.849599971971404</v>
      </c>
      <c r="J30" s="135">
        <f t="shared" si="5"/>
        <v>11.233066647980936</v>
      </c>
    </row>
    <row r="31" spans="2:10">
      <c r="B31" s="131">
        <f>Amnt_Deposited!B23</f>
        <v>1962</v>
      </c>
      <c r="C31" s="134">
        <f>Amnt_Deposited!L23</f>
        <v>500</v>
      </c>
      <c r="D31" s="98">
        <f>MCF!Y30</f>
        <v>0.71500000000000008</v>
      </c>
      <c r="E31" s="167">
        <f t="shared" si="1"/>
        <v>26.812500000000004</v>
      </c>
      <c r="F31" s="100">
        <f t="shared" si="0"/>
        <v>26.812500000000004</v>
      </c>
      <c r="G31" s="100">
        <f t="shared" si="2"/>
        <v>0</v>
      </c>
      <c r="H31" s="100">
        <f t="shared" si="3"/>
        <v>214.83723745457749</v>
      </c>
      <c r="I31" s="100">
        <f t="shared" si="4"/>
        <v>17.707094968645073</v>
      </c>
      <c r="J31" s="135">
        <f t="shared" si="5"/>
        <v>11.804729979096715</v>
      </c>
    </row>
    <row r="32" spans="2:10">
      <c r="B32" s="131">
        <f>Amnt_Deposited!B24</f>
        <v>1963</v>
      </c>
      <c r="C32" s="134">
        <f>Amnt_Deposited!L24</f>
        <v>500</v>
      </c>
      <c r="D32" s="98">
        <f>MCF!Y31</f>
        <v>0.71500000000000008</v>
      </c>
      <c r="E32" s="167">
        <f t="shared" si="1"/>
        <v>26.812500000000004</v>
      </c>
      <c r="F32" s="100">
        <f t="shared" si="0"/>
        <v>26.812500000000004</v>
      </c>
      <c r="G32" s="100">
        <f t="shared" si="2"/>
        <v>0</v>
      </c>
      <c r="H32" s="100">
        <f t="shared" si="3"/>
        <v>223.1589510672583</v>
      </c>
      <c r="I32" s="100">
        <f t="shared" si="4"/>
        <v>18.490786387319186</v>
      </c>
      <c r="J32" s="135">
        <f t="shared" si="5"/>
        <v>12.327190924879456</v>
      </c>
    </row>
    <row r="33" spans="2:10">
      <c r="B33" s="131">
        <f>Amnt_Deposited!B25</f>
        <v>1964</v>
      </c>
      <c r="C33" s="134">
        <f>Amnt_Deposited!L25</f>
        <v>500</v>
      </c>
      <c r="D33" s="98">
        <f>MCF!Y32</f>
        <v>0.71500000000000008</v>
      </c>
      <c r="E33" s="167">
        <f t="shared" si="1"/>
        <v>26.812500000000004</v>
      </c>
      <c r="F33" s="100">
        <f t="shared" si="0"/>
        <v>26.812500000000004</v>
      </c>
      <c r="G33" s="100">
        <f t="shared" si="2"/>
        <v>0</v>
      </c>
      <c r="H33" s="100">
        <f t="shared" si="3"/>
        <v>230.76442465278339</v>
      </c>
      <c r="I33" s="100">
        <f t="shared" si="4"/>
        <v>19.20702641447491</v>
      </c>
      <c r="J33" s="135">
        <f t="shared" si="5"/>
        <v>12.804684276316607</v>
      </c>
    </row>
    <row r="34" spans="2:10">
      <c r="B34" s="131">
        <f>Amnt_Deposited!B26</f>
        <v>1965</v>
      </c>
      <c r="C34" s="134">
        <f>Amnt_Deposited!L26</f>
        <v>500</v>
      </c>
      <c r="D34" s="98">
        <f>MCF!Y33</f>
        <v>0.71500000000000008</v>
      </c>
      <c r="E34" s="167">
        <f t="shared" si="1"/>
        <v>26.812500000000004</v>
      </c>
      <c r="F34" s="100">
        <f t="shared" si="0"/>
        <v>26.812500000000004</v>
      </c>
      <c r="G34" s="100">
        <f t="shared" si="2"/>
        <v>0</v>
      </c>
      <c r="H34" s="100">
        <f t="shared" si="3"/>
        <v>237.71530414135134</v>
      </c>
      <c r="I34" s="100">
        <f t="shared" si="4"/>
        <v>19.861620511432037</v>
      </c>
      <c r="J34" s="135">
        <f t="shared" si="5"/>
        <v>13.24108034095469</v>
      </c>
    </row>
    <row r="35" spans="2:10">
      <c r="B35" s="131">
        <f>Amnt_Deposited!B27</f>
        <v>1966</v>
      </c>
      <c r="C35" s="134">
        <f>Amnt_Deposited!L27</f>
        <v>500</v>
      </c>
      <c r="D35" s="98">
        <f>MCF!Y34</f>
        <v>0.71500000000000008</v>
      </c>
      <c r="E35" s="167">
        <f t="shared" si="1"/>
        <v>26.812500000000004</v>
      </c>
      <c r="F35" s="100">
        <f t="shared" si="0"/>
        <v>26.812500000000004</v>
      </c>
      <c r="G35" s="100">
        <f t="shared" si="2"/>
        <v>0</v>
      </c>
      <c r="H35" s="100">
        <f t="shared" si="3"/>
        <v>244.06792967101572</v>
      </c>
      <c r="I35" s="100">
        <f t="shared" si="4"/>
        <v>20.459874470335613</v>
      </c>
      <c r="J35" s="135">
        <f t="shared" si="5"/>
        <v>13.639916313557075</v>
      </c>
    </row>
    <row r="36" spans="2:10">
      <c r="B36" s="131">
        <f>Amnt_Deposited!B28</f>
        <v>1967</v>
      </c>
      <c r="C36" s="134">
        <f>Amnt_Deposited!L28</f>
        <v>500</v>
      </c>
      <c r="D36" s="98">
        <f>MCF!Y35</f>
        <v>0.71500000000000008</v>
      </c>
      <c r="E36" s="167">
        <f t="shared" si="1"/>
        <v>26.812500000000004</v>
      </c>
      <c r="F36" s="100">
        <f t="shared" si="0"/>
        <v>26.812500000000004</v>
      </c>
      <c r="G36" s="100">
        <f t="shared" si="2"/>
        <v>0</v>
      </c>
      <c r="H36" s="100">
        <f t="shared" si="3"/>
        <v>249.87379225092616</v>
      </c>
      <c r="I36" s="100">
        <f t="shared" si="4"/>
        <v>21.006637420089561</v>
      </c>
      <c r="J36" s="135">
        <f t="shared" si="5"/>
        <v>14.004424946726374</v>
      </c>
    </row>
    <row r="37" spans="2:10">
      <c r="B37" s="131">
        <f>Amnt_Deposited!B29</f>
        <v>1968</v>
      </c>
      <c r="C37" s="134">
        <f>Amnt_Deposited!L29</f>
        <v>500</v>
      </c>
      <c r="D37" s="98">
        <f>MCF!Y36</f>
        <v>0.71500000000000008</v>
      </c>
      <c r="E37" s="167">
        <f t="shared" si="1"/>
        <v>26.812500000000004</v>
      </c>
      <c r="F37" s="100">
        <f t="shared" si="0"/>
        <v>26.812500000000004</v>
      </c>
      <c r="G37" s="100">
        <f t="shared" si="2"/>
        <v>0</v>
      </c>
      <c r="H37" s="100">
        <f t="shared" si="3"/>
        <v>255.17995112010559</v>
      </c>
      <c r="I37" s="100">
        <f t="shared" si="4"/>
        <v>21.50634113082058</v>
      </c>
      <c r="J37" s="135">
        <f t="shared" si="5"/>
        <v>14.337560753880386</v>
      </c>
    </row>
    <row r="38" spans="2:10">
      <c r="B38" s="131">
        <f>Amnt_Deposited!B30</f>
        <v>1969</v>
      </c>
      <c r="C38" s="134">
        <f>Amnt_Deposited!L30</f>
        <v>500</v>
      </c>
      <c r="D38" s="98">
        <f>MCF!Y37</f>
        <v>0.71500000000000008</v>
      </c>
      <c r="E38" s="167">
        <f t="shared" si="1"/>
        <v>26.812500000000004</v>
      </c>
      <c r="F38" s="100">
        <f t="shared" si="0"/>
        <v>26.812500000000004</v>
      </c>
      <c r="G38" s="100">
        <f t="shared" si="2"/>
        <v>0</v>
      </c>
      <c r="H38" s="100">
        <f t="shared" si="3"/>
        <v>260.02941518465218</v>
      </c>
      <c r="I38" s="100">
        <f t="shared" si="4"/>
        <v>21.963035935453416</v>
      </c>
      <c r="J38" s="135">
        <f t="shared" si="5"/>
        <v>14.642023956968943</v>
      </c>
    </row>
    <row r="39" spans="2:10">
      <c r="B39" s="131">
        <f>Amnt_Deposited!B31</f>
        <v>1970</v>
      </c>
      <c r="C39" s="134">
        <f>Amnt_Deposited!L31</f>
        <v>500</v>
      </c>
      <c r="D39" s="98">
        <f>MCF!Y38</f>
        <v>0.71500000000000008</v>
      </c>
      <c r="E39" s="167">
        <f t="shared" si="1"/>
        <v>26.812500000000004</v>
      </c>
      <c r="F39" s="100">
        <f t="shared" si="0"/>
        <v>26.812500000000004</v>
      </c>
      <c r="G39" s="100">
        <f t="shared" si="2"/>
        <v>0</v>
      </c>
      <c r="H39" s="100">
        <f t="shared" si="3"/>
        <v>264.46149162509346</v>
      </c>
      <c r="I39" s="100">
        <f t="shared" si="4"/>
        <v>22.380423559558714</v>
      </c>
      <c r="J39" s="135">
        <f t="shared" si="5"/>
        <v>14.920282373039143</v>
      </c>
    </row>
    <row r="40" spans="2:10">
      <c r="B40" s="131">
        <f>Amnt_Deposited!B32</f>
        <v>1971</v>
      </c>
      <c r="C40" s="134">
        <f>Amnt_Deposited!L32</f>
        <v>500</v>
      </c>
      <c r="D40" s="98">
        <f>MCF!Y39</f>
        <v>0.71500000000000008</v>
      </c>
      <c r="E40" s="167">
        <f t="shared" si="1"/>
        <v>26.812500000000004</v>
      </c>
      <c r="F40" s="100">
        <f t="shared" si="0"/>
        <v>26.812500000000004</v>
      </c>
      <c r="G40" s="100">
        <f t="shared" si="2"/>
        <v>0</v>
      </c>
      <c r="H40" s="100">
        <f t="shared" si="3"/>
        <v>268.51210449951867</v>
      </c>
      <c r="I40" s="100">
        <f t="shared" si="4"/>
        <v>22.761887125574809</v>
      </c>
      <c r="J40" s="135">
        <f t="shared" si="5"/>
        <v>15.174591417049871</v>
      </c>
    </row>
    <row r="41" spans="2:10">
      <c r="B41" s="131">
        <f>Amnt_Deposited!B33</f>
        <v>1972</v>
      </c>
      <c r="C41" s="134">
        <f>Amnt_Deposited!L33</f>
        <v>500</v>
      </c>
      <c r="D41" s="98">
        <f>MCF!Y40</f>
        <v>0.71500000000000008</v>
      </c>
      <c r="E41" s="167">
        <f t="shared" si="1"/>
        <v>26.812500000000004</v>
      </c>
      <c r="F41" s="100">
        <f t="shared" si="0"/>
        <v>26.812500000000004</v>
      </c>
      <c r="G41" s="100">
        <f t="shared" si="2"/>
        <v>0</v>
      </c>
      <c r="H41" s="100">
        <f t="shared" si="3"/>
        <v>272.21408592491701</v>
      </c>
      <c r="I41" s="100">
        <f t="shared" si="4"/>
        <v>23.110518574601688</v>
      </c>
      <c r="J41" s="135">
        <f t="shared" si="5"/>
        <v>15.407012383067791</v>
      </c>
    </row>
    <row r="42" spans="2:10">
      <c r="B42" s="131">
        <f>Amnt_Deposited!B34</f>
        <v>1973</v>
      </c>
      <c r="C42" s="134">
        <f>Amnt_Deposited!L34</f>
        <v>500</v>
      </c>
      <c r="D42" s="98">
        <f>MCF!Y41</f>
        <v>0.71500000000000008</v>
      </c>
      <c r="E42" s="167">
        <f t="shared" si="1"/>
        <v>26.812500000000004</v>
      </c>
      <c r="F42" s="100">
        <f t="shared" si="0"/>
        <v>26.812500000000004</v>
      </c>
      <c r="G42" s="100">
        <f t="shared" si="2"/>
        <v>0</v>
      </c>
      <c r="H42" s="100">
        <f t="shared" si="3"/>
        <v>275.59744219688338</v>
      </c>
      <c r="I42" s="100">
        <f t="shared" si="4"/>
        <v>23.429143728033655</v>
      </c>
      <c r="J42" s="135">
        <f t="shared" si="5"/>
        <v>15.619429152022436</v>
      </c>
    </row>
    <row r="43" spans="2:10">
      <c r="B43" s="131">
        <f>Amnt_Deposited!B35</f>
        <v>1974</v>
      </c>
      <c r="C43" s="134">
        <f>Amnt_Deposited!L35</f>
        <v>500</v>
      </c>
      <c r="D43" s="98">
        <f>MCF!Y42</f>
        <v>0.71500000000000008</v>
      </c>
      <c r="E43" s="167">
        <f t="shared" si="1"/>
        <v>26.812500000000004</v>
      </c>
      <c r="F43" s="100">
        <f t="shared" si="0"/>
        <v>26.812500000000004</v>
      </c>
      <c r="G43" s="100">
        <f t="shared" si="2"/>
        <v>0</v>
      </c>
      <c r="H43" s="100">
        <f t="shared" si="3"/>
        <v>278.68959700471646</v>
      </c>
      <c r="I43" s="100">
        <f t="shared" si="4"/>
        <v>23.720345192166956</v>
      </c>
      <c r="J43" s="135">
        <f t="shared" si="5"/>
        <v>15.813563461444637</v>
      </c>
    </row>
    <row r="44" spans="2:10">
      <c r="B44" s="131">
        <f>Amnt_Deposited!B36</f>
        <v>1975</v>
      </c>
      <c r="C44" s="134">
        <f>Amnt_Deposited!L36</f>
        <v>500</v>
      </c>
      <c r="D44" s="98">
        <f>MCF!Y43</f>
        <v>0.71500000000000008</v>
      </c>
      <c r="E44" s="167">
        <f t="shared" si="1"/>
        <v>26.812500000000004</v>
      </c>
      <c r="F44" s="100">
        <f t="shared" si="0"/>
        <v>26.812500000000004</v>
      </c>
      <c r="G44" s="100">
        <f t="shared" si="2"/>
        <v>0</v>
      </c>
      <c r="H44" s="100">
        <f t="shared" si="3"/>
        <v>281.51561371328148</v>
      </c>
      <c r="I44" s="100">
        <f t="shared" si="4"/>
        <v>23.986483291435022</v>
      </c>
      <c r="J44" s="135">
        <f t="shared" si="5"/>
        <v>15.99098886095668</v>
      </c>
    </row>
    <row r="45" spans="2:10">
      <c r="B45" s="131">
        <f>Amnt_Deposited!B37</f>
        <v>1976</v>
      </c>
      <c r="C45" s="134">
        <f>Amnt_Deposited!L37</f>
        <v>500</v>
      </c>
      <c r="D45" s="98">
        <f>MCF!Y44</f>
        <v>0.71500000000000008</v>
      </c>
      <c r="E45" s="167">
        <f t="shared" si="1"/>
        <v>26.812500000000004</v>
      </c>
      <c r="F45" s="100">
        <f t="shared" si="0"/>
        <v>26.812500000000004</v>
      </c>
      <c r="G45" s="100">
        <f t="shared" si="2"/>
        <v>0</v>
      </c>
      <c r="H45" s="100">
        <f t="shared" si="3"/>
        <v>284.09839851333658</v>
      </c>
      <c r="I45" s="100">
        <f t="shared" si="4"/>
        <v>24.229715199944916</v>
      </c>
      <c r="J45" s="135">
        <f t="shared" si="5"/>
        <v>16.153143466629942</v>
      </c>
    </row>
    <row r="46" spans="2:10">
      <c r="B46" s="131">
        <f>Amnt_Deposited!B38</f>
        <v>1977</v>
      </c>
      <c r="C46" s="134">
        <f>Amnt_Deposited!L38</f>
        <v>500</v>
      </c>
      <c r="D46" s="98">
        <f>MCF!Y45</f>
        <v>0.71500000000000008</v>
      </c>
      <c r="E46" s="167">
        <f t="shared" si="1"/>
        <v>26.812500000000004</v>
      </c>
      <c r="F46" s="100">
        <f t="shared" si="0"/>
        <v>26.812500000000004</v>
      </c>
      <c r="G46" s="100">
        <f t="shared" si="2"/>
        <v>0</v>
      </c>
      <c r="H46" s="100">
        <f t="shared" si="3"/>
        <v>286.45888608695145</v>
      </c>
      <c r="I46" s="100">
        <f t="shared" si="4"/>
        <v>24.452012426385149</v>
      </c>
      <c r="J46" s="135">
        <f t="shared" si="5"/>
        <v>16.301341617590097</v>
      </c>
    </row>
    <row r="47" spans="2:10">
      <c r="B47" s="131">
        <f>Amnt_Deposited!B39</f>
        <v>1978</v>
      </c>
      <c r="C47" s="134">
        <f>Amnt_Deposited!L39</f>
        <v>500</v>
      </c>
      <c r="D47" s="98">
        <f>MCF!Y46</f>
        <v>0.71500000000000008</v>
      </c>
      <c r="E47" s="167">
        <f t="shared" si="1"/>
        <v>26.812500000000004</v>
      </c>
      <c r="F47" s="100">
        <f t="shared" si="0"/>
        <v>26.812500000000004</v>
      </c>
      <c r="G47" s="100">
        <f t="shared" si="2"/>
        <v>0</v>
      </c>
      <c r="H47" s="100">
        <f t="shared" si="3"/>
        <v>288.61620929292326</v>
      </c>
      <c r="I47" s="100">
        <f t="shared" si="4"/>
        <v>24.655176794028176</v>
      </c>
      <c r="J47" s="135">
        <f t="shared" si="5"/>
        <v>16.436784529352117</v>
      </c>
    </row>
    <row r="48" spans="2:10">
      <c r="B48" s="131">
        <f>Amnt_Deposited!B40</f>
        <v>1979</v>
      </c>
      <c r="C48" s="134">
        <f>Amnt_Deposited!L40</f>
        <v>500</v>
      </c>
      <c r="D48" s="98">
        <f>MCF!Y47</f>
        <v>0.71500000000000008</v>
      </c>
      <c r="E48" s="167">
        <f t="shared" si="1"/>
        <v>26.812500000000004</v>
      </c>
      <c r="F48" s="100">
        <f t="shared" si="0"/>
        <v>26.812500000000004</v>
      </c>
      <c r="G48" s="100">
        <f t="shared" si="2"/>
        <v>0</v>
      </c>
      <c r="H48" s="100">
        <f t="shared" si="3"/>
        <v>290.58785424757019</v>
      </c>
      <c r="I48" s="100">
        <f t="shared" si="4"/>
        <v>24.840855045353042</v>
      </c>
      <c r="J48" s="135">
        <f t="shared" si="5"/>
        <v>16.560570030235361</v>
      </c>
    </row>
    <row r="49" spans="2:10">
      <c r="B49" s="131">
        <f>Amnt_Deposited!B41</f>
        <v>1980</v>
      </c>
      <c r="C49" s="134">
        <f>Amnt_Deposited!L41</f>
        <v>500</v>
      </c>
      <c r="D49" s="98">
        <f>MCF!Y48</f>
        <v>0.71500000000000008</v>
      </c>
      <c r="E49" s="167">
        <f t="shared" si="1"/>
        <v>26.812500000000004</v>
      </c>
      <c r="F49" s="100">
        <f t="shared" si="0"/>
        <v>26.812500000000004</v>
      </c>
      <c r="G49" s="100">
        <f t="shared" si="2"/>
        <v>0</v>
      </c>
      <c r="H49" s="100">
        <f t="shared" si="3"/>
        <v>292.38980205790472</v>
      </c>
      <c r="I49" s="100">
        <f t="shared" si="4"/>
        <v>25.010552189665468</v>
      </c>
      <c r="J49" s="135">
        <f t="shared" si="5"/>
        <v>16.673701459776979</v>
      </c>
    </row>
    <row r="50" spans="2:10">
      <c r="B50" s="131">
        <f>Amnt_Deposited!B42</f>
        <v>1981</v>
      </c>
      <c r="C50" s="134">
        <f>Amnt_Deposited!L42</f>
        <v>500</v>
      </c>
      <c r="D50" s="98">
        <f>MCF!Y49</f>
        <v>0.71500000000000008</v>
      </c>
      <c r="E50" s="167">
        <f t="shared" si="1"/>
        <v>26.812500000000004</v>
      </c>
      <c r="F50" s="100">
        <f t="shared" si="0"/>
        <v>26.812500000000004</v>
      </c>
      <c r="G50" s="100">
        <f t="shared" si="2"/>
        <v>0</v>
      </c>
      <c r="H50" s="100">
        <f t="shared" si="3"/>
        <v>294.03665835600066</v>
      </c>
      <c r="I50" s="100">
        <f t="shared" si="4"/>
        <v>25.165643701904063</v>
      </c>
      <c r="J50" s="135">
        <f t="shared" si="5"/>
        <v>16.777095801269375</v>
      </c>
    </row>
    <row r="51" spans="2:10">
      <c r="B51" s="131">
        <f>Amnt_Deposited!B43</f>
        <v>1982</v>
      </c>
      <c r="C51" s="134">
        <f>Amnt_Deposited!L43</f>
        <v>500</v>
      </c>
      <c r="D51" s="98">
        <f>MCF!Y50</f>
        <v>0.71500000000000008</v>
      </c>
      <c r="E51" s="167">
        <f t="shared" si="1"/>
        <v>26.812500000000004</v>
      </c>
      <c r="F51" s="100">
        <f t="shared" si="0"/>
        <v>26.812500000000004</v>
      </c>
      <c r="G51" s="100">
        <f t="shared" si="2"/>
        <v>0</v>
      </c>
      <c r="H51" s="100">
        <f t="shared" si="3"/>
        <v>295.54177168449087</v>
      </c>
      <c r="I51" s="100">
        <f t="shared" si="4"/>
        <v>25.307386671509796</v>
      </c>
      <c r="J51" s="135">
        <f t="shared" si="5"/>
        <v>16.871591114339864</v>
      </c>
    </row>
    <row r="52" spans="2:10">
      <c r="B52" s="131">
        <f>Amnt_Deposited!B44</f>
        <v>1983</v>
      </c>
      <c r="C52" s="134">
        <f>Amnt_Deposited!L44</f>
        <v>500</v>
      </c>
      <c r="D52" s="98">
        <f>MCF!Y51</f>
        <v>0.71500000000000008</v>
      </c>
      <c r="E52" s="167">
        <f t="shared" si="1"/>
        <v>26.812500000000004</v>
      </c>
      <c r="F52" s="100">
        <f t="shared" si="0"/>
        <v>26.812500000000004</v>
      </c>
      <c r="G52" s="100">
        <f t="shared" si="2"/>
        <v>0</v>
      </c>
      <c r="H52" s="100">
        <f t="shared" si="3"/>
        <v>296.91734169276543</v>
      </c>
      <c r="I52" s="100">
        <f t="shared" si="4"/>
        <v>25.436929991725425</v>
      </c>
      <c r="J52" s="135">
        <f t="shared" si="5"/>
        <v>16.957953327816949</v>
      </c>
    </row>
    <row r="53" spans="2:10">
      <c r="B53" s="131">
        <f>Amnt_Deposited!B45</f>
        <v>1984</v>
      </c>
      <c r="C53" s="134">
        <f>Amnt_Deposited!L45</f>
        <v>500</v>
      </c>
      <c r="D53" s="98">
        <f>MCF!Y52</f>
        <v>0.71500000000000008</v>
      </c>
      <c r="E53" s="167">
        <f t="shared" si="1"/>
        <v>26.812500000000004</v>
      </c>
      <c r="F53" s="100">
        <f t="shared" si="0"/>
        <v>26.812500000000004</v>
      </c>
      <c r="G53" s="100">
        <f t="shared" si="2"/>
        <v>0</v>
      </c>
      <c r="H53" s="100">
        <f t="shared" si="3"/>
        <v>298.17451802085139</v>
      </c>
      <c r="I53" s="100">
        <f t="shared" si="4"/>
        <v>25.555323671914064</v>
      </c>
      <c r="J53" s="135">
        <f t="shared" si="5"/>
        <v>17.036882447942709</v>
      </c>
    </row>
    <row r="54" spans="2:10">
      <c r="B54" s="131">
        <f>Amnt_Deposited!B46</f>
        <v>1985</v>
      </c>
      <c r="C54" s="134">
        <f>Amnt_Deposited!L46</f>
        <v>500</v>
      </c>
      <c r="D54" s="98">
        <f>MCF!Y53</f>
        <v>0.71500000000000008</v>
      </c>
      <c r="E54" s="167">
        <f t="shared" si="1"/>
        <v>26.812500000000004</v>
      </c>
      <c r="F54" s="100">
        <f t="shared" si="0"/>
        <v>26.812500000000004</v>
      </c>
      <c r="G54" s="100">
        <f t="shared" si="2"/>
        <v>0</v>
      </c>
      <c r="H54" s="100">
        <f t="shared" si="3"/>
        <v>299.32349067247389</v>
      </c>
      <c r="I54" s="100">
        <f t="shared" si="4"/>
        <v>25.663527348377492</v>
      </c>
      <c r="J54" s="135">
        <f t="shared" si="5"/>
        <v>17.10901823225166</v>
      </c>
    </row>
    <row r="55" spans="2:10">
      <c r="B55" s="131">
        <f>Amnt_Deposited!B47</f>
        <v>1986</v>
      </c>
      <c r="C55" s="134">
        <f>Amnt_Deposited!L47</f>
        <v>500</v>
      </c>
      <c r="D55" s="98">
        <f>MCF!Y54</f>
        <v>0.71500000000000008</v>
      </c>
      <c r="E55" s="167">
        <f t="shared" si="1"/>
        <v>26.812500000000004</v>
      </c>
      <c r="F55" s="100">
        <f t="shared" si="0"/>
        <v>26.812500000000004</v>
      </c>
      <c r="G55" s="100">
        <f t="shared" si="2"/>
        <v>0</v>
      </c>
      <c r="H55" s="100">
        <f t="shared" si="3"/>
        <v>300.37357260981548</v>
      </c>
      <c r="I55" s="100">
        <f t="shared" si="4"/>
        <v>25.762418062658416</v>
      </c>
      <c r="J55" s="135">
        <f t="shared" si="5"/>
        <v>17.174945375105608</v>
      </c>
    </row>
    <row r="56" spans="2:10">
      <c r="B56" s="131">
        <f>Amnt_Deposited!B48</f>
        <v>1987</v>
      </c>
      <c r="C56" s="134">
        <f>Amnt_Deposited!L48</f>
        <v>500</v>
      </c>
      <c r="D56" s="98">
        <f>MCF!Y55</f>
        <v>0.71500000000000008</v>
      </c>
      <c r="E56" s="167">
        <f t="shared" si="1"/>
        <v>26.812500000000004</v>
      </c>
      <c r="F56" s="100">
        <f t="shared" si="0"/>
        <v>26.812500000000004</v>
      </c>
      <c r="G56" s="100">
        <f t="shared" si="2"/>
        <v>0</v>
      </c>
      <c r="H56" s="100">
        <f t="shared" si="3"/>
        <v>301.333275239442</v>
      </c>
      <c r="I56" s="100">
        <f t="shared" si="4"/>
        <v>25.852797370373498</v>
      </c>
      <c r="J56" s="135">
        <f t="shared" si="5"/>
        <v>17.235198246915665</v>
      </c>
    </row>
    <row r="57" spans="2:10">
      <c r="B57" s="131">
        <f>Amnt_Deposited!B49</f>
        <v>1988</v>
      </c>
      <c r="C57" s="134">
        <f>Amnt_Deposited!L49</f>
        <v>500</v>
      </c>
      <c r="D57" s="98">
        <f>MCF!Y56</f>
        <v>0.71500000000000008</v>
      </c>
      <c r="E57" s="167">
        <f t="shared" si="1"/>
        <v>26.812500000000004</v>
      </c>
      <c r="F57" s="100">
        <f t="shared" si="0"/>
        <v>26.812500000000004</v>
      </c>
      <c r="G57" s="100">
        <f t="shared" si="2"/>
        <v>0</v>
      </c>
      <c r="H57" s="100">
        <f t="shared" si="3"/>
        <v>302.21037740124444</v>
      </c>
      <c r="I57" s="100">
        <f t="shared" si="4"/>
        <v>25.935397838197538</v>
      </c>
      <c r="J57" s="135">
        <f t="shared" si="5"/>
        <v>17.290265225465024</v>
      </c>
    </row>
    <row r="58" spans="2:10">
      <c r="B58" s="131">
        <f>Amnt_Deposited!B50</f>
        <v>1989</v>
      </c>
      <c r="C58" s="134">
        <f>Amnt_Deposited!L50</f>
        <v>500</v>
      </c>
      <c r="D58" s="98">
        <f>MCF!Y57</f>
        <v>0.71500000000000008</v>
      </c>
      <c r="E58" s="167">
        <f t="shared" si="1"/>
        <v>26.812500000000004</v>
      </c>
      <c r="F58" s="100">
        <f t="shared" si="0"/>
        <v>26.812500000000004</v>
      </c>
      <c r="G58" s="100">
        <f t="shared" si="2"/>
        <v>0</v>
      </c>
      <c r="H58" s="100">
        <f t="shared" si="3"/>
        <v>303.01198841958455</v>
      </c>
      <c r="I58" s="100">
        <f t="shared" si="4"/>
        <v>26.010888981659917</v>
      </c>
      <c r="J58" s="135">
        <f t="shared" si="5"/>
        <v>17.340592654439945</v>
      </c>
    </row>
    <row r="59" spans="2:10">
      <c r="B59" s="131">
        <f>Amnt_Deposited!B51</f>
        <v>1990</v>
      </c>
      <c r="C59" s="134">
        <f>Amnt_Deposited!L51</f>
        <v>500</v>
      </c>
      <c r="D59" s="98">
        <f>MCF!Y58</f>
        <v>0.71500000000000008</v>
      </c>
      <c r="E59" s="167">
        <f t="shared" si="1"/>
        <v>26.812500000000004</v>
      </c>
      <c r="F59" s="100">
        <f t="shared" si="0"/>
        <v>26.812500000000004</v>
      </c>
      <c r="G59" s="100">
        <f t="shared" si="2"/>
        <v>0</v>
      </c>
      <c r="H59" s="100">
        <f t="shared" si="3"/>
        <v>303.74460572770261</v>
      </c>
      <c r="I59" s="100">
        <f t="shared" si="4"/>
        <v>26.079882691881973</v>
      </c>
      <c r="J59" s="135">
        <f t="shared" si="5"/>
        <v>17.386588461254647</v>
      </c>
    </row>
    <row r="60" spans="2:10">
      <c r="B60" s="131">
        <f>Amnt_Deposited!B52</f>
        <v>1991</v>
      </c>
      <c r="C60" s="134">
        <f>Amnt_Deposited!L52</f>
        <v>500</v>
      </c>
      <c r="D60" s="98">
        <f>MCF!Y59</f>
        <v>0.71500000000000008</v>
      </c>
      <c r="E60" s="167">
        <f t="shared" si="1"/>
        <v>26.812500000000004</v>
      </c>
      <c r="F60" s="100">
        <f t="shared" si="0"/>
        <v>26.812500000000004</v>
      </c>
      <c r="G60" s="100">
        <f t="shared" si="2"/>
        <v>0</v>
      </c>
      <c r="H60" s="100">
        <f t="shared" si="3"/>
        <v>304.41416753246114</v>
      </c>
      <c r="I60" s="100">
        <f t="shared" si="4"/>
        <v>26.142938195241477</v>
      </c>
      <c r="J60" s="135">
        <f t="shared" si="5"/>
        <v>17.428625463494317</v>
      </c>
    </row>
    <row r="61" spans="2:10">
      <c r="B61" s="131">
        <f>Amnt_Deposited!B53</f>
        <v>1992</v>
      </c>
      <c r="C61" s="134">
        <f>Amnt_Deposited!L53</f>
        <v>500</v>
      </c>
      <c r="D61" s="98">
        <f>MCF!Y60</f>
        <v>0.71500000000000008</v>
      </c>
      <c r="E61" s="167">
        <f t="shared" si="1"/>
        <v>26.812500000000004</v>
      </c>
      <c r="F61" s="100">
        <f t="shared" si="0"/>
        <v>26.812500000000004</v>
      </c>
      <c r="G61" s="100">
        <f t="shared" si="2"/>
        <v>0</v>
      </c>
      <c r="H61" s="100">
        <f t="shared" si="3"/>
        <v>305.02610094629642</v>
      </c>
      <c r="I61" s="100">
        <f t="shared" si="4"/>
        <v>26.200566586164701</v>
      </c>
      <c r="J61" s="135">
        <f t="shared" si="5"/>
        <v>17.467044390776465</v>
      </c>
    </row>
    <row r="62" spans="2:10">
      <c r="B62" s="131">
        <f>Amnt_Deposited!B54</f>
        <v>1993</v>
      </c>
      <c r="C62" s="134">
        <f>Amnt_Deposited!L54</f>
        <v>500</v>
      </c>
      <c r="D62" s="98">
        <f>MCF!Y61</f>
        <v>0.71500000000000008</v>
      </c>
      <c r="E62" s="167">
        <f t="shared" si="1"/>
        <v>26.812500000000004</v>
      </c>
      <c r="F62" s="100">
        <f t="shared" si="0"/>
        <v>26.812500000000004</v>
      </c>
      <c r="G62" s="100">
        <f t="shared" si="2"/>
        <v>0</v>
      </c>
      <c r="H62" s="100">
        <f t="shared" si="3"/>
        <v>305.58536597650999</v>
      </c>
      <c r="I62" s="100">
        <f t="shared" si="4"/>
        <v>26.253234969786437</v>
      </c>
      <c r="J62" s="135">
        <f t="shared" si="5"/>
        <v>17.502156646524291</v>
      </c>
    </row>
    <row r="63" spans="2:10">
      <c r="B63" s="131">
        <f>Amnt_Deposited!B55</f>
        <v>1994</v>
      </c>
      <c r="C63" s="134">
        <f>Amnt_Deposited!L55</f>
        <v>500</v>
      </c>
      <c r="D63" s="98">
        <f>MCF!Y62</f>
        <v>0.71500000000000008</v>
      </c>
      <c r="E63" s="167">
        <f t="shared" si="1"/>
        <v>26.812500000000004</v>
      </c>
      <c r="F63" s="100">
        <f t="shared" si="0"/>
        <v>26.812500000000004</v>
      </c>
      <c r="G63" s="100">
        <f t="shared" si="2"/>
        <v>0</v>
      </c>
      <c r="H63" s="100">
        <f t="shared" si="3"/>
        <v>306.09649572845382</v>
      </c>
      <c r="I63" s="100">
        <f t="shared" si="4"/>
        <v>26.30137024805617</v>
      </c>
      <c r="J63" s="135">
        <f t="shared" si="5"/>
        <v>17.534246832037446</v>
      </c>
    </row>
    <row r="64" spans="2:10">
      <c r="B64" s="131">
        <f>Amnt_Deposited!B56</f>
        <v>1995</v>
      </c>
      <c r="C64" s="134">
        <f>Amnt_Deposited!L56</f>
        <v>500</v>
      </c>
      <c r="D64" s="98">
        <f>MCF!Y63</f>
        <v>0.71500000000000008</v>
      </c>
      <c r="E64" s="167">
        <f t="shared" si="1"/>
        <v>26.812500000000004</v>
      </c>
      <c r="F64" s="100">
        <f t="shared" si="0"/>
        <v>26.812500000000004</v>
      </c>
      <c r="G64" s="100">
        <f t="shared" si="2"/>
        <v>0</v>
      </c>
      <c r="H64" s="100">
        <f t="shared" si="3"/>
        <v>306.56363314847522</v>
      </c>
      <c r="I64" s="100">
        <f t="shared" si="4"/>
        <v>26.345362579978584</v>
      </c>
      <c r="J64" s="135">
        <f t="shared" si="5"/>
        <v>17.563575053319056</v>
      </c>
    </row>
    <row r="65" spans="2:10">
      <c r="B65" s="131">
        <f>Amnt_Deposited!B57</f>
        <v>1996</v>
      </c>
      <c r="C65" s="134">
        <f>Amnt_Deposited!L57</f>
        <v>500</v>
      </c>
      <c r="D65" s="98">
        <f>MCF!Y64</f>
        <v>0.71500000000000008</v>
      </c>
      <c r="E65" s="167">
        <f t="shared" si="1"/>
        <v>26.812500000000004</v>
      </c>
      <c r="F65" s="100">
        <f t="shared" si="0"/>
        <v>26.812500000000004</v>
      </c>
      <c r="G65" s="100">
        <f t="shared" si="2"/>
        <v>0</v>
      </c>
      <c r="H65" s="100">
        <f t="shared" si="3"/>
        <v>306.99056460443995</v>
      </c>
      <c r="I65" s="100">
        <f t="shared" si="4"/>
        <v>26.385568544035284</v>
      </c>
      <c r="J65" s="135">
        <f t="shared" si="5"/>
        <v>17.590379029356853</v>
      </c>
    </row>
    <row r="66" spans="2:10">
      <c r="B66" s="131">
        <f>Amnt_Deposited!B58</f>
        <v>1997</v>
      </c>
      <c r="C66" s="134">
        <f>Amnt_Deposited!L58</f>
        <v>500</v>
      </c>
      <c r="D66" s="98">
        <f>MCF!Y65</f>
        <v>0.71500000000000008</v>
      </c>
      <c r="E66" s="167">
        <f t="shared" si="1"/>
        <v>26.812500000000004</v>
      </c>
      <c r="F66" s="100">
        <f t="shared" si="0"/>
        <v>26.812500000000004</v>
      </c>
      <c r="G66" s="100">
        <f t="shared" si="2"/>
        <v>0</v>
      </c>
      <c r="H66" s="100">
        <f t="shared" si="3"/>
        <v>307.38075057601935</v>
      </c>
      <c r="I66" s="100">
        <f t="shared" si="4"/>
        <v>26.422314028420598</v>
      </c>
      <c r="J66" s="135">
        <f t="shared" si="5"/>
        <v>17.614876018947065</v>
      </c>
    </row>
    <row r="67" spans="2:10">
      <c r="B67" s="131">
        <f>Amnt_Deposited!B59</f>
        <v>1998</v>
      </c>
      <c r="C67" s="134">
        <f>Amnt_Deposited!L59</f>
        <v>500</v>
      </c>
      <c r="D67" s="98">
        <f>MCF!Y66</f>
        <v>0.71500000000000008</v>
      </c>
      <c r="E67" s="167">
        <f t="shared" si="1"/>
        <v>26.812500000000004</v>
      </c>
      <c r="F67" s="100">
        <f t="shared" si="0"/>
        <v>26.812500000000004</v>
      </c>
      <c r="G67" s="100">
        <f t="shared" si="2"/>
        <v>0</v>
      </c>
      <c r="H67" s="100">
        <f t="shared" si="3"/>
        <v>307.73735370350113</v>
      </c>
      <c r="I67" s="100">
        <f t="shared" si="4"/>
        <v>26.455896872518231</v>
      </c>
      <c r="J67" s="135">
        <f t="shared" si="5"/>
        <v>17.637264581678821</v>
      </c>
    </row>
    <row r="68" spans="2:10">
      <c r="B68" s="131">
        <f>Amnt_Deposited!B60</f>
        <v>1999</v>
      </c>
      <c r="C68" s="134">
        <f>Amnt_Deposited!L60</f>
        <v>500</v>
      </c>
      <c r="D68" s="98">
        <f>MCF!Y67</f>
        <v>0.71500000000000008</v>
      </c>
      <c r="E68" s="167">
        <f t="shared" si="1"/>
        <v>26.812500000000004</v>
      </c>
      <c r="F68" s="100">
        <f t="shared" si="0"/>
        <v>26.812500000000004</v>
      </c>
      <c r="G68" s="100">
        <f t="shared" si="2"/>
        <v>0</v>
      </c>
      <c r="H68" s="100">
        <f t="shared" si="3"/>
        <v>308.06326442247195</v>
      </c>
      <c r="I68" s="100">
        <f t="shared" si="4"/>
        <v>26.486589281029158</v>
      </c>
      <c r="J68" s="135">
        <f t="shared" si="5"/>
        <v>17.657726187352772</v>
      </c>
    </row>
    <row r="69" spans="2:10">
      <c r="B69" s="131">
        <f>Amnt_Deposited!B61</f>
        <v>2000</v>
      </c>
      <c r="C69" s="134">
        <f>Amnt_Deposited!L61</f>
        <v>500</v>
      </c>
      <c r="D69" s="98">
        <f>MCF!Y68</f>
        <v>0.71500000000000008</v>
      </c>
      <c r="E69" s="167">
        <f t="shared" si="1"/>
        <v>26.812500000000004</v>
      </c>
      <c r="F69" s="100">
        <f t="shared" si="0"/>
        <v>26.812500000000004</v>
      </c>
      <c r="G69" s="100">
        <f t="shared" si="2"/>
        <v>0</v>
      </c>
      <c r="H69" s="100">
        <f t="shared" si="3"/>
        <v>308.36112439215356</v>
      </c>
      <c r="I69" s="100">
        <f t="shared" si="4"/>
        <v>26.514640030318379</v>
      </c>
      <c r="J69" s="135">
        <f t="shared" si="5"/>
        <v>17.676426686878919</v>
      </c>
    </row>
    <row r="70" spans="2:10">
      <c r="B70" s="131">
        <f>Amnt_Deposited!B62</f>
        <v>2001</v>
      </c>
      <c r="C70" s="134">
        <f>Amnt_Deposited!L62</f>
        <v>500</v>
      </c>
      <c r="D70" s="98">
        <f>MCF!Y69</f>
        <v>0.71500000000000008</v>
      </c>
      <c r="E70" s="167">
        <f t="shared" si="1"/>
        <v>26.812500000000004</v>
      </c>
      <c r="F70" s="100">
        <f t="shared" si="0"/>
        <v>26.812500000000004</v>
      </c>
      <c r="G70" s="100">
        <f t="shared" si="2"/>
        <v>0</v>
      </c>
      <c r="H70" s="100">
        <f t="shared" si="3"/>
        <v>308.63334790728953</v>
      </c>
      <c r="I70" s="100">
        <f t="shared" si="4"/>
        <v>26.540276484864023</v>
      </c>
      <c r="J70" s="135">
        <f t="shared" si="5"/>
        <v>17.693517656576013</v>
      </c>
    </row>
    <row r="71" spans="2:10">
      <c r="B71" s="131">
        <f>Amnt_Deposited!B63</f>
        <v>2002</v>
      </c>
      <c r="C71" s="134">
        <f>Amnt_Deposited!L63</f>
        <v>500</v>
      </c>
      <c r="D71" s="98">
        <f>MCF!Y70</f>
        <v>0.71500000000000008</v>
      </c>
      <c r="E71" s="167">
        <f t="shared" si="1"/>
        <v>26.812500000000004</v>
      </c>
      <c r="F71" s="100">
        <f t="shared" si="0"/>
        <v>26.812500000000004</v>
      </c>
      <c r="G71" s="100">
        <f t="shared" si="2"/>
        <v>0</v>
      </c>
      <c r="H71" s="100">
        <f t="shared" si="3"/>
        <v>308.88214146713648</v>
      </c>
      <c r="I71" s="100">
        <f t="shared" si="4"/>
        <v>26.563706440153076</v>
      </c>
      <c r="J71" s="135">
        <f t="shared" si="5"/>
        <v>17.709137626768715</v>
      </c>
    </row>
    <row r="72" spans="2:10">
      <c r="B72" s="131">
        <f>Amnt_Deposited!B64</f>
        <v>2003</v>
      </c>
      <c r="C72" s="134">
        <f>Amnt_Deposited!L64</f>
        <v>500</v>
      </c>
      <c r="D72" s="98">
        <f>MCF!Y71</f>
        <v>0.71500000000000008</v>
      </c>
      <c r="E72" s="167">
        <f t="shared" si="1"/>
        <v>26.812500000000004</v>
      </c>
      <c r="F72" s="100">
        <f t="shared" si="0"/>
        <v>26.812500000000004</v>
      </c>
      <c r="G72" s="100">
        <f t="shared" si="2"/>
        <v>0</v>
      </c>
      <c r="H72" s="100">
        <f t="shared" si="3"/>
        <v>309.10952166017523</v>
      </c>
      <c r="I72" s="100">
        <f t="shared" si="4"/>
        <v>26.585119806961256</v>
      </c>
      <c r="J72" s="135">
        <f t="shared" si="5"/>
        <v>17.723413204640835</v>
      </c>
    </row>
    <row r="73" spans="2:10">
      <c r="B73" s="131">
        <f>Amnt_Deposited!B65</f>
        <v>2004</v>
      </c>
      <c r="C73" s="134">
        <f>Amnt_Deposited!L65</f>
        <v>500</v>
      </c>
      <c r="D73" s="98">
        <f>MCF!Y72</f>
        <v>0.71500000000000008</v>
      </c>
      <c r="E73" s="167">
        <f t="shared" si="1"/>
        <v>26.812500000000004</v>
      </c>
      <c r="F73" s="100">
        <f t="shared" si="0"/>
        <v>26.812500000000004</v>
      </c>
      <c r="G73" s="100">
        <f t="shared" si="2"/>
        <v>0</v>
      </c>
      <c r="H73" s="100">
        <f t="shared" si="3"/>
        <v>309.31733150950635</v>
      </c>
      <c r="I73" s="100">
        <f t="shared" si="4"/>
        <v>26.604690150668901</v>
      </c>
      <c r="J73" s="135">
        <f t="shared" si="5"/>
        <v>17.736460100445932</v>
      </c>
    </row>
    <row r="74" spans="2:10">
      <c r="B74" s="131">
        <f>Amnt_Deposited!B66</f>
        <v>2005</v>
      </c>
      <c r="C74" s="134">
        <f>Amnt_Deposited!L66</f>
        <v>500</v>
      </c>
      <c r="D74" s="98">
        <f>MCF!Y73</f>
        <v>0.71500000000000008</v>
      </c>
      <c r="E74" s="167">
        <f t="shared" si="1"/>
        <v>26.812500000000004</v>
      </c>
      <c r="F74" s="100">
        <f t="shared" si="0"/>
        <v>26.812500000000004</v>
      </c>
      <c r="G74" s="100">
        <f t="shared" si="2"/>
        <v>0</v>
      </c>
      <c r="H74" s="100">
        <f t="shared" si="3"/>
        <v>309.50725541141657</v>
      </c>
      <c r="I74" s="100">
        <f t="shared" si="4"/>
        <v>26.622576098089795</v>
      </c>
      <c r="J74" s="135">
        <f t="shared" si="5"/>
        <v>17.748384065393196</v>
      </c>
    </row>
    <row r="75" spans="2:10">
      <c r="B75" s="131">
        <f>Amnt_Deposited!B67</f>
        <v>2006</v>
      </c>
      <c r="C75" s="134">
        <f>Amnt_Deposited!L67</f>
        <v>500</v>
      </c>
      <c r="D75" s="98">
        <f>MCF!Y74</f>
        <v>0.71500000000000008</v>
      </c>
      <c r="E75" s="167">
        <f t="shared" si="1"/>
        <v>26.812500000000004</v>
      </c>
      <c r="F75" s="100">
        <f t="shared" si="0"/>
        <v>26.812500000000004</v>
      </c>
      <c r="G75" s="100">
        <f t="shared" si="2"/>
        <v>0</v>
      </c>
      <c r="H75" s="100">
        <f t="shared" si="3"/>
        <v>309.68083278820069</v>
      </c>
      <c r="I75" s="100">
        <f t="shared" si="4"/>
        <v>26.638922623215869</v>
      </c>
      <c r="J75" s="135">
        <f t="shared" si="5"/>
        <v>17.759281748810579</v>
      </c>
    </row>
    <row r="76" spans="2:10">
      <c r="B76" s="131">
        <f>Amnt_Deposited!B68</f>
        <v>2007</v>
      </c>
      <c r="C76" s="134">
        <f>Amnt_Deposited!L68</f>
        <v>500</v>
      </c>
      <c r="D76" s="98">
        <f>MCF!Y75</f>
        <v>0.71500000000000008</v>
      </c>
      <c r="E76" s="167">
        <f t="shared" si="1"/>
        <v>26.812500000000004</v>
      </c>
      <c r="F76" s="100">
        <f t="shared" si="0"/>
        <v>26.812500000000004</v>
      </c>
      <c r="G76" s="100">
        <f t="shared" si="2"/>
        <v>0</v>
      </c>
      <c r="H76" s="100">
        <f t="shared" si="3"/>
        <v>309.83947056590131</v>
      </c>
      <c r="I76" s="100">
        <f t="shared" si="4"/>
        <v>26.653862222299409</v>
      </c>
      <c r="J76" s="135">
        <f t="shared" si="5"/>
        <v>17.769241481532937</v>
      </c>
    </row>
    <row r="77" spans="2:10">
      <c r="B77" s="131">
        <f>Amnt_Deposited!B69</f>
        <v>2008</v>
      </c>
      <c r="C77" s="134">
        <f>Amnt_Deposited!L69</f>
        <v>500</v>
      </c>
      <c r="D77" s="98">
        <f>MCF!Y76</f>
        <v>0.71500000000000008</v>
      </c>
      <c r="E77" s="167">
        <f t="shared" si="1"/>
        <v>26.812500000000004</v>
      </c>
      <c r="F77" s="100">
        <f t="shared" si="0"/>
        <v>26.812500000000004</v>
      </c>
      <c r="G77" s="100">
        <f t="shared" si="2"/>
        <v>0</v>
      </c>
      <c r="H77" s="100">
        <f t="shared" si="3"/>
        <v>309.98445457810402</v>
      </c>
      <c r="I77" s="100">
        <f t="shared" si="4"/>
        <v>26.667515987797309</v>
      </c>
      <c r="J77" s="135">
        <f t="shared" si="5"/>
        <v>17.778343991864872</v>
      </c>
    </row>
    <row r="78" spans="2:10">
      <c r="B78" s="131">
        <f>Amnt_Deposited!B70</f>
        <v>2009</v>
      </c>
      <c r="C78" s="134">
        <f>Amnt_Deposited!L70</f>
        <v>500</v>
      </c>
      <c r="D78" s="98">
        <f>MCF!Y77</f>
        <v>0.71500000000000008</v>
      </c>
      <c r="E78" s="167">
        <f t="shared" si="1"/>
        <v>26.812500000000004</v>
      </c>
      <c r="F78" s="100">
        <f t="shared" si="0"/>
        <v>26.812500000000004</v>
      </c>
      <c r="G78" s="100">
        <f t="shared" si="2"/>
        <v>0</v>
      </c>
      <c r="H78" s="100">
        <f t="shared" si="3"/>
        <v>310.11695998822182</v>
      </c>
      <c r="I78" s="100">
        <f t="shared" si="4"/>
        <v>26.679994589882217</v>
      </c>
      <c r="J78" s="135">
        <f t="shared" si="5"/>
        <v>17.786663059921477</v>
      </c>
    </row>
    <row r="79" spans="2:10">
      <c r="B79" s="131">
        <f>Amnt_Deposited!B71</f>
        <v>2010</v>
      </c>
      <c r="C79" s="134">
        <f>Amnt_Deposited!L71</f>
        <v>500</v>
      </c>
      <c r="D79" s="98">
        <f>MCF!Y78</f>
        <v>0.71500000000000008</v>
      </c>
      <c r="E79" s="167">
        <f t="shared" si="1"/>
        <v>26.812500000000004</v>
      </c>
      <c r="F79" s="100">
        <f t="shared" si="0"/>
        <v>26.812500000000004</v>
      </c>
      <c r="G79" s="100">
        <f t="shared" si="2"/>
        <v>0</v>
      </c>
      <c r="H79" s="100">
        <f t="shared" si="3"/>
        <v>310.23806081474561</v>
      </c>
      <c r="I79" s="100">
        <f t="shared" si="4"/>
        <v>26.691399173476206</v>
      </c>
      <c r="J79" s="135">
        <f t="shared" si="5"/>
        <v>17.794266115650803</v>
      </c>
    </row>
    <row r="80" spans="2:10">
      <c r="B80" s="131">
        <f>Amnt_Deposited!B72</f>
        <v>2011</v>
      </c>
      <c r="C80" s="134">
        <f>Amnt_Deposited!L72</f>
        <v>500</v>
      </c>
      <c r="D80" s="98">
        <f>MCF!Y79</f>
        <v>0.71500000000000008</v>
      </c>
      <c r="E80" s="167">
        <f t="shared" si="1"/>
        <v>26.812500000000004</v>
      </c>
      <c r="F80" s="100">
        <f t="shared" si="0"/>
        <v>26.812500000000004</v>
      </c>
      <c r="G80" s="100">
        <f t="shared" si="2"/>
        <v>0</v>
      </c>
      <c r="H80" s="100">
        <f t="shared" si="3"/>
        <v>310.3487386366678</v>
      </c>
      <c r="I80" s="100">
        <f t="shared" si="4"/>
        <v>26.701822178077784</v>
      </c>
      <c r="J80" s="135">
        <f t="shared" si="5"/>
        <v>17.801214785385188</v>
      </c>
    </row>
    <row r="81" spans="2:10">
      <c r="B81" s="131">
        <f>Amnt_Deposited!B73</f>
        <v>2012</v>
      </c>
      <c r="C81" s="134">
        <f>Amnt_Deposited!L73</f>
        <v>500</v>
      </c>
      <c r="D81" s="98">
        <f>MCF!Y80</f>
        <v>0.71500000000000008</v>
      </c>
      <c r="E81" s="167">
        <f t="shared" si="1"/>
        <v>26.812500000000004</v>
      </c>
      <c r="F81" s="100">
        <f t="shared" si="0"/>
        <v>26.812500000000004</v>
      </c>
      <c r="G81" s="100">
        <f t="shared" si="2"/>
        <v>0</v>
      </c>
      <c r="H81" s="100">
        <f t="shared" si="3"/>
        <v>310.44989054964043</v>
      </c>
      <c r="I81" s="100">
        <f t="shared" si="4"/>
        <v>26.711348087027389</v>
      </c>
      <c r="J81" s="135">
        <f t="shared" si="5"/>
        <v>17.807565391351591</v>
      </c>
    </row>
    <row r="82" spans="2:10">
      <c r="B82" s="131">
        <f>Amnt_Deposited!B74</f>
        <v>2013</v>
      </c>
      <c r="C82" s="134">
        <f>Amnt_Deposited!L74</f>
        <v>500</v>
      </c>
      <c r="D82" s="98">
        <f>MCF!Y81</f>
        <v>0.71500000000000008</v>
      </c>
      <c r="E82" s="167">
        <f t="shared" si="1"/>
        <v>26.812500000000004</v>
      </c>
      <c r="F82" s="100">
        <f t="shared" si="0"/>
        <v>26.812500000000004</v>
      </c>
      <c r="G82" s="100">
        <f t="shared" si="2"/>
        <v>0</v>
      </c>
      <c r="H82" s="100">
        <f t="shared" si="3"/>
        <v>310.54233643735591</v>
      </c>
      <c r="I82" s="100">
        <f t="shared" si="4"/>
        <v>26.72005411228449</v>
      </c>
      <c r="J82" s="135">
        <f t="shared" si="5"/>
        <v>17.813369408189658</v>
      </c>
    </row>
    <row r="83" spans="2:10">
      <c r="B83" s="131">
        <f>Amnt_Deposited!B75</f>
        <v>2014</v>
      </c>
      <c r="C83" s="134">
        <f>Amnt_Deposited!L75</f>
        <v>500</v>
      </c>
      <c r="D83" s="98">
        <f>MCF!Y82</f>
        <v>0.71500000000000008</v>
      </c>
      <c r="E83" s="167">
        <f t="shared" si="1"/>
        <v>26.812500000000004</v>
      </c>
      <c r="F83" s="100">
        <f t="shared" ref="F83:F99" si="6">E83*$I$12</f>
        <v>26.812500000000004</v>
      </c>
      <c r="G83" s="100">
        <f t="shared" si="2"/>
        <v>0</v>
      </c>
      <c r="H83" s="100">
        <f t="shared" si="3"/>
        <v>310.6268256170892</v>
      </c>
      <c r="I83" s="100">
        <f t="shared" si="4"/>
        <v>26.728010820266711</v>
      </c>
      <c r="J83" s="135">
        <f t="shared" si="5"/>
        <v>17.818673880177805</v>
      </c>
    </row>
    <row r="84" spans="2:10">
      <c r="B84" s="131">
        <f>Amnt_Deposited!B76</f>
        <v>2015</v>
      </c>
      <c r="C84" s="134">
        <f>Amnt_Deposited!L76</f>
        <v>500</v>
      </c>
      <c r="D84" s="98">
        <f>MCF!Y83</f>
        <v>0.71500000000000008</v>
      </c>
      <c r="E84" s="167">
        <f t="shared" ref="E84:E99" si="7">C84*$I$6*$I$7*D84</f>
        <v>26.812500000000004</v>
      </c>
      <c r="F84" s="100">
        <f t="shared" si="6"/>
        <v>26.812500000000004</v>
      </c>
      <c r="G84" s="100">
        <f t="shared" ref="G84:G99" si="8">E84*(1-$I$12)</f>
        <v>0</v>
      </c>
      <c r="H84" s="100">
        <f t="shared" ref="H84:H99" si="9">F84+H83*$I$10</f>
        <v>310.70404291326543</v>
      </c>
      <c r="I84" s="100">
        <f t="shared" ref="I84:I99" si="10">H83*(1-$I$10)+G84</f>
        <v>26.73528270382376</v>
      </c>
      <c r="J84" s="135">
        <f t="shared" si="5"/>
        <v>17.823521802549173</v>
      </c>
    </row>
    <row r="85" spans="2:10">
      <c r="B85" s="131">
        <f>Amnt_Deposited!B77</f>
        <v>2016</v>
      </c>
      <c r="C85" s="134">
        <f>Amnt_Deposited!L77</f>
        <v>500</v>
      </c>
      <c r="D85" s="98">
        <f>MCF!Y84</f>
        <v>0.71500000000000008</v>
      </c>
      <c r="E85" s="167">
        <f t="shared" si="7"/>
        <v>26.812500000000004</v>
      </c>
      <c r="F85" s="100">
        <f t="shared" si="6"/>
        <v>26.812500000000004</v>
      </c>
      <c r="G85" s="100">
        <f t="shared" si="8"/>
        <v>0</v>
      </c>
      <c r="H85" s="100">
        <f t="shared" si="9"/>
        <v>310.7746142082832</v>
      </c>
      <c r="I85" s="100">
        <f t="shared" si="10"/>
        <v>26.741928704982207</v>
      </c>
      <c r="J85" s="135">
        <f t="shared" ref="J85:J99" si="11">I85*CH4_fraction*conv</f>
        <v>17.827952469988137</v>
      </c>
    </row>
    <row r="86" spans="2:10">
      <c r="B86" s="131">
        <f>Amnt_Deposited!B78</f>
        <v>2017</v>
      </c>
      <c r="C86" s="134">
        <f>Amnt_Deposited!L78</f>
        <v>500</v>
      </c>
      <c r="D86" s="98">
        <f>MCF!Y85</f>
        <v>0.71500000000000008</v>
      </c>
      <c r="E86" s="167">
        <f t="shared" si="7"/>
        <v>26.812500000000004</v>
      </c>
      <c r="F86" s="100">
        <f t="shared" si="6"/>
        <v>26.812500000000004</v>
      </c>
      <c r="G86" s="100">
        <f t="shared" si="8"/>
        <v>0</v>
      </c>
      <c r="H86" s="100">
        <f t="shared" si="9"/>
        <v>310.83911151558493</v>
      </c>
      <c r="I86" s="100">
        <f t="shared" si="10"/>
        <v>26.748002692698265</v>
      </c>
      <c r="J86" s="135">
        <f t="shared" si="11"/>
        <v>17.832001795132175</v>
      </c>
    </row>
    <row r="87" spans="2:10">
      <c r="B87" s="131">
        <f>Amnt_Deposited!B79</f>
        <v>2018</v>
      </c>
      <c r="C87" s="134">
        <f>Amnt_Deposited!L79</f>
        <v>500</v>
      </c>
      <c r="D87" s="98">
        <f>MCF!Y86</f>
        <v>0.71500000000000008</v>
      </c>
      <c r="E87" s="167">
        <f t="shared" si="7"/>
        <v>26.812500000000004</v>
      </c>
      <c r="F87" s="100">
        <f t="shared" si="6"/>
        <v>26.812500000000004</v>
      </c>
      <c r="G87" s="100">
        <f t="shared" si="8"/>
        <v>0</v>
      </c>
      <c r="H87" s="100">
        <f t="shared" si="9"/>
        <v>310.89805761609404</v>
      </c>
      <c r="I87" s="100">
        <f t="shared" si="10"/>
        <v>26.753553899490921</v>
      </c>
      <c r="J87" s="135">
        <f t="shared" si="11"/>
        <v>17.835702599660614</v>
      </c>
    </row>
    <row r="88" spans="2:10">
      <c r="B88" s="131">
        <f>Amnt_Deposited!B80</f>
        <v>2019</v>
      </c>
      <c r="C88" s="134">
        <f>Amnt_Deposited!L80</f>
        <v>500</v>
      </c>
      <c r="D88" s="98">
        <f>MCF!Y87</f>
        <v>0.71500000000000008</v>
      </c>
      <c r="E88" s="167">
        <f t="shared" si="7"/>
        <v>26.812500000000004</v>
      </c>
      <c r="F88" s="100">
        <f t="shared" si="6"/>
        <v>26.812500000000004</v>
      </c>
      <c r="G88" s="100">
        <f t="shared" si="8"/>
        <v>0</v>
      </c>
      <c r="H88" s="100">
        <f t="shared" si="9"/>
        <v>310.95193029559942</v>
      </c>
      <c r="I88" s="100">
        <f t="shared" si="10"/>
        <v>26.758627320494622</v>
      </c>
      <c r="J88" s="135">
        <f t="shared" si="11"/>
        <v>17.839084880329747</v>
      </c>
    </row>
    <row r="89" spans="2:10">
      <c r="B89" s="131">
        <f>Amnt_Deposited!B81</f>
        <v>2020</v>
      </c>
      <c r="C89" s="134">
        <f>Amnt_Deposited!L81</f>
        <v>500</v>
      </c>
      <c r="D89" s="98">
        <f>MCF!Y88</f>
        <v>0.71500000000000008</v>
      </c>
      <c r="E89" s="167">
        <f t="shared" si="7"/>
        <v>26.812500000000004</v>
      </c>
      <c r="F89" s="100">
        <f t="shared" si="6"/>
        <v>26.812500000000004</v>
      </c>
      <c r="G89" s="100">
        <f t="shared" si="8"/>
        <v>0</v>
      </c>
      <c r="H89" s="100">
        <f t="shared" si="9"/>
        <v>311.00116621743354</v>
      </c>
      <c r="I89" s="100">
        <f t="shared" si="10"/>
        <v>26.763264078165914</v>
      </c>
      <c r="J89" s="135">
        <f t="shared" si="11"/>
        <v>17.842176052110609</v>
      </c>
    </row>
    <row r="90" spans="2:10">
      <c r="B90" s="131">
        <f>Amnt_Deposited!B82</f>
        <v>2021</v>
      </c>
      <c r="C90" s="134">
        <f>Amnt_Deposited!L82</f>
        <v>500</v>
      </c>
      <c r="D90" s="98">
        <f>MCF!Y89</f>
        <v>0.71500000000000008</v>
      </c>
      <c r="E90" s="167">
        <f t="shared" si="7"/>
        <v>26.812500000000004</v>
      </c>
      <c r="F90" s="100">
        <f t="shared" si="6"/>
        <v>26.812500000000004</v>
      </c>
      <c r="G90" s="100">
        <f t="shared" si="8"/>
        <v>0</v>
      </c>
      <c r="H90" s="100">
        <f t="shared" si="9"/>
        <v>311.04616446183326</v>
      </c>
      <c r="I90" s="100">
        <f t="shared" si="10"/>
        <v>26.767501755600254</v>
      </c>
      <c r="J90" s="135">
        <f t="shared" si="11"/>
        <v>17.845001170400167</v>
      </c>
    </row>
    <row r="91" spans="2:10">
      <c r="B91" s="131">
        <f>Amnt_Deposited!B83</f>
        <v>2022</v>
      </c>
      <c r="C91" s="134">
        <f>Amnt_Deposited!L83</f>
        <v>500</v>
      </c>
      <c r="D91" s="98">
        <f>MCF!Y90</f>
        <v>0.71500000000000008</v>
      </c>
      <c r="E91" s="167">
        <f t="shared" si="7"/>
        <v>26.812500000000004</v>
      </c>
      <c r="F91" s="100">
        <f t="shared" si="6"/>
        <v>26.812500000000004</v>
      </c>
      <c r="G91" s="100">
        <f t="shared" si="8"/>
        <v>0</v>
      </c>
      <c r="H91" s="100">
        <f t="shared" si="9"/>
        <v>311.08728976067266</v>
      </c>
      <c r="I91" s="100">
        <f t="shared" si="10"/>
        <v>26.771374701160614</v>
      </c>
      <c r="J91" s="135">
        <f t="shared" si="11"/>
        <v>17.847583134107076</v>
      </c>
    </row>
    <row r="92" spans="2:10">
      <c r="B92" s="131">
        <f>Amnt_Deposited!B84</f>
        <v>2023</v>
      </c>
      <c r="C92" s="134">
        <f>Amnt_Deposited!L84</f>
        <v>500</v>
      </c>
      <c r="D92" s="98">
        <f>MCF!Y91</f>
        <v>0.71500000000000008</v>
      </c>
      <c r="E92" s="167">
        <f t="shared" si="7"/>
        <v>26.812500000000004</v>
      </c>
      <c r="F92" s="100">
        <f t="shared" si="6"/>
        <v>26.812500000000004</v>
      </c>
      <c r="G92" s="100">
        <f t="shared" si="8"/>
        <v>0</v>
      </c>
      <c r="H92" s="100">
        <f t="shared" si="9"/>
        <v>311.12487545378559</v>
      </c>
      <c r="I92" s="100">
        <f t="shared" si="10"/>
        <v>26.774914306887087</v>
      </c>
      <c r="J92" s="135">
        <f t="shared" si="11"/>
        <v>17.849942871258058</v>
      </c>
    </row>
    <row r="93" spans="2:10">
      <c r="B93" s="131">
        <f>Amnt_Deposited!B85</f>
        <v>2024</v>
      </c>
      <c r="C93" s="134">
        <f>Amnt_Deposited!L85</f>
        <v>500</v>
      </c>
      <c r="D93" s="98">
        <f>MCF!Y92</f>
        <v>0.71500000000000008</v>
      </c>
      <c r="E93" s="167">
        <f t="shared" si="7"/>
        <v>26.812500000000004</v>
      </c>
      <c r="F93" s="100">
        <f t="shared" si="6"/>
        <v>26.812500000000004</v>
      </c>
      <c r="G93" s="100">
        <f t="shared" si="8"/>
        <v>0</v>
      </c>
      <c r="H93" s="100">
        <f t="shared" si="9"/>
        <v>311.15922619084154</v>
      </c>
      <c r="I93" s="100">
        <f t="shared" si="10"/>
        <v>26.778149262944076</v>
      </c>
      <c r="J93" s="135">
        <f t="shared" si="11"/>
        <v>17.852099508629383</v>
      </c>
    </row>
    <row r="94" spans="2:10">
      <c r="B94" s="131">
        <f>Amnt_Deposited!B86</f>
        <v>2025</v>
      </c>
      <c r="C94" s="134">
        <f>Amnt_Deposited!L86</f>
        <v>500</v>
      </c>
      <c r="D94" s="98">
        <f>MCF!Y93</f>
        <v>0.71500000000000008</v>
      </c>
      <c r="E94" s="167">
        <f t="shared" si="7"/>
        <v>26.812500000000004</v>
      </c>
      <c r="F94" s="100">
        <f t="shared" si="6"/>
        <v>26.812500000000004</v>
      </c>
      <c r="G94" s="100">
        <f t="shared" si="8"/>
        <v>0</v>
      </c>
      <c r="H94" s="100">
        <f t="shared" si="9"/>
        <v>311.19062040067399</v>
      </c>
      <c r="I94" s="100">
        <f t="shared" si="10"/>
        <v>26.781105790167544</v>
      </c>
      <c r="J94" s="135">
        <f t="shared" si="11"/>
        <v>17.854070526778361</v>
      </c>
    </row>
    <row r="95" spans="2:10">
      <c r="B95" s="131">
        <f>Amnt_Deposited!B87</f>
        <v>2026</v>
      </c>
      <c r="C95" s="134">
        <f>Amnt_Deposited!L87</f>
        <v>500</v>
      </c>
      <c r="D95" s="98">
        <f>MCF!Y94</f>
        <v>0.71500000000000008</v>
      </c>
      <c r="E95" s="167">
        <f t="shared" si="7"/>
        <v>26.812500000000004</v>
      </c>
      <c r="F95" s="100">
        <f t="shared" si="6"/>
        <v>26.812500000000004</v>
      </c>
      <c r="G95" s="100">
        <f t="shared" si="8"/>
        <v>0</v>
      </c>
      <c r="H95" s="100">
        <f t="shared" si="9"/>
        <v>311.2193125480768</v>
      </c>
      <c r="I95" s="100">
        <f t="shared" si="10"/>
        <v>26.783807852597167</v>
      </c>
      <c r="J95" s="135">
        <f t="shared" si="11"/>
        <v>17.855871901731444</v>
      </c>
    </row>
    <row r="96" spans="2:10">
      <c r="B96" s="131">
        <f>Amnt_Deposited!B88</f>
        <v>2027</v>
      </c>
      <c r="C96" s="134">
        <f>Amnt_Deposited!L88</f>
        <v>500</v>
      </c>
      <c r="D96" s="98">
        <f>MCF!Y95</f>
        <v>0.71500000000000008</v>
      </c>
      <c r="E96" s="167">
        <f t="shared" si="7"/>
        <v>26.812500000000004</v>
      </c>
      <c r="F96" s="100">
        <f t="shared" si="6"/>
        <v>26.812500000000004</v>
      </c>
      <c r="G96" s="100">
        <f t="shared" si="8"/>
        <v>0</v>
      </c>
      <c r="H96" s="100">
        <f t="shared" si="9"/>
        <v>311.24553519636066</v>
      </c>
      <c r="I96" s="100">
        <f t="shared" si="10"/>
        <v>26.786277351716151</v>
      </c>
      <c r="J96" s="135">
        <f t="shared" si="11"/>
        <v>17.857518234477432</v>
      </c>
    </row>
    <row r="97" spans="2:10">
      <c r="B97" s="131">
        <f>Amnt_Deposited!B89</f>
        <v>2028</v>
      </c>
      <c r="C97" s="134">
        <f>Amnt_Deposited!L89</f>
        <v>500</v>
      </c>
      <c r="D97" s="98">
        <f>MCF!Y96</f>
        <v>0.71500000000000008</v>
      </c>
      <c r="E97" s="167">
        <f t="shared" si="7"/>
        <v>26.812500000000004</v>
      </c>
      <c r="F97" s="100">
        <f t="shared" si="6"/>
        <v>26.812500000000004</v>
      </c>
      <c r="G97" s="100">
        <f t="shared" si="8"/>
        <v>0</v>
      </c>
      <c r="H97" s="100">
        <f t="shared" si="9"/>
        <v>311.26950089238767</v>
      </c>
      <c r="I97" s="100">
        <f t="shared" si="10"/>
        <v>26.788534303972991</v>
      </c>
      <c r="J97" s="135">
        <f t="shared" si="11"/>
        <v>17.859022869315325</v>
      </c>
    </row>
    <row r="98" spans="2:10">
      <c r="B98" s="131">
        <f>Amnt_Deposited!B90</f>
        <v>2029</v>
      </c>
      <c r="C98" s="134">
        <f>Amnt_Deposited!L90</f>
        <v>500</v>
      </c>
      <c r="D98" s="98">
        <f>MCF!Y97</f>
        <v>0.71500000000000008</v>
      </c>
      <c r="E98" s="167">
        <f t="shared" si="7"/>
        <v>26.812500000000004</v>
      </c>
      <c r="F98" s="100">
        <f t="shared" si="6"/>
        <v>26.812500000000004</v>
      </c>
      <c r="G98" s="100">
        <f t="shared" si="8"/>
        <v>0</v>
      </c>
      <c r="H98" s="100">
        <f t="shared" si="9"/>
        <v>311.29140388936349</v>
      </c>
      <c r="I98" s="100">
        <f t="shared" si="10"/>
        <v>26.790597003024185</v>
      </c>
      <c r="J98" s="135">
        <f t="shared" si="11"/>
        <v>17.860398002016122</v>
      </c>
    </row>
    <row r="99" spans="2:10" ht="13.8" thickBot="1">
      <c r="B99" s="132">
        <f>Amnt_Deposited!B91</f>
        <v>2030</v>
      </c>
      <c r="C99" s="136">
        <f>Amnt_Deposited!L91</f>
        <v>500</v>
      </c>
      <c r="D99" s="99">
        <f>MCF!Y98</f>
        <v>0.71500000000000008</v>
      </c>
      <c r="E99" s="167">
        <f t="shared" si="7"/>
        <v>26.812500000000004</v>
      </c>
      <c r="F99" s="101">
        <f t="shared" si="6"/>
        <v>26.812500000000004</v>
      </c>
      <c r="G99" s="101">
        <f t="shared" si="8"/>
        <v>0</v>
      </c>
      <c r="H99" s="101">
        <f t="shared" si="9"/>
        <v>311.3114217213506</v>
      </c>
      <c r="I99" s="101">
        <f t="shared" si="10"/>
        <v>26.792482168012903</v>
      </c>
      <c r="J99" s="137">
        <f t="shared" si="11"/>
        <v>17.861654778675266</v>
      </c>
    </row>
  </sheetData>
  <phoneticPr fontId="17" type="noConversion"/>
  <pageMargins left="0.75" right="0.75" top="1" bottom="1" header="0.5" footer="0.5"/>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3"/>
  </sheetPr>
  <dimension ref="B2:Z98"/>
  <sheetViews>
    <sheetView showGridLines="0" workbookViewId="0">
      <pane xSplit="2" ySplit="17" topLeftCell="I73" activePane="bottomRight" state="frozen"/>
      <selection activeCell="E19" sqref="E19"/>
      <selection pane="topRight" activeCell="E19" sqref="E19"/>
      <selection pane="bottomLeft" activeCell="E19" sqref="E19"/>
      <selection pane="bottomRight" activeCell="U6" sqref="U6"/>
    </sheetView>
  </sheetViews>
  <sheetFormatPr defaultColWidth="11.44140625" defaultRowHeight="13.2"/>
  <cols>
    <col min="1" max="1" width="3.44140625" customWidth="1"/>
    <col min="2" max="2" width="15.33203125" customWidth="1"/>
    <col min="3" max="4" width="10.109375" bestFit="1" customWidth="1"/>
    <col min="5" max="5" width="9.44140625" customWidth="1"/>
    <col min="6" max="9" width="11.33203125" customWidth="1"/>
    <col min="10" max="10" width="9.44140625" customWidth="1"/>
    <col min="11" max="11" width="8.44140625" customWidth="1"/>
    <col min="12" max="13" width="10.6640625" customWidth="1"/>
    <col min="14" max="14" width="9.44140625" bestFit="1" customWidth="1"/>
    <col min="15" max="18" width="10.33203125" customWidth="1"/>
    <col min="19" max="19" width="10.109375" customWidth="1"/>
    <col min="20" max="20" width="8.44140625" customWidth="1"/>
    <col min="21" max="21" width="23.6640625" customWidth="1"/>
    <col min="22" max="22" width="9.33203125" customWidth="1"/>
    <col min="23" max="23" width="3.33203125" customWidth="1"/>
    <col min="24" max="25" width="13" customWidth="1"/>
    <col min="26" max="26" width="3.33203125" customWidth="1"/>
  </cols>
  <sheetData>
    <row r="2" spans="2:26" ht="15.6">
      <c r="C2" s="4" t="s">
        <v>128</v>
      </c>
      <c r="W2" s="669" t="s">
        <v>130</v>
      </c>
      <c r="X2" s="669"/>
      <c r="Y2" s="669"/>
      <c r="Z2" s="669"/>
    </row>
    <row r="4" spans="2:26">
      <c r="C4" t="s">
        <v>29</v>
      </c>
    </row>
    <row r="5" spans="2:26">
      <c r="C5" t="s">
        <v>124</v>
      </c>
    </row>
    <row r="6" spans="2:26">
      <c r="C6" t="s">
        <v>32</v>
      </c>
    </row>
    <row r="7" spans="2:26">
      <c r="C7" t="s">
        <v>132</v>
      </c>
    </row>
    <row r="8" spans="2:26" ht="13.8" thickBot="1"/>
    <row r="9" spans="2:26" ht="13.8" thickBot="1">
      <c r="C9" s="670" t="s">
        <v>115</v>
      </c>
      <c r="D9" s="671"/>
      <c r="E9" s="671"/>
      <c r="F9" s="671"/>
      <c r="G9" s="671"/>
      <c r="H9" s="671"/>
      <c r="I9" s="671"/>
      <c r="J9" s="671"/>
      <c r="K9" s="672"/>
      <c r="L9" s="673" t="s">
        <v>22</v>
      </c>
      <c r="M9" s="674"/>
      <c r="N9" s="674"/>
      <c r="O9" s="674"/>
      <c r="P9" s="674"/>
      <c r="Q9" s="674"/>
      <c r="R9" s="674"/>
      <c r="S9" s="674"/>
      <c r="T9" s="675"/>
      <c r="X9" s="203" t="s">
        <v>115</v>
      </c>
      <c r="Y9" s="190" t="s">
        <v>22</v>
      </c>
    </row>
    <row r="10" spans="2:26" s="1" customFormat="1" ht="52.8">
      <c r="B10" s="30"/>
      <c r="C10" s="30" t="s">
        <v>126</v>
      </c>
      <c r="D10" s="31" t="s">
        <v>127</v>
      </c>
      <c r="E10" s="31" t="s">
        <v>0</v>
      </c>
      <c r="F10" s="596" t="s">
        <v>293</v>
      </c>
      <c r="G10" s="596" t="s">
        <v>281</v>
      </c>
      <c r="H10" s="596" t="s">
        <v>278</v>
      </c>
      <c r="I10" s="596" t="s">
        <v>279</v>
      </c>
      <c r="J10" s="31" t="s">
        <v>125</v>
      </c>
      <c r="K10" s="32" t="s">
        <v>194</v>
      </c>
      <c r="L10" s="584" t="s">
        <v>126</v>
      </c>
      <c r="M10" s="585" t="s">
        <v>127</v>
      </c>
      <c r="N10" s="585" t="s">
        <v>0</v>
      </c>
      <c r="O10" s="598" t="s">
        <v>282</v>
      </c>
      <c r="P10" s="598" t="s">
        <v>280</v>
      </c>
      <c r="Q10" s="598" t="s">
        <v>278</v>
      </c>
      <c r="R10" s="598" t="s">
        <v>301</v>
      </c>
      <c r="S10" s="585" t="s">
        <v>125</v>
      </c>
      <c r="T10" s="586" t="s">
        <v>194</v>
      </c>
      <c r="U10" s="55" t="s">
        <v>31</v>
      </c>
      <c r="X10" s="676" t="s">
        <v>178</v>
      </c>
      <c r="Y10" s="676" t="s">
        <v>177</v>
      </c>
    </row>
    <row r="11" spans="2:26" s="3" customFormat="1" ht="13.8" thickBot="1">
      <c r="B11" s="27"/>
      <c r="C11" s="27" t="s">
        <v>12</v>
      </c>
      <c r="D11" s="28" t="s">
        <v>12</v>
      </c>
      <c r="E11" s="28" t="s">
        <v>12</v>
      </c>
      <c r="F11" s="28" t="s">
        <v>12</v>
      </c>
      <c r="G11" s="28" t="s">
        <v>12</v>
      </c>
      <c r="H11" s="28" t="s">
        <v>12</v>
      </c>
      <c r="I11" s="28" t="s">
        <v>12</v>
      </c>
      <c r="J11" s="28" t="s">
        <v>12</v>
      </c>
      <c r="K11" s="29"/>
      <c r="L11" s="27" t="s">
        <v>12</v>
      </c>
      <c r="M11" s="28" t="s">
        <v>12</v>
      </c>
      <c r="N11" s="28" t="s">
        <v>12</v>
      </c>
      <c r="O11" s="28" t="s">
        <v>12</v>
      </c>
      <c r="P11" s="28" t="s">
        <v>12</v>
      </c>
      <c r="Q11" s="28" t="s">
        <v>12</v>
      </c>
      <c r="R11" s="28" t="s">
        <v>12</v>
      </c>
      <c r="S11" s="28" t="s">
        <v>12</v>
      </c>
      <c r="T11" s="29"/>
      <c r="U11" s="204"/>
      <c r="X11" s="677"/>
      <c r="Y11" s="677"/>
    </row>
    <row r="12" spans="2:26" s="3" customFormat="1" ht="13.8" thickBot="1">
      <c r="B12" s="201" t="s">
        <v>28</v>
      </c>
      <c r="C12" s="199">
        <v>0.4</v>
      </c>
      <c r="D12" s="26">
        <v>0.8</v>
      </c>
      <c r="E12" s="26">
        <v>1</v>
      </c>
      <c r="F12" s="597">
        <v>0.5</v>
      </c>
      <c r="G12" s="597">
        <v>0.7</v>
      </c>
      <c r="H12" s="597">
        <v>0.4</v>
      </c>
      <c r="I12" s="597">
        <v>0.7</v>
      </c>
      <c r="J12" s="26">
        <v>0.6</v>
      </c>
      <c r="K12" s="15"/>
      <c r="L12" s="199">
        <v>0.4</v>
      </c>
      <c r="M12" s="26">
        <v>0.8</v>
      </c>
      <c r="N12" s="26">
        <v>1</v>
      </c>
      <c r="O12" s="597">
        <v>0.5</v>
      </c>
      <c r="P12" s="597">
        <v>0.7</v>
      </c>
      <c r="Q12" s="597">
        <v>0.4</v>
      </c>
      <c r="R12" s="597">
        <v>0.7</v>
      </c>
      <c r="S12" s="26">
        <v>0.6</v>
      </c>
      <c r="T12" s="15"/>
      <c r="U12" s="205"/>
      <c r="X12" s="677"/>
      <c r="Y12" s="677"/>
    </row>
    <row r="13" spans="2:26" s="3" customFormat="1" ht="27" thickBot="1">
      <c r="B13" s="201" t="s">
        <v>192</v>
      </c>
      <c r="C13" s="200">
        <f>C12</f>
        <v>0.4</v>
      </c>
      <c r="D13" s="75">
        <v>0.8</v>
      </c>
      <c r="E13" s="75">
        <v>1</v>
      </c>
      <c r="F13" s="75">
        <v>0.5</v>
      </c>
      <c r="G13" s="75">
        <v>0.7</v>
      </c>
      <c r="H13" s="75">
        <v>0.4</v>
      </c>
      <c r="I13" s="75">
        <v>0.7</v>
      </c>
      <c r="J13" s="75">
        <v>0.6</v>
      </c>
      <c r="K13" s="197"/>
      <c r="L13" s="200">
        <v>0.4</v>
      </c>
      <c r="M13" s="75">
        <v>0.8</v>
      </c>
      <c r="N13" s="75">
        <v>1</v>
      </c>
      <c r="O13" s="75">
        <v>0.5</v>
      </c>
      <c r="P13" s="75">
        <v>0.7</v>
      </c>
      <c r="Q13" s="75">
        <v>0.4</v>
      </c>
      <c r="R13" s="75">
        <v>0.7</v>
      </c>
      <c r="S13" s="75">
        <v>0.6</v>
      </c>
      <c r="T13" s="197"/>
      <c r="U13" s="298"/>
      <c r="X13" s="677"/>
      <c r="Y13" s="677"/>
    </row>
    <row r="14" spans="2:26" s="3" customFormat="1" ht="13.8" thickBot="1">
      <c r="B14" s="36"/>
      <c r="C14" s="36"/>
      <c r="D14" s="25"/>
      <c r="E14" s="25"/>
      <c r="F14" s="25"/>
      <c r="G14" s="25"/>
      <c r="H14" s="25"/>
      <c r="I14" s="25"/>
      <c r="J14" s="25"/>
      <c r="K14" s="198"/>
      <c r="L14" s="36"/>
      <c r="M14" s="25"/>
      <c r="N14" s="25"/>
      <c r="O14" s="25"/>
      <c r="P14" s="25"/>
      <c r="Q14" s="25"/>
      <c r="R14" s="25"/>
      <c r="S14" s="25"/>
      <c r="T14" s="198"/>
      <c r="U14" s="290"/>
      <c r="X14" s="677"/>
      <c r="Y14" s="677"/>
    </row>
    <row r="15" spans="2:26" s="3" customFormat="1" ht="12.75" customHeight="1" thickBot="1">
      <c r="B15" s="84"/>
      <c r="C15" s="666" t="s">
        <v>191</v>
      </c>
      <c r="D15" s="667"/>
      <c r="E15" s="667"/>
      <c r="F15" s="667"/>
      <c r="G15" s="667"/>
      <c r="H15" s="667"/>
      <c r="I15" s="667"/>
      <c r="J15" s="667"/>
      <c r="K15" s="668"/>
      <c r="L15" s="666" t="s">
        <v>191</v>
      </c>
      <c r="M15" s="667"/>
      <c r="N15" s="667"/>
      <c r="O15" s="667"/>
      <c r="P15" s="667"/>
      <c r="Q15" s="667"/>
      <c r="R15" s="667"/>
      <c r="S15" s="667"/>
      <c r="T15" s="668"/>
      <c r="U15" s="206"/>
      <c r="X15" s="677"/>
      <c r="Y15" s="677"/>
    </row>
    <row r="16" spans="2:26" s="3" customFormat="1" ht="27" thickBot="1">
      <c r="B16" s="201" t="s">
        <v>193</v>
      </c>
      <c r="C16" s="293">
        <v>0.25</v>
      </c>
      <c r="D16" s="294">
        <v>0.3</v>
      </c>
      <c r="E16" s="294">
        <v>0.25</v>
      </c>
      <c r="F16" s="294">
        <v>0.05</v>
      </c>
      <c r="G16" s="294"/>
      <c r="H16" s="294"/>
      <c r="I16" s="294"/>
      <c r="J16" s="294">
        <v>0.15</v>
      </c>
      <c r="K16" s="679" t="s">
        <v>39</v>
      </c>
      <c r="L16" s="293">
        <v>0.2</v>
      </c>
      <c r="M16" s="294">
        <v>0.3</v>
      </c>
      <c r="N16" s="294">
        <v>0.25</v>
      </c>
      <c r="O16" s="294">
        <v>0.05</v>
      </c>
      <c r="P16" s="294"/>
      <c r="Q16" s="294"/>
      <c r="R16" s="294"/>
      <c r="S16" s="294">
        <v>0.2</v>
      </c>
      <c r="T16" s="679" t="s">
        <v>39</v>
      </c>
      <c r="U16" s="297"/>
      <c r="X16" s="678"/>
      <c r="Y16" s="678"/>
    </row>
    <row r="17" spans="2:25" s="3" customFormat="1" ht="13.8" thickBot="1">
      <c r="B17" s="16" t="s">
        <v>1</v>
      </c>
      <c r="C17" s="16" t="s">
        <v>27</v>
      </c>
      <c r="D17" s="17" t="s">
        <v>27</v>
      </c>
      <c r="E17" s="17" t="s">
        <v>27</v>
      </c>
      <c r="F17" s="17" t="s">
        <v>27</v>
      </c>
      <c r="G17" s="17"/>
      <c r="H17" s="17"/>
      <c r="I17" s="17"/>
      <c r="J17" s="17" t="s">
        <v>27</v>
      </c>
      <c r="K17" s="680"/>
      <c r="L17" s="16" t="s">
        <v>27</v>
      </c>
      <c r="M17" s="17" t="s">
        <v>27</v>
      </c>
      <c r="N17" s="17" t="s">
        <v>27</v>
      </c>
      <c r="O17" s="17" t="s">
        <v>27</v>
      </c>
      <c r="P17" s="17"/>
      <c r="Q17" s="17"/>
      <c r="R17" s="17"/>
      <c r="S17" s="17" t="s">
        <v>27</v>
      </c>
      <c r="T17" s="680"/>
      <c r="U17" s="204"/>
      <c r="X17" s="201" t="s">
        <v>190</v>
      </c>
      <c r="Y17" s="38" t="s">
        <v>190</v>
      </c>
    </row>
    <row r="18" spans="2:25">
      <c r="B18" s="460">
        <f>year</f>
        <v>1950</v>
      </c>
      <c r="C18" s="291">
        <f t="shared" ref="C18:C50" si="0">C$16</f>
        <v>0.25</v>
      </c>
      <c r="D18" s="292">
        <f t="shared" ref="D18:J33" si="1">D$16</f>
        <v>0.3</v>
      </c>
      <c r="E18" s="292">
        <f t="shared" si="1"/>
        <v>0.25</v>
      </c>
      <c r="F18" s="292">
        <f t="shared" si="1"/>
        <v>0.05</v>
      </c>
      <c r="G18" s="292"/>
      <c r="H18" s="292"/>
      <c r="I18" s="292"/>
      <c r="J18" s="292">
        <f t="shared" si="1"/>
        <v>0.15</v>
      </c>
      <c r="K18" s="37">
        <f>SUM(C18:J18)</f>
        <v>1</v>
      </c>
      <c r="L18" s="291">
        <f t="shared" ref="L18:L50" si="2">L$16</f>
        <v>0.2</v>
      </c>
      <c r="M18" s="292">
        <f t="shared" ref="M18:S33" si="3">M$16</f>
        <v>0.3</v>
      </c>
      <c r="N18" s="292">
        <f t="shared" si="3"/>
        <v>0.25</v>
      </c>
      <c r="O18" s="292">
        <f t="shared" si="3"/>
        <v>0.05</v>
      </c>
      <c r="P18" s="292"/>
      <c r="Q18" s="292"/>
      <c r="R18" s="292"/>
      <c r="S18" s="292">
        <f t="shared" si="3"/>
        <v>0.2</v>
      </c>
      <c r="T18" s="37">
        <f>SUM(L18:S18)</f>
        <v>1</v>
      </c>
      <c r="U18" s="72"/>
      <c r="X18" s="202">
        <f>C18*C$13+D18*D$13+E18*E$13+F18*F$13+G18*G$13+H18*H$13+I18*I$13+J18*J$13</f>
        <v>0.70499999999999996</v>
      </c>
      <c r="Y18" s="196">
        <f>L18*L$13+M18*M$13+N18*N$13+O18*O$13+P18*P$13+Q18*Q$13+R18*R$13+S18*S$13</f>
        <v>0.71500000000000008</v>
      </c>
    </row>
    <row r="19" spans="2:25">
      <c r="B19" s="461">
        <f t="shared" ref="B19:B50" si="4">B18+1</f>
        <v>1951</v>
      </c>
      <c r="C19" s="76">
        <f t="shared" si="0"/>
        <v>0.25</v>
      </c>
      <c r="D19" s="77">
        <f t="shared" si="1"/>
        <v>0.3</v>
      </c>
      <c r="E19" s="77">
        <f t="shared" si="1"/>
        <v>0.25</v>
      </c>
      <c r="F19" s="77">
        <f t="shared" si="1"/>
        <v>0.05</v>
      </c>
      <c r="G19" s="77"/>
      <c r="H19" s="77"/>
      <c r="I19" s="77"/>
      <c r="J19" s="77">
        <f t="shared" si="1"/>
        <v>0.15</v>
      </c>
      <c r="K19" s="33">
        <f t="shared" ref="K19:K82" si="5">SUM(C19:J19)</f>
        <v>1</v>
      </c>
      <c r="L19" s="76">
        <f t="shared" si="2"/>
        <v>0.2</v>
      </c>
      <c r="M19" s="77">
        <f t="shared" si="3"/>
        <v>0.3</v>
      </c>
      <c r="N19" s="77">
        <f t="shared" si="3"/>
        <v>0.25</v>
      </c>
      <c r="O19" s="77">
        <f t="shared" si="3"/>
        <v>0.05</v>
      </c>
      <c r="P19" s="77"/>
      <c r="Q19" s="77"/>
      <c r="R19" s="77"/>
      <c r="S19" s="77">
        <f t="shared" si="3"/>
        <v>0.2</v>
      </c>
      <c r="T19" s="33">
        <f t="shared" ref="T19:T82" si="6">SUM(L19:S19)</f>
        <v>1</v>
      </c>
      <c r="U19" s="295"/>
      <c r="X19" s="202">
        <f t="shared" ref="X19:X82" si="7">C19*C$13+D19*D$13+E19*E$13+F19*F$13+G19*G$13+H19*H$13+I19*I$13+J19*J$13</f>
        <v>0.70499999999999996</v>
      </c>
      <c r="Y19" s="196">
        <f t="shared" ref="Y19:Y82" si="8">L19*L$13+M19*M$13+N19*N$13+O19*O$13+P19*P$13+Q19*Q$13+R19*R$13+S19*S$13</f>
        <v>0.71500000000000008</v>
      </c>
    </row>
    <row r="20" spans="2:25">
      <c r="B20" s="461">
        <f t="shared" si="4"/>
        <v>1952</v>
      </c>
      <c r="C20" s="76">
        <f t="shared" si="0"/>
        <v>0.25</v>
      </c>
      <c r="D20" s="77">
        <f t="shared" si="1"/>
        <v>0.3</v>
      </c>
      <c r="E20" s="77">
        <f t="shared" si="1"/>
        <v>0.25</v>
      </c>
      <c r="F20" s="77">
        <f t="shared" si="1"/>
        <v>0.05</v>
      </c>
      <c r="G20" s="77"/>
      <c r="H20" s="77"/>
      <c r="I20" s="77"/>
      <c r="J20" s="77">
        <f t="shared" si="1"/>
        <v>0.15</v>
      </c>
      <c r="K20" s="33">
        <f t="shared" si="5"/>
        <v>1</v>
      </c>
      <c r="L20" s="76">
        <f t="shared" si="2"/>
        <v>0.2</v>
      </c>
      <c r="M20" s="77">
        <f t="shared" si="3"/>
        <v>0.3</v>
      </c>
      <c r="N20" s="77">
        <f t="shared" si="3"/>
        <v>0.25</v>
      </c>
      <c r="O20" s="77">
        <f t="shared" si="3"/>
        <v>0.05</v>
      </c>
      <c r="P20" s="77"/>
      <c r="Q20" s="77"/>
      <c r="R20" s="77"/>
      <c r="S20" s="77">
        <f t="shared" si="3"/>
        <v>0.2</v>
      </c>
      <c r="T20" s="33">
        <f t="shared" si="6"/>
        <v>1</v>
      </c>
      <c r="U20" s="295"/>
      <c r="X20" s="202">
        <f t="shared" si="7"/>
        <v>0.70499999999999996</v>
      </c>
      <c r="Y20" s="196">
        <f t="shared" si="8"/>
        <v>0.71500000000000008</v>
      </c>
    </row>
    <row r="21" spans="2:25">
      <c r="B21" s="461">
        <f t="shared" si="4"/>
        <v>1953</v>
      </c>
      <c r="C21" s="76">
        <f t="shared" si="0"/>
        <v>0.25</v>
      </c>
      <c r="D21" s="77">
        <f t="shared" si="1"/>
        <v>0.3</v>
      </c>
      <c r="E21" s="77">
        <f t="shared" si="1"/>
        <v>0.25</v>
      </c>
      <c r="F21" s="77">
        <f t="shared" si="1"/>
        <v>0.05</v>
      </c>
      <c r="G21" s="77"/>
      <c r="H21" s="77"/>
      <c r="I21" s="77"/>
      <c r="J21" s="77">
        <f t="shared" si="1"/>
        <v>0.15</v>
      </c>
      <c r="K21" s="33">
        <f t="shared" si="5"/>
        <v>1</v>
      </c>
      <c r="L21" s="76">
        <f t="shared" si="2"/>
        <v>0.2</v>
      </c>
      <c r="M21" s="77">
        <f t="shared" si="3"/>
        <v>0.3</v>
      </c>
      <c r="N21" s="77">
        <f t="shared" si="3"/>
        <v>0.25</v>
      </c>
      <c r="O21" s="77">
        <f t="shared" si="3"/>
        <v>0.05</v>
      </c>
      <c r="P21" s="77"/>
      <c r="Q21" s="77"/>
      <c r="R21" s="77"/>
      <c r="S21" s="77">
        <f t="shared" si="3"/>
        <v>0.2</v>
      </c>
      <c r="T21" s="33">
        <f t="shared" si="6"/>
        <v>1</v>
      </c>
      <c r="U21" s="295"/>
      <c r="X21" s="202">
        <f t="shared" si="7"/>
        <v>0.70499999999999996</v>
      </c>
      <c r="Y21" s="196">
        <f t="shared" si="8"/>
        <v>0.71500000000000008</v>
      </c>
    </row>
    <row r="22" spans="2:25">
      <c r="B22" s="461">
        <f t="shared" si="4"/>
        <v>1954</v>
      </c>
      <c r="C22" s="76">
        <f t="shared" si="0"/>
        <v>0.25</v>
      </c>
      <c r="D22" s="77">
        <f t="shared" si="1"/>
        <v>0.3</v>
      </c>
      <c r="E22" s="77">
        <f t="shared" si="1"/>
        <v>0.25</v>
      </c>
      <c r="F22" s="77">
        <f t="shared" si="1"/>
        <v>0.05</v>
      </c>
      <c r="G22" s="77"/>
      <c r="H22" s="77"/>
      <c r="I22" s="77"/>
      <c r="J22" s="77">
        <f t="shared" si="1"/>
        <v>0.15</v>
      </c>
      <c r="K22" s="33">
        <f t="shared" si="5"/>
        <v>1</v>
      </c>
      <c r="L22" s="76">
        <f t="shared" si="2"/>
        <v>0.2</v>
      </c>
      <c r="M22" s="77">
        <f t="shared" si="3"/>
        <v>0.3</v>
      </c>
      <c r="N22" s="77">
        <f t="shared" si="3"/>
        <v>0.25</v>
      </c>
      <c r="O22" s="77">
        <f t="shared" si="3"/>
        <v>0.05</v>
      </c>
      <c r="P22" s="77"/>
      <c r="Q22" s="77"/>
      <c r="R22" s="77"/>
      <c r="S22" s="77">
        <f t="shared" si="3"/>
        <v>0.2</v>
      </c>
      <c r="T22" s="33">
        <f t="shared" si="6"/>
        <v>1</v>
      </c>
      <c r="U22" s="295"/>
      <c r="X22" s="202">
        <f t="shared" si="7"/>
        <v>0.70499999999999996</v>
      </c>
      <c r="Y22" s="196">
        <f t="shared" si="8"/>
        <v>0.71500000000000008</v>
      </c>
    </row>
    <row r="23" spans="2:25">
      <c r="B23" s="461">
        <f t="shared" si="4"/>
        <v>1955</v>
      </c>
      <c r="C23" s="76">
        <f t="shared" si="0"/>
        <v>0.25</v>
      </c>
      <c r="D23" s="77">
        <f t="shared" si="1"/>
        <v>0.3</v>
      </c>
      <c r="E23" s="77">
        <f t="shared" si="1"/>
        <v>0.25</v>
      </c>
      <c r="F23" s="77">
        <f t="shared" si="1"/>
        <v>0.05</v>
      </c>
      <c r="G23" s="77"/>
      <c r="H23" s="77"/>
      <c r="I23" s="77"/>
      <c r="J23" s="77">
        <f t="shared" si="1"/>
        <v>0.15</v>
      </c>
      <c r="K23" s="33">
        <f t="shared" si="5"/>
        <v>1</v>
      </c>
      <c r="L23" s="76">
        <f t="shared" si="2"/>
        <v>0.2</v>
      </c>
      <c r="M23" s="77">
        <f t="shared" si="3"/>
        <v>0.3</v>
      </c>
      <c r="N23" s="77">
        <f t="shared" si="3"/>
        <v>0.25</v>
      </c>
      <c r="O23" s="77">
        <f t="shared" si="3"/>
        <v>0.05</v>
      </c>
      <c r="P23" s="77"/>
      <c r="Q23" s="77"/>
      <c r="R23" s="77"/>
      <c r="S23" s="77">
        <f t="shared" si="3"/>
        <v>0.2</v>
      </c>
      <c r="T23" s="33">
        <f t="shared" si="6"/>
        <v>1</v>
      </c>
      <c r="U23" s="295"/>
      <c r="X23" s="202">
        <f t="shared" si="7"/>
        <v>0.70499999999999996</v>
      </c>
      <c r="Y23" s="196">
        <f t="shared" si="8"/>
        <v>0.71500000000000008</v>
      </c>
    </row>
    <row r="24" spans="2:25">
      <c r="B24" s="461">
        <f t="shared" si="4"/>
        <v>1956</v>
      </c>
      <c r="C24" s="76">
        <f t="shared" si="0"/>
        <v>0.25</v>
      </c>
      <c r="D24" s="77">
        <f t="shared" si="1"/>
        <v>0.3</v>
      </c>
      <c r="E24" s="77">
        <f t="shared" si="1"/>
        <v>0.25</v>
      </c>
      <c r="F24" s="77">
        <f t="shared" si="1"/>
        <v>0.05</v>
      </c>
      <c r="G24" s="77"/>
      <c r="H24" s="77"/>
      <c r="I24" s="77"/>
      <c r="J24" s="77">
        <f t="shared" si="1"/>
        <v>0.15</v>
      </c>
      <c r="K24" s="33">
        <f t="shared" si="5"/>
        <v>1</v>
      </c>
      <c r="L24" s="76">
        <f t="shared" si="2"/>
        <v>0.2</v>
      </c>
      <c r="M24" s="77">
        <f t="shared" si="3"/>
        <v>0.3</v>
      </c>
      <c r="N24" s="77">
        <f t="shared" si="3"/>
        <v>0.25</v>
      </c>
      <c r="O24" s="77">
        <f t="shared" si="3"/>
        <v>0.05</v>
      </c>
      <c r="P24" s="77"/>
      <c r="Q24" s="77"/>
      <c r="R24" s="77"/>
      <c r="S24" s="77">
        <f t="shared" si="3"/>
        <v>0.2</v>
      </c>
      <c r="T24" s="33">
        <f t="shared" si="6"/>
        <v>1</v>
      </c>
      <c r="U24" s="295"/>
      <c r="X24" s="202">
        <f t="shared" si="7"/>
        <v>0.70499999999999996</v>
      </c>
      <c r="Y24" s="196">
        <f t="shared" si="8"/>
        <v>0.71500000000000008</v>
      </c>
    </row>
    <row r="25" spans="2:25">
      <c r="B25" s="461">
        <f t="shared" si="4"/>
        <v>1957</v>
      </c>
      <c r="C25" s="76">
        <f t="shared" si="0"/>
        <v>0.25</v>
      </c>
      <c r="D25" s="77">
        <f t="shared" si="1"/>
        <v>0.3</v>
      </c>
      <c r="E25" s="77">
        <f t="shared" si="1"/>
        <v>0.25</v>
      </c>
      <c r="F25" s="77">
        <f t="shared" si="1"/>
        <v>0.05</v>
      </c>
      <c r="G25" s="77"/>
      <c r="H25" s="77"/>
      <c r="I25" s="77"/>
      <c r="J25" s="77">
        <f t="shared" si="1"/>
        <v>0.15</v>
      </c>
      <c r="K25" s="33">
        <f t="shared" si="5"/>
        <v>1</v>
      </c>
      <c r="L25" s="76">
        <f t="shared" si="2"/>
        <v>0.2</v>
      </c>
      <c r="M25" s="77">
        <f t="shared" si="3"/>
        <v>0.3</v>
      </c>
      <c r="N25" s="77">
        <f t="shared" si="3"/>
        <v>0.25</v>
      </c>
      <c r="O25" s="77">
        <f t="shared" si="3"/>
        <v>0.05</v>
      </c>
      <c r="P25" s="77"/>
      <c r="Q25" s="77"/>
      <c r="R25" s="77"/>
      <c r="S25" s="77">
        <f t="shared" si="3"/>
        <v>0.2</v>
      </c>
      <c r="T25" s="33">
        <f t="shared" si="6"/>
        <v>1</v>
      </c>
      <c r="U25" s="295"/>
      <c r="X25" s="202">
        <f t="shared" si="7"/>
        <v>0.70499999999999996</v>
      </c>
      <c r="Y25" s="196">
        <f t="shared" si="8"/>
        <v>0.71500000000000008</v>
      </c>
    </row>
    <row r="26" spans="2:25">
      <c r="B26" s="461">
        <f t="shared" si="4"/>
        <v>1958</v>
      </c>
      <c r="C26" s="76">
        <f t="shared" si="0"/>
        <v>0.25</v>
      </c>
      <c r="D26" s="77">
        <f t="shared" si="1"/>
        <v>0.3</v>
      </c>
      <c r="E26" s="77">
        <f t="shared" si="1"/>
        <v>0.25</v>
      </c>
      <c r="F26" s="77">
        <f t="shared" si="1"/>
        <v>0.05</v>
      </c>
      <c r="G26" s="77"/>
      <c r="H26" s="77"/>
      <c r="I26" s="77"/>
      <c r="J26" s="77">
        <f t="shared" si="1"/>
        <v>0.15</v>
      </c>
      <c r="K26" s="33">
        <f t="shared" si="5"/>
        <v>1</v>
      </c>
      <c r="L26" s="76">
        <f t="shared" si="2"/>
        <v>0.2</v>
      </c>
      <c r="M26" s="77">
        <f t="shared" si="3"/>
        <v>0.3</v>
      </c>
      <c r="N26" s="77">
        <f t="shared" si="3"/>
        <v>0.25</v>
      </c>
      <c r="O26" s="77">
        <f t="shared" si="3"/>
        <v>0.05</v>
      </c>
      <c r="P26" s="77"/>
      <c r="Q26" s="77"/>
      <c r="R26" s="77"/>
      <c r="S26" s="77">
        <f t="shared" si="3"/>
        <v>0.2</v>
      </c>
      <c r="T26" s="33">
        <f t="shared" si="6"/>
        <v>1</v>
      </c>
      <c r="U26" s="295"/>
      <c r="X26" s="202">
        <f t="shared" si="7"/>
        <v>0.70499999999999996</v>
      </c>
      <c r="Y26" s="196">
        <f t="shared" si="8"/>
        <v>0.71500000000000008</v>
      </c>
    </row>
    <row r="27" spans="2:25">
      <c r="B27" s="461">
        <f t="shared" si="4"/>
        <v>1959</v>
      </c>
      <c r="C27" s="76">
        <f t="shared" si="0"/>
        <v>0.25</v>
      </c>
      <c r="D27" s="77">
        <f t="shared" si="1"/>
        <v>0.3</v>
      </c>
      <c r="E27" s="77">
        <f t="shared" si="1"/>
        <v>0.25</v>
      </c>
      <c r="F27" s="77">
        <f t="shared" si="1"/>
        <v>0.05</v>
      </c>
      <c r="G27" s="77"/>
      <c r="H27" s="77"/>
      <c r="I27" s="77"/>
      <c r="J27" s="77">
        <f t="shared" si="1"/>
        <v>0.15</v>
      </c>
      <c r="K27" s="33">
        <f t="shared" si="5"/>
        <v>1</v>
      </c>
      <c r="L27" s="76">
        <f t="shared" si="2"/>
        <v>0.2</v>
      </c>
      <c r="M27" s="77">
        <f t="shared" si="3"/>
        <v>0.3</v>
      </c>
      <c r="N27" s="77">
        <f t="shared" si="3"/>
        <v>0.25</v>
      </c>
      <c r="O27" s="77">
        <f t="shared" si="3"/>
        <v>0.05</v>
      </c>
      <c r="P27" s="77"/>
      <c r="Q27" s="77"/>
      <c r="R27" s="77"/>
      <c r="S27" s="77">
        <f t="shared" si="3"/>
        <v>0.2</v>
      </c>
      <c r="T27" s="33">
        <f t="shared" si="6"/>
        <v>1</v>
      </c>
      <c r="U27" s="295"/>
      <c r="X27" s="202">
        <f t="shared" si="7"/>
        <v>0.70499999999999996</v>
      </c>
      <c r="Y27" s="196">
        <f t="shared" si="8"/>
        <v>0.71500000000000008</v>
      </c>
    </row>
    <row r="28" spans="2:25">
      <c r="B28" s="461">
        <f t="shared" si="4"/>
        <v>1960</v>
      </c>
      <c r="C28" s="76">
        <f t="shared" si="0"/>
        <v>0.25</v>
      </c>
      <c r="D28" s="77">
        <f t="shared" si="1"/>
        <v>0.3</v>
      </c>
      <c r="E28" s="77">
        <f t="shared" si="1"/>
        <v>0.25</v>
      </c>
      <c r="F28" s="77">
        <f t="shared" si="1"/>
        <v>0.05</v>
      </c>
      <c r="G28" s="77"/>
      <c r="H28" s="77"/>
      <c r="I28" s="77"/>
      <c r="J28" s="77">
        <f t="shared" si="1"/>
        <v>0.15</v>
      </c>
      <c r="K28" s="33">
        <f t="shared" si="5"/>
        <v>1</v>
      </c>
      <c r="L28" s="76">
        <f t="shared" si="2"/>
        <v>0.2</v>
      </c>
      <c r="M28" s="77">
        <f t="shared" si="3"/>
        <v>0.3</v>
      </c>
      <c r="N28" s="77">
        <f t="shared" si="3"/>
        <v>0.25</v>
      </c>
      <c r="O28" s="77">
        <f t="shared" si="3"/>
        <v>0.05</v>
      </c>
      <c r="P28" s="77"/>
      <c r="Q28" s="77"/>
      <c r="R28" s="77"/>
      <c r="S28" s="77">
        <f t="shared" si="3"/>
        <v>0.2</v>
      </c>
      <c r="T28" s="33">
        <f t="shared" si="6"/>
        <v>1</v>
      </c>
      <c r="U28" s="295"/>
      <c r="X28" s="202">
        <f t="shared" si="7"/>
        <v>0.70499999999999996</v>
      </c>
      <c r="Y28" s="196">
        <f t="shared" si="8"/>
        <v>0.71500000000000008</v>
      </c>
    </row>
    <row r="29" spans="2:25">
      <c r="B29" s="461">
        <f t="shared" si="4"/>
        <v>1961</v>
      </c>
      <c r="C29" s="76">
        <f t="shared" si="0"/>
        <v>0.25</v>
      </c>
      <c r="D29" s="77">
        <f t="shared" si="1"/>
        <v>0.3</v>
      </c>
      <c r="E29" s="77">
        <f t="shared" si="1"/>
        <v>0.25</v>
      </c>
      <c r="F29" s="77">
        <f t="shared" si="1"/>
        <v>0.05</v>
      </c>
      <c r="G29" s="77"/>
      <c r="H29" s="77"/>
      <c r="I29" s="77"/>
      <c r="J29" s="77">
        <f t="shared" si="1"/>
        <v>0.15</v>
      </c>
      <c r="K29" s="33">
        <f t="shared" si="5"/>
        <v>1</v>
      </c>
      <c r="L29" s="76">
        <f t="shared" si="2"/>
        <v>0.2</v>
      </c>
      <c r="M29" s="77">
        <f t="shared" si="3"/>
        <v>0.3</v>
      </c>
      <c r="N29" s="77">
        <f t="shared" si="3"/>
        <v>0.25</v>
      </c>
      <c r="O29" s="77">
        <f t="shared" si="3"/>
        <v>0.05</v>
      </c>
      <c r="P29" s="77"/>
      <c r="Q29" s="77"/>
      <c r="R29" s="77"/>
      <c r="S29" s="77">
        <f t="shared" si="3"/>
        <v>0.2</v>
      </c>
      <c r="T29" s="33">
        <f t="shared" si="6"/>
        <v>1</v>
      </c>
      <c r="U29" s="295"/>
      <c r="X29" s="202">
        <f t="shared" si="7"/>
        <v>0.70499999999999996</v>
      </c>
      <c r="Y29" s="196">
        <f t="shared" si="8"/>
        <v>0.71500000000000008</v>
      </c>
    </row>
    <row r="30" spans="2:25">
      <c r="B30" s="461">
        <f t="shared" si="4"/>
        <v>1962</v>
      </c>
      <c r="C30" s="76">
        <f t="shared" si="0"/>
        <v>0.25</v>
      </c>
      <c r="D30" s="77">
        <f t="shared" si="1"/>
        <v>0.3</v>
      </c>
      <c r="E30" s="77">
        <f t="shared" si="1"/>
        <v>0.25</v>
      </c>
      <c r="F30" s="77">
        <f t="shared" si="1"/>
        <v>0.05</v>
      </c>
      <c r="G30" s="77"/>
      <c r="H30" s="77"/>
      <c r="I30" s="77"/>
      <c r="J30" s="77">
        <f t="shared" si="1"/>
        <v>0.15</v>
      </c>
      <c r="K30" s="33">
        <f t="shared" si="5"/>
        <v>1</v>
      </c>
      <c r="L30" s="76">
        <f t="shared" si="2"/>
        <v>0.2</v>
      </c>
      <c r="M30" s="77">
        <f t="shared" si="3"/>
        <v>0.3</v>
      </c>
      <c r="N30" s="77">
        <f t="shared" si="3"/>
        <v>0.25</v>
      </c>
      <c r="O30" s="77">
        <f t="shared" si="3"/>
        <v>0.05</v>
      </c>
      <c r="P30" s="77"/>
      <c r="Q30" s="77"/>
      <c r="R30" s="77"/>
      <c r="S30" s="77">
        <f t="shared" si="3"/>
        <v>0.2</v>
      </c>
      <c r="T30" s="33">
        <f t="shared" si="6"/>
        <v>1</v>
      </c>
      <c r="U30" s="295"/>
      <c r="X30" s="202">
        <f t="shared" si="7"/>
        <v>0.70499999999999996</v>
      </c>
      <c r="Y30" s="196">
        <f t="shared" si="8"/>
        <v>0.71500000000000008</v>
      </c>
    </row>
    <row r="31" spans="2:25">
      <c r="B31" s="461">
        <f t="shared" si="4"/>
        <v>1963</v>
      </c>
      <c r="C31" s="76">
        <f t="shared" si="0"/>
        <v>0.25</v>
      </c>
      <c r="D31" s="77">
        <f t="shared" si="1"/>
        <v>0.3</v>
      </c>
      <c r="E31" s="77">
        <f t="shared" si="1"/>
        <v>0.25</v>
      </c>
      <c r="F31" s="77">
        <f t="shared" si="1"/>
        <v>0.05</v>
      </c>
      <c r="G31" s="77"/>
      <c r="H31" s="77"/>
      <c r="I31" s="77"/>
      <c r="J31" s="77">
        <f t="shared" si="1"/>
        <v>0.15</v>
      </c>
      <c r="K31" s="33">
        <f t="shared" si="5"/>
        <v>1</v>
      </c>
      <c r="L31" s="76">
        <f t="shared" si="2"/>
        <v>0.2</v>
      </c>
      <c r="M31" s="77">
        <f t="shared" si="3"/>
        <v>0.3</v>
      </c>
      <c r="N31" s="77">
        <f t="shared" si="3"/>
        <v>0.25</v>
      </c>
      <c r="O31" s="77">
        <f t="shared" si="3"/>
        <v>0.05</v>
      </c>
      <c r="P31" s="77"/>
      <c r="Q31" s="77"/>
      <c r="R31" s="77"/>
      <c r="S31" s="77">
        <f t="shared" si="3"/>
        <v>0.2</v>
      </c>
      <c r="T31" s="33">
        <f t="shared" si="6"/>
        <v>1</v>
      </c>
      <c r="U31" s="295"/>
      <c r="X31" s="202">
        <f t="shared" si="7"/>
        <v>0.70499999999999996</v>
      </c>
      <c r="Y31" s="196">
        <f t="shared" si="8"/>
        <v>0.71500000000000008</v>
      </c>
    </row>
    <row r="32" spans="2:25">
      <c r="B32" s="461">
        <f t="shared" si="4"/>
        <v>1964</v>
      </c>
      <c r="C32" s="76">
        <f t="shared" si="0"/>
        <v>0.25</v>
      </c>
      <c r="D32" s="77">
        <f t="shared" si="1"/>
        <v>0.3</v>
      </c>
      <c r="E32" s="77">
        <f t="shared" si="1"/>
        <v>0.25</v>
      </c>
      <c r="F32" s="77">
        <f t="shared" si="1"/>
        <v>0.05</v>
      </c>
      <c r="G32" s="77"/>
      <c r="H32" s="77"/>
      <c r="I32" s="77"/>
      <c r="J32" s="77">
        <f t="shared" si="1"/>
        <v>0.15</v>
      </c>
      <c r="K32" s="33">
        <f t="shared" si="5"/>
        <v>1</v>
      </c>
      <c r="L32" s="76">
        <f t="shared" si="2"/>
        <v>0.2</v>
      </c>
      <c r="M32" s="77">
        <f t="shared" si="3"/>
        <v>0.3</v>
      </c>
      <c r="N32" s="77">
        <f t="shared" si="3"/>
        <v>0.25</v>
      </c>
      <c r="O32" s="77">
        <f t="shared" si="3"/>
        <v>0.05</v>
      </c>
      <c r="P32" s="77"/>
      <c r="Q32" s="77"/>
      <c r="R32" s="77"/>
      <c r="S32" s="77">
        <f t="shared" si="3"/>
        <v>0.2</v>
      </c>
      <c r="T32" s="33">
        <f t="shared" si="6"/>
        <v>1</v>
      </c>
      <c r="U32" s="295"/>
      <c r="X32" s="202">
        <f t="shared" si="7"/>
        <v>0.70499999999999996</v>
      </c>
      <c r="Y32" s="196">
        <f t="shared" si="8"/>
        <v>0.71500000000000008</v>
      </c>
    </row>
    <row r="33" spans="2:25">
      <c r="B33" s="461">
        <f t="shared" si="4"/>
        <v>1965</v>
      </c>
      <c r="C33" s="76">
        <f t="shared" si="0"/>
        <v>0.25</v>
      </c>
      <c r="D33" s="77">
        <f t="shared" si="1"/>
        <v>0.3</v>
      </c>
      <c r="E33" s="77">
        <f t="shared" si="1"/>
        <v>0.25</v>
      </c>
      <c r="F33" s="77">
        <f t="shared" si="1"/>
        <v>0.05</v>
      </c>
      <c r="G33" s="77"/>
      <c r="H33" s="77"/>
      <c r="I33" s="77"/>
      <c r="J33" s="77">
        <f t="shared" si="1"/>
        <v>0.15</v>
      </c>
      <c r="K33" s="33">
        <f t="shared" si="5"/>
        <v>1</v>
      </c>
      <c r="L33" s="76">
        <f t="shared" si="2"/>
        <v>0.2</v>
      </c>
      <c r="M33" s="77">
        <f t="shared" si="3"/>
        <v>0.3</v>
      </c>
      <c r="N33" s="77">
        <f t="shared" si="3"/>
        <v>0.25</v>
      </c>
      <c r="O33" s="77">
        <f t="shared" si="3"/>
        <v>0.05</v>
      </c>
      <c r="P33" s="77"/>
      <c r="Q33" s="77"/>
      <c r="R33" s="77"/>
      <c r="S33" s="77">
        <f t="shared" si="3"/>
        <v>0.2</v>
      </c>
      <c r="T33" s="33">
        <f t="shared" si="6"/>
        <v>1</v>
      </c>
      <c r="U33" s="295"/>
      <c r="X33" s="202">
        <f t="shared" si="7"/>
        <v>0.70499999999999996</v>
      </c>
      <c r="Y33" s="196">
        <f t="shared" si="8"/>
        <v>0.71500000000000008</v>
      </c>
    </row>
    <row r="34" spans="2:25">
      <c r="B34" s="461">
        <f t="shared" si="4"/>
        <v>1966</v>
      </c>
      <c r="C34" s="76">
        <f t="shared" si="0"/>
        <v>0.25</v>
      </c>
      <c r="D34" s="77">
        <f t="shared" ref="D34:F50" si="9">D$16</f>
        <v>0.3</v>
      </c>
      <c r="E34" s="77">
        <f t="shared" si="9"/>
        <v>0.25</v>
      </c>
      <c r="F34" s="77">
        <f t="shared" si="9"/>
        <v>0.05</v>
      </c>
      <c r="G34" s="77"/>
      <c r="H34" s="77"/>
      <c r="I34" s="77"/>
      <c r="J34" s="77">
        <f t="shared" ref="J34:J50" si="10">J$16</f>
        <v>0.15</v>
      </c>
      <c r="K34" s="33">
        <f t="shared" si="5"/>
        <v>1</v>
      </c>
      <c r="L34" s="76">
        <f t="shared" si="2"/>
        <v>0.2</v>
      </c>
      <c r="M34" s="77">
        <f t="shared" ref="M34:O50" si="11">M$16</f>
        <v>0.3</v>
      </c>
      <c r="N34" s="77">
        <f t="shared" si="11"/>
        <v>0.25</v>
      </c>
      <c r="O34" s="77">
        <f t="shared" si="11"/>
        <v>0.05</v>
      </c>
      <c r="P34" s="77"/>
      <c r="Q34" s="77"/>
      <c r="R34" s="77"/>
      <c r="S34" s="77">
        <f t="shared" ref="S34:S50" si="12">S$16</f>
        <v>0.2</v>
      </c>
      <c r="T34" s="33">
        <f t="shared" si="6"/>
        <v>1</v>
      </c>
      <c r="U34" s="295"/>
      <c r="X34" s="202">
        <f t="shared" si="7"/>
        <v>0.70499999999999996</v>
      </c>
      <c r="Y34" s="196">
        <f t="shared" si="8"/>
        <v>0.71500000000000008</v>
      </c>
    </row>
    <row r="35" spans="2:25">
      <c r="B35" s="461">
        <f t="shared" si="4"/>
        <v>1967</v>
      </c>
      <c r="C35" s="76">
        <f t="shared" si="0"/>
        <v>0.25</v>
      </c>
      <c r="D35" s="77">
        <f t="shared" si="9"/>
        <v>0.3</v>
      </c>
      <c r="E35" s="77">
        <f t="shared" si="9"/>
        <v>0.25</v>
      </c>
      <c r="F35" s="77">
        <f t="shared" si="9"/>
        <v>0.05</v>
      </c>
      <c r="G35" s="77"/>
      <c r="H35" s="77"/>
      <c r="I35" s="77"/>
      <c r="J35" s="77">
        <f t="shared" si="10"/>
        <v>0.15</v>
      </c>
      <c r="K35" s="33">
        <f t="shared" si="5"/>
        <v>1</v>
      </c>
      <c r="L35" s="76">
        <f t="shared" si="2"/>
        <v>0.2</v>
      </c>
      <c r="M35" s="77">
        <f t="shared" si="11"/>
        <v>0.3</v>
      </c>
      <c r="N35" s="77">
        <f t="shared" si="11"/>
        <v>0.25</v>
      </c>
      <c r="O35" s="77">
        <f t="shared" si="11"/>
        <v>0.05</v>
      </c>
      <c r="P35" s="77"/>
      <c r="Q35" s="77"/>
      <c r="R35" s="77"/>
      <c r="S35" s="77">
        <f t="shared" si="12"/>
        <v>0.2</v>
      </c>
      <c r="T35" s="33">
        <f t="shared" si="6"/>
        <v>1</v>
      </c>
      <c r="U35" s="295"/>
      <c r="X35" s="202">
        <f t="shared" si="7"/>
        <v>0.70499999999999996</v>
      </c>
      <c r="Y35" s="196">
        <f t="shared" si="8"/>
        <v>0.71500000000000008</v>
      </c>
    </row>
    <row r="36" spans="2:25">
      <c r="B36" s="461">
        <f t="shared" si="4"/>
        <v>1968</v>
      </c>
      <c r="C36" s="76">
        <f t="shared" si="0"/>
        <v>0.25</v>
      </c>
      <c r="D36" s="77">
        <f t="shared" si="9"/>
        <v>0.3</v>
      </c>
      <c r="E36" s="77">
        <f t="shared" si="9"/>
        <v>0.25</v>
      </c>
      <c r="F36" s="77">
        <f t="shared" si="9"/>
        <v>0.05</v>
      </c>
      <c r="G36" s="77"/>
      <c r="H36" s="77"/>
      <c r="I36" s="77"/>
      <c r="J36" s="77">
        <f t="shared" si="10"/>
        <v>0.15</v>
      </c>
      <c r="K36" s="33">
        <f t="shared" si="5"/>
        <v>1</v>
      </c>
      <c r="L36" s="76">
        <f t="shared" si="2"/>
        <v>0.2</v>
      </c>
      <c r="M36" s="77">
        <f t="shared" si="11"/>
        <v>0.3</v>
      </c>
      <c r="N36" s="77">
        <f t="shared" si="11"/>
        <v>0.25</v>
      </c>
      <c r="O36" s="77">
        <f t="shared" si="11"/>
        <v>0.05</v>
      </c>
      <c r="P36" s="77"/>
      <c r="Q36" s="77"/>
      <c r="R36" s="77"/>
      <c r="S36" s="77">
        <f t="shared" si="12"/>
        <v>0.2</v>
      </c>
      <c r="T36" s="33">
        <f t="shared" si="6"/>
        <v>1</v>
      </c>
      <c r="U36" s="295"/>
      <c r="X36" s="202">
        <f t="shared" si="7"/>
        <v>0.70499999999999996</v>
      </c>
      <c r="Y36" s="196">
        <f t="shared" si="8"/>
        <v>0.71500000000000008</v>
      </c>
    </row>
    <row r="37" spans="2:25">
      <c r="B37" s="461">
        <f t="shared" si="4"/>
        <v>1969</v>
      </c>
      <c r="C37" s="76">
        <f t="shared" si="0"/>
        <v>0.25</v>
      </c>
      <c r="D37" s="77">
        <f t="shared" si="9"/>
        <v>0.3</v>
      </c>
      <c r="E37" s="77">
        <f t="shared" si="9"/>
        <v>0.25</v>
      </c>
      <c r="F37" s="77">
        <f t="shared" si="9"/>
        <v>0.05</v>
      </c>
      <c r="G37" s="77"/>
      <c r="H37" s="77"/>
      <c r="I37" s="77"/>
      <c r="J37" s="77">
        <f t="shared" si="10"/>
        <v>0.15</v>
      </c>
      <c r="K37" s="33">
        <f t="shared" si="5"/>
        <v>1</v>
      </c>
      <c r="L37" s="76">
        <f t="shared" si="2"/>
        <v>0.2</v>
      </c>
      <c r="M37" s="77">
        <f t="shared" si="11"/>
        <v>0.3</v>
      </c>
      <c r="N37" s="77">
        <f t="shared" si="11"/>
        <v>0.25</v>
      </c>
      <c r="O37" s="77">
        <f t="shared" si="11"/>
        <v>0.05</v>
      </c>
      <c r="P37" s="77"/>
      <c r="Q37" s="77"/>
      <c r="R37" s="77"/>
      <c r="S37" s="77">
        <f t="shared" si="12"/>
        <v>0.2</v>
      </c>
      <c r="T37" s="33">
        <f t="shared" si="6"/>
        <v>1</v>
      </c>
      <c r="U37" s="295"/>
      <c r="X37" s="202">
        <f t="shared" si="7"/>
        <v>0.70499999999999996</v>
      </c>
      <c r="Y37" s="196">
        <f t="shared" si="8"/>
        <v>0.71500000000000008</v>
      </c>
    </row>
    <row r="38" spans="2:25">
      <c r="B38" s="461">
        <f t="shared" si="4"/>
        <v>1970</v>
      </c>
      <c r="C38" s="76">
        <f t="shared" si="0"/>
        <v>0.25</v>
      </c>
      <c r="D38" s="77">
        <f t="shared" si="9"/>
        <v>0.3</v>
      </c>
      <c r="E38" s="77">
        <f t="shared" si="9"/>
        <v>0.25</v>
      </c>
      <c r="F38" s="77">
        <f t="shared" si="9"/>
        <v>0.05</v>
      </c>
      <c r="G38" s="77"/>
      <c r="H38" s="77"/>
      <c r="I38" s="77"/>
      <c r="J38" s="77">
        <f t="shared" si="10"/>
        <v>0.15</v>
      </c>
      <c r="K38" s="33">
        <f t="shared" si="5"/>
        <v>1</v>
      </c>
      <c r="L38" s="76">
        <f t="shared" si="2"/>
        <v>0.2</v>
      </c>
      <c r="M38" s="77">
        <f t="shared" si="11"/>
        <v>0.3</v>
      </c>
      <c r="N38" s="77">
        <f t="shared" si="11"/>
        <v>0.25</v>
      </c>
      <c r="O38" s="77">
        <f t="shared" si="11"/>
        <v>0.05</v>
      </c>
      <c r="P38" s="77"/>
      <c r="Q38" s="77"/>
      <c r="R38" s="77"/>
      <c r="S38" s="77">
        <f t="shared" si="12"/>
        <v>0.2</v>
      </c>
      <c r="T38" s="33">
        <f t="shared" si="6"/>
        <v>1</v>
      </c>
      <c r="U38" s="295"/>
      <c r="X38" s="202">
        <f t="shared" si="7"/>
        <v>0.70499999999999996</v>
      </c>
      <c r="Y38" s="196">
        <f t="shared" si="8"/>
        <v>0.71500000000000008</v>
      </c>
    </row>
    <row r="39" spans="2:25">
      <c r="B39" s="461">
        <f t="shared" si="4"/>
        <v>1971</v>
      </c>
      <c r="C39" s="76">
        <f t="shared" si="0"/>
        <v>0.25</v>
      </c>
      <c r="D39" s="77">
        <f t="shared" si="9"/>
        <v>0.3</v>
      </c>
      <c r="E39" s="77">
        <f t="shared" si="9"/>
        <v>0.25</v>
      </c>
      <c r="F39" s="77">
        <f t="shared" si="9"/>
        <v>0.05</v>
      </c>
      <c r="G39" s="77"/>
      <c r="H39" s="77"/>
      <c r="I39" s="77"/>
      <c r="J39" s="77">
        <f t="shared" si="10"/>
        <v>0.15</v>
      </c>
      <c r="K39" s="33">
        <f t="shared" si="5"/>
        <v>1</v>
      </c>
      <c r="L39" s="76">
        <f t="shared" si="2"/>
        <v>0.2</v>
      </c>
      <c r="M39" s="77">
        <f t="shared" si="11"/>
        <v>0.3</v>
      </c>
      <c r="N39" s="77">
        <f t="shared" si="11"/>
        <v>0.25</v>
      </c>
      <c r="O39" s="77">
        <f t="shared" si="11"/>
        <v>0.05</v>
      </c>
      <c r="P39" s="77"/>
      <c r="Q39" s="77"/>
      <c r="R39" s="77"/>
      <c r="S39" s="77">
        <f t="shared" si="12"/>
        <v>0.2</v>
      </c>
      <c r="T39" s="33">
        <f t="shared" si="6"/>
        <v>1</v>
      </c>
      <c r="U39" s="295"/>
      <c r="X39" s="202">
        <f t="shared" si="7"/>
        <v>0.70499999999999996</v>
      </c>
      <c r="Y39" s="196">
        <f t="shared" si="8"/>
        <v>0.71500000000000008</v>
      </c>
    </row>
    <row r="40" spans="2:25">
      <c r="B40" s="461">
        <f t="shared" si="4"/>
        <v>1972</v>
      </c>
      <c r="C40" s="76">
        <f t="shared" si="0"/>
        <v>0.25</v>
      </c>
      <c r="D40" s="77">
        <f t="shared" si="9"/>
        <v>0.3</v>
      </c>
      <c r="E40" s="77">
        <f t="shared" si="9"/>
        <v>0.25</v>
      </c>
      <c r="F40" s="77">
        <f t="shared" si="9"/>
        <v>0.05</v>
      </c>
      <c r="G40" s="77"/>
      <c r="H40" s="77"/>
      <c r="I40" s="77"/>
      <c r="J40" s="77">
        <f t="shared" si="10"/>
        <v>0.15</v>
      </c>
      <c r="K40" s="33">
        <f t="shared" si="5"/>
        <v>1</v>
      </c>
      <c r="L40" s="76">
        <f t="shared" si="2"/>
        <v>0.2</v>
      </c>
      <c r="M40" s="77">
        <f t="shared" si="11"/>
        <v>0.3</v>
      </c>
      <c r="N40" s="77">
        <f t="shared" si="11"/>
        <v>0.25</v>
      </c>
      <c r="O40" s="77">
        <f t="shared" si="11"/>
        <v>0.05</v>
      </c>
      <c r="P40" s="77"/>
      <c r="Q40" s="77"/>
      <c r="R40" s="77"/>
      <c r="S40" s="77">
        <f t="shared" si="12"/>
        <v>0.2</v>
      </c>
      <c r="T40" s="33">
        <f t="shared" si="6"/>
        <v>1</v>
      </c>
      <c r="U40" s="295"/>
      <c r="X40" s="202">
        <f t="shared" si="7"/>
        <v>0.70499999999999996</v>
      </c>
      <c r="Y40" s="196">
        <f t="shared" si="8"/>
        <v>0.71500000000000008</v>
      </c>
    </row>
    <row r="41" spans="2:25">
      <c r="B41" s="461">
        <f t="shared" si="4"/>
        <v>1973</v>
      </c>
      <c r="C41" s="76">
        <f t="shared" si="0"/>
        <v>0.25</v>
      </c>
      <c r="D41" s="77">
        <f t="shared" si="9"/>
        <v>0.3</v>
      </c>
      <c r="E41" s="77">
        <f t="shared" si="9"/>
        <v>0.25</v>
      </c>
      <c r="F41" s="77">
        <f t="shared" si="9"/>
        <v>0.05</v>
      </c>
      <c r="G41" s="77"/>
      <c r="H41" s="77"/>
      <c r="I41" s="77"/>
      <c r="J41" s="77">
        <f t="shared" si="10"/>
        <v>0.15</v>
      </c>
      <c r="K41" s="33">
        <f t="shared" si="5"/>
        <v>1</v>
      </c>
      <c r="L41" s="76">
        <f t="shared" si="2"/>
        <v>0.2</v>
      </c>
      <c r="M41" s="77">
        <f t="shared" si="11"/>
        <v>0.3</v>
      </c>
      <c r="N41" s="77">
        <f t="shared" si="11"/>
        <v>0.25</v>
      </c>
      <c r="O41" s="77">
        <f t="shared" si="11"/>
        <v>0.05</v>
      </c>
      <c r="P41" s="77"/>
      <c r="Q41" s="77"/>
      <c r="R41" s="77"/>
      <c r="S41" s="77">
        <f t="shared" si="12"/>
        <v>0.2</v>
      </c>
      <c r="T41" s="33">
        <f t="shared" si="6"/>
        <v>1</v>
      </c>
      <c r="U41" s="295"/>
      <c r="X41" s="202">
        <f t="shared" si="7"/>
        <v>0.70499999999999996</v>
      </c>
      <c r="Y41" s="196">
        <f t="shared" si="8"/>
        <v>0.71500000000000008</v>
      </c>
    </row>
    <row r="42" spans="2:25">
      <c r="B42" s="461">
        <f t="shared" si="4"/>
        <v>1974</v>
      </c>
      <c r="C42" s="76">
        <f t="shared" si="0"/>
        <v>0.25</v>
      </c>
      <c r="D42" s="77">
        <f t="shared" si="9"/>
        <v>0.3</v>
      </c>
      <c r="E42" s="77">
        <f t="shared" si="9"/>
        <v>0.25</v>
      </c>
      <c r="F42" s="77">
        <f t="shared" si="9"/>
        <v>0.05</v>
      </c>
      <c r="G42" s="77"/>
      <c r="H42" s="77"/>
      <c r="I42" s="77"/>
      <c r="J42" s="77">
        <f t="shared" si="10"/>
        <v>0.15</v>
      </c>
      <c r="K42" s="33">
        <f t="shared" si="5"/>
        <v>1</v>
      </c>
      <c r="L42" s="76">
        <f t="shared" si="2"/>
        <v>0.2</v>
      </c>
      <c r="M42" s="77">
        <f t="shared" si="11"/>
        <v>0.3</v>
      </c>
      <c r="N42" s="77">
        <f t="shared" si="11"/>
        <v>0.25</v>
      </c>
      <c r="O42" s="77">
        <f t="shared" si="11"/>
        <v>0.05</v>
      </c>
      <c r="P42" s="77"/>
      <c r="Q42" s="77"/>
      <c r="R42" s="77"/>
      <c r="S42" s="77">
        <f t="shared" si="12"/>
        <v>0.2</v>
      </c>
      <c r="T42" s="33">
        <f t="shared" si="6"/>
        <v>1</v>
      </c>
      <c r="U42" s="295"/>
      <c r="X42" s="202">
        <f t="shared" si="7"/>
        <v>0.70499999999999996</v>
      </c>
      <c r="Y42" s="196">
        <f t="shared" si="8"/>
        <v>0.71500000000000008</v>
      </c>
    </row>
    <row r="43" spans="2:25">
      <c r="B43" s="461">
        <f t="shared" si="4"/>
        <v>1975</v>
      </c>
      <c r="C43" s="76">
        <f t="shared" si="0"/>
        <v>0.25</v>
      </c>
      <c r="D43" s="77">
        <f t="shared" si="9"/>
        <v>0.3</v>
      </c>
      <c r="E43" s="77">
        <f t="shared" si="9"/>
        <v>0.25</v>
      </c>
      <c r="F43" s="77">
        <f t="shared" si="9"/>
        <v>0.05</v>
      </c>
      <c r="G43" s="77"/>
      <c r="H43" s="77"/>
      <c r="I43" s="77"/>
      <c r="J43" s="77">
        <f t="shared" si="10"/>
        <v>0.15</v>
      </c>
      <c r="K43" s="33">
        <f t="shared" si="5"/>
        <v>1</v>
      </c>
      <c r="L43" s="76">
        <f t="shared" si="2"/>
        <v>0.2</v>
      </c>
      <c r="M43" s="77">
        <f t="shared" si="11"/>
        <v>0.3</v>
      </c>
      <c r="N43" s="77">
        <f t="shared" si="11"/>
        <v>0.25</v>
      </c>
      <c r="O43" s="77">
        <f t="shared" si="11"/>
        <v>0.05</v>
      </c>
      <c r="P43" s="77"/>
      <c r="Q43" s="77"/>
      <c r="R43" s="77"/>
      <c r="S43" s="77">
        <f t="shared" si="12"/>
        <v>0.2</v>
      </c>
      <c r="T43" s="33">
        <f t="shared" si="6"/>
        <v>1</v>
      </c>
      <c r="U43" s="295"/>
      <c r="X43" s="202">
        <f t="shared" si="7"/>
        <v>0.70499999999999996</v>
      </c>
      <c r="Y43" s="196">
        <f t="shared" si="8"/>
        <v>0.71500000000000008</v>
      </c>
    </row>
    <row r="44" spans="2:25">
      <c r="B44" s="461">
        <f t="shared" si="4"/>
        <v>1976</v>
      </c>
      <c r="C44" s="76">
        <f t="shared" si="0"/>
        <v>0.25</v>
      </c>
      <c r="D44" s="77">
        <f t="shared" si="9"/>
        <v>0.3</v>
      </c>
      <c r="E44" s="77">
        <f t="shared" si="9"/>
        <v>0.25</v>
      </c>
      <c r="F44" s="77">
        <f t="shared" si="9"/>
        <v>0.05</v>
      </c>
      <c r="G44" s="77"/>
      <c r="H44" s="77"/>
      <c r="I44" s="77"/>
      <c r="J44" s="77">
        <f t="shared" si="10"/>
        <v>0.15</v>
      </c>
      <c r="K44" s="33">
        <f t="shared" si="5"/>
        <v>1</v>
      </c>
      <c r="L44" s="76">
        <f t="shared" si="2"/>
        <v>0.2</v>
      </c>
      <c r="M44" s="77">
        <f t="shared" si="11"/>
        <v>0.3</v>
      </c>
      <c r="N44" s="77">
        <f t="shared" si="11"/>
        <v>0.25</v>
      </c>
      <c r="O44" s="77">
        <f t="shared" si="11"/>
        <v>0.05</v>
      </c>
      <c r="P44" s="77"/>
      <c r="Q44" s="77"/>
      <c r="R44" s="77"/>
      <c r="S44" s="77">
        <f t="shared" si="12"/>
        <v>0.2</v>
      </c>
      <c r="T44" s="33">
        <f t="shared" si="6"/>
        <v>1</v>
      </c>
      <c r="U44" s="295"/>
      <c r="X44" s="202">
        <f t="shared" si="7"/>
        <v>0.70499999999999996</v>
      </c>
      <c r="Y44" s="196">
        <f t="shared" si="8"/>
        <v>0.71500000000000008</v>
      </c>
    </row>
    <row r="45" spans="2:25">
      <c r="B45" s="461">
        <f t="shared" si="4"/>
        <v>1977</v>
      </c>
      <c r="C45" s="76">
        <f t="shared" si="0"/>
        <v>0.25</v>
      </c>
      <c r="D45" s="77">
        <f t="shared" si="9"/>
        <v>0.3</v>
      </c>
      <c r="E45" s="77">
        <f t="shared" si="9"/>
        <v>0.25</v>
      </c>
      <c r="F45" s="77">
        <f t="shared" si="9"/>
        <v>0.05</v>
      </c>
      <c r="G45" s="77"/>
      <c r="H45" s="77"/>
      <c r="I45" s="77"/>
      <c r="J45" s="77">
        <f t="shared" si="10"/>
        <v>0.15</v>
      </c>
      <c r="K45" s="33">
        <f t="shared" si="5"/>
        <v>1</v>
      </c>
      <c r="L45" s="76">
        <f t="shared" si="2"/>
        <v>0.2</v>
      </c>
      <c r="M45" s="77">
        <f t="shared" si="11"/>
        <v>0.3</v>
      </c>
      <c r="N45" s="77">
        <f t="shared" si="11"/>
        <v>0.25</v>
      </c>
      <c r="O45" s="77">
        <f t="shared" si="11"/>
        <v>0.05</v>
      </c>
      <c r="P45" s="77"/>
      <c r="Q45" s="77"/>
      <c r="R45" s="77"/>
      <c r="S45" s="77">
        <f t="shared" si="12"/>
        <v>0.2</v>
      </c>
      <c r="T45" s="33">
        <f t="shared" si="6"/>
        <v>1</v>
      </c>
      <c r="U45" s="295"/>
      <c r="X45" s="202">
        <f t="shared" si="7"/>
        <v>0.70499999999999996</v>
      </c>
      <c r="Y45" s="196">
        <f t="shared" si="8"/>
        <v>0.71500000000000008</v>
      </c>
    </row>
    <row r="46" spans="2:25">
      <c r="B46" s="461">
        <f t="shared" si="4"/>
        <v>1978</v>
      </c>
      <c r="C46" s="76">
        <f t="shared" si="0"/>
        <v>0.25</v>
      </c>
      <c r="D46" s="77">
        <f t="shared" si="9"/>
        <v>0.3</v>
      </c>
      <c r="E46" s="77">
        <f t="shared" si="9"/>
        <v>0.25</v>
      </c>
      <c r="F46" s="77">
        <f t="shared" si="9"/>
        <v>0.05</v>
      </c>
      <c r="G46" s="77"/>
      <c r="H46" s="77"/>
      <c r="I46" s="77"/>
      <c r="J46" s="77">
        <f t="shared" si="10"/>
        <v>0.15</v>
      </c>
      <c r="K46" s="33">
        <f t="shared" si="5"/>
        <v>1</v>
      </c>
      <c r="L46" s="76">
        <f t="shared" si="2"/>
        <v>0.2</v>
      </c>
      <c r="M46" s="77">
        <f t="shared" si="11"/>
        <v>0.3</v>
      </c>
      <c r="N46" s="77">
        <f t="shared" si="11"/>
        <v>0.25</v>
      </c>
      <c r="O46" s="77">
        <f t="shared" si="11"/>
        <v>0.05</v>
      </c>
      <c r="P46" s="77"/>
      <c r="Q46" s="77"/>
      <c r="R46" s="77"/>
      <c r="S46" s="77">
        <f t="shared" si="12"/>
        <v>0.2</v>
      </c>
      <c r="T46" s="33">
        <f t="shared" si="6"/>
        <v>1</v>
      </c>
      <c r="U46" s="295"/>
      <c r="X46" s="202">
        <f t="shared" si="7"/>
        <v>0.70499999999999996</v>
      </c>
      <c r="Y46" s="196">
        <f t="shared" si="8"/>
        <v>0.71500000000000008</v>
      </c>
    </row>
    <row r="47" spans="2:25">
      <c r="B47" s="461">
        <f t="shared" si="4"/>
        <v>1979</v>
      </c>
      <c r="C47" s="76">
        <f t="shared" si="0"/>
        <v>0.25</v>
      </c>
      <c r="D47" s="77">
        <f t="shared" si="9"/>
        <v>0.3</v>
      </c>
      <c r="E47" s="77">
        <f t="shared" si="9"/>
        <v>0.25</v>
      </c>
      <c r="F47" s="77">
        <f t="shared" si="9"/>
        <v>0.05</v>
      </c>
      <c r="G47" s="77"/>
      <c r="H47" s="77"/>
      <c r="I47" s="77"/>
      <c r="J47" s="77">
        <f t="shared" si="10"/>
        <v>0.15</v>
      </c>
      <c r="K47" s="33">
        <f t="shared" si="5"/>
        <v>1</v>
      </c>
      <c r="L47" s="76">
        <f t="shared" si="2"/>
        <v>0.2</v>
      </c>
      <c r="M47" s="77">
        <f t="shared" si="11"/>
        <v>0.3</v>
      </c>
      <c r="N47" s="77">
        <f t="shared" si="11"/>
        <v>0.25</v>
      </c>
      <c r="O47" s="77">
        <f t="shared" si="11"/>
        <v>0.05</v>
      </c>
      <c r="P47" s="77"/>
      <c r="Q47" s="77"/>
      <c r="R47" s="77"/>
      <c r="S47" s="77">
        <f t="shared" si="12"/>
        <v>0.2</v>
      </c>
      <c r="T47" s="33">
        <f t="shared" si="6"/>
        <v>1</v>
      </c>
      <c r="U47" s="295"/>
      <c r="X47" s="202">
        <f t="shared" si="7"/>
        <v>0.70499999999999996</v>
      </c>
      <c r="Y47" s="196">
        <f t="shared" si="8"/>
        <v>0.71500000000000008</v>
      </c>
    </row>
    <row r="48" spans="2:25">
      <c r="B48" s="461">
        <f t="shared" si="4"/>
        <v>1980</v>
      </c>
      <c r="C48" s="76">
        <f t="shared" si="0"/>
        <v>0.25</v>
      </c>
      <c r="D48" s="77">
        <f t="shared" si="9"/>
        <v>0.3</v>
      </c>
      <c r="E48" s="77">
        <f t="shared" si="9"/>
        <v>0.25</v>
      </c>
      <c r="F48" s="77">
        <f t="shared" si="9"/>
        <v>0.05</v>
      </c>
      <c r="G48" s="77"/>
      <c r="H48" s="77"/>
      <c r="I48" s="77"/>
      <c r="J48" s="77">
        <f t="shared" si="10"/>
        <v>0.15</v>
      </c>
      <c r="K48" s="33">
        <f t="shared" si="5"/>
        <v>1</v>
      </c>
      <c r="L48" s="76">
        <f t="shared" si="2"/>
        <v>0.2</v>
      </c>
      <c r="M48" s="77">
        <f t="shared" si="11"/>
        <v>0.3</v>
      </c>
      <c r="N48" s="77">
        <f t="shared" si="11"/>
        <v>0.25</v>
      </c>
      <c r="O48" s="77">
        <f t="shared" si="11"/>
        <v>0.05</v>
      </c>
      <c r="P48" s="77"/>
      <c r="Q48" s="77"/>
      <c r="R48" s="77"/>
      <c r="S48" s="77">
        <f t="shared" si="12"/>
        <v>0.2</v>
      </c>
      <c r="T48" s="33">
        <f t="shared" si="6"/>
        <v>1</v>
      </c>
      <c r="U48" s="295"/>
      <c r="X48" s="202">
        <f t="shared" si="7"/>
        <v>0.70499999999999996</v>
      </c>
      <c r="Y48" s="196">
        <f t="shared" si="8"/>
        <v>0.71500000000000008</v>
      </c>
    </row>
    <row r="49" spans="2:25">
      <c r="B49" s="461">
        <f t="shared" si="4"/>
        <v>1981</v>
      </c>
      <c r="C49" s="76">
        <f t="shared" si="0"/>
        <v>0.25</v>
      </c>
      <c r="D49" s="77">
        <f t="shared" si="9"/>
        <v>0.3</v>
      </c>
      <c r="E49" s="77">
        <f t="shared" si="9"/>
        <v>0.25</v>
      </c>
      <c r="F49" s="77">
        <f t="shared" si="9"/>
        <v>0.05</v>
      </c>
      <c r="G49" s="77"/>
      <c r="H49" s="77"/>
      <c r="I49" s="77"/>
      <c r="J49" s="77">
        <f t="shared" si="10"/>
        <v>0.15</v>
      </c>
      <c r="K49" s="33">
        <f t="shared" si="5"/>
        <v>1</v>
      </c>
      <c r="L49" s="76">
        <f t="shared" si="2"/>
        <v>0.2</v>
      </c>
      <c r="M49" s="77">
        <f t="shared" si="11"/>
        <v>0.3</v>
      </c>
      <c r="N49" s="77">
        <f t="shared" si="11"/>
        <v>0.25</v>
      </c>
      <c r="O49" s="77">
        <f t="shared" si="11"/>
        <v>0.05</v>
      </c>
      <c r="P49" s="77"/>
      <c r="Q49" s="77"/>
      <c r="R49" s="77"/>
      <c r="S49" s="77">
        <f t="shared" si="12"/>
        <v>0.2</v>
      </c>
      <c r="T49" s="33">
        <f t="shared" si="6"/>
        <v>1</v>
      </c>
      <c r="U49" s="295"/>
      <c r="X49" s="202">
        <f t="shared" si="7"/>
        <v>0.70499999999999996</v>
      </c>
      <c r="Y49" s="196">
        <f t="shared" si="8"/>
        <v>0.71500000000000008</v>
      </c>
    </row>
    <row r="50" spans="2:25">
      <c r="B50" s="461">
        <f t="shared" si="4"/>
        <v>1982</v>
      </c>
      <c r="C50" s="76">
        <f t="shared" si="0"/>
        <v>0.25</v>
      </c>
      <c r="D50" s="77">
        <f t="shared" si="9"/>
        <v>0.3</v>
      </c>
      <c r="E50" s="77">
        <f t="shared" si="9"/>
        <v>0.25</v>
      </c>
      <c r="F50" s="77">
        <f t="shared" si="9"/>
        <v>0.05</v>
      </c>
      <c r="G50" s="77"/>
      <c r="H50" s="77"/>
      <c r="I50" s="77"/>
      <c r="J50" s="77">
        <f t="shared" si="10"/>
        <v>0.15</v>
      </c>
      <c r="K50" s="33">
        <f t="shared" si="5"/>
        <v>1</v>
      </c>
      <c r="L50" s="76">
        <f t="shared" si="2"/>
        <v>0.2</v>
      </c>
      <c r="M50" s="77">
        <f t="shared" si="11"/>
        <v>0.3</v>
      </c>
      <c r="N50" s="77">
        <f t="shared" si="11"/>
        <v>0.25</v>
      </c>
      <c r="O50" s="77">
        <f t="shared" si="11"/>
        <v>0.05</v>
      </c>
      <c r="P50" s="77"/>
      <c r="Q50" s="77"/>
      <c r="R50" s="77"/>
      <c r="S50" s="77">
        <f t="shared" si="12"/>
        <v>0.2</v>
      </c>
      <c r="T50" s="33">
        <f t="shared" si="6"/>
        <v>1</v>
      </c>
      <c r="U50" s="295"/>
      <c r="X50" s="202">
        <f t="shared" si="7"/>
        <v>0.70499999999999996</v>
      </c>
      <c r="Y50" s="196">
        <f t="shared" si="8"/>
        <v>0.71500000000000008</v>
      </c>
    </row>
    <row r="51" spans="2:25">
      <c r="B51" s="461">
        <f t="shared" ref="B51:B82" si="13">B50+1</f>
        <v>1983</v>
      </c>
      <c r="C51" s="76">
        <f t="shared" ref="C51:J98" si="14">C$16</f>
        <v>0.25</v>
      </c>
      <c r="D51" s="77">
        <f t="shared" si="14"/>
        <v>0.3</v>
      </c>
      <c r="E51" s="77">
        <f t="shared" si="14"/>
        <v>0.25</v>
      </c>
      <c r="F51" s="77">
        <f t="shared" si="14"/>
        <v>0.05</v>
      </c>
      <c r="G51" s="77"/>
      <c r="H51" s="77"/>
      <c r="I51" s="77"/>
      <c r="J51" s="77">
        <f t="shared" si="14"/>
        <v>0.15</v>
      </c>
      <c r="K51" s="33">
        <f t="shared" si="5"/>
        <v>1</v>
      </c>
      <c r="L51" s="76">
        <f t="shared" ref="L51:S98" si="15">L$16</f>
        <v>0.2</v>
      </c>
      <c r="M51" s="77">
        <f t="shared" si="15"/>
        <v>0.3</v>
      </c>
      <c r="N51" s="77">
        <f t="shared" si="15"/>
        <v>0.25</v>
      </c>
      <c r="O51" s="77">
        <f t="shared" si="15"/>
        <v>0.05</v>
      </c>
      <c r="P51" s="77"/>
      <c r="Q51" s="77"/>
      <c r="R51" s="77"/>
      <c r="S51" s="77">
        <f t="shared" si="15"/>
        <v>0.2</v>
      </c>
      <c r="T51" s="33">
        <f t="shared" si="6"/>
        <v>1</v>
      </c>
      <c r="U51" s="295"/>
      <c r="X51" s="202">
        <f t="shared" si="7"/>
        <v>0.70499999999999996</v>
      </c>
      <c r="Y51" s="196">
        <f t="shared" si="8"/>
        <v>0.71500000000000008</v>
      </c>
    </row>
    <row r="52" spans="2:25">
      <c r="B52" s="461">
        <f t="shared" si="13"/>
        <v>1984</v>
      </c>
      <c r="C52" s="76">
        <f t="shared" si="14"/>
        <v>0.25</v>
      </c>
      <c r="D52" s="77">
        <f t="shared" si="14"/>
        <v>0.3</v>
      </c>
      <c r="E52" s="77">
        <f t="shared" si="14"/>
        <v>0.25</v>
      </c>
      <c r="F52" s="77">
        <f t="shared" si="14"/>
        <v>0.05</v>
      </c>
      <c r="G52" s="77"/>
      <c r="H52" s="77"/>
      <c r="I52" s="77"/>
      <c r="J52" s="77">
        <f t="shared" si="14"/>
        <v>0.15</v>
      </c>
      <c r="K52" s="33">
        <f t="shared" si="5"/>
        <v>1</v>
      </c>
      <c r="L52" s="76">
        <f t="shared" si="15"/>
        <v>0.2</v>
      </c>
      <c r="M52" s="77">
        <f t="shared" si="15"/>
        <v>0.3</v>
      </c>
      <c r="N52" s="77">
        <f t="shared" si="15"/>
        <v>0.25</v>
      </c>
      <c r="O52" s="77">
        <f t="shared" si="15"/>
        <v>0.05</v>
      </c>
      <c r="P52" s="77"/>
      <c r="Q52" s="77"/>
      <c r="R52" s="77"/>
      <c r="S52" s="77">
        <f t="shared" si="15"/>
        <v>0.2</v>
      </c>
      <c r="T52" s="33">
        <f t="shared" si="6"/>
        <v>1</v>
      </c>
      <c r="U52" s="295"/>
      <c r="X52" s="202">
        <f t="shared" si="7"/>
        <v>0.70499999999999996</v>
      </c>
      <c r="Y52" s="196">
        <f t="shared" si="8"/>
        <v>0.71500000000000008</v>
      </c>
    </row>
    <row r="53" spans="2:25">
      <c r="B53" s="461">
        <f t="shared" si="13"/>
        <v>1985</v>
      </c>
      <c r="C53" s="76">
        <f t="shared" si="14"/>
        <v>0.25</v>
      </c>
      <c r="D53" s="77">
        <f t="shared" si="14"/>
        <v>0.3</v>
      </c>
      <c r="E53" s="77">
        <f t="shared" si="14"/>
        <v>0.25</v>
      </c>
      <c r="F53" s="77">
        <f t="shared" si="14"/>
        <v>0.05</v>
      </c>
      <c r="G53" s="77"/>
      <c r="H53" s="77"/>
      <c r="I53" s="77"/>
      <c r="J53" s="77">
        <f t="shared" si="14"/>
        <v>0.15</v>
      </c>
      <c r="K53" s="33">
        <f t="shared" si="5"/>
        <v>1</v>
      </c>
      <c r="L53" s="76">
        <f t="shared" si="15"/>
        <v>0.2</v>
      </c>
      <c r="M53" s="77">
        <f t="shared" si="15"/>
        <v>0.3</v>
      </c>
      <c r="N53" s="77">
        <f t="shared" si="15"/>
        <v>0.25</v>
      </c>
      <c r="O53" s="77">
        <f t="shared" si="15"/>
        <v>0.05</v>
      </c>
      <c r="P53" s="77"/>
      <c r="Q53" s="77"/>
      <c r="R53" s="77"/>
      <c r="S53" s="77">
        <f t="shared" si="15"/>
        <v>0.2</v>
      </c>
      <c r="T53" s="33">
        <f t="shared" si="6"/>
        <v>1</v>
      </c>
      <c r="U53" s="295"/>
      <c r="X53" s="202">
        <f t="shared" si="7"/>
        <v>0.70499999999999996</v>
      </c>
      <c r="Y53" s="196">
        <f t="shared" si="8"/>
        <v>0.71500000000000008</v>
      </c>
    </row>
    <row r="54" spans="2:25">
      <c r="B54" s="461">
        <f t="shared" si="13"/>
        <v>1986</v>
      </c>
      <c r="C54" s="76">
        <f t="shared" si="14"/>
        <v>0.25</v>
      </c>
      <c r="D54" s="77">
        <f t="shared" si="14"/>
        <v>0.3</v>
      </c>
      <c r="E54" s="77">
        <f t="shared" si="14"/>
        <v>0.25</v>
      </c>
      <c r="F54" s="77">
        <f t="shared" si="14"/>
        <v>0.05</v>
      </c>
      <c r="G54" s="77"/>
      <c r="H54" s="77"/>
      <c r="I54" s="77"/>
      <c r="J54" s="77">
        <f t="shared" si="14"/>
        <v>0.15</v>
      </c>
      <c r="K54" s="33">
        <f t="shared" si="5"/>
        <v>1</v>
      </c>
      <c r="L54" s="76">
        <f t="shared" si="15"/>
        <v>0.2</v>
      </c>
      <c r="M54" s="77">
        <f t="shared" si="15"/>
        <v>0.3</v>
      </c>
      <c r="N54" s="77">
        <f t="shared" si="15"/>
        <v>0.25</v>
      </c>
      <c r="O54" s="77">
        <f t="shared" si="15"/>
        <v>0.05</v>
      </c>
      <c r="P54" s="77"/>
      <c r="Q54" s="77"/>
      <c r="R54" s="77"/>
      <c r="S54" s="77">
        <f t="shared" si="15"/>
        <v>0.2</v>
      </c>
      <c r="T54" s="33">
        <f t="shared" si="6"/>
        <v>1</v>
      </c>
      <c r="U54" s="295"/>
      <c r="X54" s="202">
        <f t="shared" si="7"/>
        <v>0.70499999999999996</v>
      </c>
      <c r="Y54" s="196">
        <f t="shared" si="8"/>
        <v>0.71500000000000008</v>
      </c>
    </row>
    <row r="55" spans="2:25">
      <c r="B55" s="461">
        <f t="shared" si="13"/>
        <v>1987</v>
      </c>
      <c r="C55" s="76">
        <f t="shared" si="14"/>
        <v>0.25</v>
      </c>
      <c r="D55" s="77">
        <f t="shared" si="14"/>
        <v>0.3</v>
      </c>
      <c r="E55" s="77">
        <f t="shared" si="14"/>
        <v>0.25</v>
      </c>
      <c r="F55" s="77">
        <f t="shared" si="14"/>
        <v>0.05</v>
      </c>
      <c r="G55" s="77"/>
      <c r="H55" s="77"/>
      <c r="I55" s="77"/>
      <c r="J55" s="77">
        <f t="shared" si="14"/>
        <v>0.15</v>
      </c>
      <c r="K55" s="33">
        <f t="shared" si="5"/>
        <v>1</v>
      </c>
      <c r="L55" s="76">
        <f t="shared" si="15"/>
        <v>0.2</v>
      </c>
      <c r="M55" s="77">
        <f t="shared" si="15"/>
        <v>0.3</v>
      </c>
      <c r="N55" s="77">
        <f t="shared" si="15"/>
        <v>0.25</v>
      </c>
      <c r="O55" s="77">
        <f t="shared" si="15"/>
        <v>0.05</v>
      </c>
      <c r="P55" s="77"/>
      <c r="Q55" s="77"/>
      <c r="R55" s="77"/>
      <c r="S55" s="77">
        <f t="shared" si="15"/>
        <v>0.2</v>
      </c>
      <c r="T55" s="33">
        <f t="shared" si="6"/>
        <v>1</v>
      </c>
      <c r="U55" s="295"/>
      <c r="X55" s="202">
        <f t="shared" si="7"/>
        <v>0.70499999999999996</v>
      </c>
      <c r="Y55" s="196">
        <f t="shared" si="8"/>
        <v>0.71500000000000008</v>
      </c>
    </row>
    <row r="56" spans="2:25">
      <c r="B56" s="461">
        <f t="shared" si="13"/>
        <v>1988</v>
      </c>
      <c r="C56" s="76">
        <f t="shared" si="14"/>
        <v>0.25</v>
      </c>
      <c r="D56" s="77">
        <f t="shared" si="14"/>
        <v>0.3</v>
      </c>
      <c r="E56" s="77">
        <f t="shared" si="14"/>
        <v>0.25</v>
      </c>
      <c r="F56" s="77">
        <f t="shared" si="14"/>
        <v>0.05</v>
      </c>
      <c r="G56" s="77"/>
      <c r="H56" s="77"/>
      <c r="I56" s="77"/>
      <c r="J56" s="77">
        <f t="shared" si="14"/>
        <v>0.15</v>
      </c>
      <c r="K56" s="33">
        <f t="shared" si="5"/>
        <v>1</v>
      </c>
      <c r="L56" s="76">
        <f t="shared" si="15"/>
        <v>0.2</v>
      </c>
      <c r="M56" s="77">
        <f t="shared" si="15"/>
        <v>0.3</v>
      </c>
      <c r="N56" s="77">
        <f t="shared" si="15"/>
        <v>0.25</v>
      </c>
      <c r="O56" s="77">
        <f t="shared" si="15"/>
        <v>0.05</v>
      </c>
      <c r="P56" s="77"/>
      <c r="Q56" s="77"/>
      <c r="R56" s="77"/>
      <c r="S56" s="77">
        <f t="shared" si="15"/>
        <v>0.2</v>
      </c>
      <c r="T56" s="33">
        <f t="shared" si="6"/>
        <v>1</v>
      </c>
      <c r="U56" s="295"/>
      <c r="X56" s="202">
        <f t="shared" si="7"/>
        <v>0.70499999999999996</v>
      </c>
      <c r="Y56" s="196">
        <f t="shared" si="8"/>
        <v>0.71500000000000008</v>
      </c>
    </row>
    <row r="57" spans="2:25">
      <c r="B57" s="461">
        <f t="shared" si="13"/>
        <v>1989</v>
      </c>
      <c r="C57" s="76">
        <f t="shared" si="14"/>
        <v>0.25</v>
      </c>
      <c r="D57" s="77">
        <f t="shared" si="14"/>
        <v>0.3</v>
      </c>
      <c r="E57" s="77">
        <f t="shared" si="14"/>
        <v>0.25</v>
      </c>
      <c r="F57" s="77">
        <f t="shared" si="14"/>
        <v>0.05</v>
      </c>
      <c r="G57" s="77"/>
      <c r="H57" s="77"/>
      <c r="I57" s="77"/>
      <c r="J57" s="77">
        <f t="shared" si="14"/>
        <v>0.15</v>
      </c>
      <c r="K57" s="33">
        <f t="shared" si="5"/>
        <v>1</v>
      </c>
      <c r="L57" s="76">
        <f t="shared" si="15"/>
        <v>0.2</v>
      </c>
      <c r="M57" s="77">
        <f t="shared" si="15"/>
        <v>0.3</v>
      </c>
      <c r="N57" s="77">
        <f t="shared" si="15"/>
        <v>0.25</v>
      </c>
      <c r="O57" s="77">
        <f t="shared" si="15"/>
        <v>0.05</v>
      </c>
      <c r="P57" s="77"/>
      <c r="Q57" s="77"/>
      <c r="R57" s="77"/>
      <c r="S57" s="77">
        <f t="shared" si="15"/>
        <v>0.2</v>
      </c>
      <c r="T57" s="33">
        <f t="shared" si="6"/>
        <v>1</v>
      </c>
      <c r="U57" s="295"/>
      <c r="X57" s="202">
        <f t="shared" si="7"/>
        <v>0.70499999999999996</v>
      </c>
      <c r="Y57" s="196">
        <f t="shared" si="8"/>
        <v>0.71500000000000008</v>
      </c>
    </row>
    <row r="58" spans="2:25">
      <c r="B58" s="461">
        <f t="shared" si="13"/>
        <v>1990</v>
      </c>
      <c r="C58" s="76">
        <f t="shared" si="14"/>
        <v>0.25</v>
      </c>
      <c r="D58" s="77">
        <f t="shared" si="14"/>
        <v>0.3</v>
      </c>
      <c r="E58" s="77">
        <f t="shared" si="14"/>
        <v>0.25</v>
      </c>
      <c r="F58" s="77">
        <f t="shared" si="14"/>
        <v>0.05</v>
      </c>
      <c r="G58" s="77"/>
      <c r="H58" s="77"/>
      <c r="I58" s="77"/>
      <c r="J58" s="77">
        <f t="shared" si="14"/>
        <v>0.15</v>
      </c>
      <c r="K58" s="33">
        <f t="shared" si="5"/>
        <v>1</v>
      </c>
      <c r="L58" s="76">
        <f t="shared" si="15"/>
        <v>0.2</v>
      </c>
      <c r="M58" s="77">
        <f t="shared" si="15"/>
        <v>0.3</v>
      </c>
      <c r="N58" s="77">
        <f t="shared" si="15"/>
        <v>0.25</v>
      </c>
      <c r="O58" s="77">
        <f t="shared" si="15"/>
        <v>0.05</v>
      </c>
      <c r="P58" s="77"/>
      <c r="Q58" s="77"/>
      <c r="R58" s="77"/>
      <c r="S58" s="77">
        <f t="shared" si="15"/>
        <v>0.2</v>
      </c>
      <c r="T58" s="33">
        <f t="shared" si="6"/>
        <v>1</v>
      </c>
      <c r="U58" s="295"/>
      <c r="X58" s="202">
        <f t="shared" si="7"/>
        <v>0.70499999999999996</v>
      </c>
      <c r="Y58" s="196">
        <f t="shared" si="8"/>
        <v>0.71500000000000008</v>
      </c>
    </row>
    <row r="59" spans="2:25">
      <c r="B59" s="461">
        <f t="shared" si="13"/>
        <v>1991</v>
      </c>
      <c r="C59" s="76">
        <f t="shared" si="14"/>
        <v>0.25</v>
      </c>
      <c r="D59" s="77">
        <f t="shared" si="14"/>
        <v>0.3</v>
      </c>
      <c r="E59" s="77">
        <f t="shared" si="14"/>
        <v>0.25</v>
      </c>
      <c r="F59" s="77">
        <f t="shared" si="14"/>
        <v>0.05</v>
      </c>
      <c r="G59" s="77"/>
      <c r="H59" s="77"/>
      <c r="I59" s="77"/>
      <c r="J59" s="77">
        <f t="shared" si="14"/>
        <v>0.15</v>
      </c>
      <c r="K59" s="33">
        <f t="shared" si="5"/>
        <v>1</v>
      </c>
      <c r="L59" s="76">
        <f t="shared" si="15"/>
        <v>0.2</v>
      </c>
      <c r="M59" s="77">
        <f t="shared" si="15"/>
        <v>0.3</v>
      </c>
      <c r="N59" s="77">
        <f t="shared" si="15"/>
        <v>0.25</v>
      </c>
      <c r="O59" s="77">
        <f t="shared" si="15"/>
        <v>0.05</v>
      </c>
      <c r="P59" s="77"/>
      <c r="Q59" s="77"/>
      <c r="R59" s="77"/>
      <c r="S59" s="77">
        <f t="shared" si="15"/>
        <v>0.2</v>
      </c>
      <c r="T59" s="33">
        <f t="shared" si="6"/>
        <v>1</v>
      </c>
      <c r="U59" s="295"/>
      <c r="X59" s="202">
        <f t="shared" si="7"/>
        <v>0.70499999999999996</v>
      </c>
      <c r="Y59" s="196">
        <f t="shared" si="8"/>
        <v>0.71500000000000008</v>
      </c>
    </row>
    <row r="60" spans="2:25">
      <c r="B60" s="461">
        <f t="shared" si="13"/>
        <v>1992</v>
      </c>
      <c r="C60" s="76">
        <f t="shared" si="14"/>
        <v>0.25</v>
      </c>
      <c r="D60" s="77">
        <f t="shared" si="14"/>
        <v>0.3</v>
      </c>
      <c r="E60" s="77">
        <f t="shared" si="14"/>
        <v>0.25</v>
      </c>
      <c r="F60" s="77">
        <f t="shared" si="14"/>
        <v>0.05</v>
      </c>
      <c r="G60" s="77"/>
      <c r="H60" s="77"/>
      <c r="I60" s="77"/>
      <c r="J60" s="77">
        <f t="shared" si="14"/>
        <v>0.15</v>
      </c>
      <c r="K60" s="33">
        <f t="shared" si="5"/>
        <v>1</v>
      </c>
      <c r="L60" s="76">
        <f t="shared" si="15"/>
        <v>0.2</v>
      </c>
      <c r="M60" s="77">
        <f t="shared" si="15"/>
        <v>0.3</v>
      </c>
      <c r="N60" s="77">
        <f t="shared" si="15"/>
        <v>0.25</v>
      </c>
      <c r="O60" s="77">
        <f t="shared" si="15"/>
        <v>0.05</v>
      </c>
      <c r="P60" s="77"/>
      <c r="Q60" s="77"/>
      <c r="R60" s="77"/>
      <c r="S60" s="77">
        <f t="shared" si="15"/>
        <v>0.2</v>
      </c>
      <c r="T60" s="33">
        <f t="shared" si="6"/>
        <v>1</v>
      </c>
      <c r="U60" s="295"/>
      <c r="X60" s="202">
        <f t="shared" si="7"/>
        <v>0.70499999999999996</v>
      </c>
      <c r="Y60" s="196">
        <f t="shared" si="8"/>
        <v>0.71500000000000008</v>
      </c>
    </row>
    <row r="61" spans="2:25">
      <c r="B61" s="461">
        <f t="shared" si="13"/>
        <v>1993</v>
      </c>
      <c r="C61" s="76">
        <f t="shared" si="14"/>
        <v>0.25</v>
      </c>
      <c r="D61" s="77">
        <f t="shared" si="14"/>
        <v>0.3</v>
      </c>
      <c r="E61" s="77">
        <f t="shared" si="14"/>
        <v>0.25</v>
      </c>
      <c r="F61" s="77">
        <f t="shared" si="14"/>
        <v>0.05</v>
      </c>
      <c r="G61" s="77"/>
      <c r="H61" s="77"/>
      <c r="I61" s="77"/>
      <c r="J61" s="77">
        <f t="shared" si="14"/>
        <v>0.15</v>
      </c>
      <c r="K61" s="33">
        <f t="shared" si="5"/>
        <v>1</v>
      </c>
      <c r="L61" s="76">
        <f t="shared" si="15"/>
        <v>0.2</v>
      </c>
      <c r="M61" s="77">
        <f t="shared" si="15"/>
        <v>0.3</v>
      </c>
      <c r="N61" s="77">
        <f t="shared" si="15"/>
        <v>0.25</v>
      </c>
      <c r="O61" s="77">
        <f t="shared" si="15"/>
        <v>0.05</v>
      </c>
      <c r="P61" s="77"/>
      <c r="Q61" s="77"/>
      <c r="R61" s="77"/>
      <c r="S61" s="77">
        <f t="shared" si="15"/>
        <v>0.2</v>
      </c>
      <c r="T61" s="33">
        <f t="shared" si="6"/>
        <v>1</v>
      </c>
      <c r="U61" s="295"/>
      <c r="X61" s="202">
        <f t="shared" si="7"/>
        <v>0.70499999999999996</v>
      </c>
      <c r="Y61" s="196">
        <f t="shared" si="8"/>
        <v>0.71500000000000008</v>
      </c>
    </row>
    <row r="62" spans="2:25">
      <c r="B62" s="461">
        <f t="shared" si="13"/>
        <v>1994</v>
      </c>
      <c r="C62" s="76">
        <f t="shared" si="14"/>
        <v>0.25</v>
      </c>
      <c r="D62" s="77">
        <f t="shared" si="14"/>
        <v>0.3</v>
      </c>
      <c r="E62" s="77">
        <f t="shared" si="14"/>
        <v>0.25</v>
      </c>
      <c r="F62" s="77">
        <f t="shared" si="14"/>
        <v>0.05</v>
      </c>
      <c r="G62" s="77"/>
      <c r="H62" s="77"/>
      <c r="I62" s="77"/>
      <c r="J62" s="77">
        <f t="shared" si="14"/>
        <v>0.15</v>
      </c>
      <c r="K62" s="33">
        <f t="shared" si="5"/>
        <v>1</v>
      </c>
      <c r="L62" s="76">
        <f t="shared" si="15"/>
        <v>0.2</v>
      </c>
      <c r="M62" s="77">
        <f t="shared" si="15"/>
        <v>0.3</v>
      </c>
      <c r="N62" s="77">
        <f t="shared" si="15"/>
        <v>0.25</v>
      </c>
      <c r="O62" s="77">
        <f t="shared" si="15"/>
        <v>0.05</v>
      </c>
      <c r="P62" s="77"/>
      <c r="Q62" s="77"/>
      <c r="R62" s="77"/>
      <c r="S62" s="77">
        <f t="shared" si="15"/>
        <v>0.2</v>
      </c>
      <c r="T62" s="33">
        <f t="shared" si="6"/>
        <v>1</v>
      </c>
      <c r="U62" s="295"/>
      <c r="X62" s="202">
        <f t="shared" si="7"/>
        <v>0.70499999999999996</v>
      </c>
      <c r="Y62" s="196">
        <f t="shared" si="8"/>
        <v>0.71500000000000008</v>
      </c>
    </row>
    <row r="63" spans="2:25">
      <c r="B63" s="461">
        <f t="shared" si="13"/>
        <v>1995</v>
      </c>
      <c r="C63" s="76">
        <f t="shared" si="14"/>
        <v>0.25</v>
      </c>
      <c r="D63" s="77">
        <f t="shared" si="14"/>
        <v>0.3</v>
      </c>
      <c r="E63" s="77">
        <f t="shared" si="14"/>
        <v>0.25</v>
      </c>
      <c r="F63" s="77">
        <f t="shared" si="14"/>
        <v>0.05</v>
      </c>
      <c r="G63" s="77"/>
      <c r="H63" s="77"/>
      <c r="I63" s="77"/>
      <c r="J63" s="77">
        <f t="shared" si="14"/>
        <v>0.15</v>
      </c>
      <c r="K63" s="33">
        <f t="shared" si="5"/>
        <v>1</v>
      </c>
      <c r="L63" s="76">
        <f t="shared" si="15"/>
        <v>0.2</v>
      </c>
      <c r="M63" s="77">
        <f t="shared" si="15"/>
        <v>0.3</v>
      </c>
      <c r="N63" s="77">
        <f t="shared" si="15"/>
        <v>0.25</v>
      </c>
      <c r="O63" s="77">
        <f t="shared" si="15"/>
        <v>0.05</v>
      </c>
      <c r="P63" s="77"/>
      <c r="Q63" s="77"/>
      <c r="R63" s="77"/>
      <c r="S63" s="77">
        <f t="shared" si="15"/>
        <v>0.2</v>
      </c>
      <c r="T63" s="33">
        <f t="shared" si="6"/>
        <v>1</v>
      </c>
      <c r="U63" s="295"/>
      <c r="X63" s="202">
        <f t="shared" si="7"/>
        <v>0.70499999999999996</v>
      </c>
      <c r="Y63" s="196">
        <f t="shared" si="8"/>
        <v>0.71500000000000008</v>
      </c>
    </row>
    <row r="64" spans="2:25">
      <c r="B64" s="461">
        <f t="shared" si="13"/>
        <v>1996</v>
      </c>
      <c r="C64" s="76">
        <f t="shared" si="14"/>
        <v>0.25</v>
      </c>
      <c r="D64" s="77">
        <f t="shared" si="14"/>
        <v>0.3</v>
      </c>
      <c r="E64" s="77">
        <f t="shared" si="14"/>
        <v>0.25</v>
      </c>
      <c r="F64" s="77">
        <f t="shared" si="14"/>
        <v>0.05</v>
      </c>
      <c r="G64" s="77"/>
      <c r="H64" s="77"/>
      <c r="I64" s="77"/>
      <c r="J64" s="77">
        <f t="shared" si="14"/>
        <v>0.15</v>
      </c>
      <c r="K64" s="33">
        <f t="shared" si="5"/>
        <v>1</v>
      </c>
      <c r="L64" s="76">
        <f t="shared" si="15"/>
        <v>0.2</v>
      </c>
      <c r="M64" s="77">
        <f t="shared" si="15"/>
        <v>0.3</v>
      </c>
      <c r="N64" s="77">
        <f t="shared" si="15"/>
        <v>0.25</v>
      </c>
      <c r="O64" s="77">
        <f t="shared" si="15"/>
        <v>0.05</v>
      </c>
      <c r="P64" s="77"/>
      <c r="Q64" s="77"/>
      <c r="R64" s="77"/>
      <c r="S64" s="77">
        <f t="shared" si="15"/>
        <v>0.2</v>
      </c>
      <c r="T64" s="33">
        <f t="shared" si="6"/>
        <v>1</v>
      </c>
      <c r="U64" s="295"/>
      <c r="X64" s="202">
        <f t="shared" si="7"/>
        <v>0.70499999999999996</v>
      </c>
      <c r="Y64" s="196">
        <f t="shared" si="8"/>
        <v>0.71500000000000008</v>
      </c>
    </row>
    <row r="65" spans="2:25">
      <c r="B65" s="461">
        <f t="shared" si="13"/>
        <v>1997</v>
      </c>
      <c r="C65" s="76">
        <f t="shared" si="14"/>
        <v>0.25</v>
      </c>
      <c r="D65" s="77">
        <f t="shared" si="14"/>
        <v>0.3</v>
      </c>
      <c r="E65" s="77">
        <f t="shared" si="14"/>
        <v>0.25</v>
      </c>
      <c r="F65" s="77">
        <f t="shared" si="14"/>
        <v>0.05</v>
      </c>
      <c r="G65" s="77"/>
      <c r="H65" s="77"/>
      <c r="I65" s="77"/>
      <c r="J65" s="77">
        <f t="shared" si="14"/>
        <v>0.15</v>
      </c>
      <c r="K65" s="33">
        <f t="shared" si="5"/>
        <v>1</v>
      </c>
      <c r="L65" s="76">
        <f t="shared" si="15"/>
        <v>0.2</v>
      </c>
      <c r="M65" s="77">
        <f t="shared" si="15"/>
        <v>0.3</v>
      </c>
      <c r="N65" s="77">
        <f t="shared" si="15"/>
        <v>0.25</v>
      </c>
      <c r="O65" s="77">
        <f t="shared" si="15"/>
        <v>0.05</v>
      </c>
      <c r="P65" s="77"/>
      <c r="Q65" s="77"/>
      <c r="R65" s="77"/>
      <c r="S65" s="77">
        <f t="shared" si="15"/>
        <v>0.2</v>
      </c>
      <c r="T65" s="33">
        <f t="shared" si="6"/>
        <v>1</v>
      </c>
      <c r="U65" s="295"/>
      <c r="X65" s="202">
        <f t="shared" si="7"/>
        <v>0.70499999999999996</v>
      </c>
      <c r="Y65" s="196">
        <f t="shared" si="8"/>
        <v>0.71500000000000008</v>
      </c>
    </row>
    <row r="66" spans="2:25">
      <c r="B66" s="461">
        <f t="shared" si="13"/>
        <v>1998</v>
      </c>
      <c r="C66" s="76">
        <f t="shared" si="14"/>
        <v>0.25</v>
      </c>
      <c r="D66" s="77">
        <f t="shared" si="14"/>
        <v>0.3</v>
      </c>
      <c r="E66" s="77">
        <f t="shared" si="14"/>
        <v>0.25</v>
      </c>
      <c r="F66" s="77">
        <f t="shared" si="14"/>
        <v>0.05</v>
      </c>
      <c r="G66" s="77"/>
      <c r="H66" s="77"/>
      <c r="I66" s="77"/>
      <c r="J66" s="77">
        <f t="shared" si="14"/>
        <v>0.15</v>
      </c>
      <c r="K66" s="33">
        <f t="shared" si="5"/>
        <v>1</v>
      </c>
      <c r="L66" s="76">
        <f t="shared" si="15"/>
        <v>0.2</v>
      </c>
      <c r="M66" s="77">
        <f t="shared" si="15"/>
        <v>0.3</v>
      </c>
      <c r="N66" s="77">
        <f t="shared" si="15"/>
        <v>0.25</v>
      </c>
      <c r="O66" s="77">
        <f t="shared" si="15"/>
        <v>0.05</v>
      </c>
      <c r="P66" s="77"/>
      <c r="Q66" s="77"/>
      <c r="R66" s="77"/>
      <c r="S66" s="77">
        <f t="shared" si="15"/>
        <v>0.2</v>
      </c>
      <c r="T66" s="33">
        <f t="shared" si="6"/>
        <v>1</v>
      </c>
      <c r="U66" s="295"/>
      <c r="X66" s="202">
        <f t="shared" si="7"/>
        <v>0.70499999999999996</v>
      </c>
      <c r="Y66" s="196">
        <f t="shared" si="8"/>
        <v>0.71500000000000008</v>
      </c>
    </row>
    <row r="67" spans="2:25">
      <c r="B67" s="461">
        <f t="shared" si="13"/>
        <v>1999</v>
      </c>
      <c r="C67" s="76">
        <f t="shared" si="14"/>
        <v>0.25</v>
      </c>
      <c r="D67" s="77">
        <f t="shared" si="14"/>
        <v>0.3</v>
      </c>
      <c r="E67" s="77">
        <f t="shared" si="14"/>
        <v>0.25</v>
      </c>
      <c r="F67" s="77">
        <f t="shared" si="14"/>
        <v>0.05</v>
      </c>
      <c r="G67" s="77"/>
      <c r="H67" s="77"/>
      <c r="I67" s="77"/>
      <c r="J67" s="77">
        <f t="shared" si="14"/>
        <v>0.15</v>
      </c>
      <c r="K67" s="33">
        <f t="shared" si="5"/>
        <v>1</v>
      </c>
      <c r="L67" s="76">
        <f t="shared" si="15"/>
        <v>0.2</v>
      </c>
      <c r="M67" s="77">
        <f t="shared" si="15"/>
        <v>0.3</v>
      </c>
      <c r="N67" s="77">
        <f t="shared" si="15"/>
        <v>0.25</v>
      </c>
      <c r="O67" s="77">
        <f t="shared" si="15"/>
        <v>0.05</v>
      </c>
      <c r="P67" s="77"/>
      <c r="Q67" s="77"/>
      <c r="R67" s="77"/>
      <c r="S67" s="77">
        <f t="shared" si="15"/>
        <v>0.2</v>
      </c>
      <c r="T67" s="33">
        <f t="shared" si="6"/>
        <v>1</v>
      </c>
      <c r="U67" s="295"/>
      <c r="X67" s="202">
        <f t="shared" si="7"/>
        <v>0.70499999999999996</v>
      </c>
      <c r="Y67" s="196">
        <f t="shared" si="8"/>
        <v>0.71500000000000008</v>
      </c>
    </row>
    <row r="68" spans="2:25">
      <c r="B68" s="461">
        <f t="shared" si="13"/>
        <v>2000</v>
      </c>
      <c r="C68" s="76">
        <f t="shared" si="14"/>
        <v>0.25</v>
      </c>
      <c r="D68" s="77">
        <f t="shared" si="14"/>
        <v>0.3</v>
      </c>
      <c r="E68" s="77">
        <f t="shared" si="14"/>
        <v>0.25</v>
      </c>
      <c r="F68" s="77">
        <f t="shared" si="14"/>
        <v>0.05</v>
      </c>
      <c r="G68" s="77"/>
      <c r="H68" s="77"/>
      <c r="I68" s="77"/>
      <c r="J68" s="77">
        <f t="shared" si="14"/>
        <v>0.15</v>
      </c>
      <c r="K68" s="33">
        <f t="shared" si="5"/>
        <v>1</v>
      </c>
      <c r="L68" s="76">
        <f t="shared" si="15"/>
        <v>0.2</v>
      </c>
      <c r="M68" s="77">
        <f t="shared" si="15"/>
        <v>0.3</v>
      </c>
      <c r="N68" s="77">
        <f t="shared" si="15"/>
        <v>0.25</v>
      </c>
      <c r="O68" s="77">
        <f t="shared" si="15"/>
        <v>0.05</v>
      </c>
      <c r="P68" s="77"/>
      <c r="Q68" s="77"/>
      <c r="R68" s="77"/>
      <c r="S68" s="77">
        <f t="shared" si="15"/>
        <v>0.2</v>
      </c>
      <c r="T68" s="33">
        <f t="shared" si="6"/>
        <v>1</v>
      </c>
      <c r="U68" s="295"/>
      <c r="X68" s="202">
        <f t="shared" si="7"/>
        <v>0.70499999999999996</v>
      </c>
      <c r="Y68" s="196">
        <f t="shared" si="8"/>
        <v>0.71500000000000008</v>
      </c>
    </row>
    <row r="69" spans="2:25">
      <c r="B69" s="461">
        <f t="shared" si="13"/>
        <v>2001</v>
      </c>
      <c r="C69" s="76">
        <f t="shared" si="14"/>
        <v>0.25</v>
      </c>
      <c r="D69" s="77">
        <f t="shared" si="14"/>
        <v>0.3</v>
      </c>
      <c r="E69" s="77">
        <f t="shared" si="14"/>
        <v>0.25</v>
      </c>
      <c r="F69" s="77">
        <f t="shared" si="14"/>
        <v>0.05</v>
      </c>
      <c r="G69" s="77"/>
      <c r="H69" s="77"/>
      <c r="I69" s="77"/>
      <c r="J69" s="77">
        <f t="shared" si="14"/>
        <v>0.15</v>
      </c>
      <c r="K69" s="33">
        <f t="shared" si="5"/>
        <v>1</v>
      </c>
      <c r="L69" s="76">
        <f t="shared" si="15"/>
        <v>0.2</v>
      </c>
      <c r="M69" s="77">
        <f t="shared" si="15"/>
        <v>0.3</v>
      </c>
      <c r="N69" s="77">
        <f t="shared" si="15"/>
        <v>0.25</v>
      </c>
      <c r="O69" s="77">
        <f t="shared" si="15"/>
        <v>0.05</v>
      </c>
      <c r="P69" s="77"/>
      <c r="Q69" s="77"/>
      <c r="R69" s="77"/>
      <c r="S69" s="77">
        <f t="shared" si="15"/>
        <v>0.2</v>
      </c>
      <c r="T69" s="33">
        <f t="shared" si="6"/>
        <v>1</v>
      </c>
      <c r="U69" s="295"/>
      <c r="X69" s="202">
        <f t="shared" si="7"/>
        <v>0.70499999999999996</v>
      </c>
      <c r="Y69" s="196">
        <f t="shared" si="8"/>
        <v>0.71500000000000008</v>
      </c>
    </row>
    <row r="70" spans="2:25">
      <c r="B70" s="461">
        <f t="shared" si="13"/>
        <v>2002</v>
      </c>
      <c r="C70" s="76">
        <f t="shared" si="14"/>
        <v>0.25</v>
      </c>
      <c r="D70" s="77">
        <f t="shared" si="14"/>
        <v>0.3</v>
      </c>
      <c r="E70" s="77">
        <f t="shared" si="14"/>
        <v>0.25</v>
      </c>
      <c r="F70" s="77">
        <f t="shared" si="14"/>
        <v>0.05</v>
      </c>
      <c r="G70" s="77"/>
      <c r="H70" s="77"/>
      <c r="I70" s="77"/>
      <c r="J70" s="77">
        <f t="shared" si="14"/>
        <v>0.15</v>
      </c>
      <c r="K70" s="33">
        <f t="shared" si="5"/>
        <v>1</v>
      </c>
      <c r="L70" s="76">
        <f t="shared" si="15"/>
        <v>0.2</v>
      </c>
      <c r="M70" s="77">
        <f t="shared" si="15"/>
        <v>0.3</v>
      </c>
      <c r="N70" s="77">
        <f t="shared" si="15"/>
        <v>0.25</v>
      </c>
      <c r="O70" s="77">
        <f t="shared" si="15"/>
        <v>0.05</v>
      </c>
      <c r="P70" s="77"/>
      <c r="Q70" s="77"/>
      <c r="R70" s="77"/>
      <c r="S70" s="77">
        <f t="shared" si="15"/>
        <v>0.2</v>
      </c>
      <c r="T70" s="33">
        <f t="shared" si="6"/>
        <v>1</v>
      </c>
      <c r="U70" s="295"/>
      <c r="X70" s="202">
        <f t="shared" si="7"/>
        <v>0.70499999999999996</v>
      </c>
      <c r="Y70" s="196">
        <f t="shared" si="8"/>
        <v>0.71500000000000008</v>
      </c>
    </row>
    <row r="71" spans="2:25">
      <c r="B71" s="461">
        <f t="shared" si="13"/>
        <v>2003</v>
      </c>
      <c r="C71" s="76">
        <f t="shared" si="14"/>
        <v>0.25</v>
      </c>
      <c r="D71" s="77">
        <f t="shared" si="14"/>
        <v>0.3</v>
      </c>
      <c r="E71" s="77">
        <f t="shared" si="14"/>
        <v>0.25</v>
      </c>
      <c r="F71" s="77">
        <f t="shared" si="14"/>
        <v>0.05</v>
      </c>
      <c r="G71" s="77"/>
      <c r="H71" s="77"/>
      <c r="I71" s="77"/>
      <c r="J71" s="77">
        <f t="shared" si="14"/>
        <v>0.15</v>
      </c>
      <c r="K71" s="33">
        <f t="shared" si="5"/>
        <v>1</v>
      </c>
      <c r="L71" s="76">
        <f t="shared" si="15"/>
        <v>0.2</v>
      </c>
      <c r="M71" s="77">
        <f t="shared" si="15"/>
        <v>0.3</v>
      </c>
      <c r="N71" s="77">
        <f t="shared" si="15"/>
        <v>0.25</v>
      </c>
      <c r="O71" s="77">
        <f t="shared" si="15"/>
        <v>0.05</v>
      </c>
      <c r="P71" s="77"/>
      <c r="Q71" s="77"/>
      <c r="R71" s="77"/>
      <c r="S71" s="77">
        <f t="shared" si="15"/>
        <v>0.2</v>
      </c>
      <c r="T71" s="33">
        <f t="shared" si="6"/>
        <v>1</v>
      </c>
      <c r="U71" s="295"/>
      <c r="X71" s="202">
        <f t="shared" si="7"/>
        <v>0.70499999999999996</v>
      </c>
      <c r="Y71" s="196">
        <f t="shared" si="8"/>
        <v>0.71500000000000008</v>
      </c>
    </row>
    <row r="72" spans="2:25">
      <c r="B72" s="461">
        <f t="shared" si="13"/>
        <v>2004</v>
      </c>
      <c r="C72" s="76">
        <f t="shared" si="14"/>
        <v>0.25</v>
      </c>
      <c r="D72" s="77">
        <f t="shared" si="14"/>
        <v>0.3</v>
      </c>
      <c r="E72" s="77">
        <f t="shared" si="14"/>
        <v>0.25</v>
      </c>
      <c r="F72" s="77">
        <f t="shared" si="14"/>
        <v>0.05</v>
      </c>
      <c r="G72" s="77"/>
      <c r="H72" s="77"/>
      <c r="I72" s="77"/>
      <c r="J72" s="77">
        <f t="shared" si="14"/>
        <v>0.15</v>
      </c>
      <c r="K72" s="33">
        <f t="shared" si="5"/>
        <v>1</v>
      </c>
      <c r="L72" s="76">
        <f t="shared" si="15"/>
        <v>0.2</v>
      </c>
      <c r="M72" s="77">
        <f t="shared" si="15"/>
        <v>0.3</v>
      </c>
      <c r="N72" s="77">
        <f t="shared" si="15"/>
        <v>0.25</v>
      </c>
      <c r="O72" s="77">
        <f t="shared" si="15"/>
        <v>0.05</v>
      </c>
      <c r="P72" s="77"/>
      <c r="Q72" s="77"/>
      <c r="R72" s="77"/>
      <c r="S72" s="77">
        <f t="shared" si="15"/>
        <v>0.2</v>
      </c>
      <c r="T72" s="33">
        <f t="shared" si="6"/>
        <v>1</v>
      </c>
      <c r="U72" s="295"/>
      <c r="X72" s="202">
        <f t="shared" si="7"/>
        <v>0.70499999999999996</v>
      </c>
      <c r="Y72" s="196">
        <f t="shared" si="8"/>
        <v>0.71500000000000008</v>
      </c>
    </row>
    <row r="73" spans="2:25">
      <c r="B73" s="461">
        <f t="shared" si="13"/>
        <v>2005</v>
      </c>
      <c r="C73" s="76">
        <f t="shared" si="14"/>
        <v>0.25</v>
      </c>
      <c r="D73" s="77">
        <f t="shared" si="14"/>
        <v>0.3</v>
      </c>
      <c r="E73" s="77">
        <f t="shared" si="14"/>
        <v>0.25</v>
      </c>
      <c r="F73" s="77">
        <f t="shared" si="14"/>
        <v>0.05</v>
      </c>
      <c r="G73" s="77"/>
      <c r="H73" s="77"/>
      <c r="I73" s="77"/>
      <c r="J73" s="77">
        <f t="shared" si="14"/>
        <v>0.15</v>
      </c>
      <c r="K73" s="33">
        <f t="shared" si="5"/>
        <v>1</v>
      </c>
      <c r="L73" s="76">
        <f t="shared" si="15"/>
        <v>0.2</v>
      </c>
      <c r="M73" s="77">
        <f t="shared" si="15"/>
        <v>0.3</v>
      </c>
      <c r="N73" s="77">
        <f t="shared" si="15"/>
        <v>0.25</v>
      </c>
      <c r="O73" s="77">
        <f t="shared" si="15"/>
        <v>0.05</v>
      </c>
      <c r="P73" s="77"/>
      <c r="Q73" s="77"/>
      <c r="R73" s="77"/>
      <c r="S73" s="77">
        <f t="shared" si="15"/>
        <v>0.2</v>
      </c>
      <c r="T73" s="33">
        <f t="shared" si="6"/>
        <v>1</v>
      </c>
      <c r="U73" s="295"/>
      <c r="X73" s="202">
        <f t="shared" si="7"/>
        <v>0.70499999999999996</v>
      </c>
      <c r="Y73" s="196">
        <f t="shared" si="8"/>
        <v>0.71500000000000008</v>
      </c>
    </row>
    <row r="74" spans="2:25">
      <c r="B74" s="461">
        <f t="shared" si="13"/>
        <v>2006</v>
      </c>
      <c r="C74" s="76">
        <f t="shared" si="14"/>
        <v>0.25</v>
      </c>
      <c r="D74" s="77">
        <f t="shared" si="14"/>
        <v>0.3</v>
      </c>
      <c r="E74" s="77">
        <f t="shared" si="14"/>
        <v>0.25</v>
      </c>
      <c r="F74" s="77">
        <f t="shared" si="14"/>
        <v>0.05</v>
      </c>
      <c r="G74" s="77"/>
      <c r="H74" s="77"/>
      <c r="I74" s="77"/>
      <c r="J74" s="77">
        <f t="shared" si="14"/>
        <v>0.15</v>
      </c>
      <c r="K74" s="33">
        <f t="shared" si="5"/>
        <v>1</v>
      </c>
      <c r="L74" s="76">
        <f t="shared" si="15"/>
        <v>0.2</v>
      </c>
      <c r="M74" s="77">
        <f t="shared" si="15"/>
        <v>0.3</v>
      </c>
      <c r="N74" s="77">
        <f t="shared" si="15"/>
        <v>0.25</v>
      </c>
      <c r="O74" s="77">
        <f t="shared" si="15"/>
        <v>0.05</v>
      </c>
      <c r="P74" s="77"/>
      <c r="Q74" s="77"/>
      <c r="R74" s="77"/>
      <c r="S74" s="77">
        <f t="shared" si="15"/>
        <v>0.2</v>
      </c>
      <c r="T74" s="33">
        <f t="shared" si="6"/>
        <v>1</v>
      </c>
      <c r="U74" s="295"/>
      <c r="X74" s="202">
        <f t="shared" si="7"/>
        <v>0.70499999999999996</v>
      </c>
      <c r="Y74" s="196">
        <f t="shared" si="8"/>
        <v>0.71500000000000008</v>
      </c>
    </row>
    <row r="75" spans="2:25">
      <c r="B75" s="461">
        <f t="shared" si="13"/>
        <v>2007</v>
      </c>
      <c r="C75" s="76">
        <f t="shared" si="14"/>
        <v>0.25</v>
      </c>
      <c r="D75" s="77">
        <f t="shared" si="14"/>
        <v>0.3</v>
      </c>
      <c r="E75" s="77">
        <f t="shared" si="14"/>
        <v>0.25</v>
      </c>
      <c r="F75" s="77">
        <f t="shared" si="14"/>
        <v>0.05</v>
      </c>
      <c r="G75" s="77"/>
      <c r="H75" s="77"/>
      <c r="I75" s="77"/>
      <c r="J75" s="77">
        <f t="shared" si="14"/>
        <v>0.15</v>
      </c>
      <c r="K75" s="33">
        <f t="shared" si="5"/>
        <v>1</v>
      </c>
      <c r="L75" s="76">
        <f t="shared" si="15"/>
        <v>0.2</v>
      </c>
      <c r="M75" s="77">
        <f t="shared" si="15"/>
        <v>0.3</v>
      </c>
      <c r="N75" s="77">
        <f t="shared" si="15"/>
        <v>0.25</v>
      </c>
      <c r="O75" s="77">
        <f t="shared" si="15"/>
        <v>0.05</v>
      </c>
      <c r="P75" s="77"/>
      <c r="Q75" s="77"/>
      <c r="R75" s="77"/>
      <c r="S75" s="77">
        <f t="shared" si="15"/>
        <v>0.2</v>
      </c>
      <c r="T75" s="33">
        <f t="shared" si="6"/>
        <v>1</v>
      </c>
      <c r="U75" s="295"/>
      <c r="X75" s="202">
        <f t="shared" si="7"/>
        <v>0.70499999999999996</v>
      </c>
      <c r="Y75" s="196">
        <f t="shared" si="8"/>
        <v>0.71500000000000008</v>
      </c>
    </row>
    <row r="76" spans="2:25">
      <c r="B76" s="461">
        <f t="shared" si="13"/>
        <v>2008</v>
      </c>
      <c r="C76" s="76">
        <f t="shared" si="14"/>
        <v>0.25</v>
      </c>
      <c r="D76" s="77">
        <f t="shared" si="14"/>
        <v>0.3</v>
      </c>
      <c r="E76" s="77">
        <f t="shared" si="14"/>
        <v>0.25</v>
      </c>
      <c r="F76" s="77">
        <f t="shared" si="14"/>
        <v>0.05</v>
      </c>
      <c r="G76" s="77"/>
      <c r="H76" s="77"/>
      <c r="I76" s="77"/>
      <c r="J76" s="77">
        <f t="shared" si="14"/>
        <v>0.15</v>
      </c>
      <c r="K76" s="33">
        <f t="shared" si="5"/>
        <v>1</v>
      </c>
      <c r="L76" s="76">
        <f t="shared" si="15"/>
        <v>0.2</v>
      </c>
      <c r="M76" s="77">
        <f t="shared" si="15"/>
        <v>0.3</v>
      </c>
      <c r="N76" s="77">
        <f t="shared" si="15"/>
        <v>0.25</v>
      </c>
      <c r="O76" s="77">
        <f t="shared" si="15"/>
        <v>0.05</v>
      </c>
      <c r="P76" s="77"/>
      <c r="Q76" s="77"/>
      <c r="R76" s="77"/>
      <c r="S76" s="77">
        <f t="shared" si="15"/>
        <v>0.2</v>
      </c>
      <c r="T76" s="33">
        <f t="shared" si="6"/>
        <v>1</v>
      </c>
      <c r="U76" s="295"/>
      <c r="X76" s="202">
        <f t="shared" si="7"/>
        <v>0.70499999999999996</v>
      </c>
      <c r="Y76" s="196">
        <f t="shared" si="8"/>
        <v>0.71500000000000008</v>
      </c>
    </row>
    <row r="77" spans="2:25">
      <c r="B77" s="461">
        <f t="shared" si="13"/>
        <v>2009</v>
      </c>
      <c r="C77" s="76">
        <f t="shared" si="14"/>
        <v>0.25</v>
      </c>
      <c r="D77" s="77">
        <f t="shared" si="14"/>
        <v>0.3</v>
      </c>
      <c r="E77" s="77">
        <f t="shared" si="14"/>
        <v>0.25</v>
      </c>
      <c r="F77" s="77">
        <f t="shared" si="14"/>
        <v>0.05</v>
      </c>
      <c r="G77" s="77"/>
      <c r="H77" s="77"/>
      <c r="I77" s="77"/>
      <c r="J77" s="77">
        <f t="shared" si="14"/>
        <v>0.15</v>
      </c>
      <c r="K77" s="33">
        <f t="shared" si="5"/>
        <v>1</v>
      </c>
      <c r="L77" s="76">
        <f t="shared" si="15"/>
        <v>0.2</v>
      </c>
      <c r="M77" s="77">
        <f t="shared" si="15"/>
        <v>0.3</v>
      </c>
      <c r="N77" s="77">
        <f t="shared" si="15"/>
        <v>0.25</v>
      </c>
      <c r="O77" s="77">
        <f t="shared" si="15"/>
        <v>0.05</v>
      </c>
      <c r="P77" s="77"/>
      <c r="Q77" s="77"/>
      <c r="R77" s="77"/>
      <c r="S77" s="77">
        <f t="shared" si="15"/>
        <v>0.2</v>
      </c>
      <c r="T77" s="33">
        <f t="shared" si="6"/>
        <v>1</v>
      </c>
      <c r="U77" s="295"/>
      <c r="X77" s="202">
        <f t="shared" si="7"/>
        <v>0.70499999999999996</v>
      </c>
      <c r="Y77" s="196">
        <f t="shared" si="8"/>
        <v>0.71500000000000008</v>
      </c>
    </row>
    <row r="78" spans="2:25">
      <c r="B78" s="461">
        <f t="shared" si="13"/>
        <v>2010</v>
      </c>
      <c r="C78" s="76">
        <f t="shared" si="14"/>
        <v>0.25</v>
      </c>
      <c r="D78" s="77">
        <f t="shared" si="14"/>
        <v>0.3</v>
      </c>
      <c r="E78" s="77">
        <f t="shared" si="14"/>
        <v>0.25</v>
      </c>
      <c r="F78" s="77">
        <f t="shared" si="14"/>
        <v>0.05</v>
      </c>
      <c r="G78" s="77"/>
      <c r="H78" s="77"/>
      <c r="I78" s="77"/>
      <c r="J78" s="77">
        <f t="shared" si="14"/>
        <v>0.15</v>
      </c>
      <c r="K78" s="33">
        <f t="shared" si="5"/>
        <v>1</v>
      </c>
      <c r="L78" s="76">
        <f t="shared" si="15"/>
        <v>0.2</v>
      </c>
      <c r="M78" s="77">
        <f t="shared" si="15"/>
        <v>0.3</v>
      </c>
      <c r="N78" s="77">
        <f t="shared" si="15"/>
        <v>0.25</v>
      </c>
      <c r="O78" s="77">
        <f t="shared" si="15"/>
        <v>0.05</v>
      </c>
      <c r="P78" s="77"/>
      <c r="Q78" s="77"/>
      <c r="R78" s="77"/>
      <c r="S78" s="77">
        <f t="shared" si="15"/>
        <v>0.2</v>
      </c>
      <c r="T78" s="33">
        <f t="shared" si="6"/>
        <v>1</v>
      </c>
      <c r="U78" s="295"/>
      <c r="X78" s="202">
        <f t="shared" si="7"/>
        <v>0.70499999999999996</v>
      </c>
      <c r="Y78" s="196">
        <f t="shared" si="8"/>
        <v>0.71500000000000008</v>
      </c>
    </row>
    <row r="79" spans="2:25">
      <c r="B79" s="461">
        <f t="shared" si="13"/>
        <v>2011</v>
      </c>
      <c r="C79" s="76">
        <f t="shared" si="14"/>
        <v>0.25</v>
      </c>
      <c r="D79" s="77">
        <f t="shared" si="14"/>
        <v>0.3</v>
      </c>
      <c r="E79" s="77">
        <f t="shared" si="14"/>
        <v>0.25</v>
      </c>
      <c r="F79" s="77">
        <f t="shared" si="14"/>
        <v>0.05</v>
      </c>
      <c r="G79" s="77"/>
      <c r="H79" s="77"/>
      <c r="I79" s="77"/>
      <c r="J79" s="77">
        <f t="shared" si="14"/>
        <v>0.15</v>
      </c>
      <c r="K79" s="33">
        <f t="shared" si="5"/>
        <v>1</v>
      </c>
      <c r="L79" s="76">
        <f t="shared" si="15"/>
        <v>0.2</v>
      </c>
      <c r="M79" s="77">
        <f t="shared" si="15"/>
        <v>0.3</v>
      </c>
      <c r="N79" s="77">
        <f t="shared" si="15"/>
        <v>0.25</v>
      </c>
      <c r="O79" s="77">
        <f t="shared" si="15"/>
        <v>0.05</v>
      </c>
      <c r="P79" s="77"/>
      <c r="Q79" s="77"/>
      <c r="R79" s="77"/>
      <c r="S79" s="77">
        <f t="shared" si="15"/>
        <v>0.2</v>
      </c>
      <c r="T79" s="33">
        <f t="shared" si="6"/>
        <v>1</v>
      </c>
      <c r="U79" s="295"/>
      <c r="X79" s="202">
        <f t="shared" si="7"/>
        <v>0.70499999999999996</v>
      </c>
      <c r="Y79" s="196">
        <f t="shared" si="8"/>
        <v>0.71500000000000008</v>
      </c>
    </row>
    <row r="80" spans="2:25">
      <c r="B80" s="461">
        <f t="shared" si="13"/>
        <v>2012</v>
      </c>
      <c r="C80" s="76">
        <f t="shared" si="14"/>
        <v>0.25</v>
      </c>
      <c r="D80" s="77">
        <f t="shared" si="14"/>
        <v>0.3</v>
      </c>
      <c r="E80" s="77">
        <f t="shared" si="14"/>
        <v>0.25</v>
      </c>
      <c r="F80" s="77">
        <f t="shared" si="14"/>
        <v>0.05</v>
      </c>
      <c r="G80" s="77"/>
      <c r="H80" s="77"/>
      <c r="I80" s="77"/>
      <c r="J80" s="77">
        <f t="shared" si="14"/>
        <v>0.15</v>
      </c>
      <c r="K80" s="33">
        <f t="shared" si="5"/>
        <v>1</v>
      </c>
      <c r="L80" s="76">
        <f t="shared" si="15"/>
        <v>0.2</v>
      </c>
      <c r="M80" s="77">
        <f t="shared" si="15"/>
        <v>0.3</v>
      </c>
      <c r="N80" s="77">
        <f t="shared" si="15"/>
        <v>0.25</v>
      </c>
      <c r="O80" s="77">
        <f t="shared" si="15"/>
        <v>0.05</v>
      </c>
      <c r="P80" s="77"/>
      <c r="Q80" s="77"/>
      <c r="R80" s="77"/>
      <c r="S80" s="77">
        <f t="shared" si="15"/>
        <v>0.2</v>
      </c>
      <c r="T80" s="33">
        <f t="shared" si="6"/>
        <v>1</v>
      </c>
      <c r="U80" s="295"/>
      <c r="X80" s="202">
        <f t="shared" si="7"/>
        <v>0.70499999999999996</v>
      </c>
      <c r="Y80" s="196">
        <f t="shared" si="8"/>
        <v>0.71500000000000008</v>
      </c>
    </row>
    <row r="81" spans="2:25">
      <c r="B81" s="461">
        <f t="shared" si="13"/>
        <v>2013</v>
      </c>
      <c r="C81" s="76">
        <f t="shared" si="14"/>
        <v>0.25</v>
      </c>
      <c r="D81" s="77">
        <f t="shared" si="14"/>
        <v>0.3</v>
      </c>
      <c r="E81" s="77">
        <f t="shared" si="14"/>
        <v>0.25</v>
      </c>
      <c r="F81" s="77">
        <f t="shared" si="14"/>
        <v>0.05</v>
      </c>
      <c r="G81" s="77"/>
      <c r="H81" s="77"/>
      <c r="I81" s="77"/>
      <c r="J81" s="77">
        <f t="shared" si="14"/>
        <v>0.15</v>
      </c>
      <c r="K81" s="33">
        <f t="shared" si="5"/>
        <v>1</v>
      </c>
      <c r="L81" s="76">
        <f t="shared" si="15"/>
        <v>0.2</v>
      </c>
      <c r="M81" s="77">
        <f t="shared" si="15"/>
        <v>0.3</v>
      </c>
      <c r="N81" s="77">
        <f t="shared" si="15"/>
        <v>0.25</v>
      </c>
      <c r="O81" s="77">
        <f t="shared" si="15"/>
        <v>0.05</v>
      </c>
      <c r="P81" s="77"/>
      <c r="Q81" s="77"/>
      <c r="R81" s="77"/>
      <c r="S81" s="77">
        <f t="shared" si="15"/>
        <v>0.2</v>
      </c>
      <c r="T81" s="33">
        <f t="shared" si="6"/>
        <v>1</v>
      </c>
      <c r="U81" s="295"/>
      <c r="X81" s="202">
        <f t="shared" si="7"/>
        <v>0.70499999999999996</v>
      </c>
      <c r="Y81" s="196">
        <f t="shared" si="8"/>
        <v>0.71500000000000008</v>
      </c>
    </row>
    <row r="82" spans="2:25">
      <c r="B82" s="461">
        <f t="shared" si="13"/>
        <v>2014</v>
      </c>
      <c r="C82" s="76">
        <f t="shared" si="14"/>
        <v>0.25</v>
      </c>
      <c r="D82" s="77">
        <f t="shared" si="14"/>
        <v>0.3</v>
      </c>
      <c r="E82" s="77">
        <f t="shared" si="14"/>
        <v>0.25</v>
      </c>
      <c r="F82" s="77">
        <f t="shared" si="14"/>
        <v>0.05</v>
      </c>
      <c r="G82" s="77"/>
      <c r="H82" s="77"/>
      <c r="I82" s="77"/>
      <c r="J82" s="77">
        <f t="shared" si="14"/>
        <v>0.15</v>
      </c>
      <c r="K82" s="33">
        <f t="shared" si="5"/>
        <v>1</v>
      </c>
      <c r="L82" s="76">
        <f t="shared" si="15"/>
        <v>0.2</v>
      </c>
      <c r="M82" s="77">
        <f t="shared" si="15"/>
        <v>0.3</v>
      </c>
      <c r="N82" s="77">
        <f t="shared" si="15"/>
        <v>0.25</v>
      </c>
      <c r="O82" s="77">
        <f t="shared" si="15"/>
        <v>0.05</v>
      </c>
      <c r="P82" s="77"/>
      <c r="Q82" s="77"/>
      <c r="R82" s="77"/>
      <c r="S82" s="77">
        <f t="shared" si="15"/>
        <v>0.2</v>
      </c>
      <c r="T82" s="33">
        <f t="shared" si="6"/>
        <v>1</v>
      </c>
      <c r="U82" s="295"/>
      <c r="X82" s="202">
        <f t="shared" si="7"/>
        <v>0.70499999999999996</v>
      </c>
      <c r="Y82" s="196">
        <f t="shared" si="8"/>
        <v>0.71500000000000008</v>
      </c>
    </row>
    <row r="83" spans="2:25">
      <c r="B83" s="461">
        <f t="shared" ref="B83:B98" si="16">B82+1</f>
        <v>2015</v>
      </c>
      <c r="C83" s="76">
        <f t="shared" si="14"/>
        <v>0.25</v>
      </c>
      <c r="D83" s="77">
        <f t="shared" si="14"/>
        <v>0.3</v>
      </c>
      <c r="E83" s="77">
        <f t="shared" si="14"/>
        <v>0.25</v>
      </c>
      <c r="F83" s="77">
        <f t="shared" si="14"/>
        <v>0.05</v>
      </c>
      <c r="G83" s="77"/>
      <c r="H83" s="77"/>
      <c r="I83" s="77"/>
      <c r="J83" s="77">
        <f t="shared" si="14"/>
        <v>0.15</v>
      </c>
      <c r="K83" s="33">
        <f t="shared" ref="K83:K98" si="17">SUM(C83:J83)</f>
        <v>1</v>
      </c>
      <c r="L83" s="76">
        <f t="shared" si="15"/>
        <v>0.2</v>
      </c>
      <c r="M83" s="77">
        <f t="shared" si="15"/>
        <v>0.3</v>
      </c>
      <c r="N83" s="77">
        <f t="shared" si="15"/>
        <v>0.25</v>
      </c>
      <c r="O83" s="77">
        <f t="shared" si="15"/>
        <v>0.05</v>
      </c>
      <c r="P83" s="77"/>
      <c r="Q83" s="77"/>
      <c r="R83" s="77"/>
      <c r="S83" s="77">
        <f t="shared" si="15"/>
        <v>0.2</v>
      </c>
      <c r="T83" s="33">
        <f t="shared" ref="T83:T98" si="18">SUM(L83:S83)</f>
        <v>1</v>
      </c>
      <c r="U83" s="295"/>
      <c r="X83" s="202">
        <f t="shared" ref="X83:X98" si="19">C83*C$13+D83*D$13+E83*E$13+F83*F$13+G83*G$13+H83*H$13+I83*I$13+J83*J$13</f>
        <v>0.70499999999999996</v>
      </c>
      <c r="Y83" s="196">
        <f t="shared" ref="Y83:Y98" si="20">L83*L$13+M83*M$13+N83*N$13+O83*O$13+P83*P$13+Q83*Q$13+R83*R$13+S83*S$13</f>
        <v>0.71500000000000008</v>
      </c>
    </row>
    <row r="84" spans="2:25">
      <c r="B84" s="461">
        <f t="shared" si="16"/>
        <v>2016</v>
      </c>
      <c r="C84" s="76">
        <f t="shared" si="14"/>
        <v>0.25</v>
      </c>
      <c r="D84" s="77">
        <f t="shared" si="14"/>
        <v>0.3</v>
      </c>
      <c r="E84" s="77">
        <f t="shared" si="14"/>
        <v>0.25</v>
      </c>
      <c r="F84" s="77">
        <f t="shared" si="14"/>
        <v>0.05</v>
      </c>
      <c r="G84" s="77"/>
      <c r="H84" s="77"/>
      <c r="I84" s="77"/>
      <c r="J84" s="77">
        <f t="shared" si="14"/>
        <v>0.15</v>
      </c>
      <c r="K84" s="33">
        <f t="shared" si="17"/>
        <v>1</v>
      </c>
      <c r="L84" s="76">
        <f t="shared" si="15"/>
        <v>0.2</v>
      </c>
      <c r="M84" s="77">
        <f t="shared" si="15"/>
        <v>0.3</v>
      </c>
      <c r="N84" s="77">
        <f t="shared" si="15"/>
        <v>0.25</v>
      </c>
      <c r="O84" s="77">
        <f t="shared" si="15"/>
        <v>0.05</v>
      </c>
      <c r="P84" s="77"/>
      <c r="Q84" s="77"/>
      <c r="R84" s="77"/>
      <c r="S84" s="77">
        <f t="shared" si="15"/>
        <v>0.2</v>
      </c>
      <c r="T84" s="33">
        <f t="shared" si="18"/>
        <v>1</v>
      </c>
      <c r="U84" s="295"/>
      <c r="X84" s="202">
        <f t="shared" si="19"/>
        <v>0.70499999999999996</v>
      </c>
      <c r="Y84" s="196">
        <f t="shared" si="20"/>
        <v>0.71500000000000008</v>
      </c>
    </row>
    <row r="85" spans="2:25">
      <c r="B85" s="461">
        <f t="shared" si="16"/>
        <v>2017</v>
      </c>
      <c r="C85" s="76">
        <f t="shared" si="14"/>
        <v>0.25</v>
      </c>
      <c r="D85" s="77">
        <f t="shared" si="14"/>
        <v>0.3</v>
      </c>
      <c r="E85" s="77">
        <f t="shared" si="14"/>
        <v>0.25</v>
      </c>
      <c r="F85" s="77">
        <f t="shared" si="14"/>
        <v>0.05</v>
      </c>
      <c r="G85" s="77"/>
      <c r="H85" s="77"/>
      <c r="I85" s="77"/>
      <c r="J85" s="77">
        <f t="shared" si="14"/>
        <v>0.15</v>
      </c>
      <c r="K85" s="33">
        <f t="shared" si="17"/>
        <v>1</v>
      </c>
      <c r="L85" s="76">
        <f t="shared" si="15"/>
        <v>0.2</v>
      </c>
      <c r="M85" s="77">
        <f t="shared" si="15"/>
        <v>0.3</v>
      </c>
      <c r="N85" s="77">
        <f t="shared" si="15"/>
        <v>0.25</v>
      </c>
      <c r="O85" s="77">
        <f t="shared" si="15"/>
        <v>0.05</v>
      </c>
      <c r="P85" s="77"/>
      <c r="Q85" s="77"/>
      <c r="R85" s="77"/>
      <c r="S85" s="77">
        <f t="shared" si="15"/>
        <v>0.2</v>
      </c>
      <c r="T85" s="33">
        <f t="shared" si="18"/>
        <v>1</v>
      </c>
      <c r="U85" s="295"/>
      <c r="X85" s="202">
        <f t="shared" si="19"/>
        <v>0.70499999999999996</v>
      </c>
      <c r="Y85" s="196">
        <f t="shared" si="20"/>
        <v>0.71500000000000008</v>
      </c>
    </row>
    <row r="86" spans="2:25">
      <c r="B86" s="461">
        <f t="shared" si="16"/>
        <v>2018</v>
      </c>
      <c r="C86" s="76">
        <f t="shared" si="14"/>
        <v>0.25</v>
      </c>
      <c r="D86" s="77">
        <f t="shared" si="14"/>
        <v>0.3</v>
      </c>
      <c r="E86" s="77">
        <f t="shared" si="14"/>
        <v>0.25</v>
      </c>
      <c r="F86" s="77">
        <f t="shared" si="14"/>
        <v>0.05</v>
      </c>
      <c r="G86" s="77"/>
      <c r="H86" s="77"/>
      <c r="I86" s="77"/>
      <c r="J86" s="77">
        <f t="shared" si="14"/>
        <v>0.15</v>
      </c>
      <c r="K86" s="33">
        <f t="shared" si="17"/>
        <v>1</v>
      </c>
      <c r="L86" s="76">
        <f t="shared" si="15"/>
        <v>0.2</v>
      </c>
      <c r="M86" s="77">
        <f t="shared" si="15"/>
        <v>0.3</v>
      </c>
      <c r="N86" s="77">
        <f t="shared" si="15"/>
        <v>0.25</v>
      </c>
      <c r="O86" s="77">
        <f t="shared" si="15"/>
        <v>0.05</v>
      </c>
      <c r="P86" s="77"/>
      <c r="Q86" s="77"/>
      <c r="R86" s="77"/>
      <c r="S86" s="77">
        <f t="shared" si="15"/>
        <v>0.2</v>
      </c>
      <c r="T86" s="33">
        <f t="shared" si="18"/>
        <v>1</v>
      </c>
      <c r="U86" s="295"/>
      <c r="X86" s="202">
        <f t="shared" si="19"/>
        <v>0.70499999999999996</v>
      </c>
      <c r="Y86" s="196">
        <f t="shared" si="20"/>
        <v>0.71500000000000008</v>
      </c>
    </row>
    <row r="87" spans="2:25">
      <c r="B87" s="461">
        <f t="shared" si="16"/>
        <v>2019</v>
      </c>
      <c r="C87" s="76">
        <f t="shared" si="14"/>
        <v>0.25</v>
      </c>
      <c r="D87" s="77">
        <f t="shared" si="14"/>
        <v>0.3</v>
      </c>
      <c r="E87" s="77">
        <f t="shared" si="14"/>
        <v>0.25</v>
      </c>
      <c r="F87" s="77">
        <f t="shared" si="14"/>
        <v>0.05</v>
      </c>
      <c r="G87" s="77"/>
      <c r="H87" s="77"/>
      <c r="I87" s="77"/>
      <c r="J87" s="77">
        <f t="shared" si="14"/>
        <v>0.15</v>
      </c>
      <c r="K87" s="33">
        <f t="shared" si="17"/>
        <v>1</v>
      </c>
      <c r="L87" s="76">
        <f t="shared" si="15"/>
        <v>0.2</v>
      </c>
      <c r="M87" s="77">
        <f t="shared" si="15"/>
        <v>0.3</v>
      </c>
      <c r="N87" s="77">
        <f t="shared" si="15"/>
        <v>0.25</v>
      </c>
      <c r="O87" s="77">
        <f t="shared" si="15"/>
        <v>0.05</v>
      </c>
      <c r="P87" s="77"/>
      <c r="Q87" s="77"/>
      <c r="R87" s="77"/>
      <c r="S87" s="77">
        <f t="shared" si="15"/>
        <v>0.2</v>
      </c>
      <c r="T87" s="33">
        <f t="shared" si="18"/>
        <v>1</v>
      </c>
      <c r="U87" s="295"/>
      <c r="X87" s="202">
        <f t="shared" si="19"/>
        <v>0.70499999999999996</v>
      </c>
      <c r="Y87" s="196">
        <f t="shared" si="20"/>
        <v>0.71500000000000008</v>
      </c>
    </row>
    <row r="88" spans="2:25">
      <c r="B88" s="461">
        <f t="shared" si="16"/>
        <v>2020</v>
      </c>
      <c r="C88" s="76">
        <f t="shared" si="14"/>
        <v>0.25</v>
      </c>
      <c r="D88" s="77">
        <f t="shared" si="14"/>
        <v>0.3</v>
      </c>
      <c r="E88" s="77">
        <f t="shared" si="14"/>
        <v>0.25</v>
      </c>
      <c r="F88" s="77">
        <f t="shared" si="14"/>
        <v>0.05</v>
      </c>
      <c r="G88" s="77"/>
      <c r="H88" s="77"/>
      <c r="I88" s="77"/>
      <c r="J88" s="77">
        <f t="shared" si="14"/>
        <v>0.15</v>
      </c>
      <c r="K88" s="33">
        <f t="shared" si="17"/>
        <v>1</v>
      </c>
      <c r="L88" s="76">
        <f t="shared" si="15"/>
        <v>0.2</v>
      </c>
      <c r="M88" s="77">
        <f t="shared" si="15"/>
        <v>0.3</v>
      </c>
      <c r="N88" s="77">
        <f t="shared" si="15"/>
        <v>0.25</v>
      </c>
      <c r="O88" s="77">
        <f t="shared" si="15"/>
        <v>0.05</v>
      </c>
      <c r="P88" s="77"/>
      <c r="Q88" s="77"/>
      <c r="R88" s="77"/>
      <c r="S88" s="77">
        <f t="shared" si="15"/>
        <v>0.2</v>
      </c>
      <c r="T88" s="33">
        <f t="shared" si="18"/>
        <v>1</v>
      </c>
      <c r="U88" s="295"/>
      <c r="X88" s="202">
        <f t="shared" si="19"/>
        <v>0.70499999999999996</v>
      </c>
      <c r="Y88" s="196">
        <f t="shared" si="20"/>
        <v>0.71500000000000008</v>
      </c>
    </row>
    <row r="89" spans="2:25">
      <c r="B89" s="461">
        <f t="shared" si="16"/>
        <v>2021</v>
      </c>
      <c r="C89" s="76">
        <f t="shared" si="14"/>
        <v>0.25</v>
      </c>
      <c r="D89" s="77">
        <f t="shared" si="14"/>
        <v>0.3</v>
      </c>
      <c r="E89" s="77">
        <f t="shared" si="14"/>
        <v>0.25</v>
      </c>
      <c r="F89" s="77">
        <f t="shared" si="14"/>
        <v>0.05</v>
      </c>
      <c r="G89" s="77"/>
      <c r="H89" s="77"/>
      <c r="I89" s="77"/>
      <c r="J89" s="77">
        <f t="shared" si="14"/>
        <v>0.15</v>
      </c>
      <c r="K89" s="33">
        <f t="shared" si="17"/>
        <v>1</v>
      </c>
      <c r="L89" s="76">
        <f t="shared" si="15"/>
        <v>0.2</v>
      </c>
      <c r="M89" s="77">
        <f t="shared" si="15"/>
        <v>0.3</v>
      </c>
      <c r="N89" s="77">
        <f t="shared" si="15"/>
        <v>0.25</v>
      </c>
      <c r="O89" s="77">
        <f t="shared" si="15"/>
        <v>0.05</v>
      </c>
      <c r="P89" s="77"/>
      <c r="Q89" s="77"/>
      <c r="R89" s="77"/>
      <c r="S89" s="77">
        <f t="shared" si="15"/>
        <v>0.2</v>
      </c>
      <c r="T89" s="33">
        <f t="shared" si="18"/>
        <v>1</v>
      </c>
      <c r="U89" s="295"/>
      <c r="X89" s="202">
        <f t="shared" si="19"/>
        <v>0.70499999999999996</v>
      </c>
      <c r="Y89" s="196">
        <f t="shared" si="20"/>
        <v>0.71500000000000008</v>
      </c>
    </row>
    <row r="90" spans="2:25">
      <c r="B90" s="461">
        <f t="shared" si="16"/>
        <v>2022</v>
      </c>
      <c r="C90" s="76">
        <f t="shared" si="14"/>
        <v>0.25</v>
      </c>
      <c r="D90" s="77">
        <f t="shared" si="14"/>
        <v>0.3</v>
      </c>
      <c r="E90" s="77">
        <f t="shared" si="14"/>
        <v>0.25</v>
      </c>
      <c r="F90" s="77">
        <f t="shared" si="14"/>
        <v>0.05</v>
      </c>
      <c r="G90" s="77"/>
      <c r="H90" s="77"/>
      <c r="I90" s="77"/>
      <c r="J90" s="77">
        <f t="shared" si="14"/>
        <v>0.15</v>
      </c>
      <c r="K90" s="33">
        <f t="shared" si="17"/>
        <v>1</v>
      </c>
      <c r="L90" s="76">
        <f t="shared" si="15"/>
        <v>0.2</v>
      </c>
      <c r="M90" s="77">
        <f t="shared" si="15"/>
        <v>0.3</v>
      </c>
      <c r="N90" s="77">
        <f t="shared" si="15"/>
        <v>0.25</v>
      </c>
      <c r="O90" s="77">
        <f t="shared" si="15"/>
        <v>0.05</v>
      </c>
      <c r="P90" s="77"/>
      <c r="Q90" s="77"/>
      <c r="R90" s="77"/>
      <c r="S90" s="77">
        <f t="shared" si="15"/>
        <v>0.2</v>
      </c>
      <c r="T90" s="33">
        <f t="shared" si="18"/>
        <v>1</v>
      </c>
      <c r="U90" s="295"/>
      <c r="X90" s="202">
        <f t="shared" si="19"/>
        <v>0.70499999999999996</v>
      </c>
      <c r="Y90" s="196">
        <f t="shared" si="20"/>
        <v>0.71500000000000008</v>
      </c>
    </row>
    <row r="91" spans="2:25">
      <c r="B91" s="461">
        <f t="shared" si="16"/>
        <v>2023</v>
      </c>
      <c r="C91" s="76">
        <f t="shared" si="14"/>
        <v>0.25</v>
      </c>
      <c r="D91" s="77">
        <f t="shared" si="14"/>
        <v>0.3</v>
      </c>
      <c r="E91" s="77">
        <f t="shared" si="14"/>
        <v>0.25</v>
      </c>
      <c r="F91" s="77">
        <f t="shared" si="14"/>
        <v>0.05</v>
      </c>
      <c r="G91" s="77"/>
      <c r="H91" s="77"/>
      <c r="I91" s="77"/>
      <c r="J91" s="77">
        <f t="shared" si="14"/>
        <v>0.15</v>
      </c>
      <c r="K91" s="33">
        <f t="shared" si="17"/>
        <v>1</v>
      </c>
      <c r="L91" s="76">
        <f t="shared" si="15"/>
        <v>0.2</v>
      </c>
      <c r="M91" s="77">
        <f t="shared" si="15"/>
        <v>0.3</v>
      </c>
      <c r="N91" s="77">
        <f t="shared" si="15"/>
        <v>0.25</v>
      </c>
      <c r="O91" s="77">
        <f t="shared" si="15"/>
        <v>0.05</v>
      </c>
      <c r="P91" s="77"/>
      <c r="Q91" s="77"/>
      <c r="R91" s="77"/>
      <c r="S91" s="77">
        <f t="shared" si="15"/>
        <v>0.2</v>
      </c>
      <c r="T91" s="33">
        <f t="shared" si="18"/>
        <v>1</v>
      </c>
      <c r="U91" s="295"/>
      <c r="X91" s="202">
        <f t="shared" si="19"/>
        <v>0.70499999999999996</v>
      </c>
      <c r="Y91" s="196">
        <f t="shared" si="20"/>
        <v>0.71500000000000008</v>
      </c>
    </row>
    <row r="92" spans="2:25">
      <c r="B92" s="461">
        <f t="shared" si="16"/>
        <v>2024</v>
      </c>
      <c r="C92" s="76">
        <f t="shared" si="14"/>
        <v>0.25</v>
      </c>
      <c r="D92" s="77">
        <f t="shared" si="14"/>
        <v>0.3</v>
      </c>
      <c r="E92" s="77">
        <f t="shared" si="14"/>
        <v>0.25</v>
      </c>
      <c r="F92" s="77">
        <f t="shared" si="14"/>
        <v>0.05</v>
      </c>
      <c r="G92" s="77"/>
      <c r="H92" s="77"/>
      <c r="I92" s="77"/>
      <c r="J92" s="77">
        <f t="shared" si="14"/>
        <v>0.15</v>
      </c>
      <c r="K92" s="33">
        <f t="shared" si="17"/>
        <v>1</v>
      </c>
      <c r="L92" s="76">
        <f t="shared" si="15"/>
        <v>0.2</v>
      </c>
      <c r="M92" s="77">
        <f t="shared" si="15"/>
        <v>0.3</v>
      </c>
      <c r="N92" s="77">
        <f t="shared" si="15"/>
        <v>0.25</v>
      </c>
      <c r="O92" s="77">
        <f t="shared" si="15"/>
        <v>0.05</v>
      </c>
      <c r="P92" s="77"/>
      <c r="Q92" s="77"/>
      <c r="R92" s="77"/>
      <c r="S92" s="77">
        <f t="shared" si="15"/>
        <v>0.2</v>
      </c>
      <c r="T92" s="33">
        <f t="shared" si="18"/>
        <v>1</v>
      </c>
      <c r="U92" s="295"/>
      <c r="X92" s="202">
        <f t="shared" si="19"/>
        <v>0.70499999999999996</v>
      </c>
      <c r="Y92" s="196">
        <f t="shared" si="20"/>
        <v>0.71500000000000008</v>
      </c>
    </row>
    <row r="93" spans="2:25">
      <c r="B93" s="461">
        <f t="shared" si="16"/>
        <v>2025</v>
      </c>
      <c r="C93" s="76">
        <f t="shared" si="14"/>
        <v>0.25</v>
      </c>
      <c r="D93" s="77">
        <f t="shared" si="14"/>
        <v>0.3</v>
      </c>
      <c r="E93" s="77">
        <f t="shared" si="14"/>
        <v>0.25</v>
      </c>
      <c r="F93" s="77">
        <f t="shared" si="14"/>
        <v>0.05</v>
      </c>
      <c r="G93" s="77"/>
      <c r="H93" s="77"/>
      <c r="I93" s="77"/>
      <c r="J93" s="77">
        <f t="shared" si="14"/>
        <v>0.15</v>
      </c>
      <c r="K93" s="33">
        <f t="shared" si="17"/>
        <v>1</v>
      </c>
      <c r="L93" s="76">
        <f t="shared" si="15"/>
        <v>0.2</v>
      </c>
      <c r="M93" s="77">
        <f t="shared" si="15"/>
        <v>0.3</v>
      </c>
      <c r="N93" s="77">
        <f t="shared" si="15"/>
        <v>0.25</v>
      </c>
      <c r="O93" s="77">
        <f t="shared" si="15"/>
        <v>0.05</v>
      </c>
      <c r="P93" s="77"/>
      <c r="Q93" s="77"/>
      <c r="R93" s="77"/>
      <c r="S93" s="77">
        <f t="shared" si="15"/>
        <v>0.2</v>
      </c>
      <c r="T93" s="33">
        <f t="shared" si="18"/>
        <v>1</v>
      </c>
      <c r="U93" s="295"/>
      <c r="X93" s="202">
        <f t="shared" si="19"/>
        <v>0.70499999999999996</v>
      </c>
      <c r="Y93" s="196">
        <f t="shared" si="20"/>
        <v>0.71500000000000008</v>
      </c>
    </row>
    <row r="94" spans="2:25">
      <c r="B94" s="461">
        <f t="shared" si="16"/>
        <v>2026</v>
      </c>
      <c r="C94" s="76">
        <f t="shared" si="14"/>
        <v>0.25</v>
      </c>
      <c r="D94" s="77">
        <f t="shared" si="14"/>
        <v>0.3</v>
      </c>
      <c r="E94" s="77">
        <f t="shared" si="14"/>
        <v>0.25</v>
      </c>
      <c r="F94" s="77">
        <f t="shared" si="14"/>
        <v>0.05</v>
      </c>
      <c r="G94" s="77"/>
      <c r="H94" s="77"/>
      <c r="I94" s="77"/>
      <c r="J94" s="77">
        <f t="shared" si="14"/>
        <v>0.15</v>
      </c>
      <c r="K94" s="33">
        <f t="shared" si="17"/>
        <v>1</v>
      </c>
      <c r="L94" s="76">
        <f t="shared" si="15"/>
        <v>0.2</v>
      </c>
      <c r="M94" s="77">
        <f t="shared" si="15"/>
        <v>0.3</v>
      </c>
      <c r="N94" s="77">
        <f t="shared" si="15"/>
        <v>0.25</v>
      </c>
      <c r="O94" s="77">
        <f t="shared" si="15"/>
        <v>0.05</v>
      </c>
      <c r="P94" s="77"/>
      <c r="Q94" s="77"/>
      <c r="R94" s="77"/>
      <c r="S94" s="77">
        <f t="shared" si="15"/>
        <v>0.2</v>
      </c>
      <c r="T94" s="33">
        <f t="shared" si="18"/>
        <v>1</v>
      </c>
      <c r="U94" s="295"/>
      <c r="X94" s="202">
        <f t="shared" si="19"/>
        <v>0.70499999999999996</v>
      </c>
      <c r="Y94" s="196">
        <f t="shared" si="20"/>
        <v>0.71500000000000008</v>
      </c>
    </row>
    <row r="95" spans="2:25">
      <c r="B95" s="461">
        <f t="shared" si="16"/>
        <v>2027</v>
      </c>
      <c r="C95" s="76">
        <f t="shared" si="14"/>
        <v>0.25</v>
      </c>
      <c r="D95" s="77">
        <f t="shared" si="14"/>
        <v>0.3</v>
      </c>
      <c r="E95" s="77">
        <f t="shared" si="14"/>
        <v>0.25</v>
      </c>
      <c r="F95" s="77">
        <f t="shared" si="14"/>
        <v>0.05</v>
      </c>
      <c r="G95" s="77"/>
      <c r="H95" s="77"/>
      <c r="I95" s="77"/>
      <c r="J95" s="77">
        <f t="shared" si="14"/>
        <v>0.15</v>
      </c>
      <c r="K95" s="33">
        <f t="shared" si="17"/>
        <v>1</v>
      </c>
      <c r="L95" s="76">
        <f t="shared" si="15"/>
        <v>0.2</v>
      </c>
      <c r="M95" s="77">
        <f t="shared" si="15"/>
        <v>0.3</v>
      </c>
      <c r="N95" s="77">
        <f t="shared" si="15"/>
        <v>0.25</v>
      </c>
      <c r="O95" s="77">
        <f t="shared" si="15"/>
        <v>0.05</v>
      </c>
      <c r="P95" s="77"/>
      <c r="Q95" s="77"/>
      <c r="R95" s="77"/>
      <c r="S95" s="77">
        <f t="shared" si="15"/>
        <v>0.2</v>
      </c>
      <c r="T95" s="33">
        <f t="shared" si="18"/>
        <v>1</v>
      </c>
      <c r="U95" s="295"/>
      <c r="X95" s="202">
        <f t="shared" si="19"/>
        <v>0.70499999999999996</v>
      </c>
      <c r="Y95" s="196">
        <f t="shared" si="20"/>
        <v>0.71500000000000008</v>
      </c>
    </row>
    <row r="96" spans="2:25">
      <c r="B96" s="461">
        <f t="shared" si="16"/>
        <v>2028</v>
      </c>
      <c r="C96" s="76">
        <f t="shared" si="14"/>
        <v>0.25</v>
      </c>
      <c r="D96" s="77">
        <f t="shared" si="14"/>
        <v>0.3</v>
      </c>
      <c r="E96" s="77">
        <f t="shared" si="14"/>
        <v>0.25</v>
      </c>
      <c r="F96" s="77">
        <f t="shared" si="14"/>
        <v>0.05</v>
      </c>
      <c r="G96" s="77"/>
      <c r="H96" s="77"/>
      <c r="I96" s="77"/>
      <c r="J96" s="77">
        <f t="shared" si="14"/>
        <v>0.15</v>
      </c>
      <c r="K96" s="33">
        <f t="shared" si="17"/>
        <v>1</v>
      </c>
      <c r="L96" s="76">
        <f t="shared" si="15"/>
        <v>0.2</v>
      </c>
      <c r="M96" s="77">
        <f t="shared" si="15"/>
        <v>0.3</v>
      </c>
      <c r="N96" s="77">
        <f t="shared" si="15"/>
        <v>0.25</v>
      </c>
      <c r="O96" s="77">
        <f t="shared" si="15"/>
        <v>0.05</v>
      </c>
      <c r="P96" s="77"/>
      <c r="Q96" s="77"/>
      <c r="R96" s="77"/>
      <c r="S96" s="77">
        <f t="shared" si="15"/>
        <v>0.2</v>
      </c>
      <c r="T96" s="33">
        <f t="shared" si="18"/>
        <v>1</v>
      </c>
      <c r="U96" s="295"/>
      <c r="X96" s="202">
        <f t="shared" si="19"/>
        <v>0.70499999999999996</v>
      </c>
      <c r="Y96" s="196">
        <f t="shared" si="20"/>
        <v>0.71500000000000008</v>
      </c>
    </row>
    <row r="97" spans="2:25">
      <c r="B97" s="461">
        <f t="shared" si="16"/>
        <v>2029</v>
      </c>
      <c r="C97" s="76">
        <f t="shared" si="14"/>
        <v>0.25</v>
      </c>
      <c r="D97" s="77">
        <f t="shared" si="14"/>
        <v>0.3</v>
      </c>
      <c r="E97" s="77">
        <f t="shared" si="14"/>
        <v>0.25</v>
      </c>
      <c r="F97" s="77">
        <f t="shared" si="14"/>
        <v>0.05</v>
      </c>
      <c r="G97" s="77"/>
      <c r="H97" s="77"/>
      <c r="I97" s="77"/>
      <c r="J97" s="77">
        <f t="shared" si="14"/>
        <v>0.15</v>
      </c>
      <c r="K97" s="33">
        <f t="shared" si="17"/>
        <v>1</v>
      </c>
      <c r="L97" s="76">
        <f t="shared" si="15"/>
        <v>0.2</v>
      </c>
      <c r="M97" s="77">
        <f t="shared" si="15"/>
        <v>0.3</v>
      </c>
      <c r="N97" s="77">
        <f t="shared" si="15"/>
        <v>0.25</v>
      </c>
      <c r="O97" s="77">
        <f t="shared" si="15"/>
        <v>0.05</v>
      </c>
      <c r="P97" s="77"/>
      <c r="Q97" s="77"/>
      <c r="R97" s="77"/>
      <c r="S97" s="77">
        <f t="shared" si="15"/>
        <v>0.2</v>
      </c>
      <c r="T97" s="33">
        <f t="shared" si="18"/>
        <v>1</v>
      </c>
      <c r="U97" s="295"/>
      <c r="X97" s="202">
        <f t="shared" si="19"/>
        <v>0.70499999999999996</v>
      </c>
      <c r="Y97" s="196">
        <f t="shared" si="20"/>
        <v>0.71500000000000008</v>
      </c>
    </row>
    <row r="98" spans="2:25" ht="13.8" thickBot="1">
      <c r="B98" s="462">
        <f t="shared" si="16"/>
        <v>2030</v>
      </c>
      <c r="C98" s="78">
        <f t="shared" si="14"/>
        <v>0.25</v>
      </c>
      <c r="D98" s="79">
        <f t="shared" si="14"/>
        <v>0.3</v>
      </c>
      <c r="E98" s="79">
        <f t="shared" si="14"/>
        <v>0.25</v>
      </c>
      <c r="F98" s="79">
        <f t="shared" si="14"/>
        <v>0.05</v>
      </c>
      <c r="G98" s="79"/>
      <c r="H98" s="79"/>
      <c r="I98" s="79"/>
      <c r="J98" s="79">
        <f t="shared" si="14"/>
        <v>0.15</v>
      </c>
      <c r="K98" s="34">
        <f t="shared" si="17"/>
        <v>1</v>
      </c>
      <c r="L98" s="78">
        <f t="shared" si="15"/>
        <v>0.2</v>
      </c>
      <c r="M98" s="79">
        <f t="shared" si="15"/>
        <v>0.3</v>
      </c>
      <c r="N98" s="79">
        <f t="shared" si="15"/>
        <v>0.25</v>
      </c>
      <c r="O98" s="79">
        <f t="shared" si="15"/>
        <v>0.05</v>
      </c>
      <c r="P98" s="79"/>
      <c r="Q98" s="79"/>
      <c r="R98" s="79"/>
      <c r="S98" s="79">
        <f t="shared" si="15"/>
        <v>0.2</v>
      </c>
      <c r="T98" s="34">
        <f t="shared" si="18"/>
        <v>1</v>
      </c>
      <c r="U98" s="296"/>
      <c r="X98" s="202">
        <f t="shared" si="19"/>
        <v>0.70499999999999996</v>
      </c>
      <c r="Y98" s="196">
        <f t="shared" si="20"/>
        <v>0.71500000000000008</v>
      </c>
    </row>
  </sheetData>
  <customSheetViews>
    <customSheetView guid="{B400968E-E9A7-41C3-9739-36597C9C6BC6}" showGridLines="0" showRuler="0">
      <pane xSplit="2" ySplit="14" topLeftCell="C15" activePane="bottomRight" state="frozen"/>
      <selection pane="bottomRight" activeCell="H4" sqref="H4"/>
      <pageMargins left="0.75" right="0.75" top="1" bottom="1" header="0.5" footer="0.5"/>
      <pageSetup orientation="portrait"/>
      <headerFooter alignWithMargins="0"/>
    </customSheetView>
  </customSheetViews>
  <mergeCells count="9">
    <mergeCell ref="C15:K15"/>
    <mergeCell ref="L15:T15"/>
    <mergeCell ref="W2:Z2"/>
    <mergeCell ref="C9:K9"/>
    <mergeCell ref="L9:T9"/>
    <mergeCell ref="X10:X16"/>
    <mergeCell ref="Y10:Y16"/>
    <mergeCell ref="K16:K17"/>
    <mergeCell ref="T16:T17"/>
  </mergeCells>
  <phoneticPr fontId="17"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J13 L13:S13" xr:uid="{00000000-0002-0000-0200-000000000000}">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J98 L18:S98" xr:uid="{00000000-0002-0000-0200-000001000000}">
      <formula1>0</formula1>
      <formula2>1</formula2>
    </dataValidation>
    <dataValidation type="list" allowBlank="1" showInputMessage="1" showErrorMessage="1" sqref="K18" xr:uid="{00000000-0002-0000-0200-000002000000}">
      <formula1>"""1"""</formula1>
    </dataValidation>
  </dataValidations>
  <pageMargins left="0.75" right="0.75" top="1" bottom="1" header="0.5" footer="0.5"/>
  <pageSetup orientation="portrait"/>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34"/>
  </sheetPr>
  <dimension ref="B2:V92"/>
  <sheetViews>
    <sheetView showGridLines="0" workbookViewId="0">
      <pane xSplit="1" ySplit="11" topLeftCell="B66" activePane="bottomRight" state="frozen"/>
      <selection activeCell="E19" sqref="E19"/>
      <selection pane="topRight" activeCell="E19" sqref="E19"/>
      <selection pane="bottomLeft" activeCell="E19" sqref="E19"/>
      <selection pane="bottomRight" activeCell="F8" sqref="F8"/>
    </sheetView>
  </sheetViews>
  <sheetFormatPr defaultColWidth="11.44140625" defaultRowHeight="13.2"/>
  <cols>
    <col min="1" max="1" width="2.33203125" customWidth="1"/>
    <col min="2" max="2" width="6.33203125" customWidth="1"/>
    <col min="3" max="3" width="11.109375" customWidth="1"/>
    <col min="4" max="4" width="8.6640625" customWidth="1"/>
    <col min="5" max="5" width="9.33203125" customWidth="1"/>
    <col min="6" max="6" width="7.44140625" customWidth="1"/>
    <col min="7" max="12" width="8" customWidth="1"/>
    <col min="13" max="14" width="8.44140625" customWidth="1"/>
    <col min="15" max="15" width="3.6640625" customWidth="1"/>
    <col min="16" max="16" width="3.44140625" customWidth="1"/>
    <col min="17" max="19" width="11.44140625" customWidth="1"/>
    <col min="20" max="20" width="10.33203125" customWidth="1"/>
    <col min="21" max="21" width="9.6640625" customWidth="1"/>
    <col min="22" max="22" width="9.44140625" customWidth="1"/>
  </cols>
  <sheetData>
    <row r="2" spans="2:22" ht="15.6">
      <c r="B2" s="6"/>
      <c r="C2" s="67" t="s">
        <v>37</v>
      </c>
      <c r="Q2" s="67" t="s">
        <v>107</v>
      </c>
    </row>
    <row r="3" spans="2:22">
      <c r="B3" s="6"/>
      <c r="C3" s="6"/>
      <c r="Q3" s="6"/>
    </row>
    <row r="4" spans="2:22">
      <c r="B4" s="6"/>
      <c r="C4" s="6" t="s">
        <v>47</v>
      </c>
      <c r="Q4" s="6" t="s">
        <v>108</v>
      </c>
    </row>
    <row r="5" spans="2:22">
      <c r="B5" s="6"/>
      <c r="C5" s="6" t="s">
        <v>41</v>
      </c>
      <c r="Q5" s="6" t="s">
        <v>41</v>
      </c>
    </row>
    <row r="6" spans="2:22">
      <c r="B6" s="6"/>
      <c r="C6" s="6" t="s">
        <v>129</v>
      </c>
      <c r="Q6" s="6"/>
    </row>
    <row r="7" spans="2:22" ht="13.8" thickBot="1">
      <c r="B7" s="6"/>
      <c r="C7" s="237" t="s">
        <v>149</v>
      </c>
      <c r="Q7" s="6"/>
    </row>
    <row r="8" spans="2:22" ht="13.8" thickBot="1">
      <c r="B8" s="6"/>
      <c r="D8" s="238">
        <f>INDEX(Regional_data,Select3,10)*1000</f>
        <v>480</v>
      </c>
      <c r="F8" s="239">
        <f>INDEX(Regional_data,Select3,11)</f>
        <v>0.23</v>
      </c>
      <c r="G8" s="240">
        <f>INDEX(Regional_data,Select3,3)/100</f>
        <v>0.40299999999999997</v>
      </c>
      <c r="H8" s="241">
        <f>INDEX(Regional_data,Select3,5)/100</f>
        <v>0</v>
      </c>
      <c r="I8" s="241">
        <f>INDEX(Regional_data,Select3,1)/100</f>
        <v>0.20399999999999999</v>
      </c>
      <c r="J8" s="241">
        <f>INDEX(Regional_data,Select3,4)/100</f>
        <v>2.1000000000000001E-2</v>
      </c>
      <c r="K8" s="241">
        <f>INDEX(Regional_data,Select3,2)/100</f>
        <v>0.01</v>
      </c>
      <c r="L8" s="241">
        <f>INDEX(Regional_data,Select3,6)/100</f>
        <v>0</v>
      </c>
      <c r="M8" s="241">
        <f>1-SUM(G8:L8)</f>
        <v>0.36199999999999999</v>
      </c>
      <c r="N8" s="242">
        <f>SUM(G8:M8)</f>
        <v>1</v>
      </c>
      <c r="Q8" s="6"/>
      <c r="R8" s="6"/>
    </row>
    <row r="9" spans="2:22" ht="13.8" thickBot="1">
      <c r="G9" s="681" t="s">
        <v>49</v>
      </c>
      <c r="H9" s="682"/>
      <c r="I9" s="682"/>
      <c r="J9" s="682"/>
      <c r="K9" s="682"/>
      <c r="L9" s="682"/>
      <c r="M9" s="682"/>
      <c r="N9" s="104"/>
    </row>
    <row r="10" spans="2:22" s="58" customFormat="1" ht="39.6">
      <c r="B10" s="52" t="s">
        <v>1</v>
      </c>
      <c r="C10" s="55" t="s">
        <v>43</v>
      </c>
      <c r="D10" s="52" t="s">
        <v>45</v>
      </c>
      <c r="E10" s="55" t="s">
        <v>36</v>
      </c>
      <c r="F10" s="55" t="s">
        <v>48</v>
      </c>
      <c r="G10" s="54" t="s">
        <v>13</v>
      </c>
      <c r="H10" s="54" t="s">
        <v>54</v>
      </c>
      <c r="I10" s="51" t="s">
        <v>2</v>
      </c>
      <c r="J10" s="51" t="s">
        <v>3</v>
      </c>
      <c r="K10" s="51" t="s">
        <v>4</v>
      </c>
      <c r="L10" s="51" t="s">
        <v>175</v>
      </c>
      <c r="M10" s="59" t="s">
        <v>161</v>
      </c>
      <c r="N10" s="55" t="s">
        <v>30</v>
      </c>
      <c r="Q10" s="52" t="s">
        <v>1</v>
      </c>
      <c r="R10" s="55" t="s">
        <v>109</v>
      </c>
      <c r="S10" s="52" t="s">
        <v>110</v>
      </c>
      <c r="T10" s="55" t="s">
        <v>111</v>
      </c>
      <c r="U10" s="52" t="s">
        <v>48</v>
      </c>
      <c r="V10" s="55" t="s">
        <v>112</v>
      </c>
    </row>
    <row r="11" spans="2:22" s="57" customFormat="1" ht="27" thickBot="1">
      <c r="B11" s="53"/>
      <c r="C11" s="56" t="s">
        <v>44</v>
      </c>
      <c r="D11" s="53" t="s">
        <v>46</v>
      </c>
      <c r="E11" s="103" t="s">
        <v>17</v>
      </c>
      <c r="F11" s="103" t="s">
        <v>27</v>
      </c>
      <c r="G11" s="50" t="s">
        <v>27</v>
      </c>
      <c r="H11" s="17" t="s">
        <v>27</v>
      </c>
      <c r="I11" s="17" t="s">
        <v>27</v>
      </c>
      <c r="J11" s="17" t="s">
        <v>27</v>
      </c>
      <c r="K11" s="17" t="s">
        <v>27</v>
      </c>
      <c r="L11" s="17" t="s">
        <v>27</v>
      </c>
      <c r="M11" s="35" t="s">
        <v>27</v>
      </c>
      <c r="N11" s="56" t="s">
        <v>42</v>
      </c>
      <c r="Q11" s="53"/>
      <c r="R11" s="56" t="s">
        <v>113</v>
      </c>
      <c r="S11" s="53" t="s">
        <v>114</v>
      </c>
      <c r="T11" s="56" t="s">
        <v>17</v>
      </c>
      <c r="U11" s="169" t="s">
        <v>27</v>
      </c>
      <c r="V11" s="56" t="s">
        <v>17</v>
      </c>
    </row>
    <row r="12" spans="2:22">
      <c r="B12" s="24">
        <f>year</f>
        <v>1950</v>
      </c>
      <c r="C12" s="72">
        <v>10</v>
      </c>
      <c r="D12" s="73">
        <f>D$8</f>
        <v>480</v>
      </c>
      <c r="E12" s="419">
        <f>C12*D12</f>
        <v>4800</v>
      </c>
      <c r="F12" s="418">
        <f t="shared" ref="F12:M27" si="0">F$8</f>
        <v>0.23</v>
      </c>
      <c r="G12" s="289">
        <f t="shared" si="0"/>
        <v>0.40299999999999997</v>
      </c>
      <c r="H12" s="289">
        <f t="shared" si="0"/>
        <v>0</v>
      </c>
      <c r="I12" s="289">
        <f t="shared" si="0"/>
        <v>0.20399999999999999</v>
      </c>
      <c r="J12" s="289">
        <f t="shared" si="0"/>
        <v>2.1000000000000001E-2</v>
      </c>
      <c r="K12" s="289">
        <f t="shared" si="0"/>
        <v>0.01</v>
      </c>
      <c r="L12" s="289">
        <f t="shared" si="0"/>
        <v>0</v>
      </c>
      <c r="M12" s="289">
        <f t="shared" si="0"/>
        <v>0.36199999999999999</v>
      </c>
      <c r="N12" s="60">
        <f>SUM(G12:M12)</f>
        <v>1</v>
      </c>
      <c r="Q12" s="24">
        <f>year</f>
        <v>1950</v>
      </c>
      <c r="R12" s="170">
        <v>100</v>
      </c>
      <c r="S12" s="170">
        <v>5</v>
      </c>
      <c r="T12" s="102">
        <f>R12*S12</f>
        <v>500</v>
      </c>
      <c r="U12" s="171">
        <v>1</v>
      </c>
      <c r="V12" s="68">
        <f t="shared" ref="V12:V43" si="1">T12*U12</f>
        <v>500</v>
      </c>
    </row>
    <row r="13" spans="2:22">
      <c r="B13" s="7">
        <f t="shared" ref="B13:B44" si="2">B12+1</f>
        <v>1951</v>
      </c>
      <c r="C13" s="72">
        <v>10</v>
      </c>
      <c r="D13" s="73">
        <f t="shared" ref="D13:D76" si="3">D$8</f>
        <v>480</v>
      </c>
      <c r="E13" s="420">
        <f t="shared" ref="E13:E76" si="4">C13*D13</f>
        <v>4800</v>
      </c>
      <c r="F13" s="418">
        <f t="shared" si="0"/>
        <v>0.23</v>
      </c>
      <c r="G13" s="289">
        <f t="shared" si="0"/>
        <v>0.40299999999999997</v>
      </c>
      <c r="H13" s="289">
        <f t="shared" si="0"/>
        <v>0</v>
      </c>
      <c r="I13" s="289">
        <f t="shared" si="0"/>
        <v>0.20399999999999999</v>
      </c>
      <c r="J13" s="289">
        <f t="shared" si="0"/>
        <v>2.1000000000000001E-2</v>
      </c>
      <c r="K13" s="289">
        <f t="shared" si="0"/>
        <v>0.01</v>
      </c>
      <c r="L13" s="289">
        <f t="shared" si="0"/>
        <v>0</v>
      </c>
      <c r="M13" s="289">
        <f t="shared" si="0"/>
        <v>0.36199999999999999</v>
      </c>
      <c r="N13" s="61">
        <f>SUM(G13:M13)</f>
        <v>1</v>
      </c>
      <c r="Q13" s="7">
        <f t="shared" ref="Q13:Q44" si="5">Q12+1</f>
        <v>1951</v>
      </c>
      <c r="R13" s="72">
        <v>100</v>
      </c>
      <c r="S13" s="72">
        <v>5</v>
      </c>
      <c r="T13" s="7">
        <f>R13*S13</f>
        <v>500</v>
      </c>
      <c r="U13" s="172">
        <v>1</v>
      </c>
      <c r="V13" s="2">
        <f t="shared" si="1"/>
        <v>500</v>
      </c>
    </row>
    <row r="14" spans="2:22">
      <c r="B14" s="7">
        <f t="shared" si="2"/>
        <v>1952</v>
      </c>
      <c r="C14" s="72">
        <v>10</v>
      </c>
      <c r="D14" s="73">
        <f t="shared" si="3"/>
        <v>480</v>
      </c>
      <c r="E14" s="420">
        <f t="shared" si="4"/>
        <v>4800</v>
      </c>
      <c r="F14" s="418">
        <f t="shared" si="0"/>
        <v>0.23</v>
      </c>
      <c r="G14" s="289">
        <f t="shared" si="0"/>
        <v>0.40299999999999997</v>
      </c>
      <c r="H14" s="289">
        <f t="shared" si="0"/>
        <v>0</v>
      </c>
      <c r="I14" s="289">
        <f t="shared" si="0"/>
        <v>0.20399999999999999</v>
      </c>
      <c r="J14" s="289">
        <f t="shared" si="0"/>
        <v>2.1000000000000001E-2</v>
      </c>
      <c r="K14" s="289">
        <f t="shared" si="0"/>
        <v>0.01</v>
      </c>
      <c r="L14" s="289">
        <f t="shared" si="0"/>
        <v>0</v>
      </c>
      <c r="M14" s="289">
        <f t="shared" si="0"/>
        <v>0.36199999999999999</v>
      </c>
      <c r="N14" s="61">
        <f t="shared" ref="N14:N77" si="6">SUM(G14:M14)</f>
        <v>1</v>
      </c>
      <c r="Q14" s="7">
        <f t="shared" si="5"/>
        <v>1952</v>
      </c>
      <c r="R14" s="72">
        <v>100</v>
      </c>
      <c r="S14" s="72">
        <v>5</v>
      </c>
      <c r="T14" s="7">
        <f t="shared" ref="T14:T20" si="7">R14*S14</f>
        <v>500</v>
      </c>
      <c r="U14" s="172">
        <v>1</v>
      </c>
      <c r="V14" s="2">
        <f t="shared" si="1"/>
        <v>500</v>
      </c>
    </row>
    <row r="15" spans="2:22">
      <c r="B15" s="7">
        <f t="shared" si="2"/>
        <v>1953</v>
      </c>
      <c r="C15" s="72">
        <v>10</v>
      </c>
      <c r="D15" s="73">
        <f t="shared" si="3"/>
        <v>480</v>
      </c>
      <c r="E15" s="420">
        <f t="shared" si="4"/>
        <v>4800</v>
      </c>
      <c r="F15" s="418">
        <f t="shared" si="0"/>
        <v>0.23</v>
      </c>
      <c r="G15" s="289">
        <f t="shared" si="0"/>
        <v>0.40299999999999997</v>
      </c>
      <c r="H15" s="289">
        <f t="shared" si="0"/>
        <v>0</v>
      </c>
      <c r="I15" s="289">
        <f t="shared" si="0"/>
        <v>0.20399999999999999</v>
      </c>
      <c r="J15" s="289">
        <f t="shared" si="0"/>
        <v>2.1000000000000001E-2</v>
      </c>
      <c r="K15" s="289">
        <f t="shared" si="0"/>
        <v>0.01</v>
      </c>
      <c r="L15" s="289">
        <f t="shared" si="0"/>
        <v>0</v>
      </c>
      <c r="M15" s="289">
        <f t="shared" si="0"/>
        <v>0.36199999999999999</v>
      </c>
      <c r="N15" s="61">
        <f t="shared" si="6"/>
        <v>1</v>
      </c>
      <c r="Q15" s="7">
        <f t="shared" si="5"/>
        <v>1953</v>
      </c>
      <c r="R15" s="72">
        <v>100</v>
      </c>
      <c r="S15" s="72">
        <v>5</v>
      </c>
      <c r="T15" s="7">
        <f t="shared" si="7"/>
        <v>500</v>
      </c>
      <c r="U15" s="172">
        <v>1</v>
      </c>
      <c r="V15" s="2">
        <f t="shared" si="1"/>
        <v>500</v>
      </c>
    </row>
    <row r="16" spans="2:22">
      <c r="B16" s="7">
        <f t="shared" si="2"/>
        <v>1954</v>
      </c>
      <c r="C16" s="72">
        <v>10</v>
      </c>
      <c r="D16" s="73">
        <f t="shared" si="3"/>
        <v>480</v>
      </c>
      <c r="E16" s="420">
        <f t="shared" si="4"/>
        <v>4800</v>
      </c>
      <c r="F16" s="418">
        <f t="shared" si="0"/>
        <v>0.23</v>
      </c>
      <c r="G16" s="289">
        <f t="shared" si="0"/>
        <v>0.40299999999999997</v>
      </c>
      <c r="H16" s="289">
        <f t="shared" si="0"/>
        <v>0</v>
      </c>
      <c r="I16" s="289">
        <f t="shared" si="0"/>
        <v>0.20399999999999999</v>
      </c>
      <c r="J16" s="289">
        <f t="shared" si="0"/>
        <v>2.1000000000000001E-2</v>
      </c>
      <c r="K16" s="289">
        <f t="shared" si="0"/>
        <v>0.01</v>
      </c>
      <c r="L16" s="289">
        <f t="shared" si="0"/>
        <v>0</v>
      </c>
      <c r="M16" s="289">
        <f t="shared" si="0"/>
        <v>0.36199999999999999</v>
      </c>
      <c r="N16" s="61">
        <f t="shared" si="6"/>
        <v>1</v>
      </c>
      <c r="Q16" s="7">
        <f t="shared" si="5"/>
        <v>1954</v>
      </c>
      <c r="R16" s="72">
        <v>100</v>
      </c>
      <c r="S16" s="72">
        <v>5</v>
      </c>
      <c r="T16" s="7">
        <f t="shared" si="7"/>
        <v>500</v>
      </c>
      <c r="U16" s="172">
        <v>1</v>
      </c>
      <c r="V16" s="2">
        <f t="shared" si="1"/>
        <v>500</v>
      </c>
    </row>
    <row r="17" spans="2:22">
      <c r="B17" s="7">
        <f t="shared" si="2"/>
        <v>1955</v>
      </c>
      <c r="C17" s="72">
        <v>10</v>
      </c>
      <c r="D17" s="73">
        <f t="shared" si="3"/>
        <v>480</v>
      </c>
      <c r="E17" s="420">
        <f t="shared" si="4"/>
        <v>4800</v>
      </c>
      <c r="F17" s="418">
        <f t="shared" si="0"/>
        <v>0.23</v>
      </c>
      <c r="G17" s="289">
        <f t="shared" si="0"/>
        <v>0.40299999999999997</v>
      </c>
      <c r="H17" s="289">
        <f t="shared" si="0"/>
        <v>0</v>
      </c>
      <c r="I17" s="289">
        <f t="shared" si="0"/>
        <v>0.20399999999999999</v>
      </c>
      <c r="J17" s="289">
        <f t="shared" si="0"/>
        <v>2.1000000000000001E-2</v>
      </c>
      <c r="K17" s="289">
        <f t="shared" si="0"/>
        <v>0.01</v>
      </c>
      <c r="L17" s="289">
        <f t="shared" si="0"/>
        <v>0</v>
      </c>
      <c r="M17" s="289">
        <f t="shared" si="0"/>
        <v>0.36199999999999999</v>
      </c>
      <c r="N17" s="61">
        <f t="shared" si="6"/>
        <v>1</v>
      </c>
      <c r="Q17" s="7">
        <f t="shared" si="5"/>
        <v>1955</v>
      </c>
      <c r="R17" s="72">
        <v>100</v>
      </c>
      <c r="S17" s="72">
        <v>5</v>
      </c>
      <c r="T17" s="7">
        <f t="shared" si="7"/>
        <v>500</v>
      </c>
      <c r="U17" s="172">
        <v>1</v>
      </c>
      <c r="V17" s="2">
        <f t="shared" si="1"/>
        <v>500</v>
      </c>
    </row>
    <row r="18" spans="2:22">
      <c r="B18" s="7">
        <f t="shared" si="2"/>
        <v>1956</v>
      </c>
      <c r="C18" s="72">
        <v>10</v>
      </c>
      <c r="D18" s="73">
        <f t="shared" si="3"/>
        <v>480</v>
      </c>
      <c r="E18" s="420">
        <f t="shared" si="4"/>
        <v>4800</v>
      </c>
      <c r="F18" s="418">
        <f t="shared" si="0"/>
        <v>0.23</v>
      </c>
      <c r="G18" s="289">
        <f t="shared" si="0"/>
        <v>0.40299999999999997</v>
      </c>
      <c r="H18" s="289">
        <f t="shared" si="0"/>
        <v>0</v>
      </c>
      <c r="I18" s="289">
        <f t="shared" si="0"/>
        <v>0.20399999999999999</v>
      </c>
      <c r="J18" s="289">
        <f t="shared" si="0"/>
        <v>2.1000000000000001E-2</v>
      </c>
      <c r="K18" s="289">
        <f t="shared" si="0"/>
        <v>0.01</v>
      </c>
      <c r="L18" s="289">
        <f t="shared" si="0"/>
        <v>0</v>
      </c>
      <c r="M18" s="289">
        <f t="shared" si="0"/>
        <v>0.36199999999999999</v>
      </c>
      <c r="N18" s="61">
        <f t="shared" si="6"/>
        <v>1</v>
      </c>
      <c r="Q18" s="7">
        <f t="shared" si="5"/>
        <v>1956</v>
      </c>
      <c r="R18" s="72">
        <v>100</v>
      </c>
      <c r="S18" s="72">
        <v>5</v>
      </c>
      <c r="T18" s="7">
        <f t="shared" si="7"/>
        <v>500</v>
      </c>
      <c r="U18" s="172">
        <v>1</v>
      </c>
      <c r="V18" s="2">
        <f t="shared" si="1"/>
        <v>500</v>
      </c>
    </row>
    <row r="19" spans="2:22">
      <c r="B19" s="7">
        <f t="shared" si="2"/>
        <v>1957</v>
      </c>
      <c r="C19" s="72">
        <v>10</v>
      </c>
      <c r="D19" s="73">
        <f t="shared" si="3"/>
        <v>480</v>
      </c>
      <c r="E19" s="420">
        <f t="shared" si="4"/>
        <v>4800</v>
      </c>
      <c r="F19" s="418">
        <f t="shared" si="0"/>
        <v>0.23</v>
      </c>
      <c r="G19" s="289">
        <f t="shared" si="0"/>
        <v>0.40299999999999997</v>
      </c>
      <c r="H19" s="289">
        <f t="shared" si="0"/>
        <v>0</v>
      </c>
      <c r="I19" s="289">
        <f t="shared" si="0"/>
        <v>0.20399999999999999</v>
      </c>
      <c r="J19" s="289">
        <f t="shared" si="0"/>
        <v>2.1000000000000001E-2</v>
      </c>
      <c r="K19" s="289">
        <f t="shared" si="0"/>
        <v>0.01</v>
      </c>
      <c r="L19" s="289">
        <f t="shared" si="0"/>
        <v>0</v>
      </c>
      <c r="M19" s="289">
        <f t="shared" si="0"/>
        <v>0.36199999999999999</v>
      </c>
      <c r="N19" s="61">
        <f t="shared" si="6"/>
        <v>1</v>
      </c>
      <c r="Q19" s="7">
        <f t="shared" si="5"/>
        <v>1957</v>
      </c>
      <c r="R19" s="72">
        <v>100</v>
      </c>
      <c r="S19" s="72">
        <v>5</v>
      </c>
      <c r="T19" s="7">
        <f t="shared" si="7"/>
        <v>500</v>
      </c>
      <c r="U19" s="172">
        <v>1</v>
      </c>
      <c r="V19" s="2">
        <f t="shared" si="1"/>
        <v>500</v>
      </c>
    </row>
    <row r="20" spans="2:22">
      <c r="B20" s="7">
        <f t="shared" si="2"/>
        <v>1958</v>
      </c>
      <c r="C20" s="72">
        <v>10</v>
      </c>
      <c r="D20" s="73">
        <f t="shared" si="3"/>
        <v>480</v>
      </c>
      <c r="E20" s="420">
        <f t="shared" si="4"/>
        <v>4800</v>
      </c>
      <c r="F20" s="418">
        <f t="shared" si="0"/>
        <v>0.23</v>
      </c>
      <c r="G20" s="289">
        <f t="shared" si="0"/>
        <v>0.40299999999999997</v>
      </c>
      <c r="H20" s="289">
        <f t="shared" si="0"/>
        <v>0</v>
      </c>
      <c r="I20" s="289">
        <f t="shared" si="0"/>
        <v>0.20399999999999999</v>
      </c>
      <c r="J20" s="289">
        <f t="shared" si="0"/>
        <v>2.1000000000000001E-2</v>
      </c>
      <c r="K20" s="289">
        <f t="shared" si="0"/>
        <v>0.01</v>
      </c>
      <c r="L20" s="289">
        <f t="shared" si="0"/>
        <v>0</v>
      </c>
      <c r="M20" s="289">
        <f t="shared" si="0"/>
        <v>0.36199999999999999</v>
      </c>
      <c r="N20" s="61">
        <f t="shared" si="6"/>
        <v>1</v>
      </c>
      <c r="Q20" s="7">
        <f t="shared" si="5"/>
        <v>1958</v>
      </c>
      <c r="R20" s="72">
        <v>100</v>
      </c>
      <c r="S20" s="72">
        <v>5</v>
      </c>
      <c r="T20" s="7">
        <f t="shared" si="7"/>
        <v>500</v>
      </c>
      <c r="U20" s="172">
        <v>1</v>
      </c>
      <c r="V20" s="2">
        <f t="shared" si="1"/>
        <v>500</v>
      </c>
    </row>
    <row r="21" spans="2:22">
      <c r="B21" s="7">
        <f t="shared" si="2"/>
        <v>1959</v>
      </c>
      <c r="C21" s="72">
        <v>10</v>
      </c>
      <c r="D21" s="73">
        <f t="shared" si="3"/>
        <v>480</v>
      </c>
      <c r="E21" s="420">
        <f t="shared" si="4"/>
        <v>4800</v>
      </c>
      <c r="F21" s="418">
        <f t="shared" si="0"/>
        <v>0.23</v>
      </c>
      <c r="G21" s="289">
        <f t="shared" si="0"/>
        <v>0.40299999999999997</v>
      </c>
      <c r="H21" s="289">
        <f t="shared" si="0"/>
        <v>0</v>
      </c>
      <c r="I21" s="289">
        <f t="shared" si="0"/>
        <v>0.20399999999999999</v>
      </c>
      <c r="J21" s="289">
        <f t="shared" si="0"/>
        <v>2.1000000000000001E-2</v>
      </c>
      <c r="K21" s="289">
        <f t="shared" si="0"/>
        <v>0.01</v>
      </c>
      <c r="L21" s="289">
        <f t="shared" si="0"/>
        <v>0</v>
      </c>
      <c r="M21" s="289">
        <f t="shared" si="0"/>
        <v>0.36199999999999999</v>
      </c>
      <c r="N21" s="61">
        <f t="shared" si="6"/>
        <v>1</v>
      </c>
      <c r="Q21" s="7">
        <f t="shared" si="5"/>
        <v>1959</v>
      </c>
      <c r="R21" s="72">
        <v>100</v>
      </c>
      <c r="S21" s="72">
        <v>5</v>
      </c>
      <c r="T21" s="7">
        <f t="shared" ref="T21:T48" si="8">R21*S21</f>
        <v>500</v>
      </c>
      <c r="U21" s="172">
        <v>1</v>
      </c>
      <c r="V21" s="2">
        <f t="shared" si="1"/>
        <v>500</v>
      </c>
    </row>
    <row r="22" spans="2:22">
      <c r="B22" s="7">
        <f t="shared" si="2"/>
        <v>1960</v>
      </c>
      <c r="C22" s="72">
        <v>10</v>
      </c>
      <c r="D22" s="73">
        <f t="shared" si="3"/>
        <v>480</v>
      </c>
      <c r="E22" s="420">
        <f t="shared" si="4"/>
        <v>4800</v>
      </c>
      <c r="F22" s="418">
        <f t="shared" si="0"/>
        <v>0.23</v>
      </c>
      <c r="G22" s="289">
        <f t="shared" si="0"/>
        <v>0.40299999999999997</v>
      </c>
      <c r="H22" s="289">
        <f t="shared" si="0"/>
        <v>0</v>
      </c>
      <c r="I22" s="289">
        <f t="shared" si="0"/>
        <v>0.20399999999999999</v>
      </c>
      <c r="J22" s="289">
        <f t="shared" si="0"/>
        <v>2.1000000000000001E-2</v>
      </c>
      <c r="K22" s="289">
        <f t="shared" si="0"/>
        <v>0.01</v>
      </c>
      <c r="L22" s="289">
        <f t="shared" si="0"/>
        <v>0</v>
      </c>
      <c r="M22" s="289">
        <f t="shared" si="0"/>
        <v>0.36199999999999999</v>
      </c>
      <c r="N22" s="61">
        <f t="shared" si="6"/>
        <v>1</v>
      </c>
      <c r="Q22" s="7">
        <f t="shared" si="5"/>
        <v>1960</v>
      </c>
      <c r="R22" s="72">
        <v>100</v>
      </c>
      <c r="S22" s="72">
        <v>5</v>
      </c>
      <c r="T22" s="7">
        <f t="shared" si="8"/>
        <v>500</v>
      </c>
      <c r="U22" s="172">
        <v>1</v>
      </c>
      <c r="V22" s="2">
        <f t="shared" si="1"/>
        <v>500</v>
      </c>
    </row>
    <row r="23" spans="2:22">
      <c r="B23" s="7">
        <f t="shared" si="2"/>
        <v>1961</v>
      </c>
      <c r="C23" s="72">
        <v>10</v>
      </c>
      <c r="D23" s="73">
        <f t="shared" si="3"/>
        <v>480</v>
      </c>
      <c r="E23" s="420">
        <f t="shared" si="4"/>
        <v>4800</v>
      </c>
      <c r="F23" s="418">
        <f t="shared" si="0"/>
        <v>0.23</v>
      </c>
      <c r="G23" s="289">
        <f t="shared" si="0"/>
        <v>0.40299999999999997</v>
      </c>
      <c r="H23" s="289">
        <f t="shared" si="0"/>
        <v>0</v>
      </c>
      <c r="I23" s="289">
        <f t="shared" si="0"/>
        <v>0.20399999999999999</v>
      </c>
      <c r="J23" s="289">
        <f t="shared" si="0"/>
        <v>2.1000000000000001E-2</v>
      </c>
      <c r="K23" s="289">
        <f t="shared" si="0"/>
        <v>0.01</v>
      </c>
      <c r="L23" s="289">
        <f t="shared" si="0"/>
        <v>0</v>
      </c>
      <c r="M23" s="289">
        <f t="shared" si="0"/>
        <v>0.36199999999999999</v>
      </c>
      <c r="N23" s="61">
        <f t="shared" si="6"/>
        <v>1</v>
      </c>
      <c r="Q23" s="7">
        <f t="shared" si="5"/>
        <v>1961</v>
      </c>
      <c r="R23" s="72">
        <v>100</v>
      </c>
      <c r="S23" s="72">
        <v>5</v>
      </c>
      <c r="T23" s="7">
        <f t="shared" si="8"/>
        <v>500</v>
      </c>
      <c r="U23" s="172">
        <v>1</v>
      </c>
      <c r="V23" s="2">
        <f t="shared" si="1"/>
        <v>500</v>
      </c>
    </row>
    <row r="24" spans="2:22">
      <c r="B24" s="7">
        <f t="shared" si="2"/>
        <v>1962</v>
      </c>
      <c r="C24" s="72">
        <v>10</v>
      </c>
      <c r="D24" s="73">
        <f t="shared" si="3"/>
        <v>480</v>
      </c>
      <c r="E24" s="420">
        <f t="shared" si="4"/>
        <v>4800</v>
      </c>
      <c r="F24" s="418">
        <f t="shared" si="0"/>
        <v>0.23</v>
      </c>
      <c r="G24" s="289">
        <f t="shared" si="0"/>
        <v>0.40299999999999997</v>
      </c>
      <c r="H24" s="289">
        <f t="shared" si="0"/>
        <v>0</v>
      </c>
      <c r="I24" s="289">
        <f t="shared" si="0"/>
        <v>0.20399999999999999</v>
      </c>
      <c r="J24" s="289">
        <f t="shared" si="0"/>
        <v>2.1000000000000001E-2</v>
      </c>
      <c r="K24" s="289">
        <f t="shared" si="0"/>
        <v>0.01</v>
      </c>
      <c r="L24" s="289">
        <f t="shared" si="0"/>
        <v>0</v>
      </c>
      <c r="M24" s="289">
        <f t="shared" si="0"/>
        <v>0.36199999999999999</v>
      </c>
      <c r="N24" s="61">
        <f t="shared" si="6"/>
        <v>1</v>
      </c>
      <c r="Q24" s="7">
        <f t="shared" si="5"/>
        <v>1962</v>
      </c>
      <c r="R24" s="72">
        <v>100</v>
      </c>
      <c r="S24" s="72">
        <v>5</v>
      </c>
      <c r="T24" s="7">
        <f t="shared" si="8"/>
        <v>500</v>
      </c>
      <c r="U24" s="172">
        <v>1</v>
      </c>
      <c r="V24" s="2">
        <f t="shared" si="1"/>
        <v>500</v>
      </c>
    </row>
    <row r="25" spans="2:22">
      <c r="B25" s="7">
        <f t="shared" si="2"/>
        <v>1963</v>
      </c>
      <c r="C25" s="72">
        <v>10</v>
      </c>
      <c r="D25" s="73">
        <f t="shared" si="3"/>
        <v>480</v>
      </c>
      <c r="E25" s="420">
        <f t="shared" si="4"/>
        <v>4800</v>
      </c>
      <c r="F25" s="418">
        <f t="shared" si="0"/>
        <v>0.23</v>
      </c>
      <c r="G25" s="289">
        <f t="shared" si="0"/>
        <v>0.40299999999999997</v>
      </c>
      <c r="H25" s="289">
        <f t="shared" si="0"/>
        <v>0</v>
      </c>
      <c r="I25" s="289">
        <f t="shared" si="0"/>
        <v>0.20399999999999999</v>
      </c>
      <c r="J25" s="289">
        <f t="shared" si="0"/>
        <v>2.1000000000000001E-2</v>
      </c>
      <c r="K25" s="289">
        <f t="shared" si="0"/>
        <v>0.01</v>
      </c>
      <c r="L25" s="289">
        <f t="shared" si="0"/>
        <v>0</v>
      </c>
      <c r="M25" s="289">
        <f t="shared" si="0"/>
        <v>0.36199999999999999</v>
      </c>
      <c r="N25" s="61">
        <f t="shared" si="6"/>
        <v>1</v>
      </c>
      <c r="Q25" s="7">
        <f t="shared" si="5"/>
        <v>1963</v>
      </c>
      <c r="R25" s="72">
        <v>100</v>
      </c>
      <c r="S25" s="72">
        <v>5</v>
      </c>
      <c r="T25" s="7">
        <f t="shared" si="8"/>
        <v>500</v>
      </c>
      <c r="U25" s="172">
        <v>1</v>
      </c>
      <c r="V25" s="2">
        <f t="shared" si="1"/>
        <v>500</v>
      </c>
    </row>
    <row r="26" spans="2:22">
      <c r="B26" s="7">
        <f t="shared" si="2"/>
        <v>1964</v>
      </c>
      <c r="C26" s="72">
        <v>10</v>
      </c>
      <c r="D26" s="73">
        <f t="shared" si="3"/>
        <v>480</v>
      </c>
      <c r="E26" s="420">
        <f t="shared" si="4"/>
        <v>4800</v>
      </c>
      <c r="F26" s="418">
        <f t="shared" si="0"/>
        <v>0.23</v>
      </c>
      <c r="G26" s="289">
        <f t="shared" si="0"/>
        <v>0.40299999999999997</v>
      </c>
      <c r="H26" s="289">
        <f t="shared" si="0"/>
        <v>0</v>
      </c>
      <c r="I26" s="289">
        <f t="shared" si="0"/>
        <v>0.20399999999999999</v>
      </c>
      <c r="J26" s="289">
        <f t="shared" si="0"/>
        <v>2.1000000000000001E-2</v>
      </c>
      <c r="K26" s="289">
        <f t="shared" si="0"/>
        <v>0.01</v>
      </c>
      <c r="L26" s="289">
        <f t="shared" si="0"/>
        <v>0</v>
      </c>
      <c r="M26" s="289">
        <f t="shared" si="0"/>
        <v>0.36199999999999999</v>
      </c>
      <c r="N26" s="61">
        <f t="shared" si="6"/>
        <v>1</v>
      </c>
      <c r="Q26" s="7">
        <f t="shared" si="5"/>
        <v>1964</v>
      </c>
      <c r="R26" s="72">
        <v>100</v>
      </c>
      <c r="S26" s="72">
        <v>5</v>
      </c>
      <c r="T26" s="7">
        <f t="shared" si="8"/>
        <v>500</v>
      </c>
      <c r="U26" s="172">
        <v>1</v>
      </c>
      <c r="V26" s="2">
        <f t="shared" si="1"/>
        <v>500</v>
      </c>
    </row>
    <row r="27" spans="2:22">
      <c r="B27" s="7">
        <f t="shared" si="2"/>
        <v>1965</v>
      </c>
      <c r="C27" s="72">
        <v>10</v>
      </c>
      <c r="D27" s="73">
        <f t="shared" si="3"/>
        <v>480</v>
      </c>
      <c r="E27" s="420">
        <f t="shared" si="4"/>
        <v>4800</v>
      </c>
      <c r="F27" s="418">
        <f t="shared" si="0"/>
        <v>0.23</v>
      </c>
      <c r="G27" s="289">
        <f t="shared" si="0"/>
        <v>0.40299999999999997</v>
      </c>
      <c r="H27" s="289">
        <f t="shared" si="0"/>
        <v>0</v>
      </c>
      <c r="I27" s="289">
        <f t="shared" si="0"/>
        <v>0.20399999999999999</v>
      </c>
      <c r="J27" s="289">
        <f t="shared" si="0"/>
        <v>2.1000000000000001E-2</v>
      </c>
      <c r="K27" s="289">
        <f t="shared" si="0"/>
        <v>0.01</v>
      </c>
      <c r="L27" s="289">
        <f t="shared" si="0"/>
        <v>0</v>
      </c>
      <c r="M27" s="289">
        <f t="shared" si="0"/>
        <v>0.36199999999999999</v>
      </c>
      <c r="N27" s="61">
        <f t="shared" si="6"/>
        <v>1</v>
      </c>
      <c r="Q27" s="7">
        <f t="shared" si="5"/>
        <v>1965</v>
      </c>
      <c r="R27" s="72">
        <v>100</v>
      </c>
      <c r="S27" s="72">
        <v>5</v>
      </c>
      <c r="T27" s="7">
        <f t="shared" si="8"/>
        <v>500</v>
      </c>
      <c r="U27" s="172">
        <v>1</v>
      </c>
      <c r="V27" s="2">
        <f t="shared" si="1"/>
        <v>500</v>
      </c>
    </row>
    <row r="28" spans="2:22">
      <c r="B28" s="7">
        <f t="shared" si="2"/>
        <v>1966</v>
      </c>
      <c r="C28" s="72">
        <v>10</v>
      </c>
      <c r="D28" s="73">
        <f t="shared" si="3"/>
        <v>480</v>
      </c>
      <c r="E28" s="420">
        <f t="shared" si="4"/>
        <v>4800</v>
      </c>
      <c r="F28" s="418">
        <f t="shared" ref="F28:M37" si="9">F$8</f>
        <v>0.23</v>
      </c>
      <c r="G28" s="289">
        <f t="shared" si="9"/>
        <v>0.40299999999999997</v>
      </c>
      <c r="H28" s="289">
        <f t="shared" si="9"/>
        <v>0</v>
      </c>
      <c r="I28" s="289">
        <f t="shared" si="9"/>
        <v>0.20399999999999999</v>
      </c>
      <c r="J28" s="289">
        <f t="shared" si="9"/>
        <v>2.1000000000000001E-2</v>
      </c>
      <c r="K28" s="289">
        <f t="shared" si="9"/>
        <v>0.01</v>
      </c>
      <c r="L28" s="289">
        <f t="shared" si="9"/>
        <v>0</v>
      </c>
      <c r="M28" s="289">
        <f t="shared" si="9"/>
        <v>0.36199999999999999</v>
      </c>
      <c r="N28" s="61">
        <f t="shared" si="6"/>
        <v>1</v>
      </c>
      <c r="Q28" s="7">
        <f t="shared" si="5"/>
        <v>1966</v>
      </c>
      <c r="R28" s="72">
        <v>100</v>
      </c>
      <c r="S28" s="72">
        <v>5</v>
      </c>
      <c r="T28" s="7">
        <f t="shared" si="8"/>
        <v>500</v>
      </c>
      <c r="U28" s="172">
        <v>1</v>
      </c>
      <c r="V28" s="2">
        <f t="shared" si="1"/>
        <v>500</v>
      </c>
    </row>
    <row r="29" spans="2:22">
      <c r="B29" s="7">
        <f t="shared" si="2"/>
        <v>1967</v>
      </c>
      <c r="C29" s="72">
        <v>10</v>
      </c>
      <c r="D29" s="73">
        <f t="shared" si="3"/>
        <v>480</v>
      </c>
      <c r="E29" s="420">
        <f t="shared" si="4"/>
        <v>4800</v>
      </c>
      <c r="F29" s="418">
        <f t="shared" si="9"/>
        <v>0.23</v>
      </c>
      <c r="G29" s="289">
        <f t="shared" si="9"/>
        <v>0.40299999999999997</v>
      </c>
      <c r="H29" s="289">
        <f t="shared" si="9"/>
        <v>0</v>
      </c>
      <c r="I29" s="289">
        <f t="shared" si="9"/>
        <v>0.20399999999999999</v>
      </c>
      <c r="J29" s="289">
        <f t="shared" si="9"/>
        <v>2.1000000000000001E-2</v>
      </c>
      <c r="K29" s="289">
        <f t="shared" si="9"/>
        <v>0.01</v>
      </c>
      <c r="L29" s="289">
        <f t="shared" si="9"/>
        <v>0</v>
      </c>
      <c r="M29" s="289">
        <f t="shared" si="9"/>
        <v>0.36199999999999999</v>
      </c>
      <c r="N29" s="61">
        <f t="shared" si="6"/>
        <v>1</v>
      </c>
      <c r="Q29" s="7">
        <f t="shared" si="5"/>
        <v>1967</v>
      </c>
      <c r="R29" s="72">
        <v>100</v>
      </c>
      <c r="S29" s="72">
        <v>5</v>
      </c>
      <c r="T29" s="7">
        <f t="shared" si="8"/>
        <v>500</v>
      </c>
      <c r="U29" s="172">
        <v>1</v>
      </c>
      <c r="V29" s="2">
        <f t="shared" si="1"/>
        <v>500</v>
      </c>
    </row>
    <row r="30" spans="2:22">
      <c r="B30" s="7">
        <f t="shared" si="2"/>
        <v>1968</v>
      </c>
      <c r="C30" s="72">
        <v>10</v>
      </c>
      <c r="D30" s="73">
        <f t="shared" si="3"/>
        <v>480</v>
      </c>
      <c r="E30" s="420">
        <f t="shared" si="4"/>
        <v>4800</v>
      </c>
      <c r="F30" s="418">
        <f t="shared" si="9"/>
        <v>0.23</v>
      </c>
      <c r="G30" s="289">
        <f t="shared" si="9"/>
        <v>0.40299999999999997</v>
      </c>
      <c r="H30" s="289">
        <f t="shared" si="9"/>
        <v>0</v>
      </c>
      <c r="I30" s="289">
        <f t="shared" si="9"/>
        <v>0.20399999999999999</v>
      </c>
      <c r="J30" s="289">
        <f t="shared" si="9"/>
        <v>2.1000000000000001E-2</v>
      </c>
      <c r="K30" s="289">
        <f t="shared" si="9"/>
        <v>0.01</v>
      </c>
      <c r="L30" s="289">
        <f t="shared" si="9"/>
        <v>0</v>
      </c>
      <c r="M30" s="289">
        <f t="shared" si="9"/>
        <v>0.36199999999999999</v>
      </c>
      <c r="N30" s="61">
        <f t="shared" si="6"/>
        <v>1</v>
      </c>
      <c r="Q30" s="7">
        <f t="shared" si="5"/>
        <v>1968</v>
      </c>
      <c r="R30" s="72">
        <v>100</v>
      </c>
      <c r="S30" s="72">
        <v>5</v>
      </c>
      <c r="T30" s="7">
        <f t="shared" si="8"/>
        <v>500</v>
      </c>
      <c r="U30" s="172">
        <v>1</v>
      </c>
      <c r="V30" s="2">
        <f t="shared" si="1"/>
        <v>500</v>
      </c>
    </row>
    <row r="31" spans="2:22">
      <c r="B31" s="7">
        <f t="shared" si="2"/>
        <v>1969</v>
      </c>
      <c r="C31" s="72">
        <v>10</v>
      </c>
      <c r="D31" s="73">
        <f t="shared" si="3"/>
        <v>480</v>
      </c>
      <c r="E31" s="420">
        <f t="shared" si="4"/>
        <v>4800</v>
      </c>
      <c r="F31" s="418">
        <f t="shared" si="9"/>
        <v>0.23</v>
      </c>
      <c r="G31" s="289">
        <f t="shared" si="9"/>
        <v>0.40299999999999997</v>
      </c>
      <c r="H31" s="289">
        <f t="shared" si="9"/>
        <v>0</v>
      </c>
      <c r="I31" s="289">
        <f t="shared" si="9"/>
        <v>0.20399999999999999</v>
      </c>
      <c r="J31" s="289">
        <f t="shared" si="9"/>
        <v>2.1000000000000001E-2</v>
      </c>
      <c r="K31" s="289">
        <f t="shared" si="9"/>
        <v>0.01</v>
      </c>
      <c r="L31" s="289">
        <f t="shared" si="9"/>
        <v>0</v>
      </c>
      <c r="M31" s="289">
        <f t="shared" si="9"/>
        <v>0.36199999999999999</v>
      </c>
      <c r="N31" s="61">
        <f t="shared" si="6"/>
        <v>1</v>
      </c>
      <c r="Q31" s="7">
        <f t="shared" si="5"/>
        <v>1969</v>
      </c>
      <c r="R31" s="72">
        <v>100</v>
      </c>
      <c r="S31" s="72">
        <v>5</v>
      </c>
      <c r="T31" s="7">
        <f t="shared" si="8"/>
        <v>500</v>
      </c>
      <c r="U31" s="172">
        <v>1</v>
      </c>
      <c r="V31" s="2">
        <f t="shared" si="1"/>
        <v>500</v>
      </c>
    </row>
    <row r="32" spans="2:22">
      <c r="B32" s="7">
        <f t="shared" si="2"/>
        <v>1970</v>
      </c>
      <c r="C32" s="72">
        <v>10</v>
      </c>
      <c r="D32" s="73">
        <f t="shared" si="3"/>
        <v>480</v>
      </c>
      <c r="E32" s="420">
        <f t="shared" si="4"/>
        <v>4800</v>
      </c>
      <c r="F32" s="418">
        <f t="shared" si="9"/>
        <v>0.23</v>
      </c>
      <c r="G32" s="289">
        <f t="shared" si="9"/>
        <v>0.40299999999999997</v>
      </c>
      <c r="H32" s="289">
        <f t="shared" si="9"/>
        <v>0</v>
      </c>
      <c r="I32" s="289">
        <f t="shared" si="9"/>
        <v>0.20399999999999999</v>
      </c>
      <c r="J32" s="289">
        <f t="shared" si="9"/>
        <v>2.1000000000000001E-2</v>
      </c>
      <c r="K32" s="289">
        <f t="shared" si="9"/>
        <v>0.01</v>
      </c>
      <c r="L32" s="289">
        <f t="shared" si="9"/>
        <v>0</v>
      </c>
      <c r="M32" s="289">
        <f t="shared" si="9"/>
        <v>0.36199999999999999</v>
      </c>
      <c r="N32" s="61">
        <f t="shared" si="6"/>
        <v>1</v>
      </c>
      <c r="Q32" s="7">
        <f t="shared" si="5"/>
        <v>1970</v>
      </c>
      <c r="R32" s="72">
        <v>100</v>
      </c>
      <c r="S32" s="72">
        <v>5</v>
      </c>
      <c r="T32" s="7">
        <f t="shared" si="8"/>
        <v>500</v>
      </c>
      <c r="U32" s="172">
        <v>1</v>
      </c>
      <c r="V32" s="2">
        <f t="shared" si="1"/>
        <v>500</v>
      </c>
    </row>
    <row r="33" spans="2:22">
      <c r="B33" s="7">
        <f t="shared" si="2"/>
        <v>1971</v>
      </c>
      <c r="C33" s="72">
        <v>10</v>
      </c>
      <c r="D33" s="73">
        <f t="shared" si="3"/>
        <v>480</v>
      </c>
      <c r="E33" s="420">
        <f t="shared" si="4"/>
        <v>4800</v>
      </c>
      <c r="F33" s="418">
        <f t="shared" si="9"/>
        <v>0.23</v>
      </c>
      <c r="G33" s="289">
        <f t="shared" si="9"/>
        <v>0.40299999999999997</v>
      </c>
      <c r="H33" s="289">
        <f t="shared" si="9"/>
        <v>0</v>
      </c>
      <c r="I33" s="289">
        <f t="shared" si="9"/>
        <v>0.20399999999999999</v>
      </c>
      <c r="J33" s="289">
        <f t="shared" si="9"/>
        <v>2.1000000000000001E-2</v>
      </c>
      <c r="K33" s="289">
        <f t="shared" si="9"/>
        <v>0.01</v>
      </c>
      <c r="L33" s="289">
        <f t="shared" si="9"/>
        <v>0</v>
      </c>
      <c r="M33" s="289">
        <f t="shared" si="9"/>
        <v>0.36199999999999999</v>
      </c>
      <c r="N33" s="61">
        <f t="shared" si="6"/>
        <v>1</v>
      </c>
      <c r="Q33" s="7">
        <f t="shared" si="5"/>
        <v>1971</v>
      </c>
      <c r="R33" s="72">
        <v>100</v>
      </c>
      <c r="S33" s="72">
        <v>5</v>
      </c>
      <c r="T33" s="7">
        <f t="shared" si="8"/>
        <v>500</v>
      </c>
      <c r="U33" s="172">
        <v>1</v>
      </c>
      <c r="V33" s="2">
        <f t="shared" si="1"/>
        <v>500</v>
      </c>
    </row>
    <row r="34" spans="2:22">
      <c r="B34" s="7">
        <f t="shared" si="2"/>
        <v>1972</v>
      </c>
      <c r="C34" s="72">
        <v>10</v>
      </c>
      <c r="D34" s="73">
        <f t="shared" si="3"/>
        <v>480</v>
      </c>
      <c r="E34" s="420">
        <f t="shared" si="4"/>
        <v>4800</v>
      </c>
      <c r="F34" s="418">
        <f t="shared" si="9"/>
        <v>0.23</v>
      </c>
      <c r="G34" s="289">
        <f t="shared" si="9"/>
        <v>0.40299999999999997</v>
      </c>
      <c r="H34" s="289">
        <f t="shared" si="9"/>
        <v>0</v>
      </c>
      <c r="I34" s="289">
        <f t="shared" si="9"/>
        <v>0.20399999999999999</v>
      </c>
      <c r="J34" s="289">
        <f t="shared" si="9"/>
        <v>2.1000000000000001E-2</v>
      </c>
      <c r="K34" s="289">
        <f t="shared" si="9"/>
        <v>0.01</v>
      </c>
      <c r="L34" s="289">
        <f t="shared" si="9"/>
        <v>0</v>
      </c>
      <c r="M34" s="289">
        <f t="shared" si="9"/>
        <v>0.36199999999999999</v>
      </c>
      <c r="N34" s="61">
        <f t="shared" si="6"/>
        <v>1</v>
      </c>
      <c r="Q34" s="7">
        <f t="shared" si="5"/>
        <v>1972</v>
      </c>
      <c r="R34" s="72">
        <v>100</v>
      </c>
      <c r="S34" s="72">
        <v>5</v>
      </c>
      <c r="T34" s="7">
        <f t="shared" si="8"/>
        <v>500</v>
      </c>
      <c r="U34" s="172">
        <v>1</v>
      </c>
      <c r="V34" s="2">
        <f t="shared" si="1"/>
        <v>500</v>
      </c>
    </row>
    <row r="35" spans="2:22">
      <c r="B35" s="7">
        <f t="shared" si="2"/>
        <v>1973</v>
      </c>
      <c r="C35" s="72">
        <v>10</v>
      </c>
      <c r="D35" s="73">
        <f t="shared" si="3"/>
        <v>480</v>
      </c>
      <c r="E35" s="420">
        <f t="shared" si="4"/>
        <v>4800</v>
      </c>
      <c r="F35" s="418">
        <f t="shared" si="9"/>
        <v>0.23</v>
      </c>
      <c r="G35" s="289">
        <f t="shared" si="9"/>
        <v>0.40299999999999997</v>
      </c>
      <c r="H35" s="289">
        <f t="shared" si="9"/>
        <v>0</v>
      </c>
      <c r="I35" s="289">
        <f t="shared" si="9"/>
        <v>0.20399999999999999</v>
      </c>
      <c r="J35" s="289">
        <f t="shared" si="9"/>
        <v>2.1000000000000001E-2</v>
      </c>
      <c r="K35" s="289">
        <f t="shared" si="9"/>
        <v>0.01</v>
      </c>
      <c r="L35" s="289">
        <f t="shared" si="9"/>
        <v>0</v>
      </c>
      <c r="M35" s="289">
        <f t="shared" si="9"/>
        <v>0.36199999999999999</v>
      </c>
      <c r="N35" s="61">
        <f t="shared" si="6"/>
        <v>1</v>
      </c>
      <c r="Q35" s="7">
        <f t="shared" si="5"/>
        <v>1973</v>
      </c>
      <c r="R35" s="72">
        <v>100</v>
      </c>
      <c r="S35" s="72">
        <v>5</v>
      </c>
      <c r="T35" s="7">
        <f t="shared" si="8"/>
        <v>500</v>
      </c>
      <c r="U35" s="172">
        <v>1</v>
      </c>
      <c r="V35" s="2">
        <f t="shared" si="1"/>
        <v>500</v>
      </c>
    </row>
    <row r="36" spans="2:22">
      <c r="B36" s="7">
        <f t="shared" si="2"/>
        <v>1974</v>
      </c>
      <c r="C36" s="72">
        <v>10</v>
      </c>
      <c r="D36" s="73">
        <f t="shared" si="3"/>
        <v>480</v>
      </c>
      <c r="E36" s="420">
        <f t="shared" si="4"/>
        <v>4800</v>
      </c>
      <c r="F36" s="418">
        <f t="shared" si="9"/>
        <v>0.23</v>
      </c>
      <c r="G36" s="289">
        <f t="shared" si="9"/>
        <v>0.40299999999999997</v>
      </c>
      <c r="H36" s="289">
        <f t="shared" si="9"/>
        <v>0</v>
      </c>
      <c r="I36" s="289">
        <f t="shared" si="9"/>
        <v>0.20399999999999999</v>
      </c>
      <c r="J36" s="289">
        <f t="shared" si="9"/>
        <v>2.1000000000000001E-2</v>
      </c>
      <c r="K36" s="289">
        <f t="shared" si="9"/>
        <v>0.01</v>
      </c>
      <c r="L36" s="289">
        <f t="shared" si="9"/>
        <v>0</v>
      </c>
      <c r="M36" s="289">
        <f t="shared" si="9"/>
        <v>0.36199999999999999</v>
      </c>
      <c r="N36" s="61">
        <f t="shared" si="6"/>
        <v>1</v>
      </c>
      <c r="Q36" s="7">
        <f t="shared" si="5"/>
        <v>1974</v>
      </c>
      <c r="R36" s="72">
        <v>100</v>
      </c>
      <c r="S36" s="72">
        <v>5</v>
      </c>
      <c r="T36" s="7">
        <f t="shared" si="8"/>
        <v>500</v>
      </c>
      <c r="U36" s="172">
        <v>1</v>
      </c>
      <c r="V36" s="2">
        <f t="shared" si="1"/>
        <v>500</v>
      </c>
    </row>
    <row r="37" spans="2:22">
      <c r="B37" s="7">
        <f t="shared" si="2"/>
        <v>1975</v>
      </c>
      <c r="C37" s="72">
        <v>10</v>
      </c>
      <c r="D37" s="73">
        <f t="shared" si="3"/>
        <v>480</v>
      </c>
      <c r="E37" s="420">
        <f t="shared" si="4"/>
        <v>4800</v>
      </c>
      <c r="F37" s="418">
        <f t="shared" si="9"/>
        <v>0.23</v>
      </c>
      <c r="G37" s="289">
        <f t="shared" si="9"/>
        <v>0.40299999999999997</v>
      </c>
      <c r="H37" s="289">
        <f t="shared" si="9"/>
        <v>0</v>
      </c>
      <c r="I37" s="289">
        <f t="shared" si="9"/>
        <v>0.20399999999999999</v>
      </c>
      <c r="J37" s="289">
        <f t="shared" si="9"/>
        <v>2.1000000000000001E-2</v>
      </c>
      <c r="K37" s="289">
        <f t="shared" si="9"/>
        <v>0.01</v>
      </c>
      <c r="L37" s="289">
        <f t="shared" si="9"/>
        <v>0</v>
      </c>
      <c r="M37" s="289">
        <f t="shared" si="9"/>
        <v>0.36199999999999999</v>
      </c>
      <c r="N37" s="61">
        <f t="shared" si="6"/>
        <v>1</v>
      </c>
      <c r="Q37" s="7">
        <f t="shared" si="5"/>
        <v>1975</v>
      </c>
      <c r="R37" s="72">
        <v>100</v>
      </c>
      <c r="S37" s="72">
        <v>5</v>
      </c>
      <c r="T37" s="7">
        <f t="shared" si="8"/>
        <v>500</v>
      </c>
      <c r="U37" s="172">
        <v>1</v>
      </c>
      <c r="V37" s="2">
        <f t="shared" si="1"/>
        <v>500</v>
      </c>
    </row>
    <row r="38" spans="2:22">
      <c r="B38" s="7">
        <f t="shared" si="2"/>
        <v>1976</v>
      </c>
      <c r="C38" s="72">
        <v>10</v>
      </c>
      <c r="D38" s="73">
        <f t="shared" si="3"/>
        <v>480</v>
      </c>
      <c r="E38" s="420">
        <f t="shared" si="4"/>
        <v>4800</v>
      </c>
      <c r="F38" s="418">
        <f t="shared" ref="F38:M52" si="10">F$8</f>
        <v>0.23</v>
      </c>
      <c r="G38" s="289">
        <f t="shared" si="10"/>
        <v>0.40299999999999997</v>
      </c>
      <c r="H38" s="289">
        <f t="shared" si="10"/>
        <v>0</v>
      </c>
      <c r="I38" s="289">
        <f t="shared" si="10"/>
        <v>0.20399999999999999</v>
      </c>
      <c r="J38" s="289">
        <f t="shared" si="10"/>
        <v>2.1000000000000001E-2</v>
      </c>
      <c r="K38" s="289">
        <f t="shared" si="10"/>
        <v>0.01</v>
      </c>
      <c r="L38" s="289">
        <f t="shared" si="10"/>
        <v>0</v>
      </c>
      <c r="M38" s="289">
        <f t="shared" si="10"/>
        <v>0.36199999999999999</v>
      </c>
      <c r="N38" s="61">
        <f t="shared" si="6"/>
        <v>1</v>
      </c>
      <c r="Q38" s="7">
        <f t="shared" si="5"/>
        <v>1976</v>
      </c>
      <c r="R38" s="72">
        <v>100</v>
      </c>
      <c r="S38" s="72">
        <v>5</v>
      </c>
      <c r="T38" s="7">
        <f t="shared" si="8"/>
        <v>500</v>
      </c>
      <c r="U38" s="172">
        <v>1</v>
      </c>
      <c r="V38" s="2">
        <f t="shared" si="1"/>
        <v>500</v>
      </c>
    </row>
    <row r="39" spans="2:22">
      <c r="B39" s="7">
        <f t="shared" si="2"/>
        <v>1977</v>
      </c>
      <c r="C39" s="72">
        <v>10</v>
      </c>
      <c r="D39" s="73">
        <f t="shared" si="3"/>
        <v>480</v>
      </c>
      <c r="E39" s="420">
        <f t="shared" si="4"/>
        <v>4800</v>
      </c>
      <c r="F39" s="418">
        <f t="shared" si="10"/>
        <v>0.23</v>
      </c>
      <c r="G39" s="289">
        <f t="shared" si="10"/>
        <v>0.40299999999999997</v>
      </c>
      <c r="H39" s="289">
        <f t="shared" si="10"/>
        <v>0</v>
      </c>
      <c r="I39" s="289">
        <f t="shared" si="10"/>
        <v>0.20399999999999999</v>
      </c>
      <c r="J39" s="289">
        <f t="shared" si="10"/>
        <v>2.1000000000000001E-2</v>
      </c>
      <c r="K39" s="289">
        <f t="shared" si="10"/>
        <v>0.01</v>
      </c>
      <c r="L39" s="289">
        <f t="shared" si="10"/>
        <v>0</v>
      </c>
      <c r="M39" s="289">
        <f t="shared" si="10"/>
        <v>0.36199999999999999</v>
      </c>
      <c r="N39" s="61">
        <f t="shared" si="6"/>
        <v>1</v>
      </c>
      <c r="Q39" s="7">
        <f t="shared" si="5"/>
        <v>1977</v>
      </c>
      <c r="R39" s="72">
        <v>100</v>
      </c>
      <c r="S39" s="72">
        <v>5</v>
      </c>
      <c r="T39" s="7">
        <f t="shared" si="8"/>
        <v>500</v>
      </c>
      <c r="U39" s="172">
        <v>1</v>
      </c>
      <c r="V39" s="2">
        <f t="shared" si="1"/>
        <v>500</v>
      </c>
    </row>
    <row r="40" spans="2:22">
      <c r="B40" s="7">
        <f t="shared" si="2"/>
        <v>1978</v>
      </c>
      <c r="C40" s="72">
        <v>10</v>
      </c>
      <c r="D40" s="73">
        <f t="shared" si="3"/>
        <v>480</v>
      </c>
      <c r="E40" s="420">
        <f t="shared" si="4"/>
        <v>4800</v>
      </c>
      <c r="F40" s="418">
        <f t="shared" si="10"/>
        <v>0.23</v>
      </c>
      <c r="G40" s="289">
        <f t="shared" si="10"/>
        <v>0.40299999999999997</v>
      </c>
      <c r="H40" s="289">
        <f t="shared" si="10"/>
        <v>0</v>
      </c>
      <c r="I40" s="289">
        <f t="shared" si="10"/>
        <v>0.20399999999999999</v>
      </c>
      <c r="J40" s="289">
        <f t="shared" si="10"/>
        <v>2.1000000000000001E-2</v>
      </c>
      <c r="K40" s="289">
        <f t="shared" si="10"/>
        <v>0.01</v>
      </c>
      <c r="L40" s="289">
        <f t="shared" si="10"/>
        <v>0</v>
      </c>
      <c r="M40" s="289">
        <f t="shared" si="10"/>
        <v>0.36199999999999999</v>
      </c>
      <c r="N40" s="61">
        <f t="shared" si="6"/>
        <v>1</v>
      </c>
      <c r="Q40" s="7">
        <f t="shared" si="5"/>
        <v>1978</v>
      </c>
      <c r="R40" s="72">
        <v>100</v>
      </c>
      <c r="S40" s="72">
        <v>5</v>
      </c>
      <c r="T40" s="7">
        <f t="shared" si="8"/>
        <v>500</v>
      </c>
      <c r="U40" s="172">
        <v>1</v>
      </c>
      <c r="V40" s="2">
        <f t="shared" si="1"/>
        <v>500</v>
      </c>
    </row>
    <row r="41" spans="2:22">
      <c r="B41" s="7">
        <f t="shared" si="2"/>
        <v>1979</v>
      </c>
      <c r="C41" s="72">
        <v>10</v>
      </c>
      <c r="D41" s="73">
        <f t="shared" si="3"/>
        <v>480</v>
      </c>
      <c r="E41" s="420">
        <f t="shared" si="4"/>
        <v>4800</v>
      </c>
      <c r="F41" s="418">
        <f t="shared" si="10"/>
        <v>0.23</v>
      </c>
      <c r="G41" s="289">
        <f t="shared" si="10"/>
        <v>0.40299999999999997</v>
      </c>
      <c r="H41" s="289">
        <f t="shared" si="10"/>
        <v>0</v>
      </c>
      <c r="I41" s="289">
        <f t="shared" si="10"/>
        <v>0.20399999999999999</v>
      </c>
      <c r="J41" s="289">
        <f t="shared" si="10"/>
        <v>2.1000000000000001E-2</v>
      </c>
      <c r="K41" s="289">
        <f t="shared" si="10"/>
        <v>0.01</v>
      </c>
      <c r="L41" s="289">
        <f t="shared" si="10"/>
        <v>0</v>
      </c>
      <c r="M41" s="289">
        <f t="shared" si="10"/>
        <v>0.36199999999999999</v>
      </c>
      <c r="N41" s="61">
        <f t="shared" si="6"/>
        <v>1</v>
      </c>
      <c r="Q41" s="7">
        <f t="shared" si="5"/>
        <v>1979</v>
      </c>
      <c r="R41" s="72">
        <v>100</v>
      </c>
      <c r="S41" s="72">
        <v>5</v>
      </c>
      <c r="T41" s="7">
        <f t="shared" si="8"/>
        <v>500</v>
      </c>
      <c r="U41" s="172">
        <v>1</v>
      </c>
      <c r="V41" s="2">
        <f t="shared" si="1"/>
        <v>500</v>
      </c>
    </row>
    <row r="42" spans="2:22">
      <c r="B42" s="7">
        <f t="shared" si="2"/>
        <v>1980</v>
      </c>
      <c r="C42" s="72">
        <v>10</v>
      </c>
      <c r="D42" s="73">
        <f t="shared" si="3"/>
        <v>480</v>
      </c>
      <c r="E42" s="420">
        <f t="shared" si="4"/>
        <v>4800</v>
      </c>
      <c r="F42" s="418">
        <f t="shared" si="10"/>
        <v>0.23</v>
      </c>
      <c r="G42" s="289">
        <f t="shared" si="10"/>
        <v>0.40299999999999997</v>
      </c>
      <c r="H42" s="289">
        <f t="shared" si="10"/>
        <v>0</v>
      </c>
      <c r="I42" s="289">
        <f t="shared" si="10"/>
        <v>0.20399999999999999</v>
      </c>
      <c r="J42" s="289">
        <f t="shared" si="10"/>
        <v>2.1000000000000001E-2</v>
      </c>
      <c r="K42" s="289">
        <f t="shared" si="10"/>
        <v>0.01</v>
      </c>
      <c r="L42" s="289">
        <f t="shared" si="10"/>
        <v>0</v>
      </c>
      <c r="M42" s="289">
        <f t="shared" si="10"/>
        <v>0.36199999999999999</v>
      </c>
      <c r="N42" s="61">
        <f t="shared" si="6"/>
        <v>1</v>
      </c>
      <c r="Q42" s="7">
        <f t="shared" si="5"/>
        <v>1980</v>
      </c>
      <c r="R42" s="72">
        <v>100</v>
      </c>
      <c r="S42" s="72">
        <v>5</v>
      </c>
      <c r="T42" s="7">
        <f t="shared" si="8"/>
        <v>500</v>
      </c>
      <c r="U42" s="172">
        <v>1</v>
      </c>
      <c r="V42" s="2">
        <f t="shared" si="1"/>
        <v>500</v>
      </c>
    </row>
    <row r="43" spans="2:22">
      <c r="B43" s="7">
        <f t="shared" si="2"/>
        <v>1981</v>
      </c>
      <c r="C43" s="72">
        <v>10</v>
      </c>
      <c r="D43" s="73">
        <f t="shared" si="3"/>
        <v>480</v>
      </c>
      <c r="E43" s="420">
        <f t="shared" si="4"/>
        <v>4800</v>
      </c>
      <c r="F43" s="418">
        <f t="shared" si="10"/>
        <v>0.23</v>
      </c>
      <c r="G43" s="289">
        <f t="shared" si="10"/>
        <v>0.40299999999999997</v>
      </c>
      <c r="H43" s="289">
        <f t="shared" si="10"/>
        <v>0</v>
      </c>
      <c r="I43" s="289">
        <f t="shared" si="10"/>
        <v>0.20399999999999999</v>
      </c>
      <c r="J43" s="289">
        <f t="shared" si="10"/>
        <v>2.1000000000000001E-2</v>
      </c>
      <c r="K43" s="289">
        <f t="shared" si="10"/>
        <v>0.01</v>
      </c>
      <c r="L43" s="289">
        <f t="shared" si="10"/>
        <v>0</v>
      </c>
      <c r="M43" s="289">
        <f t="shared" si="10"/>
        <v>0.36199999999999999</v>
      </c>
      <c r="N43" s="61">
        <f t="shared" si="6"/>
        <v>1</v>
      </c>
      <c r="Q43" s="7">
        <f t="shared" si="5"/>
        <v>1981</v>
      </c>
      <c r="R43" s="72">
        <v>100</v>
      </c>
      <c r="S43" s="72">
        <v>5</v>
      </c>
      <c r="T43" s="7">
        <f t="shared" si="8"/>
        <v>500</v>
      </c>
      <c r="U43" s="172">
        <v>1</v>
      </c>
      <c r="V43" s="2">
        <f t="shared" si="1"/>
        <v>500</v>
      </c>
    </row>
    <row r="44" spans="2:22">
      <c r="B44" s="7">
        <f t="shared" si="2"/>
        <v>1982</v>
      </c>
      <c r="C44" s="72">
        <v>10</v>
      </c>
      <c r="D44" s="73">
        <f t="shared" si="3"/>
        <v>480</v>
      </c>
      <c r="E44" s="420">
        <f t="shared" si="4"/>
        <v>4800</v>
      </c>
      <c r="F44" s="418">
        <f t="shared" si="10"/>
        <v>0.23</v>
      </c>
      <c r="G44" s="289">
        <f t="shared" si="10"/>
        <v>0.40299999999999997</v>
      </c>
      <c r="H44" s="289">
        <f t="shared" si="10"/>
        <v>0</v>
      </c>
      <c r="I44" s="289">
        <f t="shared" si="10"/>
        <v>0.20399999999999999</v>
      </c>
      <c r="J44" s="289">
        <f t="shared" si="10"/>
        <v>2.1000000000000001E-2</v>
      </c>
      <c r="K44" s="289">
        <f t="shared" si="10"/>
        <v>0.01</v>
      </c>
      <c r="L44" s="289">
        <f t="shared" si="10"/>
        <v>0</v>
      </c>
      <c r="M44" s="289">
        <f t="shared" si="10"/>
        <v>0.36199999999999999</v>
      </c>
      <c r="N44" s="61">
        <f t="shared" si="6"/>
        <v>1</v>
      </c>
      <c r="Q44" s="7">
        <f t="shared" si="5"/>
        <v>1982</v>
      </c>
      <c r="R44" s="72">
        <v>100</v>
      </c>
      <c r="S44" s="72">
        <v>5</v>
      </c>
      <c r="T44" s="7">
        <f t="shared" si="8"/>
        <v>500</v>
      </c>
      <c r="U44" s="172">
        <v>1</v>
      </c>
      <c r="V44" s="2">
        <f t="shared" ref="V44:V75" si="11">T44*U44</f>
        <v>500</v>
      </c>
    </row>
    <row r="45" spans="2:22">
      <c r="B45" s="7">
        <f t="shared" ref="B45:B76" si="12">B44+1</f>
        <v>1983</v>
      </c>
      <c r="C45" s="72">
        <v>10</v>
      </c>
      <c r="D45" s="73">
        <f t="shared" si="3"/>
        <v>480</v>
      </c>
      <c r="E45" s="420">
        <f t="shared" si="4"/>
        <v>4800</v>
      </c>
      <c r="F45" s="418">
        <f t="shared" si="10"/>
        <v>0.23</v>
      </c>
      <c r="G45" s="289">
        <f t="shared" si="10"/>
        <v>0.40299999999999997</v>
      </c>
      <c r="H45" s="289">
        <f t="shared" si="10"/>
        <v>0</v>
      </c>
      <c r="I45" s="289">
        <f t="shared" si="10"/>
        <v>0.20399999999999999</v>
      </c>
      <c r="J45" s="289">
        <f t="shared" si="10"/>
        <v>2.1000000000000001E-2</v>
      </c>
      <c r="K45" s="289">
        <f t="shared" si="10"/>
        <v>0.01</v>
      </c>
      <c r="L45" s="289">
        <f t="shared" si="10"/>
        <v>0</v>
      </c>
      <c r="M45" s="289">
        <f t="shared" si="10"/>
        <v>0.36199999999999999</v>
      </c>
      <c r="N45" s="61">
        <f t="shared" si="6"/>
        <v>1</v>
      </c>
      <c r="Q45" s="7">
        <f t="shared" ref="Q45:Q76" si="13">Q44+1</f>
        <v>1983</v>
      </c>
      <c r="R45" s="72">
        <v>100</v>
      </c>
      <c r="S45" s="72">
        <v>5</v>
      </c>
      <c r="T45" s="7">
        <f t="shared" si="8"/>
        <v>500</v>
      </c>
      <c r="U45" s="172">
        <v>1</v>
      </c>
      <c r="V45" s="2">
        <f t="shared" si="11"/>
        <v>500</v>
      </c>
    </row>
    <row r="46" spans="2:22">
      <c r="B46" s="7">
        <f t="shared" si="12"/>
        <v>1984</v>
      </c>
      <c r="C46" s="72">
        <v>10</v>
      </c>
      <c r="D46" s="73">
        <f t="shared" si="3"/>
        <v>480</v>
      </c>
      <c r="E46" s="420">
        <f t="shared" si="4"/>
        <v>4800</v>
      </c>
      <c r="F46" s="418">
        <f t="shared" si="10"/>
        <v>0.23</v>
      </c>
      <c r="G46" s="289">
        <f t="shared" si="10"/>
        <v>0.40299999999999997</v>
      </c>
      <c r="H46" s="289">
        <f t="shared" si="10"/>
        <v>0</v>
      </c>
      <c r="I46" s="289">
        <f t="shared" si="10"/>
        <v>0.20399999999999999</v>
      </c>
      <c r="J46" s="289">
        <f t="shared" si="10"/>
        <v>2.1000000000000001E-2</v>
      </c>
      <c r="K46" s="289">
        <f t="shared" si="10"/>
        <v>0.01</v>
      </c>
      <c r="L46" s="289">
        <f t="shared" si="10"/>
        <v>0</v>
      </c>
      <c r="M46" s="289">
        <f t="shared" si="10"/>
        <v>0.36199999999999999</v>
      </c>
      <c r="N46" s="61">
        <f t="shared" si="6"/>
        <v>1</v>
      </c>
      <c r="Q46" s="7">
        <f t="shared" si="13"/>
        <v>1984</v>
      </c>
      <c r="R46" s="72">
        <v>100</v>
      </c>
      <c r="S46" s="72">
        <v>5</v>
      </c>
      <c r="T46" s="7">
        <f t="shared" si="8"/>
        <v>500</v>
      </c>
      <c r="U46" s="172">
        <v>1</v>
      </c>
      <c r="V46" s="2">
        <f t="shared" si="11"/>
        <v>500</v>
      </c>
    </row>
    <row r="47" spans="2:22">
      <c r="B47" s="7">
        <f t="shared" si="12"/>
        <v>1985</v>
      </c>
      <c r="C47" s="72">
        <v>10</v>
      </c>
      <c r="D47" s="73">
        <f t="shared" si="3"/>
        <v>480</v>
      </c>
      <c r="E47" s="420">
        <f t="shared" si="4"/>
        <v>4800</v>
      </c>
      <c r="F47" s="418">
        <f t="shared" si="10"/>
        <v>0.23</v>
      </c>
      <c r="G47" s="289">
        <f t="shared" si="10"/>
        <v>0.40299999999999997</v>
      </c>
      <c r="H47" s="289">
        <f t="shared" si="10"/>
        <v>0</v>
      </c>
      <c r="I47" s="289">
        <f t="shared" si="10"/>
        <v>0.20399999999999999</v>
      </c>
      <c r="J47" s="289">
        <f t="shared" si="10"/>
        <v>2.1000000000000001E-2</v>
      </c>
      <c r="K47" s="289">
        <f t="shared" si="10"/>
        <v>0.01</v>
      </c>
      <c r="L47" s="289">
        <f t="shared" si="10"/>
        <v>0</v>
      </c>
      <c r="M47" s="289">
        <f t="shared" si="10"/>
        <v>0.36199999999999999</v>
      </c>
      <c r="N47" s="61">
        <f t="shared" si="6"/>
        <v>1</v>
      </c>
      <c r="Q47" s="7">
        <f t="shared" si="13"/>
        <v>1985</v>
      </c>
      <c r="R47" s="72">
        <v>100</v>
      </c>
      <c r="S47" s="72">
        <v>5</v>
      </c>
      <c r="T47" s="7">
        <f t="shared" si="8"/>
        <v>500</v>
      </c>
      <c r="U47" s="172">
        <v>1</v>
      </c>
      <c r="V47" s="2">
        <f t="shared" si="11"/>
        <v>500</v>
      </c>
    </row>
    <row r="48" spans="2:22">
      <c r="B48" s="7">
        <f t="shared" si="12"/>
        <v>1986</v>
      </c>
      <c r="C48" s="72">
        <v>10</v>
      </c>
      <c r="D48" s="73">
        <f t="shared" si="3"/>
        <v>480</v>
      </c>
      <c r="E48" s="420">
        <f t="shared" si="4"/>
        <v>4800</v>
      </c>
      <c r="F48" s="418">
        <f t="shared" si="10"/>
        <v>0.23</v>
      </c>
      <c r="G48" s="289">
        <f t="shared" si="10"/>
        <v>0.40299999999999997</v>
      </c>
      <c r="H48" s="289">
        <f t="shared" si="10"/>
        <v>0</v>
      </c>
      <c r="I48" s="289">
        <f t="shared" si="10"/>
        <v>0.20399999999999999</v>
      </c>
      <c r="J48" s="289">
        <f t="shared" si="10"/>
        <v>2.1000000000000001E-2</v>
      </c>
      <c r="K48" s="289">
        <f t="shared" si="10"/>
        <v>0.01</v>
      </c>
      <c r="L48" s="289">
        <f t="shared" si="10"/>
        <v>0</v>
      </c>
      <c r="M48" s="289">
        <f t="shared" si="10"/>
        <v>0.36199999999999999</v>
      </c>
      <c r="N48" s="61">
        <f t="shared" si="6"/>
        <v>1</v>
      </c>
      <c r="Q48" s="7">
        <f t="shared" si="13"/>
        <v>1986</v>
      </c>
      <c r="R48" s="72">
        <v>100</v>
      </c>
      <c r="S48" s="72">
        <v>5</v>
      </c>
      <c r="T48" s="7">
        <f t="shared" si="8"/>
        <v>500</v>
      </c>
      <c r="U48" s="172">
        <v>1</v>
      </c>
      <c r="V48" s="2">
        <f t="shared" si="11"/>
        <v>500</v>
      </c>
    </row>
    <row r="49" spans="2:22">
      <c r="B49" s="7">
        <f t="shared" si="12"/>
        <v>1987</v>
      </c>
      <c r="C49" s="72">
        <v>10</v>
      </c>
      <c r="D49" s="73">
        <f t="shared" si="3"/>
        <v>480</v>
      </c>
      <c r="E49" s="420">
        <f t="shared" si="4"/>
        <v>4800</v>
      </c>
      <c r="F49" s="418">
        <f t="shared" si="10"/>
        <v>0.23</v>
      </c>
      <c r="G49" s="289">
        <f t="shared" si="10"/>
        <v>0.40299999999999997</v>
      </c>
      <c r="H49" s="289">
        <f t="shared" si="10"/>
        <v>0</v>
      </c>
      <c r="I49" s="289">
        <f t="shared" si="10"/>
        <v>0.20399999999999999</v>
      </c>
      <c r="J49" s="289">
        <f t="shared" si="10"/>
        <v>2.1000000000000001E-2</v>
      </c>
      <c r="K49" s="289">
        <f t="shared" si="10"/>
        <v>0.01</v>
      </c>
      <c r="L49" s="289">
        <f t="shared" si="10"/>
        <v>0</v>
      </c>
      <c r="M49" s="289">
        <f t="shared" si="10"/>
        <v>0.36199999999999999</v>
      </c>
      <c r="N49" s="61">
        <f t="shared" si="6"/>
        <v>1</v>
      </c>
      <c r="Q49" s="7">
        <f t="shared" si="13"/>
        <v>1987</v>
      </c>
      <c r="R49" s="72">
        <v>100</v>
      </c>
      <c r="S49" s="72">
        <v>5</v>
      </c>
      <c r="T49" s="7">
        <f t="shared" ref="T49:T80" si="14">R49*S49</f>
        <v>500</v>
      </c>
      <c r="U49" s="172">
        <v>1</v>
      </c>
      <c r="V49" s="2">
        <f t="shared" si="11"/>
        <v>500</v>
      </c>
    </row>
    <row r="50" spans="2:22">
      <c r="B50" s="7">
        <f t="shared" si="12"/>
        <v>1988</v>
      </c>
      <c r="C50" s="72">
        <v>10</v>
      </c>
      <c r="D50" s="73">
        <f t="shared" si="3"/>
        <v>480</v>
      </c>
      <c r="E50" s="420">
        <f t="shared" si="4"/>
        <v>4800</v>
      </c>
      <c r="F50" s="418">
        <f t="shared" si="10"/>
        <v>0.23</v>
      </c>
      <c r="G50" s="289">
        <f t="shared" si="10"/>
        <v>0.40299999999999997</v>
      </c>
      <c r="H50" s="289">
        <f t="shared" si="10"/>
        <v>0</v>
      </c>
      <c r="I50" s="289">
        <f t="shared" si="10"/>
        <v>0.20399999999999999</v>
      </c>
      <c r="J50" s="289">
        <f t="shared" si="10"/>
        <v>2.1000000000000001E-2</v>
      </c>
      <c r="K50" s="289">
        <f t="shared" si="10"/>
        <v>0.01</v>
      </c>
      <c r="L50" s="289">
        <f t="shared" si="10"/>
        <v>0</v>
      </c>
      <c r="M50" s="289">
        <f t="shared" si="10"/>
        <v>0.36199999999999999</v>
      </c>
      <c r="N50" s="61">
        <f t="shared" si="6"/>
        <v>1</v>
      </c>
      <c r="Q50" s="7">
        <f t="shared" si="13"/>
        <v>1988</v>
      </c>
      <c r="R50" s="72">
        <v>100</v>
      </c>
      <c r="S50" s="72">
        <v>5</v>
      </c>
      <c r="T50" s="7">
        <f t="shared" si="14"/>
        <v>500</v>
      </c>
      <c r="U50" s="172">
        <v>1</v>
      </c>
      <c r="V50" s="2">
        <f t="shared" si="11"/>
        <v>500</v>
      </c>
    </row>
    <row r="51" spans="2:22">
      <c r="B51" s="7">
        <f t="shared" si="12"/>
        <v>1989</v>
      </c>
      <c r="C51" s="72">
        <v>10</v>
      </c>
      <c r="D51" s="73">
        <f t="shared" si="3"/>
        <v>480</v>
      </c>
      <c r="E51" s="420">
        <f t="shared" si="4"/>
        <v>4800</v>
      </c>
      <c r="F51" s="418">
        <f t="shared" si="10"/>
        <v>0.23</v>
      </c>
      <c r="G51" s="289">
        <f t="shared" si="10"/>
        <v>0.40299999999999997</v>
      </c>
      <c r="H51" s="289">
        <f t="shared" si="10"/>
        <v>0</v>
      </c>
      <c r="I51" s="289">
        <f t="shared" si="10"/>
        <v>0.20399999999999999</v>
      </c>
      <c r="J51" s="289">
        <f t="shared" si="10"/>
        <v>2.1000000000000001E-2</v>
      </c>
      <c r="K51" s="289">
        <f t="shared" si="10"/>
        <v>0.01</v>
      </c>
      <c r="L51" s="289">
        <f t="shared" si="10"/>
        <v>0</v>
      </c>
      <c r="M51" s="289">
        <f t="shared" si="10"/>
        <v>0.36199999999999999</v>
      </c>
      <c r="N51" s="61">
        <f t="shared" si="6"/>
        <v>1</v>
      </c>
      <c r="Q51" s="7">
        <f t="shared" si="13"/>
        <v>1989</v>
      </c>
      <c r="R51" s="72">
        <v>100</v>
      </c>
      <c r="S51" s="72">
        <v>5</v>
      </c>
      <c r="T51" s="7">
        <f t="shared" si="14"/>
        <v>500</v>
      </c>
      <c r="U51" s="172">
        <v>1</v>
      </c>
      <c r="V51" s="2">
        <f t="shared" si="11"/>
        <v>500</v>
      </c>
    </row>
    <row r="52" spans="2:22">
      <c r="B52" s="7">
        <f t="shared" si="12"/>
        <v>1990</v>
      </c>
      <c r="C52" s="72">
        <v>10</v>
      </c>
      <c r="D52" s="73">
        <f t="shared" si="3"/>
        <v>480</v>
      </c>
      <c r="E52" s="420">
        <f t="shared" si="4"/>
        <v>4800</v>
      </c>
      <c r="F52" s="418">
        <f t="shared" si="10"/>
        <v>0.23</v>
      </c>
      <c r="G52" s="289">
        <f t="shared" si="10"/>
        <v>0.40299999999999997</v>
      </c>
      <c r="H52" s="289">
        <f t="shared" si="10"/>
        <v>0</v>
      </c>
      <c r="I52" s="289">
        <f t="shared" si="10"/>
        <v>0.20399999999999999</v>
      </c>
      <c r="J52" s="289">
        <f t="shared" si="10"/>
        <v>2.1000000000000001E-2</v>
      </c>
      <c r="K52" s="289">
        <f t="shared" si="10"/>
        <v>0.01</v>
      </c>
      <c r="L52" s="289">
        <f t="shared" si="10"/>
        <v>0</v>
      </c>
      <c r="M52" s="289">
        <f t="shared" si="10"/>
        <v>0.36199999999999999</v>
      </c>
      <c r="N52" s="61">
        <f t="shared" si="6"/>
        <v>1</v>
      </c>
      <c r="Q52" s="7">
        <f t="shared" si="13"/>
        <v>1990</v>
      </c>
      <c r="R52" s="72">
        <v>100</v>
      </c>
      <c r="S52" s="72">
        <v>5</v>
      </c>
      <c r="T52" s="7">
        <f t="shared" si="14"/>
        <v>500</v>
      </c>
      <c r="U52" s="172">
        <v>1</v>
      </c>
      <c r="V52" s="2">
        <f t="shared" si="11"/>
        <v>500</v>
      </c>
    </row>
    <row r="53" spans="2:22">
      <c r="B53" s="7">
        <f t="shared" si="12"/>
        <v>1991</v>
      </c>
      <c r="C53" s="72">
        <v>10</v>
      </c>
      <c r="D53" s="73">
        <f t="shared" si="3"/>
        <v>480</v>
      </c>
      <c r="E53" s="420">
        <f t="shared" si="4"/>
        <v>4800</v>
      </c>
      <c r="F53" s="418">
        <f>F$8</f>
        <v>0.23</v>
      </c>
      <c r="G53" s="289">
        <f>G$8</f>
        <v>0.40299999999999997</v>
      </c>
      <c r="H53" s="289">
        <f>H$8</f>
        <v>0</v>
      </c>
      <c r="I53" s="289">
        <f>I$8</f>
        <v>0.20399999999999999</v>
      </c>
      <c r="J53" s="289">
        <f>J$8</f>
        <v>2.1000000000000001E-2</v>
      </c>
      <c r="K53" s="289">
        <f t="shared" ref="F53:M78" si="15">K$8</f>
        <v>0.01</v>
      </c>
      <c r="L53" s="289">
        <f t="shared" si="15"/>
        <v>0</v>
      </c>
      <c r="M53" s="289">
        <f t="shared" si="15"/>
        <v>0.36199999999999999</v>
      </c>
      <c r="N53" s="61">
        <f t="shared" si="6"/>
        <v>1</v>
      </c>
      <c r="Q53" s="7">
        <f t="shared" si="13"/>
        <v>1991</v>
      </c>
      <c r="R53" s="72">
        <v>100</v>
      </c>
      <c r="S53" s="72">
        <v>5</v>
      </c>
      <c r="T53" s="7">
        <f t="shared" si="14"/>
        <v>500</v>
      </c>
      <c r="U53" s="172">
        <v>1</v>
      </c>
      <c r="V53" s="2">
        <f t="shared" si="11"/>
        <v>500</v>
      </c>
    </row>
    <row r="54" spans="2:22">
      <c r="B54" s="7">
        <f t="shared" si="12"/>
        <v>1992</v>
      </c>
      <c r="C54" s="72">
        <v>10</v>
      </c>
      <c r="D54" s="73">
        <f t="shared" si="3"/>
        <v>480</v>
      </c>
      <c r="E54" s="420">
        <f t="shared" si="4"/>
        <v>4800</v>
      </c>
      <c r="F54" s="418">
        <f t="shared" si="15"/>
        <v>0.23</v>
      </c>
      <c r="G54" s="289">
        <f t="shared" si="15"/>
        <v>0.40299999999999997</v>
      </c>
      <c r="H54" s="289">
        <f t="shared" si="15"/>
        <v>0</v>
      </c>
      <c r="I54" s="289">
        <f t="shared" si="15"/>
        <v>0.20399999999999999</v>
      </c>
      <c r="J54" s="289">
        <f t="shared" si="15"/>
        <v>2.1000000000000001E-2</v>
      </c>
      <c r="K54" s="289">
        <f t="shared" si="15"/>
        <v>0.01</v>
      </c>
      <c r="L54" s="289">
        <f t="shared" si="15"/>
        <v>0</v>
      </c>
      <c r="M54" s="289">
        <f t="shared" si="15"/>
        <v>0.36199999999999999</v>
      </c>
      <c r="N54" s="61">
        <f t="shared" si="6"/>
        <v>1</v>
      </c>
      <c r="Q54" s="7">
        <f t="shared" si="13"/>
        <v>1992</v>
      </c>
      <c r="R54" s="72">
        <v>100</v>
      </c>
      <c r="S54" s="72">
        <v>5</v>
      </c>
      <c r="T54" s="7">
        <f t="shared" si="14"/>
        <v>500</v>
      </c>
      <c r="U54" s="172">
        <v>1</v>
      </c>
      <c r="V54" s="2">
        <f t="shared" si="11"/>
        <v>500</v>
      </c>
    </row>
    <row r="55" spans="2:22">
      <c r="B55" s="7">
        <f t="shared" si="12"/>
        <v>1993</v>
      </c>
      <c r="C55" s="72">
        <v>10</v>
      </c>
      <c r="D55" s="73">
        <f t="shared" si="3"/>
        <v>480</v>
      </c>
      <c r="E55" s="420">
        <f t="shared" si="4"/>
        <v>4800</v>
      </c>
      <c r="F55" s="418">
        <f t="shared" si="15"/>
        <v>0.23</v>
      </c>
      <c r="G55" s="289">
        <f t="shared" si="15"/>
        <v>0.40299999999999997</v>
      </c>
      <c r="H55" s="289">
        <f t="shared" si="15"/>
        <v>0</v>
      </c>
      <c r="I55" s="289">
        <f t="shared" si="15"/>
        <v>0.20399999999999999</v>
      </c>
      <c r="J55" s="289">
        <f t="shared" si="15"/>
        <v>2.1000000000000001E-2</v>
      </c>
      <c r="K55" s="289">
        <f t="shared" si="15"/>
        <v>0.01</v>
      </c>
      <c r="L55" s="289">
        <f t="shared" si="15"/>
        <v>0</v>
      </c>
      <c r="M55" s="289">
        <f t="shared" si="15"/>
        <v>0.36199999999999999</v>
      </c>
      <c r="N55" s="61">
        <f t="shared" si="6"/>
        <v>1</v>
      </c>
      <c r="Q55" s="7">
        <f t="shared" si="13"/>
        <v>1993</v>
      </c>
      <c r="R55" s="72">
        <v>100</v>
      </c>
      <c r="S55" s="72">
        <v>5</v>
      </c>
      <c r="T55" s="7">
        <f t="shared" si="14"/>
        <v>500</v>
      </c>
      <c r="U55" s="172">
        <v>1</v>
      </c>
      <c r="V55" s="2">
        <f t="shared" si="11"/>
        <v>500</v>
      </c>
    </row>
    <row r="56" spans="2:22">
      <c r="B56" s="7">
        <f t="shared" si="12"/>
        <v>1994</v>
      </c>
      <c r="C56" s="72">
        <v>10</v>
      </c>
      <c r="D56" s="73">
        <f t="shared" si="3"/>
        <v>480</v>
      </c>
      <c r="E56" s="420">
        <f t="shared" si="4"/>
        <v>4800</v>
      </c>
      <c r="F56" s="418">
        <f t="shared" si="15"/>
        <v>0.23</v>
      </c>
      <c r="G56" s="289">
        <f t="shared" si="15"/>
        <v>0.40299999999999997</v>
      </c>
      <c r="H56" s="289">
        <f t="shared" si="15"/>
        <v>0</v>
      </c>
      <c r="I56" s="289">
        <f t="shared" si="15"/>
        <v>0.20399999999999999</v>
      </c>
      <c r="J56" s="289">
        <f t="shared" si="15"/>
        <v>2.1000000000000001E-2</v>
      </c>
      <c r="K56" s="289">
        <f t="shared" si="15"/>
        <v>0.01</v>
      </c>
      <c r="L56" s="289">
        <f t="shared" si="15"/>
        <v>0</v>
      </c>
      <c r="M56" s="289">
        <f t="shared" si="15"/>
        <v>0.36199999999999999</v>
      </c>
      <c r="N56" s="61">
        <f t="shared" si="6"/>
        <v>1</v>
      </c>
      <c r="Q56" s="7">
        <f t="shared" si="13"/>
        <v>1994</v>
      </c>
      <c r="R56" s="72">
        <v>100</v>
      </c>
      <c r="S56" s="72">
        <v>5</v>
      </c>
      <c r="T56" s="7">
        <f t="shared" si="14"/>
        <v>500</v>
      </c>
      <c r="U56" s="172">
        <v>1</v>
      </c>
      <c r="V56" s="2">
        <f t="shared" si="11"/>
        <v>500</v>
      </c>
    </row>
    <row r="57" spans="2:22">
      <c r="B57" s="7">
        <f t="shared" si="12"/>
        <v>1995</v>
      </c>
      <c r="C57" s="72">
        <v>10</v>
      </c>
      <c r="D57" s="73">
        <f t="shared" si="3"/>
        <v>480</v>
      </c>
      <c r="E57" s="420">
        <f t="shared" si="4"/>
        <v>4800</v>
      </c>
      <c r="F57" s="418">
        <f t="shared" si="15"/>
        <v>0.23</v>
      </c>
      <c r="G57" s="289">
        <f t="shared" si="15"/>
        <v>0.40299999999999997</v>
      </c>
      <c r="H57" s="289">
        <f t="shared" si="15"/>
        <v>0</v>
      </c>
      <c r="I57" s="289">
        <f t="shared" si="15"/>
        <v>0.20399999999999999</v>
      </c>
      <c r="J57" s="289">
        <f t="shared" si="15"/>
        <v>2.1000000000000001E-2</v>
      </c>
      <c r="K57" s="289">
        <f t="shared" si="15"/>
        <v>0.01</v>
      </c>
      <c r="L57" s="289">
        <f t="shared" si="15"/>
        <v>0</v>
      </c>
      <c r="M57" s="289">
        <f t="shared" si="15"/>
        <v>0.36199999999999999</v>
      </c>
      <c r="N57" s="61">
        <f t="shared" si="6"/>
        <v>1</v>
      </c>
      <c r="Q57" s="7">
        <f t="shared" si="13"/>
        <v>1995</v>
      </c>
      <c r="R57" s="72">
        <v>100</v>
      </c>
      <c r="S57" s="72">
        <v>5</v>
      </c>
      <c r="T57" s="7">
        <f t="shared" si="14"/>
        <v>500</v>
      </c>
      <c r="U57" s="172">
        <v>1</v>
      </c>
      <c r="V57" s="2">
        <f t="shared" si="11"/>
        <v>500</v>
      </c>
    </row>
    <row r="58" spans="2:22">
      <c r="B58" s="7">
        <f t="shared" si="12"/>
        <v>1996</v>
      </c>
      <c r="C58" s="72">
        <v>10</v>
      </c>
      <c r="D58" s="73">
        <f t="shared" si="3"/>
        <v>480</v>
      </c>
      <c r="E58" s="420">
        <f t="shared" si="4"/>
        <v>4800</v>
      </c>
      <c r="F58" s="418">
        <f t="shared" si="15"/>
        <v>0.23</v>
      </c>
      <c r="G58" s="289">
        <f t="shared" si="15"/>
        <v>0.40299999999999997</v>
      </c>
      <c r="H58" s="289">
        <f t="shared" si="15"/>
        <v>0</v>
      </c>
      <c r="I58" s="289">
        <f t="shared" si="15"/>
        <v>0.20399999999999999</v>
      </c>
      <c r="J58" s="289">
        <f t="shared" si="15"/>
        <v>2.1000000000000001E-2</v>
      </c>
      <c r="K58" s="289">
        <f t="shared" si="15"/>
        <v>0.01</v>
      </c>
      <c r="L58" s="289">
        <f t="shared" si="15"/>
        <v>0</v>
      </c>
      <c r="M58" s="289">
        <f t="shared" si="15"/>
        <v>0.36199999999999999</v>
      </c>
      <c r="N58" s="61">
        <f t="shared" si="6"/>
        <v>1</v>
      </c>
      <c r="Q58" s="7">
        <f t="shared" si="13"/>
        <v>1996</v>
      </c>
      <c r="R58" s="72">
        <v>100</v>
      </c>
      <c r="S58" s="72">
        <v>5</v>
      </c>
      <c r="T58" s="7">
        <f t="shared" si="14"/>
        <v>500</v>
      </c>
      <c r="U58" s="172">
        <v>1</v>
      </c>
      <c r="V58" s="2">
        <f t="shared" si="11"/>
        <v>500</v>
      </c>
    </row>
    <row r="59" spans="2:22">
      <c r="B59" s="7">
        <f t="shared" si="12"/>
        <v>1997</v>
      </c>
      <c r="C59" s="72">
        <v>10</v>
      </c>
      <c r="D59" s="73">
        <f t="shared" si="3"/>
        <v>480</v>
      </c>
      <c r="E59" s="420">
        <f t="shared" si="4"/>
        <v>4800</v>
      </c>
      <c r="F59" s="418">
        <f t="shared" si="15"/>
        <v>0.23</v>
      </c>
      <c r="G59" s="289">
        <f t="shared" si="15"/>
        <v>0.40299999999999997</v>
      </c>
      <c r="H59" s="289">
        <f t="shared" si="15"/>
        <v>0</v>
      </c>
      <c r="I59" s="289">
        <f t="shared" si="15"/>
        <v>0.20399999999999999</v>
      </c>
      <c r="J59" s="289">
        <f t="shared" si="15"/>
        <v>2.1000000000000001E-2</v>
      </c>
      <c r="K59" s="289">
        <f t="shared" si="15"/>
        <v>0.01</v>
      </c>
      <c r="L59" s="289">
        <f t="shared" si="15"/>
        <v>0</v>
      </c>
      <c r="M59" s="289">
        <f t="shared" si="15"/>
        <v>0.36199999999999999</v>
      </c>
      <c r="N59" s="61">
        <f t="shared" si="6"/>
        <v>1</v>
      </c>
      <c r="Q59" s="7">
        <f t="shared" si="13"/>
        <v>1997</v>
      </c>
      <c r="R59" s="72">
        <v>100</v>
      </c>
      <c r="S59" s="72">
        <v>5</v>
      </c>
      <c r="T59" s="7">
        <f t="shared" si="14"/>
        <v>500</v>
      </c>
      <c r="U59" s="172">
        <v>1</v>
      </c>
      <c r="V59" s="2">
        <f t="shared" si="11"/>
        <v>500</v>
      </c>
    </row>
    <row r="60" spans="2:22">
      <c r="B60" s="7">
        <f t="shared" si="12"/>
        <v>1998</v>
      </c>
      <c r="C60" s="72">
        <v>10</v>
      </c>
      <c r="D60" s="73">
        <f t="shared" si="3"/>
        <v>480</v>
      </c>
      <c r="E60" s="420">
        <f t="shared" si="4"/>
        <v>4800</v>
      </c>
      <c r="F60" s="418">
        <f t="shared" si="15"/>
        <v>0.23</v>
      </c>
      <c r="G60" s="289">
        <f t="shared" si="15"/>
        <v>0.40299999999999997</v>
      </c>
      <c r="H60" s="289">
        <f t="shared" si="15"/>
        <v>0</v>
      </c>
      <c r="I60" s="289">
        <f t="shared" si="15"/>
        <v>0.20399999999999999</v>
      </c>
      <c r="J60" s="289">
        <f t="shared" si="15"/>
        <v>2.1000000000000001E-2</v>
      </c>
      <c r="K60" s="289">
        <f t="shared" si="15"/>
        <v>0.01</v>
      </c>
      <c r="L60" s="289">
        <f t="shared" si="15"/>
        <v>0</v>
      </c>
      <c r="M60" s="289">
        <f t="shared" si="15"/>
        <v>0.36199999999999999</v>
      </c>
      <c r="N60" s="61">
        <f t="shared" si="6"/>
        <v>1</v>
      </c>
      <c r="Q60" s="7">
        <f t="shared" si="13"/>
        <v>1998</v>
      </c>
      <c r="R60" s="72">
        <v>100</v>
      </c>
      <c r="S60" s="72">
        <v>5</v>
      </c>
      <c r="T60" s="7">
        <f t="shared" si="14"/>
        <v>500</v>
      </c>
      <c r="U60" s="172">
        <v>1</v>
      </c>
      <c r="V60" s="2">
        <f t="shared" si="11"/>
        <v>500</v>
      </c>
    </row>
    <row r="61" spans="2:22">
      <c r="B61" s="7">
        <f t="shared" si="12"/>
        <v>1999</v>
      </c>
      <c r="C61" s="72">
        <v>10</v>
      </c>
      <c r="D61" s="73">
        <f t="shared" si="3"/>
        <v>480</v>
      </c>
      <c r="E61" s="420">
        <f t="shared" si="4"/>
        <v>4800</v>
      </c>
      <c r="F61" s="418">
        <f t="shared" si="15"/>
        <v>0.23</v>
      </c>
      <c r="G61" s="289">
        <f t="shared" si="15"/>
        <v>0.40299999999999997</v>
      </c>
      <c r="H61" s="289">
        <f t="shared" si="15"/>
        <v>0</v>
      </c>
      <c r="I61" s="289">
        <f t="shared" si="15"/>
        <v>0.20399999999999999</v>
      </c>
      <c r="J61" s="289">
        <f t="shared" si="15"/>
        <v>2.1000000000000001E-2</v>
      </c>
      <c r="K61" s="289">
        <f t="shared" si="15"/>
        <v>0.01</v>
      </c>
      <c r="L61" s="289">
        <f t="shared" si="15"/>
        <v>0</v>
      </c>
      <c r="M61" s="289">
        <f t="shared" si="15"/>
        <v>0.36199999999999999</v>
      </c>
      <c r="N61" s="61">
        <f t="shared" si="6"/>
        <v>1</v>
      </c>
      <c r="Q61" s="7">
        <f t="shared" si="13"/>
        <v>1999</v>
      </c>
      <c r="R61" s="72">
        <v>100</v>
      </c>
      <c r="S61" s="72">
        <v>5</v>
      </c>
      <c r="T61" s="7">
        <f t="shared" si="14"/>
        <v>500</v>
      </c>
      <c r="U61" s="172">
        <v>1</v>
      </c>
      <c r="V61" s="2">
        <f t="shared" si="11"/>
        <v>500</v>
      </c>
    </row>
    <row r="62" spans="2:22">
      <c r="B62" s="7">
        <f t="shared" si="12"/>
        <v>2000</v>
      </c>
      <c r="C62" s="72">
        <v>10</v>
      </c>
      <c r="D62" s="73">
        <f t="shared" si="3"/>
        <v>480</v>
      </c>
      <c r="E62" s="420">
        <f t="shared" si="4"/>
        <v>4800</v>
      </c>
      <c r="F62" s="418">
        <f t="shared" si="15"/>
        <v>0.23</v>
      </c>
      <c r="G62" s="289">
        <f t="shared" si="15"/>
        <v>0.40299999999999997</v>
      </c>
      <c r="H62" s="289">
        <f t="shared" si="15"/>
        <v>0</v>
      </c>
      <c r="I62" s="289">
        <f t="shared" si="15"/>
        <v>0.20399999999999999</v>
      </c>
      <c r="J62" s="289">
        <f t="shared" si="15"/>
        <v>2.1000000000000001E-2</v>
      </c>
      <c r="K62" s="289">
        <f t="shared" si="15"/>
        <v>0.01</v>
      </c>
      <c r="L62" s="289">
        <f t="shared" si="15"/>
        <v>0</v>
      </c>
      <c r="M62" s="289">
        <f t="shared" si="15"/>
        <v>0.36199999999999999</v>
      </c>
      <c r="N62" s="61">
        <f t="shared" si="6"/>
        <v>1</v>
      </c>
      <c r="Q62" s="7">
        <f t="shared" si="13"/>
        <v>2000</v>
      </c>
      <c r="R62" s="72">
        <v>100</v>
      </c>
      <c r="S62" s="72">
        <v>5</v>
      </c>
      <c r="T62" s="7">
        <f t="shared" si="14"/>
        <v>500</v>
      </c>
      <c r="U62" s="172">
        <v>1</v>
      </c>
      <c r="V62" s="2">
        <f t="shared" si="11"/>
        <v>500</v>
      </c>
    </row>
    <row r="63" spans="2:22">
      <c r="B63" s="7">
        <f t="shared" si="12"/>
        <v>2001</v>
      </c>
      <c r="C63" s="72">
        <v>10</v>
      </c>
      <c r="D63" s="73">
        <f t="shared" si="3"/>
        <v>480</v>
      </c>
      <c r="E63" s="420">
        <f t="shared" si="4"/>
        <v>4800</v>
      </c>
      <c r="F63" s="418">
        <f t="shared" si="15"/>
        <v>0.23</v>
      </c>
      <c r="G63" s="289">
        <f t="shared" si="15"/>
        <v>0.40299999999999997</v>
      </c>
      <c r="H63" s="289">
        <f t="shared" si="15"/>
        <v>0</v>
      </c>
      <c r="I63" s="289">
        <f t="shared" si="15"/>
        <v>0.20399999999999999</v>
      </c>
      <c r="J63" s="289">
        <f t="shared" si="15"/>
        <v>2.1000000000000001E-2</v>
      </c>
      <c r="K63" s="289">
        <f t="shared" si="15"/>
        <v>0.01</v>
      </c>
      <c r="L63" s="289">
        <f t="shared" si="15"/>
        <v>0</v>
      </c>
      <c r="M63" s="289">
        <f t="shared" si="15"/>
        <v>0.36199999999999999</v>
      </c>
      <c r="N63" s="61">
        <f t="shared" si="6"/>
        <v>1</v>
      </c>
      <c r="Q63" s="7">
        <f t="shared" si="13"/>
        <v>2001</v>
      </c>
      <c r="R63" s="72">
        <v>100</v>
      </c>
      <c r="S63" s="72">
        <v>5</v>
      </c>
      <c r="T63" s="7">
        <f t="shared" si="14"/>
        <v>500</v>
      </c>
      <c r="U63" s="172">
        <v>1</v>
      </c>
      <c r="V63" s="2">
        <f t="shared" si="11"/>
        <v>500</v>
      </c>
    </row>
    <row r="64" spans="2:22">
      <c r="B64" s="7">
        <f t="shared" si="12"/>
        <v>2002</v>
      </c>
      <c r="C64" s="72">
        <v>10</v>
      </c>
      <c r="D64" s="73">
        <f t="shared" si="3"/>
        <v>480</v>
      </c>
      <c r="E64" s="420">
        <f t="shared" si="4"/>
        <v>4800</v>
      </c>
      <c r="F64" s="418">
        <f t="shared" si="15"/>
        <v>0.23</v>
      </c>
      <c r="G64" s="289">
        <f t="shared" si="15"/>
        <v>0.40299999999999997</v>
      </c>
      <c r="H64" s="289">
        <f t="shared" si="15"/>
        <v>0</v>
      </c>
      <c r="I64" s="289">
        <f t="shared" si="15"/>
        <v>0.20399999999999999</v>
      </c>
      <c r="J64" s="289">
        <f t="shared" si="15"/>
        <v>2.1000000000000001E-2</v>
      </c>
      <c r="K64" s="289">
        <f t="shared" si="15"/>
        <v>0.01</v>
      </c>
      <c r="L64" s="289">
        <f t="shared" si="15"/>
        <v>0</v>
      </c>
      <c r="M64" s="289">
        <f t="shared" si="15"/>
        <v>0.36199999999999999</v>
      </c>
      <c r="N64" s="61">
        <f t="shared" si="6"/>
        <v>1</v>
      </c>
      <c r="Q64" s="7">
        <f t="shared" si="13"/>
        <v>2002</v>
      </c>
      <c r="R64" s="72">
        <v>100</v>
      </c>
      <c r="S64" s="72">
        <v>5</v>
      </c>
      <c r="T64" s="7">
        <f t="shared" si="14"/>
        <v>500</v>
      </c>
      <c r="U64" s="172">
        <v>1</v>
      </c>
      <c r="V64" s="2">
        <f t="shared" si="11"/>
        <v>500</v>
      </c>
    </row>
    <row r="65" spans="2:22">
      <c r="B65" s="7">
        <f t="shared" si="12"/>
        <v>2003</v>
      </c>
      <c r="C65" s="72">
        <v>10</v>
      </c>
      <c r="D65" s="73">
        <f t="shared" si="3"/>
        <v>480</v>
      </c>
      <c r="E65" s="420">
        <f t="shared" si="4"/>
        <v>4800</v>
      </c>
      <c r="F65" s="418">
        <f t="shared" si="15"/>
        <v>0.23</v>
      </c>
      <c r="G65" s="289">
        <f t="shared" si="15"/>
        <v>0.40299999999999997</v>
      </c>
      <c r="H65" s="289">
        <f t="shared" si="15"/>
        <v>0</v>
      </c>
      <c r="I65" s="289">
        <f t="shared" si="15"/>
        <v>0.20399999999999999</v>
      </c>
      <c r="J65" s="289">
        <f t="shared" si="15"/>
        <v>2.1000000000000001E-2</v>
      </c>
      <c r="K65" s="289">
        <f t="shared" si="15"/>
        <v>0.01</v>
      </c>
      <c r="L65" s="289">
        <f t="shared" si="15"/>
        <v>0</v>
      </c>
      <c r="M65" s="289">
        <f t="shared" si="15"/>
        <v>0.36199999999999999</v>
      </c>
      <c r="N65" s="61">
        <f t="shared" si="6"/>
        <v>1</v>
      </c>
      <c r="Q65" s="7">
        <f t="shared" si="13"/>
        <v>2003</v>
      </c>
      <c r="R65" s="72">
        <v>100</v>
      </c>
      <c r="S65" s="72">
        <v>5</v>
      </c>
      <c r="T65" s="7">
        <f t="shared" si="14"/>
        <v>500</v>
      </c>
      <c r="U65" s="172">
        <v>1</v>
      </c>
      <c r="V65" s="2">
        <f t="shared" si="11"/>
        <v>500</v>
      </c>
    </row>
    <row r="66" spans="2:22">
      <c r="B66" s="7">
        <f t="shared" si="12"/>
        <v>2004</v>
      </c>
      <c r="C66" s="72">
        <v>10</v>
      </c>
      <c r="D66" s="73">
        <f t="shared" si="3"/>
        <v>480</v>
      </c>
      <c r="E66" s="420">
        <f t="shared" si="4"/>
        <v>4800</v>
      </c>
      <c r="F66" s="418">
        <f t="shared" si="15"/>
        <v>0.23</v>
      </c>
      <c r="G66" s="289">
        <f t="shared" si="15"/>
        <v>0.40299999999999997</v>
      </c>
      <c r="H66" s="289">
        <f t="shared" si="15"/>
        <v>0</v>
      </c>
      <c r="I66" s="289">
        <f t="shared" si="15"/>
        <v>0.20399999999999999</v>
      </c>
      <c r="J66" s="289">
        <f t="shared" si="15"/>
        <v>2.1000000000000001E-2</v>
      </c>
      <c r="K66" s="289">
        <f t="shared" si="15"/>
        <v>0.01</v>
      </c>
      <c r="L66" s="289">
        <f t="shared" si="15"/>
        <v>0</v>
      </c>
      <c r="M66" s="289">
        <f t="shared" si="15"/>
        <v>0.36199999999999999</v>
      </c>
      <c r="N66" s="61">
        <f t="shared" si="6"/>
        <v>1</v>
      </c>
      <c r="Q66" s="7">
        <f t="shared" si="13"/>
        <v>2004</v>
      </c>
      <c r="R66" s="72">
        <v>100</v>
      </c>
      <c r="S66" s="72">
        <v>5</v>
      </c>
      <c r="T66" s="7">
        <f t="shared" si="14"/>
        <v>500</v>
      </c>
      <c r="U66" s="172">
        <v>1</v>
      </c>
      <c r="V66" s="2">
        <f t="shared" si="11"/>
        <v>500</v>
      </c>
    </row>
    <row r="67" spans="2:22">
      <c r="B67" s="7">
        <f t="shared" si="12"/>
        <v>2005</v>
      </c>
      <c r="C67" s="72">
        <v>10</v>
      </c>
      <c r="D67" s="73">
        <f t="shared" si="3"/>
        <v>480</v>
      </c>
      <c r="E67" s="420">
        <f t="shared" si="4"/>
        <v>4800</v>
      </c>
      <c r="F67" s="418">
        <f t="shared" si="15"/>
        <v>0.23</v>
      </c>
      <c r="G67" s="289">
        <f t="shared" si="15"/>
        <v>0.40299999999999997</v>
      </c>
      <c r="H67" s="289">
        <f t="shared" si="15"/>
        <v>0</v>
      </c>
      <c r="I67" s="289">
        <f t="shared" si="15"/>
        <v>0.20399999999999999</v>
      </c>
      <c r="J67" s="289">
        <f t="shared" si="15"/>
        <v>2.1000000000000001E-2</v>
      </c>
      <c r="K67" s="289">
        <f t="shared" si="15"/>
        <v>0.01</v>
      </c>
      <c r="L67" s="289">
        <f t="shared" si="15"/>
        <v>0</v>
      </c>
      <c r="M67" s="289">
        <f t="shared" si="15"/>
        <v>0.36199999999999999</v>
      </c>
      <c r="N67" s="61">
        <f t="shared" si="6"/>
        <v>1</v>
      </c>
      <c r="Q67" s="7">
        <f t="shared" si="13"/>
        <v>2005</v>
      </c>
      <c r="R67" s="72">
        <v>100</v>
      </c>
      <c r="S67" s="72">
        <v>5</v>
      </c>
      <c r="T67" s="7">
        <f t="shared" si="14"/>
        <v>500</v>
      </c>
      <c r="U67" s="172">
        <v>1</v>
      </c>
      <c r="V67" s="2">
        <f t="shared" si="11"/>
        <v>500</v>
      </c>
    </row>
    <row r="68" spans="2:22">
      <c r="B68" s="7">
        <f t="shared" si="12"/>
        <v>2006</v>
      </c>
      <c r="C68" s="72">
        <v>10</v>
      </c>
      <c r="D68" s="73">
        <f t="shared" si="3"/>
        <v>480</v>
      </c>
      <c r="E68" s="420">
        <f t="shared" si="4"/>
        <v>4800</v>
      </c>
      <c r="F68" s="418">
        <f t="shared" si="15"/>
        <v>0.23</v>
      </c>
      <c r="G68" s="289">
        <f t="shared" si="15"/>
        <v>0.40299999999999997</v>
      </c>
      <c r="H68" s="289">
        <f t="shared" si="15"/>
        <v>0</v>
      </c>
      <c r="I68" s="289">
        <f t="shared" si="15"/>
        <v>0.20399999999999999</v>
      </c>
      <c r="J68" s="289">
        <f t="shared" si="15"/>
        <v>2.1000000000000001E-2</v>
      </c>
      <c r="K68" s="289">
        <f t="shared" si="15"/>
        <v>0.01</v>
      </c>
      <c r="L68" s="289">
        <f t="shared" si="15"/>
        <v>0</v>
      </c>
      <c r="M68" s="289">
        <f t="shared" si="15"/>
        <v>0.36199999999999999</v>
      </c>
      <c r="N68" s="61">
        <f t="shared" si="6"/>
        <v>1</v>
      </c>
      <c r="Q68" s="7">
        <f t="shared" si="13"/>
        <v>2006</v>
      </c>
      <c r="R68" s="72">
        <v>100</v>
      </c>
      <c r="S68" s="72">
        <v>5</v>
      </c>
      <c r="T68" s="7">
        <f t="shared" si="14"/>
        <v>500</v>
      </c>
      <c r="U68" s="172">
        <v>1</v>
      </c>
      <c r="V68" s="2">
        <f t="shared" si="11"/>
        <v>500</v>
      </c>
    </row>
    <row r="69" spans="2:22">
      <c r="B69" s="7">
        <f t="shared" si="12"/>
        <v>2007</v>
      </c>
      <c r="C69" s="72">
        <v>10</v>
      </c>
      <c r="D69" s="73">
        <f t="shared" si="3"/>
        <v>480</v>
      </c>
      <c r="E69" s="420">
        <f t="shared" si="4"/>
        <v>4800</v>
      </c>
      <c r="F69" s="418">
        <f t="shared" si="15"/>
        <v>0.23</v>
      </c>
      <c r="G69" s="289">
        <f t="shared" si="15"/>
        <v>0.40299999999999997</v>
      </c>
      <c r="H69" s="289">
        <f t="shared" si="15"/>
        <v>0</v>
      </c>
      <c r="I69" s="289">
        <f t="shared" si="15"/>
        <v>0.20399999999999999</v>
      </c>
      <c r="J69" s="289">
        <f t="shared" si="15"/>
        <v>2.1000000000000001E-2</v>
      </c>
      <c r="K69" s="289">
        <f t="shared" si="15"/>
        <v>0.01</v>
      </c>
      <c r="L69" s="289">
        <f t="shared" si="15"/>
        <v>0</v>
      </c>
      <c r="M69" s="289">
        <f t="shared" si="15"/>
        <v>0.36199999999999999</v>
      </c>
      <c r="N69" s="61">
        <f t="shared" si="6"/>
        <v>1</v>
      </c>
      <c r="Q69" s="7">
        <f t="shared" si="13"/>
        <v>2007</v>
      </c>
      <c r="R69" s="72">
        <v>100</v>
      </c>
      <c r="S69" s="72">
        <v>5</v>
      </c>
      <c r="T69" s="7">
        <f t="shared" si="14"/>
        <v>500</v>
      </c>
      <c r="U69" s="172">
        <v>1</v>
      </c>
      <c r="V69" s="2">
        <f t="shared" si="11"/>
        <v>500</v>
      </c>
    </row>
    <row r="70" spans="2:22">
      <c r="B70" s="7">
        <f t="shared" si="12"/>
        <v>2008</v>
      </c>
      <c r="C70" s="72">
        <v>10</v>
      </c>
      <c r="D70" s="73">
        <f t="shared" si="3"/>
        <v>480</v>
      </c>
      <c r="E70" s="420">
        <f t="shared" si="4"/>
        <v>4800</v>
      </c>
      <c r="F70" s="418">
        <f t="shared" si="15"/>
        <v>0.23</v>
      </c>
      <c r="G70" s="289">
        <f t="shared" si="15"/>
        <v>0.40299999999999997</v>
      </c>
      <c r="H70" s="289">
        <f t="shared" si="15"/>
        <v>0</v>
      </c>
      <c r="I70" s="289">
        <f t="shared" si="15"/>
        <v>0.20399999999999999</v>
      </c>
      <c r="J70" s="289">
        <f t="shared" si="15"/>
        <v>2.1000000000000001E-2</v>
      </c>
      <c r="K70" s="289">
        <f t="shared" si="15"/>
        <v>0.01</v>
      </c>
      <c r="L70" s="289">
        <f t="shared" si="15"/>
        <v>0</v>
      </c>
      <c r="M70" s="289">
        <f t="shared" si="15"/>
        <v>0.36199999999999999</v>
      </c>
      <c r="N70" s="61">
        <f t="shared" si="6"/>
        <v>1</v>
      </c>
      <c r="Q70" s="7">
        <f t="shared" si="13"/>
        <v>2008</v>
      </c>
      <c r="R70" s="72">
        <v>100</v>
      </c>
      <c r="S70" s="72">
        <v>5</v>
      </c>
      <c r="T70" s="7">
        <f t="shared" si="14"/>
        <v>500</v>
      </c>
      <c r="U70" s="172">
        <v>1</v>
      </c>
      <c r="V70" s="2">
        <f t="shared" si="11"/>
        <v>500</v>
      </c>
    </row>
    <row r="71" spans="2:22">
      <c r="B71" s="7">
        <f t="shared" si="12"/>
        <v>2009</v>
      </c>
      <c r="C71" s="72">
        <v>10</v>
      </c>
      <c r="D71" s="73">
        <f t="shared" si="3"/>
        <v>480</v>
      </c>
      <c r="E71" s="420">
        <f t="shared" si="4"/>
        <v>4800</v>
      </c>
      <c r="F71" s="418">
        <f t="shared" si="15"/>
        <v>0.23</v>
      </c>
      <c r="G71" s="289">
        <f t="shared" si="15"/>
        <v>0.40299999999999997</v>
      </c>
      <c r="H71" s="289">
        <f t="shared" si="15"/>
        <v>0</v>
      </c>
      <c r="I71" s="289">
        <f t="shared" si="15"/>
        <v>0.20399999999999999</v>
      </c>
      <c r="J71" s="289">
        <f t="shared" si="15"/>
        <v>2.1000000000000001E-2</v>
      </c>
      <c r="K71" s="289">
        <f t="shared" si="15"/>
        <v>0.01</v>
      </c>
      <c r="L71" s="289">
        <f t="shared" si="15"/>
        <v>0</v>
      </c>
      <c r="M71" s="289">
        <f t="shared" si="15"/>
        <v>0.36199999999999999</v>
      </c>
      <c r="N71" s="61">
        <f t="shared" si="6"/>
        <v>1</v>
      </c>
      <c r="Q71" s="7">
        <f t="shared" si="13"/>
        <v>2009</v>
      </c>
      <c r="R71" s="72">
        <v>100</v>
      </c>
      <c r="S71" s="72">
        <v>5</v>
      </c>
      <c r="T71" s="7">
        <f t="shared" si="14"/>
        <v>500</v>
      </c>
      <c r="U71" s="172">
        <v>1</v>
      </c>
      <c r="V71" s="2">
        <f t="shared" si="11"/>
        <v>500</v>
      </c>
    </row>
    <row r="72" spans="2:22">
      <c r="B72" s="7">
        <f t="shared" si="12"/>
        <v>2010</v>
      </c>
      <c r="C72" s="72">
        <v>10</v>
      </c>
      <c r="D72" s="73">
        <f t="shared" si="3"/>
        <v>480</v>
      </c>
      <c r="E72" s="420">
        <f t="shared" si="4"/>
        <v>4800</v>
      </c>
      <c r="F72" s="418">
        <f t="shared" si="15"/>
        <v>0.23</v>
      </c>
      <c r="G72" s="289">
        <f t="shared" si="15"/>
        <v>0.40299999999999997</v>
      </c>
      <c r="H72" s="289">
        <f t="shared" si="15"/>
        <v>0</v>
      </c>
      <c r="I72" s="289">
        <f t="shared" si="15"/>
        <v>0.20399999999999999</v>
      </c>
      <c r="J72" s="289">
        <f t="shared" si="15"/>
        <v>2.1000000000000001E-2</v>
      </c>
      <c r="K72" s="289">
        <f t="shared" si="15"/>
        <v>0.01</v>
      </c>
      <c r="L72" s="289">
        <f t="shared" si="15"/>
        <v>0</v>
      </c>
      <c r="M72" s="289">
        <f t="shared" si="15"/>
        <v>0.36199999999999999</v>
      </c>
      <c r="N72" s="61">
        <f t="shared" si="6"/>
        <v>1</v>
      </c>
      <c r="Q72" s="7">
        <f t="shared" si="13"/>
        <v>2010</v>
      </c>
      <c r="R72" s="72">
        <v>100</v>
      </c>
      <c r="S72" s="72">
        <v>5</v>
      </c>
      <c r="T72" s="7">
        <f t="shared" si="14"/>
        <v>500</v>
      </c>
      <c r="U72" s="172">
        <v>1</v>
      </c>
      <c r="V72" s="2">
        <f t="shared" si="11"/>
        <v>500</v>
      </c>
    </row>
    <row r="73" spans="2:22">
      <c r="B73" s="7">
        <f t="shared" si="12"/>
        <v>2011</v>
      </c>
      <c r="C73" s="72">
        <v>10</v>
      </c>
      <c r="D73" s="73">
        <f t="shared" si="3"/>
        <v>480</v>
      </c>
      <c r="E73" s="420">
        <f t="shared" si="4"/>
        <v>4800</v>
      </c>
      <c r="F73" s="418">
        <f t="shared" si="15"/>
        <v>0.23</v>
      </c>
      <c r="G73" s="289">
        <f t="shared" si="15"/>
        <v>0.40299999999999997</v>
      </c>
      <c r="H73" s="289">
        <f t="shared" si="15"/>
        <v>0</v>
      </c>
      <c r="I73" s="289">
        <f t="shared" si="15"/>
        <v>0.20399999999999999</v>
      </c>
      <c r="J73" s="289">
        <f t="shared" si="15"/>
        <v>2.1000000000000001E-2</v>
      </c>
      <c r="K73" s="289">
        <f t="shared" si="15"/>
        <v>0.01</v>
      </c>
      <c r="L73" s="289">
        <f t="shared" si="15"/>
        <v>0</v>
      </c>
      <c r="M73" s="289">
        <f t="shared" si="15"/>
        <v>0.36199999999999999</v>
      </c>
      <c r="N73" s="61">
        <f t="shared" si="6"/>
        <v>1</v>
      </c>
      <c r="Q73" s="7">
        <f t="shared" si="13"/>
        <v>2011</v>
      </c>
      <c r="R73" s="72">
        <v>100</v>
      </c>
      <c r="S73" s="72">
        <v>5</v>
      </c>
      <c r="T73" s="7">
        <f t="shared" si="14"/>
        <v>500</v>
      </c>
      <c r="U73" s="172">
        <v>1</v>
      </c>
      <c r="V73" s="2">
        <f t="shared" si="11"/>
        <v>500</v>
      </c>
    </row>
    <row r="74" spans="2:22">
      <c r="B74" s="7">
        <f t="shared" si="12"/>
        <v>2012</v>
      </c>
      <c r="C74" s="72">
        <v>10</v>
      </c>
      <c r="D74" s="73">
        <f t="shared" si="3"/>
        <v>480</v>
      </c>
      <c r="E74" s="420">
        <f t="shared" si="4"/>
        <v>4800</v>
      </c>
      <c r="F74" s="418">
        <f t="shared" si="15"/>
        <v>0.23</v>
      </c>
      <c r="G74" s="289">
        <f t="shared" si="15"/>
        <v>0.40299999999999997</v>
      </c>
      <c r="H74" s="289">
        <f t="shared" si="15"/>
        <v>0</v>
      </c>
      <c r="I74" s="289">
        <f t="shared" si="15"/>
        <v>0.20399999999999999</v>
      </c>
      <c r="J74" s="289">
        <f t="shared" si="15"/>
        <v>2.1000000000000001E-2</v>
      </c>
      <c r="K74" s="289">
        <f t="shared" si="15"/>
        <v>0.01</v>
      </c>
      <c r="L74" s="289">
        <f t="shared" si="15"/>
        <v>0</v>
      </c>
      <c r="M74" s="289">
        <f t="shared" si="15"/>
        <v>0.36199999999999999</v>
      </c>
      <c r="N74" s="61">
        <f t="shared" si="6"/>
        <v>1</v>
      </c>
      <c r="Q74" s="7">
        <f t="shared" si="13"/>
        <v>2012</v>
      </c>
      <c r="R74" s="72">
        <v>100</v>
      </c>
      <c r="S74" s="72">
        <v>5</v>
      </c>
      <c r="T74" s="7">
        <f t="shared" si="14"/>
        <v>500</v>
      </c>
      <c r="U74" s="172">
        <v>1</v>
      </c>
      <c r="V74" s="2">
        <f t="shared" si="11"/>
        <v>500</v>
      </c>
    </row>
    <row r="75" spans="2:22">
      <c r="B75" s="7">
        <f t="shared" si="12"/>
        <v>2013</v>
      </c>
      <c r="C75" s="72">
        <v>10</v>
      </c>
      <c r="D75" s="73">
        <f t="shared" si="3"/>
        <v>480</v>
      </c>
      <c r="E75" s="420">
        <f t="shared" si="4"/>
        <v>4800</v>
      </c>
      <c r="F75" s="418">
        <f t="shared" si="15"/>
        <v>0.23</v>
      </c>
      <c r="G75" s="289">
        <f t="shared" si="15"/>
        <v>0.40299999999999997</v>
      </c>
      <c r="H75" s="289">
        <f t="shared" si="15"/>
        <v>0</v>
      </c>
      <c r="I75" s="289">
        <f t="shared" si="15"/>
        <v>0.20399999999999999</v>
      </c>
      <c r="J75" s="289">
        <f t="shared" si="15"/>
        <v>2.1000000000000001E-2</v>
      </c>
      <c r="K75" s="289">
        <f t="shared" si="15"/>
        <v>0.01</v>
      </c>
      <c r="L75" s="289">
        <f t="shared" si="15"/>
        <v>0</v>
      </c>
      <c r="M75" s="289">
        <f t="shared" si="15"/>
        <v>0.36199999999999999</v>
      </c>
      <c r="N75" s="61">
        <f t="shared" si="6"/>
        <v>1</v>
      </c>
      <c r="Q75" s="7">
        <f t="shared" si="13"/>
        <v>2013</v>
      </c>
      <c r="R75" s="72">
        <v>100</v>
      </c>
      <c r="S75" s="72">
        <v>5</v>
      </c>
      <c r="T75" s="7">
        <f t="shared" si="14"/>
        <v>500</v>
      </c>
      <c r="U75" s="172">
        <v>1</v>
      </c>
      <c r="V75" s="2">
        <f t="shared" si="11"/>
        <v>500</v>
      </c>
    </row>
    <row r="76" spans="2:22">
      <c r="B76" s="7">
        <f t="shared" si="12"/>
        <v>2014</v>
      </c>
      <c r="C76" s="72">
        <v>10</v>
      </c>
      <c r="D76" s="73">
        <f t="shared" si="3"/>
        <v>480</v>
      </c>
      <c r="E76" s="420">
        <f t="shared" si="4"/>
        <v>4800</v>
      </c>
      <c r="F76" s="418">
        <f t="shared" si="15"/>
        <v>0.23</v>
      </c>
      <c r="G76" s="289">
        <f t="shared" si="15"/>
        <v>0.40299999999999997</v>
      </c>
      <c r="H76" s="289">
        <f t="shared" si="15"/>
        <v>0</v>
      </c>
      <c r="I76" s="289">
        <f t="shared" si="15"/>
        <v>0.20399999999999999</v>
      </c>
      <c r="J76" s="289">
        <f t="shared" si="15"/>
        <v>2.1000000000000001E-2</v>
      </c>
      <c r="K76" s="289">
        <f t="shared" si="15"/>
        <v>0.01</v>
      </c>
      <c r="L76" s="289">
        <f t="shared" si="15"/>
        <v>0</v>
      </c>
      <c r="M76" s="289">
        <f t="shared" si="15"/>
        <v>0.36199999999999999</v>
      </c>
      <c r="N76" s="61">
        <f t="shared" si="6"/>
        <v>1</v>
      </c>
      <c r="Q76" s="7">
        <f t="shared" si="13"/>
        <v>2014</v>
      </c>
      <c r="R76" s="72">
        <v>100</v>
      </c>
      <c r="S76" s="72">
        <v>5</v>
      </c>
      <c r="T76" s="7">
        <f t="shared" si="14"/>
        <v>500</v>
      </c>
      <c r="U76" s="172">
        <v>1</v>
      </c>
      <c r="V76" s="2">
        <f t="shared" ref="V76:V92" si="16">T76*U76</f>
        <v>500</v>
      </c>
    </row>
    <row r="77" spans="2:22">
      <c r="B77" s="7">
        <f t="shared" ref="B77:B92" si="17">B76+1</f>
        <v>2015</v>
      </c>
      <c r="C77" s="72">
        <v>10</v>
      </c>
      <c r="D77" s="73">
        <f t="shared" ref="D77:D92" si="18">D$8</f>
        <v>480</v>
      </c>
      <c r="E77" s="420">
        <f t="shared" ref="E77:E92" si="19">C77*D77</f>
        <v>4800</v>
      </c>
      <c r="F77" s="418">
        <f t="shared" si="15"/>
        <v>0.23</v>
      </c>
      <c r="G77" s="289">
        <f t="shared" si="15"/>
        <v>0.40299999999999997</v>
      </c>
      <c r="H77" s="289">
        <f t="shared" si="15"/>
        <v>0</v>
      </c>
      <c r="I77" s="289">
        <f t="shared" si="15"/>
        <v>0.20399999999999999</v>
      </c>
      <c r="J77" s="289">
        <f t="shared" si="15"/>
        <v>2.1000000000000001E-2</v>
      </c>
      <c r="K77" s="289">
        <f t="shared" si="15"/>
        <v>0.01</v>
      </c>
      <c r="L77" s="289">
        <f t="shared" si="15"/>
        <v>0</v>
      </c>
      <c r="M77" s="289">
        <f t="shared" si="15"/>
        <v>0.36199999999999999</v>
      </c>
      <c r="N77" s="61">
        <f t="shared" si="6"/>
        <v>1</v>
      </c>
      <c r="Q77" s="7">
        <f t="shared" ref="Q77:Q92" si="20">Q76+1</f>
        <v>2015</v>
      </c>
      <c r="R77" s="72">
        <v>100</v>
      </c>
      <c r="S77" s="72">
        <v>5</v>
      </c>
      <c r="T77" s="7">
        <f t="shared" si="14"/>
        <v>500</v>
      </c>
      <c r="U77" s="172">
        <v>1</v>
      </c>
      <c r="V77" s="2">
        <f t="shared" si="16"/>
        <v>500</v>
      </c>
    </row>
    <row r="78" spans="2:22">
      <c r="B78" s="7">
        <f t="shared" si="17"/>
        <v>2016</v>
      </c>
      <c r="C78" s="72">
        <v>10</v>
      </c>
      <c r="D78" s="73">
        <f t="shared" si="18"/>
        <v>480</v>
      </c>
      <c r="E78" s="420">
        <f t="shared" si="19"/>
        <v>4800</v>
      </c>
      <c r="F78" s="418">
        <f t="shared" si="15"/>
        <v>0.23</v>
      </c>
      <c r="G78" s="289">
        <f t="shared" si="15"/>
        <v>0.40299999999999997</v>
      </c>
      <c r="H78" s="289">
        <f t="shared" si="15"/>
        <v>0</v>
      </c>
      <c r="I78" s="289">
        <f t="shared" si="15"/>
        <v>0.20399999999999999</v>
      </c>
      <c r="J78" s="289">
        <f t="shared" si="15"/>
        <v>2.1000000000000001E-2</v>
      </c>
      <c r="K78" s="289">
        <f t="shared" si="15"/>
        <v>0.01</v>
      </c>
      <c r="L78" s="289">
        <f t="shared" si="15"/>
        <v>0</v>
      </c>
      <c r="M78" s="289">
        <f t="shared" si="15"/>
        <v>0.36199999999999999</v>
      </c>
      <c r="N78" s="61">
        <f t="shared" ref="N78:N92" si="21">SUM(G78:M78)</f>
        <v>1</v>
      </c>
      <c r="Q78" s="7">
        <f t="shared" si="20"/>
        <v>2016</v>
      </c>
      <c r="R78" s="72">
        <v>100</v>
      </c>
      <c r="S78" s="72">
        <v>5</v>
      </c>
      <c r="T78" s="7">
        <f t="shared" si="14"/>
        <v>500</v>
      </c>
      <c r="U78" s="172">
        <v>1</v>
      </c>
      <c r="V78" s="2">
        <f t="shared" si="16"/>
        <v>500</v>
      </c>
    </row>
    <row r="79" spans="2:22">
      <c r="B79" s="7">
        <f t="shared" si="17"/>
        <v>2017</v>
      </c>
      <c r="C79" s="72">
        <v>10</v>
      </c>
      <c r="D79" s="73">
        <f t="shared" si="18"/>
        <v>480</v>
      </c>
      <c r="E79" s="420">
        <f t="shared" si="19"/>
        <v>4800</v>
      </c>
      <c r="F79" s="418">
        <f t="shared" ref="F79:M92" si="22">F$8</f>
        <v>0.23</v>
      </c>
      <c r="G79" s="289">
        <f t="shared" si="22"/>
        <v>0.40299999999999997</v>
      </c>
      <c r="H79" s="289">
        <f t="shared" si="22"/>
        <v>0</v>
      </c>
      <c r="I79" s="289">
        <f t="shared" si="22"/>
        <v>0.20399999999999999</v>
      </c>
      <c r="J79" s="289">
        <f t="shared" si="22"/>
        <v>2.1000000000000001E-2</v>
      </c>
      <c r="K79" s="289">
        <f t="shared" si="22"/>
        <v>0.01</v>
      </c>
      <c r="L79" s="289">
        <f t="shared" si="22"/>
        <v>0</v>
      </c>
      <c r="M79" s="289">
        <f t="shared" si="22"/>
        <v>0.36199999999999999</v>
      </c>
      <c r="N79" s="61">
        <f t="shared" si="21"/>
        <v>1</v>
      </c>
      <c r="Q79" s="7">
        <f t="shared" si="20"/>
        <v>2017</v>
      </c>
      <c r="R79" s="72">
        <v>100</v>
      </c>
      <c r="S79" s="72">
        <v>5</v>
      </c>
      <c r="T79" s="7">
        <f t="shared" si="14"/>
        <v>500</v>
      </c>
      <c r="U79" s="172">
        <v>1</v>
      </c>
      <c r="V79" s="2">
        <f t="shared" si="16"/>
        <v>500</v>
      </c>
    </row>
    <row r="80" spans="2:22">
      <c r="B80" s="7">
        <f t="shared" si="17"/>
        <v>2018</v>
      </c>
      <c r="C80" s="72">
        <v>10</v>
      </c>
      <c r="D80" s="73">
        <f t="shared" si="18"/>
        <v>480</v>
      </c>
      <c r="E80" s="420">
        <f t="shared" si="19"/>
        <v>4800</v>
      </c>
      <c r="F80" s="418">
        <f t="shared" si="22"/>
        <v>0.23</v>
      </c>
      <c r="G80" s="289">
        <f t="shared" si="22"/>
        <v>0.40299999999999997</v>
      </c>
      <c r="H80" s="289">
        <f t="shared" si="22"/>
        <v>0</v>
      </c>
      <c r="I80" s="289">
        <f t="shared" si="22"/>
        <v>0.20399999999999999</v>
      </c>
      <c r="J80" s="289">
        <f t="shared" si="22"/>
        <v>2.1000000000000001E-2</v>
      </c>
      <c r="K80" s="289">
        <f t="shared" si="22"/>
        <v>0.01</v>
      </c>
      <c r="L80" s="289">
        <f t="shared" si="22"/>
        <v>0</v>
      </c>
      <c r="M80" s="289">
        <f t="shared" si="22"/>
        <v>0.36199999999999999</v>
      </c>
      <c r="N80" s="61">
        <f t="shared" si="21"/>
        <v>1</v>
      </c>
      <c r="Q80" s="7">
        <f t="shared" si="20"/>
        <v>2018</v>
      </c>
      <c r="R80" s="72">
        <v>100</v>
      </c>
      <c r="S80" s="72">
        <v>5</v>
      </c>
      <c r="T80" s="7">
        <f t="shared" si="14"/>
        <v>500</v>
      </c>
      <c r="U80" s="172">
        <v>1</v>
      </c>
      <c r="V80" s="2">
        <f t="shared" si="16"/>
        <v>500</v>
      </c>
    </row>
    <row r="81" spans="2:22">
      <c r="B81" s="7">
        <f t="shared" si="17"/>
        <v>2019</v>
      </c>
      <c r="C81" s="72">
        <v>10</v>
      </c>
      <c r="D81" s="73">
        <f t="shared" si="18"/>
        <v>480</v>
      </c>
      <c r="E81" s="420">
        <f t="shared" si="19"/>
        <v>4800</v>
      </c>
      <c r="F81" s="418">
        <f t="shared" si="22"/>
        <v>0.23</v>
      </c>
      <c r="G81" s="289">
        <f t="shared" si="22"/>
        <v>0.40299999999999997</v>
      </c>
      <c r="H81" s="289">
        <f t="shared" si="22"/>
        <v>0</v>
      </c>
      <c r="I81" s="289">
        <f t="shared" si="22"/>
        <v>0.20399999999999999</v>
      </c>
      <c r="J81" s="289">
        <f t="shared" si="22"/>
        <v>2.1000000000000001E-2</v>
      </c>
      <c r="K81" s="289">
        <f t="shared" si="22"/>
        <v>0.01</v>
      </c>
      <c r="L81" s="289">
        <f t="shared" si="22"/>
        <v>0</v>
      </c>
      <c r="M81" s="289">
        <f t="shared" si="22"/>
        <v>0.36199999999999999</v>
      </c>
      <c r="N81" s="61">
        <f t="shared" si="21"/>
        <v>1</v>
      </c>
      <c r="Q81" s="7">
        <f t="shared" si="20"/>
        <v>2019</v>
      </c>
      <c r="R81" s="72">
        <v>100</v>
      </c>
      <c r="S81" s="72">
        <v>5</v>
      </c>
      <c r="T81" s="7">
        <f t="shared" ref="T81:T92" si="23">R81*S81</f>
        <v>500</v>
      </c>
      <c r="U81" s="172">
        <v>1</v>
      </c>
      <c r="V81" s="2">
        <f t="shared" si="16"/>
        <v>500</v>
      </c>
    </row>
    <row r="82" spans="2:22">
      <c r="B82" s="7">
        <f t="shared" si="17"/>
        <v>2020</v>
      </c>
      <c r="C82" s="72">
        <v>10</v>
      </c>
      <c r="D82" s="73">
        <f t="shared" si="18"/>
        <v>480</v>
      </c>
      <c r="E82" s="420">
        <f t="shared" si="19"/>
        <v>4800</v>
      </c>
      <c r="F82" s="418">
        <f t="shared" si="22"/>
        <v>0.23</v>
      </c>
      <c r="G82" s="289">
        <f t="shared" si="22"/>
        <v>0.40299999999999997</v>
      </c>
      <c r="H82" s="289">
        <f t="shared" si="22"/>
        <v>0</v>
      </c>
      <c r="I82" s="289">
        <f t="shared" si="22"/>
        <v>0.20399999999999999</v>
      </c>
      <c r="J82" s="289">
        <f t="shared" si="22"/>
        <v>2.1000000000000001E-2</v>
      </c>
      <c r="K82" s="289">
        <f t="shared" si="22"/>
        <v>0.01</v>
      </c>
      <c r="L82" s="289">
        <f t="shared" si="22"/>
        <v>0</v>
      </c>
      <c r="M82" s="289">
        <f t="shared" si="22"/>
        <v>0.36199999999999999</v>
      </c>
      <c r="N82" s="61">
        <f t="shared" si="21"/>
        <v>1</v>
      </c>
      <c r="Q82" s="7">
        <f t="shared" si="20"/>
        <v>2020</v>
      </c>
      <c r="R82" s="72">
        <v>100</v>
      </c>
      <c r="S82" s="72">
        <v>5</v>
      </c>
      <c r="T82" s="7">
        <f t="shared" si="23"/>
        <v>500</v>
      </c>
      <c r="U82" s="172">
        <v>1</v>
      </c>
      <c r="V82" s="2">
        <f t="shared" si="16"/>
        <v>500</v>
      </c>
    </row>
    <row r="83" spans="2:22">
      <c r="B83" s="7">
        <f t="shared" si="17"/>
        <v>2021</v>
      </c>
      <c r="C83" s="72">
        <v>10</v>
      </c>
      <c r="D83" s="73">
        <f t="shared" si="18"/>
        <v>480</v>
      </c>
      <c r="E83" s="420">
        <f t="shared" si="19"/>
        <v>4800</v>
      </c>
      <c r="F83" s="418">
        <f t="shared" si="22"/>
        <v>0.23</v>
      </c>
      <c r="G83" s="289">
        <f t="shared" si="22"/>
        <v>0.40299999999999997</v>
      </c>
      <c r="H83" s="289">
        <f t="shared" si="22"/>
        <v>0</v>
      </c>
      <c r="I83" s="289">
        <f t="shared" si="22"/>
        <v>0.20399999999999999</v>
      </c>
      <c r="J83" s="289">
        <f t="shared" si="22"/>
        <v>2.1000000000000001E-2</v>
      </c>
      <c r="K83" s="289">
        <f t="shared" si="22"/>
        <v>0.01</v>
      </c>
      <c r="L83" s="289">
        <f t="shared" si="22"/>
        <v>0</v>
      </c>
      <c r="M83" s="289">
        <f t="shared" si="22"/>
        <v>0.36199999999999999</v>
      </c>
      <c r="N83" s="61">
        <f t="shared" si="21"/>
        <v>1</v>
      </c>
      <c r="Q83" s="7">
        <f t="shared" si="20"/>
        <v>2021</v>
      </c>
      <c r="R83" s="72">
        <v>100</v>
      </c>
      <c r="S83" s="72">
        <v>5</v>
      </c>
      <c r="T83" s="7">
        <f t="shared" si="23"/>
        <v>500</v>
      </c>
      <c r="U83" s="172">
        <v>1</v>
      </c>
      <c r="V83" s="2">
        <f t="shared" si="16"/>
        <v>500</v>
      </c>
    </row>
    <row r="84" spans="2:22">
      <c r="B84" s="7">
        <f t="shared" si="17"/>
        <v>2022</v>
      </c>
      <c r="C84" s="72">
        <v>10</v>
      </c>
      <c r="D84" s="73">
        <f t="shared" si="18"/>
        <v>480</v>
      </c>
      <c r="E84" s="420">
        <f t="shared" si="19"/>
        <v>4800</v>
      </c>
      <c r="F84" s="418">
        <f t="shared" si="22"/>
        <v>0.23</v>
      </c>
      <c r="G84" s="289">
        <f t="shared" si="22"/>
        <v>0.40299999999999997</v>
      </c>
      <c r="H84" s="289">
        <f t="shared" si="22"/>
        <v>0</v>
      </c>
      <c r="I84" s="289">
        <f t="shared" si="22"/>
        <v>0.20399999999999999</v>
      </c>
      <c r="J84" s="289">
        <f t="shared" si="22"/>
        <v>2.1000000000000001E-2</v>
      </c>
      <c r="K84" s="289">
        <f t="shared" si="22"/>
        <v>0.01</v>
      </c>
      <c r="L84" s="289">
        <f t="shared" si="22"/>
        <v>0</v>
      </c>
      <c r="M84" s="289">
        <f t="shared" si="22"/>
        <v>0.36199999999999999</v>
      </c>
      <c r="N84" s="61">
        <f t="shared" si="21"/>
        <v>1</v>
      </c>
      <c r="Q84" s="7">
        <f t="shared" si="20"/>
        <v>2022</v>
      </c>
      <c r="R84" s="72">
        <v>100</v>
      </c>
      <c r="S84" s="72">
        <v>5</v>
      </c>
      <c r="T84" s="7">
        <f t="shared" si="23"/>
        <v>500</v>
      </c>
      <c r="U84" s="172">
        <v>1</v>
      </c>
      <c r="V84" s="2">
        <f t="shared" si="16"/>
        <v>500</v>
      </c>
    </row>
    <row r="85" spans="2:22">
      <c r="B85" s="7">
        <f t="shared" si="17"/>
        <v>2023</v>
      </c>
      <c r="C85" s="72">
        <v>10</v>
      </c>
      <c r="D85" s="73">
        <f t="shared" si="18"/>
        <v>480</v>
      </c>
      <c r="E85" s="420">
        <f t="shared" si="19"/>
        <v>4800</v>
      </c>
      <c r="F85" s="418">
        <f t="shared" si="22"/>
        <v>0.23</v>
      </c>
      <c r="G85" s="289">
        <f t="shared" si="22"/>
        <v>0.40299999999999997</v>
      </c>
      <c r="H85" s="289">
        <f t="shared" si="22"/>
        <v>0</v>
      </c>
      <c r="I85" s="289">
        <f t="shared" si="22"/>
        <v>0.20399999999999999</v>
      </c>
      <c r="J85" s="289">
        <f t="shared" si="22"/>
        <v>2.1000000000000001E-2</v>
      </c>
      <c r="K85" s="289">
        <f t="shared" si="22"/>
        <v>0.01</v>
      </c>
      <c r="L85" s="289">
        <f t="shared" si="22"/>
        <v>0</v>
      </c>
      <c r="M85" s="289">
        <f t="shared" si="22"/>
        <v>0.36199999999999999</v>
      </c>
      <c r="N85" s="61">
        <f t="shared" si="21"/>
        <v>1</v>
      </c>
      <c r="Q85" s="7">
        <f t="shared" si="20"/>
        <v>2023</v>
      </c>
      <c r="R85" s="72">
        <v>100</v>
      </c>
      <c r="S85" s="72">
        <v>5</v>
      </c>
      <c r="T85" s="7">
        <f t="shared" si="23"/>
        <v>500</v>
      </c>
      <c r="U85" s="172">
        <v>1</v>
      </c>
      <c r="V85" s="2">
        <f t="shared" si="16"/>
        <v>500</v>
      </c>
    </row>
    <row r="86" spans="2:22">
      <c r="B86" s="7">
        <f t="shared" si="17"/>
        <v>2024</v>
      </c>
      <c r="C86" s="72">
        <v>10</v>
      </c>
      <c r="D86" s="73">
        <f t="shared" si="18"/>
        <v>480</v>
      </c>
      <c r="E86" s="420">
        <f t="shared" si="19"/>
        <v>4800</v>
      </c>
      <c r="F86" s="418">
        <f t="shared" si="22"/>
        <v>0.23</v>
      </c>
      <c r="G86" s="289">
        <f t="shared" si="22"/>
        <v>0.40299999999999997</v>
      </c>
      <c r="H86" s="289">
        <f t="shared" si="22"/>
        <v>0</v>
      </c>
      <c r="I86" s="289">
        <f t="shared" si="22"/>
        <v>0.20399999999999999</v>
      </c>
      <c r="J86" s="289">
        <f t="shared" si="22"/>
        <v>2.1000000000000001E-2</v>
      </c>
      <c r="K86" s="289">
        <f t="shared" si="22"/>
        <v>0.01</v>
      </c>
      <c r="L86" s="289">
        <f t="shared" si="22"/>
        <v>0</v>
      </c>
      <c r="M86" s="289">
        <f t="shared" si="22"/>
        <v>0.36199999999999999</v>
      </c>
      <c r="N86" s="61">
        <f t="shared" si="21"/>
        <v>1</v>
      </c>
      <c r="Q86" s="7">
        <f t="shared" si="20"/>
        <v>2024</v>
      </c>
      <c r="R86" s="72">
        <v>100</v>
      </c>
      <c r="S86" s="72">
        <v>5</v>
      </c>
      <c r="T86" s="7">
        <f t="shared" si="23"/>
        <v>500</v>
      </c>
      <c r="U86" s="172">
        <v>1</v>
      </c>
      <c r="V86" s="2">
        <f t="shared" si="16"/>
        <v>500</v>
      </c>
    </row>
    <row r="87" spans="2:22">
      <c r="B87" s="7">
        <f t="shared" si="17"/>
        <v>2025</v>
      </c>
      <c r="C87" s="72">
        <v>10</v>
      </c>
      <c r="D87" s="73">
        <f t="shared" si="18"/>
        <v>480</v>
      </c>
      <c r="E87" s="420">
        <f t="shared" si="19"/>
        <v>4800</v>
      </c>
      <c r="F87" s="418">
        <f t="shared" si="22"/>
        <v>0.23</v>
      </c>
      <c r="G87" s="289">
        <f t="shared" si="22"/>
        <v>0.40299999999999997</v>
      </c>
      <c r="H87" s="289">
        <f t="shared" si="22"/>
        <v>0</v>
      </c>
      <c r="I87" s="289">
        <f t="shared" si="22"/>
        <v>0.20399999999999999</v>
      </c>
      <c r="J87" s="289">
        <f t="shared" si="22"/>
        <v>2.1000000000000001E-2</v>
      </c>
      <c r="K87" s="289">
        <f t="shared" si="22"/>
        <v>0.01</v>
      </c>
      <c r="L87" s="289">
        <f t="shared" si="22"/>
        <v>0</v>
      </c>
      <c r="M87" s="289">
        <f t="shared" si="22"/>
        <v>0.36199999999999999</v>
      </c>
      <c r="N87" s="61">
        <f t="shared" si="21"/>
        <v>1</v>
      </c>
      <c r="Q87" s="7">
        <f t="shared" si="20"/>
        <v>2025</v>
      </c>
      <c r="R87" s="72">
        <v>100</v>
      </c>
      <c r="S87" s="72">
        <v>5</v>
      </c>
      <c r="T87" s="7">
        <f t="shared" si="23"/>
        <v>500</v>
      </c>
      <c r="U87" s="172">
        <v>1</v>
      </c>
      <c r="V87" s="2">
        <f t="shared" si="16"/>
        <v>500</v>
      </c>
    </row>
    <row r="88" spans="2:22">
      <c r="B88" s="7">
        <f t="shared" si="17"/>
        <v>2026</v>
      </c>
      <c r="C88" s="72">
        <v>10</v>
      </c>
      <c r="D88" s="73">
        <f t="shared" si="18"/>
        <v>480</v>
      </c>
      <c r="E88" s="420">
        <f t="shared" si="19"/>
        <v>4800</v>
      </c>
      <c r="F88" s="418">
        <f t="shared" si="22"/>
        <v>0.23</v>
      </c>
      <c r="G88" s="289">
        <f t="shared" si="22"/>
        <v>0.40299999999999997</v>
      </c>
      <c r="H88" s="289">
        <f t="shared" si="22"/>
        <v>0</v>
      </c>
      <c r="I88" s="289">
        <f t="shared" si="22"/>
        <v>0.20399999999999999</v>
      </c>
      <c r="J88" s="289">
        <f t="shared" si="22"/>
        <v>2.1000000000000001E-2</v>
      </c>
      <c r="K88" s="289">
        <f t="shared" si="22"/>
        <v>0.01</v>
      </c>
      <c r="L88" s="289">
        <f t="shared" si="22"/>
        <v>0</v>
      </c>
      <c r="M88" s="289">
        <f t="shared" si="22"/>
        <v>0.36199999999999999</v>
      </c>
      <c r="N88" s="61">
        <f t="shared" si="21"/>
        <v>1</v>
      </c>
      <c r="Q88" s="7">
        <f t="shared" si="20"/>
        <v>2026</v>
      </c>
      <c r="R88" s="72">
        <v>100</v>
      </c>
      <c r="S88" s="72">
        <v>5</v>
      </c>
      <c r="T88" s="7">
        <f t="shared" si="23"/>
        <v>500</v>
      </c>
      <c r="U88" s="172">
        <v>1</v>
      </c>
      <c r="V88" s="2">
        <f t="shared" si="16"/>
        <v>500</v>
      </c>
    </row>
    <row r="89" spans="2:22">
      <c r="B89" s="7">
        <f t="shared" si="17"/>
        <v>2027</v>
      </c>
      <c r="C89" s="72">
        <v>10</v>
      </c>
      <c r="D89" s="73">
        <f t="shared" si="18"/>
        <v>480</v>
      </c>
      <c r="E89" s="420">
        <f t="shared" si="19"/>
        <v>4800</v>
      </c>
      <c r="F89" s="418">
        <f t="shared" si="22"/>
        <v>0.23</v>
      </c>
      <c r="G89" s="289">
        <f t="shared" si="22"/>
        <v>0.40299999999999997</v>
      </c>
      <c r="H89" s="289">
        <f t="shared" si="22"/>
        <v>0</v>
      </c>
      <c r="I89" s="289">
        <f t="shared" si="22"/>
        <v>0.20399999999999999</v>
      </c>
      <c r="J89" s="289">
        <f t="shared" si="22"/>
        <v>2.1000000000000001E-2</v>
      </c>
      <c r="K89" s="289">
        <f t="shared" si="22"/>
        <v>0.01</v>
      </c>
      <c r="L89" s="289">
        <f t="shared" si="22"/>
        <v>0</v>
      </c>
      <c r="M89" s="289">
        <f t="shared" si="22"/>
        <v>0.36199999999999999</v>
      </c>
      <c r="N89" s="61">
        <f t="shared" si="21"/>
        <v>1</v>
      </c>
      <c r="Q89" s="7">
        <f t="shared" si="20"/>
        <v>2027</v>
      </c>
      <c r="R89" s="72">
        <v>100</v>
      </c>
      <c r="S89" s="72">
        <v>5</v>
      </c>
      <c r="T89" s="7">
        <f t="shared" si="23"/>
        <v>500</v>
      </c>
      <c r="U89" s="172">
        <v>1</v>
      </c>
      <c r="V89" s="2">
        <f t="shared" si="16"/>
        <v>500</v>
      </c>
    </row>
    <row r="90" spans="2:22">
      <c r="B90" s="7">
        <f t="shared" si="17"/>
        <v>2028</v>
      </c>
      <c r="C90" s="72">
        <v>10</v>
      </c>
      <c r="D90" s="73">
        <f t="shared" si="18"/>
        <v>480</v>
      </c>
      <c r="E90" s="420">
        <f t="shared" si="19"/>
        <v>4800</v>
      </c>
      <c r="F90" s="418">
        <f t="shared" si="22"/>
        <v>0.23</v>
      </c>
      <c r="G90" s="289">
        <f t="shared" si="22"/>
        <v>0.40299999999999997</v>
      </c>
      <c r="H90" s="289">
        <f t="shared" si="22"/>
        <v>0</v>
      </c>
      <c r="I90" s="289">
        <f t="shared" si="22"/>
        <v>0.20399999999999999</v>
      </c>
      <c r="J90" s="289">
        <f t="shared" si="22"/>
        <v>2.1000000000000001E-2</v>
      </c>
      <c r="K90" s="289">
        <f t="shared" si="22"/>
        <v>0.01</v>
      </c>
      <c r="L90" s="289">
        <f t="shared" si="22"/>
        <v>0</v>
      </c>
      <c r="M90" s="289">
        <f t="shared" si="22"/>
        <v>0.36199999999999999</v>
      </c>
      <c r="N90" s="61">
        <f t="shared" si="21"/>
        <v>1</v>
      </c>
      <c r="Q90" s="7">
        <f t="shared" si="20"/>
        <v>2028</v>
      </c>
      <c r="R90" s="72">
        <v>100</v>
      </c>
      <c r="S90" s="72">
        <v>5</v>
      </c>
      <c r="T90" s="7">
        <f t="shared" si="23"/>
        <v>500</v>
      </c>
      <c r="U90" s="172">
        <v>1</v>
      </c>
      <c r="V90" s="2">
        <f t="shared" si="16"/>
        <v>500</v>
      </c>
    </row>
    <row r="91" spans="2:22">
      <c r="B91" s="7">
        <f t="shared" si="17"/>
        <v>2029</v>
      </c>
      <c r="C91" s="72">
        <v>10</v>
      </c>
      <c r="D91" s="73">
        <f t="shared" si="18"/>
        <v>480</v>
      </c>
      <c r="E91" s="420">
        <f t="shared" si="19"/>
        <v>4800</v>
      </c>
      <c r="F91" s="418">
        <f t="shared" si="22"/>
        <v>0.23</v>
      </c>
      <c r="G91" s="289">
        <f t="shared" si="22"/>
        <v>0.40299999999999997</v>
      </c>
      <c r="H91" s="289">
        <f t="shared" si="22"/>
        <v>0</v>
      </c>
      <c r="I91" s="289">
        <f t="shared" si="22"/>
        <v>0.20399999999999999</v>
      </c>
      <c r="J91" s="289">
        <f t="shared" si="22"/>
        <v>2.1000000000000001E-2</v>
      </c>
      <c r="K91" s="289">
        <f t="shared" si="22"/>
        <v>0.01</v>
      </c>
      <c r="L91" s="289">
        <f t="shared" si="22"/>
        <v>0</v>
      </c>
      <c r="M91" s="289">
        <f t="shared" si="22"/>
        <v>0.36199999999999999</v>
      </c>
      <c r="N91" s="61">
        <f t="shared" si="21"/>
        <v>1</v>
      </c>
      <c r="Q91" s="7">
        <f t="shared" si="20"/>
        <v>2029</v>
      </c>
      <c r="R91" s="72">
        <v>100</v>
      </c>
      <c r="S91" s="72">
        <v>5</v>
      </c>
      <c r="T91" s="7">
        <f t="shared" si="23"/>
        <v>500</v>
      </c>
      <c r="U91" s="172">
        <v>1</v>
      </c>
      <c r="V91" s="2">
        <f t="shared" si="16"/>
        <v>500</v>
      </c>
    </row>
    <row r="92" spans="2:22" ht="13.8" thickBot="1">
      <c r="B92" s="20">
        <f t="shared" si="17"/>
        <v>2030</v>
      </c>
      <c r="C92" s="74">
        <v>10</v>
      </c>
      <c r="D92" s="73">
        <f t="shared" si="18"/>
        <v>480</v>
      </c>
      <c r="E92" s="421">
        <f t="shared" si="19"/>
        <v>4800</v>
      </c>
      <c r="F92" s="418">
        <f t="shared" si="22"/>
        <v>0.23</v>
      </c>
      <c r="G92" s="289">
        <f t="shared" si="22"/>
        <v>0.40299999999999997</v>
      </c>
      <c r="H92" s="289">
        <f t="shared" si="22"/>
        <v>0</v>
      </c>
      <c r="I92" s="289">
        <f t="shared" si="22"/>
        <v>0.20399999999999999</v>
      </c>
      <c r="J92" s="289">
        <f t="shared" si="22"/>
        <v>2.1000000000000001E-2</v>
      </c>
      <c r="K92" s="289">
        <f t="shared" si="22"/>
        <v>0.01</v>
      </c>
      <c r="L92" s="289">
        <f t="shared" si="22"/>
        <v>0</v>
      </c>
      <c r="M92" s="289">
        <f t="shared" si="22"/>
        <v>0.36199999999999999</v>
      </c>
      <c r="N92" s="62">
        <f t="shared" si="21"/>
        <v>1</v>
      </c>
      <c r="Q92" s="20">
        <f t="shared" si="20"/>
        <v>2030</v>
      </c>
      <c r="R92" s="74">
        <v>100</v>
      </c>
      <c r="S92" s="74">
        <v>5</v>
      </c>
      <c r="T92" s="20">
        <f t="shared" si="23"/>
        <v>500</v>
      </c>
      <c r="U92" s="173">
        <v>1</v>
      </c>
      <c r="V92" s="39">
        <f t="shared" si="16"/>
        <v>500</v>
      </c>
    </row>
  </sheetData>
  <sheetProtection password="CF65" sheet="1" objects="1" scenarios="1"/>
  <customSheetViews>
    <customSheetView guid="{B400968E-E9A7-41C3-9739-36597C9C6BC6}" showGridLines="0" showRuler="0">
      <pane xSplit="2" ySplit="10" topLeftCell="C11" activePane="bottomRight" state="frozen"/>
      <selection pane="bottomRight" activeCell="E18" sqref="E18"/>
      <pageMargins left="0.75" right="0.75" top="1" bottom="1" header="0.5" footer="0.5"/>
      <pageSetup paperSize="9" orientation="portrait"/>
      <headerFooter alignWithMargins="0"/>
    </customSheetView>
  </customSheetViews>
  <mergeCells count="1">
    <mergeCell ref="G9:M9"/>
  </mergeCells>
  <phoneticPr fontId="17" type="noConversion"/>
  <dataValidations count="1">
    <dataValidation type="decimal" showInputMessage="1" showErrorMessage="1" error="Please enter a number between 1% and 100%" sqref="U12:U92" xr:uid="{00000000-0002-0000-0300-000000000000}">
      <formula1>0</formula1>
      <formula2>1</formula2>
    </dataValidation>
  </dataValidations>
  <pageMargins left="0.75" right="0.75" top="1" bottom="1" header="0.5" footer="0.5"/>
  <pageSetup paperSize="9" orientation="portrait"/>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indexed="43"/>
  </sheetPr>
  <dimension ref="B1:M91"/>
  <sheetViews>
    <sheetView showGridLines="0" workbookViewId="0">
      <pane xSplit="2" ySplit="10" topLeftCell="C11" activePane="bottomRight" state="frozen"/>
      <selection activeCell="E19" sqref="E19"/>
      <selection pane="topRight" activeCell="E19" sqref="E19"/>
      <selection pane="bottomLeft" activeCell="E19" sqref="E19"/>
      <selection pane="bottomRight" activeCell="C11" sqref="C11"/>
    </sheetView>
  </sheetViews>
  <sheetFormatPr defaultColWidth="11.44140625" defaultRowHeight="13.2"/>
  <cols>
    <col min="1" max="1" width="3.44140625" customWidth="1"/>
    <col min="2" max="2" width="5.44140625" customWidth="1"/>
    <col min="3" max="9" width="10.109375" customWidth="1"/>
    <col min="10" max="10" width="11.44140625" customWidth="1"/>
    <col min="11" max="12" width="10.109375" customWidth="1"/>
  </cols>
  <sheetData>
    <row r="1" spans="2:13" ht="13.8" thickBot="1"/>
    <row r="2" spans="2:13" ht="16.2" thickBot="1">
      <c r="C2" s="4" t="s">
        <v>198</v>
      </c>
      <c r="D2" s="4"/>
      <c r="F2" s="5" t="s">
        <v>33</v>
      </c>
      <c r="G2" s="683">
        <f>country</f>
        <v>0</v>
      </c>
      <c r="H2" s="684"/>
      <c r="I2" s="684"/>
      <c r="J2" s="684"/>
      <c r="K2" s="684"/>
      <c r="L2" s="685"/>
    </row>
    <row r="3" spans="2:13">
      <c r="C3" s="5"/>
      <c r="D3" s="5"/>
      <c r="E3" s="13"/>
    </row>
    <row r="4" spans="2:13" s="174" customFormat="1">
      <c r="C4" s="13" t="s">
        <v>121</v>
      </c>
      <c r="D4" s="13"/>
      <c r="E4" s="13"/>
    </row>
    <row r="5" spans="2:13" s="174" customFormat="1">
      <c r="C5" s="13" t="s">
        <v>116</v>
      </c>
      <c r="D5" s="13"/>
      <c r="E5" s="13"/>
    </row>
    <row r="7" spans="2:13" ht="13.8" thickBot="1"/>
    <row r="8" spans="2:13" ht="13.8" thickBot="1">
      <c r="C8" s="670" t="s">
        <v>35</v>
      </c>
      <c r="D8" s="671"/>
      <c r="E8" s="671"/>
      <c r="F8" s="671"/>
      <c r="G8" s="671"/>
      <c r="H8" s="671"/>
      <c r="I8" s="671"/>
      <c r="J8" s="671"/>
      <c r="K8" s="671"/>
      <c r="L8" s="672"/>
    </row>
    <row r="9" spans="2:13" s="1" customFormat="1" ht="26.4">
      <c r="B9" s="52" t="s">
        <v>1</v>
      </c>
      <c r="C9" s="158" t="s">
        <v>13</v>
      </c>
      <c r="D9" s="54" t="s">
        <v>54</v>
      </c>
      <c r="E9" s="51" t="s">
        <v>2</v>
      </c>
      <c r="F9" s="51" t="s">
        <v>3</v>
      </c>
      <c r="G9" s="51" t="s">
        <v>4</v>
      </c>
      <c r="H9" s="51" t="s">
        <v>175</v>
      </c>
      <c r="I9" s="51" t="s">
        <v>176</v>
      </c>
      <c r="J9" s="51" t="s">
        <v>265</v>
      </c>
      <c r="K9" s="59" t="s">
        <v>50</v>
      </c>
      <c r="L9" s="159" t="s">
        <v>22</v>
      </c>
    </row>
    <row r="10" spans="2:13" s="3" customFormat="1" ht="13.8" thickBot="1">
      <c r="B10" s="53"/>
      <c r="C10" s="16" t="s">
        <v>17</v>
      </c>
      <c r="D10" s="50" t="s">
        <v>17</v>
      </c>
      <c r="E10" s="17" t="s">
        <v>17</v>
      </c>
      <c r="F10" s="17" t="s">
        <v>17</v>
      </c>
      <c r="G10" s="17" t="s">
        <v>17</v>
      </c>
      <c r="H10" s="17" t="s">
        <v>17</v>
      </c>
      <c r="I10" s="17" t="s">
        <v>17</v>
      </c>
      <c r="J10" s="17" t="s">
        <v>17</v>
      </c>
      <c r="K10" s="17" t="s">
        <v>17</v>
      </c>
      <c r="L10" s="18" t="s">
        <v>17</v>
      </c>
    </row>
    <row r="11" spans="2:13">
      <c r="B11" s="166">
        <f>year</f>
        <v>1950</v>
      </c>
      <c r="C11" s="503">
        <f>Activity!$E12*Activity!$F12*Activity!G12</f>
        <v>444.91199999999998</v>
      </c>
      <c r="D11" s="504">
        <f>Activity!$E12*Activity!$F12*Activity!H12</f>
        <v>0</v>
      </c>
      <c r="E11" s="504">
        <f>Activity!$E12*Activity!$F12*Activity!I12</f>
        <v>225.21599999999998</v>
      </c>
      <c r="F11" s="504">
        <f>Activity!$E12*Activity!$F12*Activity!J12</f>
        <v>23.184000000000001</v>
      </c>
      <c r="G11" s="504">
        <f>Activity!$E12*Activity!$F12*Activity!K12</f>
        <v>11.040000000000001</v>
      </c>
      <c r="H11" s="504">
        <f>Activity!$E12*Activity!$F12*Activity!L12</f>
        <v>0</v>
      </c>
      <c r="I11" s="504">
        <v>0</v>
      </c>
      <c r="J11" s="505">
        <f>Activity!E12*Activity!F12</f>
        <v>1104</v>
      </c>
      <c r="K11" s="504">
        <f>Activity!$E12*Activity!$F12*Activity!M12</f>
        <v>399.64799999999997</v>
      </c>
      <c r="L11" s="506">
        <f>Activity!V12</f>
        <v>500</v>
      </c>
      <c r="M11" s="350"/>
    </row>
    <row r="12" spans="2:13">
      <c r="B12" s="24">
        <f>B11+1</f>
        <v>1951</v>
      </c>
      <c r="C12" s="507">
        <f>Activity!$E13*Activity!$F13*Activity!G13</f>
        <v>444.91199999999998</v>
      </c>
      <c r="D12" s="508">
        <f>Activity!$E13*Activity!$F13*Activity!H13</f>
        <v>0</v>
      </c>
      <c r="E12" s="508">
        <f>Activity!$E13*Activity!$F13*Activity!I13</f>
        <v>225.21599999999998</v>
      </c>
      <c r="F12" s="508">
        <f>Activity!$E13*Activity!$F13*Activity!J13</f>
        <v>23.184000000000001</v>
      </c>
      <c r="G12" s="508">
        <f>Activity!$E13*Activity!$F13*Activity!K13</f>
        <v>11.040000000000001</v>
      </c>
      <c r="H12" s="509">
        <f>Activity!$E13*Activity!$F13*Activity!L13</f>
        <v>0</v>
      </c>
      <c r="I12" s="509">
        <v>0</v>
      </c>
      <c r="J12" s="508">
        <f>Activity!E13*Activity!F13</f>
        <v>1104</v>
      </c>
      <c r="K12" s="508">
        <f>Activity!$E13*Activity!$F13*Activity!M13</f>
        <v>399.64799999999997</v>
      </c>
      <c r="L12" s="510">
        <f>Activity!V13</f>
        <v>500</v>
      </c>
    </row>
    <row r="13" spans="2:13">
      <c r="B13" s="7">
        <f t="shared" ref="B13:B18" si="0">B12+1</f>
        <v>1952</v>
      </c>
      <c r="C13" s="507">
        <f>Activity!$E14*Activity!$F14*Activity!G14</f>
        <v>444.91199999999998</v>
      </c>
      <c r="D13" s="508">
        <f>Activity!$E14*Activity!$F14*Activity!H14</f>
        <v>0</v>
      </c>
      <c r="E13" s="508">
        <f>Activity!$E14*Activity!$F14*Activity!I14</f>
        <v>225.21599999999998</v>
      </c>
      <c r="F13" s="508">
        <f>Activity!$E14*Activity!$F14*Activity!J14</f>
        <v>23.184000000000001</v>
      </c>
      <c r="G13" s="508">
        <f>Activity!$E14*Activity!$F14*Activity!K14</f>
        <v>11.040000000000001</v>
      </c>
      <c r="H13" s="509">
        <f>Activity!$E14*Activity!$F14*Activity!L14</f>
        <v>0</v>
      </c>
      <c r="I13" s="509">
        <v>0</v>
      </c>
      <c r="J13" s="508">
        <f>Activity!E14*Activity!F14</f>
        <v>1104</v>
      </c>
      <c r="K13" s="508">
        <f>Activity!$E14*Activity!$F14*Activity!M14</f>
        <v>399.64799999999997</v>
      </c>
      <c r="L13" s="510">
        <f>Activity!V14</f>
        <v>500</v>
      </c>
    </row>
    <row r="14" spans="2:13">
      <c r="B14" s="7">
        <f t="shared" si="0"/>
        <v>1953</v>
      </c>
      <c r="C14" s="507">
        <f>Activity!$E15*Activity!$F15*Activity!G15</f>
        <v>444.91199999999998</v>
      </c>
      <c r="D14" s="508">
        <f>Activity!$E15*Activity!$F15*Activity!H15</f>
        <v>0</v>
      </c>
      <c r="E14" s="508">
        <f>Activity!$E15*Activity!$F15*Activity!I15</f>
        <v>225.21599999999998</v>
      </c>
      <c r="F14" s="508">
        <f>Activity!$E15*Activity!$F15*Activity!J15</f>
        <v>23.184000000000001</v>
      </c>
      <c r="G14" s="508">
        <f>Activity!$E15*Activity!$F15*Activity!K15</f>
        <v>11.040000000000001</v>
      </c>
      <c r="H14" s="509">
        <f>Activity!$E15*Activity!$F15*Activity!L15</f>
        <v>0</v>
      </c>
      <c r="I14" s="509">
        <v>0</v>
      </c>
      <c r="J14" s="508">
        <f>Activity!E15*Activity!F15</f>
        <v>1104</v>
      </c>
      <c r="K14" s="508">
        <f>Activity!$E15*Activity!$F15*Activity!M15</f>
        <v>399.64799999999997</v>
      </c>
      <c r="L14" s="510">
        <f>Activity!V15</f>
        <v>500</v>
      </c>
    </row>
    <row r="15" spans="2:13">
      <c r="B15" s="7">
        <f t="shared" si="0"/>
        <v>1954</v>
      </c>
      <c r="C15" s="507">
        <f>Activity!$E16*Activity!$F16*Activity!G16</f>
        <v>444.91199999999998</v>
      </c>
      <c r="D15" s="508">
        <f>Activity!$E16*Activity!$F16*Activity!H16</f>
        <v>0</v>
      </c>
      <c r="E15" s="508">
        <f>Activity!$E16*Activity!$F16*Activity!I16</f>
        <v>225.21599999999998</v>
      </c>
      <c r="F15" s="508">
        <f>Activity!$E16*Activity!$F16*Activity!J16</f>
        <v>23.184000000000001</v>
      </c>
      <c r="G15" s="508">
        <f>Activity!$E16*Activity!$F16*Activity!K16</f>
        <v>11.040000000000001</v>
      </c>
      <c r="H15" s="509">
        <f>Activity!$E16*Activity!$F16*Activity!L16</f>
        <v>0</v>
      </c>
      <c r="I15" s="509">
        <v>0</v>
      </c>
      <c r="J15" s="508">
        <f>Activity!E16*Activity!F16</f>
        <v>1104</v>
      </c>
      <c r="K15" s="508">
        <f>Activity!$E16*Activity!$F16*Activity!M16</f>
        <v>399.64799999999997</v>
      </c>
      <c r="L15" s="510">
        <f>Activity!V16</f>
        <v>500</v>
      </c>
    </row>
    <row r="16" spans="2:13">
      <c r="B16" s="7">
        <f t="shared" si="0"/>
        <v>1955</v>
      </c>
      <c r="C16" s="507">
        <f>Activity!$E17*Activity!$F17*Activity!G17</f>
        <v>444.91199999999998</v>
      </c>
      <c r="D16" s="508">
        <f>Activity!$E17*Activity!$F17*Activity!H17</f>
        <v>0</v>
      </c>
      <c r="E16" s="508">
        <f>Activity!$E17*Activity!$F17*Activity!I17</f>
        <v>225.21599999999998</v>
      </c>
      <c r="F16" s="508">
        <f>Activity!$E17*Activity!$F17*Activity!J17</f>
        <v>23.184000000000001</v>
      </c>
      <c r="G16" s="508">
        <f>Activity!$E17*Activity!$F17*Activity!K17</f>
        <v>11.040000000000001</v>
      </c>
      <c r="H16" s="509">
        <f>Activity!$E17*Activity!$F17*Activity!L17</f>
        <v>0</v>
      </c>
      <c r="I16" s="509">
        <v>0</v>
      </c>
      <c r="J16" s="508">
        <f>Activity!E17*Activity!F17</f>
        <v>1104</v>
      </c>
      <c r="K16" s="508">
        <f>Activity!$E17*Activity!$F17*Activity!M17</f>
        <v>399.64799999999997</v>
      </c>
      <c r="L16" s="510">
        <f>Activity!V17</f>
        <v>500</v>
      </c>
    </row>
    <row r="17" spans="2:12">
      <c r="B17" s="7">
        <f t="shared" si="0"/>
        <v>1956</v>
      </c>
      <c r="C17" s="507">
        <f>Activity!$E18*Activity!$F18*Activity!G18</f>
        <v>444.91199999999998</v>
      </c>
      <c r="D17" s="508">
        <f>Activity!$E18*Activity!$F18*Activity!H18</f>
        <v>0</v>
      </c>
      <c r="E17" s="508">
        <f>Activity!$E18*Activity!$F18*Activity!I18</f>
        <v>225.21599999999998</v>
      </c>
      <c r="F17" s="508">
        <f>Activity!$E18*Activity!$F18*Activity!J18</f>
        <v>23.184000000000001</v>
      </c>
      <c r="G17" s="508">
        <f>Activity!$E18*Activity!$F18*Activity!K18</f>
        <v>11.040000000000001</v>
      </c>
      <c r="H17" s="509">
        <f>Activity!$E18*Activity!$F18*Activity!L18</f>
        <v>0</v>
      </c>
      <c r="I17" s="509">
        <v>0</v>
      </c>
      <c r="J17" s="508">
        <f>Activity!E18*Activity!F18</f>
        <v>1104</v>
      </c>
      <c r="K17" s="508">
        <f>Activity!$E18*Activity!$F18*Activity!M18</f>
        <v>399.64799999999997</v>
      </c>
      <c r="L17" s="510">
        <f>Activity!V18</f>
        <v>500</v>
      </c>
    </row>
    <row r="18" spans="2:12">
      <c r="B18" s="7">
        <f t="shared" si="0"/>
        <v>1957</v>
      </c>
      <c r="C18" s="507">
        <f>Activity!$E19*Activity!$F19*Activity!G19</f>
        <v>444.91199999999998</v>
      </c>
      <c r="D18" s="508">
        <f>Activity!$E19*Activity!$F19*Activity!H19</f>
        <v>0</v>
      </c>
      <c r="E18" s="508">
        <f>Activity!$E19*Activity!$F19*Activity!I19</f>
        <v>225.21599999999998</v>
      </c>
      <c r="F18" s="508">
        <f>Activity!$E19*Activity!$F19*Activity!J19</f>
        <v>23.184000000000001</v>
      </c>
      <c r="G18" s="508">
        <f>Activity!$E19*Activity!$F19*Activity!K19</f>
        <v>11.040000000000001</v>
      </c>
      <c r="H18" s="509">
        <f>Activity!$E19*Activity!$F19*Activity!L19</f>
        <v>0</v>
      </c>
      <c r="I18" s="509">
        <v>0</v>
      </c>
      <c r="J18" s="508">
        <f>Activity!E19*Activity!F19</f>
        <v>1104</v>
      </c>
      <c r="K18" s="508">
        <f>Activity!$E19*Activity!$F19*Activity!M19</f>
        <v>399.64799999999997</v>
      </c>
      <c r="L18" s="510">
        <f>Activity!V19</f>
        <v>500</v>
      </c>
    </row>
    <row r="19" spans="2:12">
      <c r="B19" s="7">
        <f t="shared" ref="B19:B82" si="1">B18+1</f>
        <v>1958</v>
      </c>
      <c r="C19" s="507">
        <f>Activity!$E20*Activity!$F20*Activity!G20</f>
        <v>444.91199999999998</v>
      </c>
      <c r="D19" s="508">
        <f>Activity!$E20*Activity!$F20*Activity!H20</f>
        <v>0</v>
      </c>
      <c r="E19" s="508">
        <f>Activity!$E20*Activity!$F20*Activity!I20</f>
        <v>225.21599999999998</v>
      </c>
      <c r="F19" s="508">
        <f>Activity!$E20*Activity!$F20*Activity!J20</f>
        <v>23.184000000000001</v>
      </c>
      <c r="G19" s="508">
        <f>Activity!$E20*Activity!$F20*Activity!K20</f>
        <v>11.040000000000001</v>
      </c>
      <c r="H19" s="509">
        <f>Activity!$E20*Activity!$F20*Activity!L20</f>
        <v>0</v>
      </c>
      <c r="I19" s="509">
        <v>0</v>
      </c>
      <c r="J19" s="508">
        <f>Activity!E20*Activity!F20</f>
        <v>1104</v>
      </c>
      <c r="K19" s="508">
        <f>Activity!$E20*Activity!$F20*Activity!M20</f>
        <v>399.64799999999997</v>
      </c>
      <c r="L19" s="510">
        <f>Activity!V20</f>
        <v>500</v>
      </c>
    </row>
    <row r="20" spans="2:12">
      <c r="B20" s="7">
        <f t="shared" si="1"/>
        <v>1959</v>
      </c>
      <c r="C20" s="507">
        <f>Activity!$E21*Activity!$F21*Activity!G21</f>
        <v>444.91199999999998</v>
      </c>
      <c r="D20" s="508">
        <f>Activity!$E21*Activity!$F21*Activity!H21</f>
        <v>0</v>
      </c>
      <c r="E20" s="508">
        <f>Activity!$E21*Activity!$F21*Activity!I21</f>
        <v>225.21599999999998</v>
      </c>
      <c r="F20" s="508">
        <f>Activity!$E21*Activity!$F21*Activity!J21</f>
        <v>23.184000000000001</v>
      </c>
      <c r="G20" s="508">
        <f>Activity!$E21*Activity!$F21*Activity!K21</f>
        <v>11.040000000000001</v>
      </c>
      <c r="H20" s="509">
        <f>Activity!$E21*Activity!$F21*Activity!L21</f>
        <v>0</v>
      </c>
      <c r="I20" s="509">
        <v>0</v>
      </c>
      <c r="J20" s="508">
        <f>Activity!E21*Activity!F21</f>
        <v>1104</v>
      </c>
      <c r="K20" s="508">
        <f>Activity!$E21*Activity!$F21*Activity!M21</f>
        <v>399.64799999999997</v>
      </c>
      <c r="L20" s="510">
        <f>Activity!V21</f>
        <v>500</v>
      </c>
    </row>
    <row r="21" spans="2:12">
      <c r="B21" s="7">
        <f t="shared" si="1"/>
        <v>1960</v>
      </c>
      <c r="C21" s="507">
        <f>Activity!$E22*Activity!$F22*Activity!G22</f>
        <v>444.91199999999998</v>
      </c>
      <c r="D21" s="508">
        <f>Activity!$E22*Activity!$F22*Activity!H22</f>
        <v>0</v>
      </c>
      <c r="E21" s="508">
        <f>Activity!$E22*Activity!$F22*Activity!I22</f>
        <v>225.21599999999998</v>
      </c>
      <c r="F21" s="508">
        <f>Activity!$E22*Activity!$F22*Activity!J22</f>
        <v>23.184000000000001</v>
      </c>
      <c r="G21" s="508">
        <f>Activity!$E22*Activity!$F22*Activity!K22</f>
        <v>11.040000000000001</v>
      </c>
      <c r="H21" s="509">
        <f>Activity!$E22*Activity!$F22*Activity!L22</f>
        <v>0</v>
      </c>
      <c r="I21" s="509">
        <v>0</v>
      </c>
      <c r="J21" s="508">
        <f>Activity!E22*Activity!F22</f>
        <v>1104</v>
      </c>
      <c r="K21" s="508">
        <f>Activity!$E22*Activity!$F22*Activity!M22</f>
        <v>399.64799999999997</v>
      </c>
      <c r="L21" s="510">
        <f>Activity!V22</f>
        <v>500</v>
      </c>
    </row>
    <row r="22" spans="2:12">
      <c r="B22" s="7">
        <f t="shared" si="1"/>
        <v>1961</v>
      </c>
      <c r="C22" s="507">
        <f>Activity!$E23*Activity!$F23*Activity!G23</f>
        <v>444.91199999999998</v>
      </c>
      <c r="D22" s="508">
        <f>Activity!$E23*Activity!$F23*Activity!H23</f>
        <v>0</v>
      </c>
      <c r="E22" s="508">
        <f>Activity!$E23*Activity!$F23*Activity!I23</f>
        <v>225.21599999999998</v>
      </c>
      <c r="F22" s="508">
        <f>Activity!$E23*Activity!$F23*Activity!J23</f>
        <v>23.184000000000001</v>
      </c>
      <c r="G22" s="508">
        <f>Activity!$E23*Activity!$F23*Activity!K23</f>
        <v>11.040000000000001</v>
      </c>
      <c r="H22" s="509">
        <f>Activity!$E23*Activity!$F23*Activity!L23</f>
        <v>0</v>
      </c>
      <c r="I22" s="509">
        <v>0</v>
      </c>
      <c r="J22" s="508">
        <f>Activity!E23*Activity!F23</f>
        <v>1104</v>
      </c>
      <c r="K22" s="508">
        <f>Activity!$E23*Activity!$F23*Activity!M23</f>
        <v>399.64799999999997</v>
      </c>
      <c r="L22" s="510">
        <f>Activity!V23</f>
        <v>500</v>
      </c>
    </row>
    <row r="23" spans="2:12">
      <c r="B23" s="7">
        <f t="shared" si="1"/>
        <v>1962</v>
      </c>
      <c r="C23" s="507">
        <f>Activity!$E24*Activity!$F24*Activity!G24</f>
        <v>444.91199999999998</v>
      </c>
      <c r="D23" s="508">
        <f>Activity!$E24*Activity!$F24*Activity!H24</f>
        <v>0</v>
      </c>
      <c r="E23" s="508">
        <f>Activity!$E24*Activity!$F24*Activity!I24</f>
        <v>225.21599999999998</v>
      </c>
      <c r="F23" s="508">
        <f>Activity!$E24*Activity!$F24*Activity!J24</f>
        <v>23.184000000000001</v>
      </c>
      <c r="G23" s="508">
        <f>Activity!$E24*Activity!$F24*Activity!K24</f>
        <v>11.040000000000001</v>
      </c>
      <c r="H23" s="509">
        <f>Activity!$E24*Activity!$F24*Activity!L24</f>
        <v>0</v>
      </c>
      <c r="I23" s="509">
        <v>0</v>
      </c>
      <c r="J23" s="508">
        <f>Activity!E24*Activity!F24</f>
        <v>1104</v>
      </c>
      <c r="K23" s="508">
        <f>Activity!$E24*Activity!$F24*Activity!M24</f>
        <v>399.64799999999997</v>
      </c>
      <c r="L23" s="510">
        <f>Activity!V24</f>
        <v>500</v>
      </c>
    </row>
    <row r="24" spans="2:12">
      <c r="B24" s="7">
        <f t="shared" si="1"/>
        <v>1963</v>
      </c>
      <c r="C24" s="507">
        <f>Activity!$E25*Activity!$F25*Activity!G25</f>
        <v>444.91199999999998</v>
      </c>
      <c r="D24" s="508">
        <f>Activity!$E25*Activity!$F25*Activity!H25</f>
        <v>0</v>
      </c>
      <c r="E24" s="508">
        <f>Activity!$E25*Activity!$F25*Activity!I25</f>
        <v>225.21599999999998</v>
      </c>
      <c r="F24" s="508">
        <f>Activity!$E25*Activity!$F25*Activity!J25</f>
        <v>23.184000000000001</v>
      </c>
      <c r="G24" s="508">
        <f>Activity!$E25*Activity!$F25*Activity!K25</f>
        <v>11.040000000000001</v>
      </c>
      <c r="H24" s="509">
        <f>Activity!$E25*Activity!$F25*Activity!L25</f>
        <v>0</v>
      </c>
      <c r="I24" s="509">
        <v>0</v>
      </c>
      <c r="J24" s="508">
        <f>Activity!E25*Activity!F25</f>
        <v>1104</v>
      </c>
      <c r="K24" s="508">
        <f>Activity!$E25*Activity!$F25*Activity!M25</f>
        <v>399.64799999999997</v>
      </c>
      <c r="L24" s="510">
        <f>Activity!V25</f>
        <v>500</v>
      </c>
    </row>
    <row r="25" spans="2:12">
      <c r="B25" s="7">
        <f t="shared" si="1"/>
        <v>1964</v>
      </c>
      <c r="C25" s="507">
        <f>Activity!$E26*Activity!$F26*Activity!G26</f>
        <v>444.91199999999998</v>
      </c>
      <c r="D25" s="508">
        <f>Activity!$E26*Activity!$F26*Activity!H26</f>
        <v>0</v>
      </c>
      <c r="E25" s="508">
        <f>Activity!$E26*Activity!$F26*Activity!I26</f>
        <v>225.21599999999998</v>
      </c>
      <c r="F25" s="508">
        <f>Activity!$E26*Activity!$F26*Activity!J26</f>
        <v>23.184000000000001</v>
      </c>
      <c r="G25" s="508">
        <f>Activity!$E26*Activity!$F26*Activity!K26</f>
        <v>11.040000000000001</v>
      </c>
      <c r="H25" s="509">
        <f>Activity!$E26*Activity!$F26*Activity!L26</f>
        <v>0</v>
      </c>
      <c r="I25" s="509">
        <v>0</v>
      </c>
      <c r="J25" s="508">
        <f>Activity!E26*Activity!F26</f>
        <v>1104</v>
      </c>
      <c r="K25" s="508">
        <f>Activity!$E26*Activity!$F26*Activity!M26</f>
        <v>399.64799999999997</v>
      </c>
      <c r="L25" s="510">
        <f>Activity!V26</f>
        <v>500</v>
      </c>
    </row>
    <row r="26" spans="2:12">
      <c r="B26" s="7">
        <f t="shared" si="1"/>
        <v>1965</v>
      </c>
      <c r="C26" s="507">
        <f>Activity!$E27*Activity!$F27*Activity!G27</f>
        <v>444.91199999999998</v>
      </c>
      <c r="D26" s="508">
        <f>Activity!$E27*Activity!$F27*Activity!H27</f>
        <v>0</v>
      </c>
      <c r="E26" s="508">
        <f>Activity!$E27*Activity!$F27*Activity!I27</f>
        <v>225.21599999999998</v>
      </c>
      <c r="F26" s="508">
        <f>Activity!$E27*Activity!$F27*Activity!J27</f>
        <v>23.184000000000001</v>
      </c>
      <c r="G26" s="508">
        <f>Activity!$E27*Activity!$F27*Activity!K27</f>
        <v>11.040000000000001</v>
      </c>
      <c r="H26" s="509">
        <f>Activity!$E27*Activity!$F27*Activity!L27</f>
        <v>0</v>
      </c>
      <c r="I26" s="509">
        <v>0</v>
      </c>
      <c r="J26" s="508">
        <f>Activity!E27*Activity!F27</f>
        <v>1104</v>
      </c>
      <c r="K26" s="508">
        <f>Activity!$E27*Activity!$F27*Activity!M27</f>
        <v>399.64799999999997</v>
      </c>
      <c r="L26" s="510">
        <f>Activity!V27</f>
        <v>500</v>
      </c>
    </row>
    <row r="27" spans="2:12">
      <c r="B27" s="7">
        <f t="shared" si="1"/>
        <v>1966</v>
      </c>
      <c r="C27" s="507">
        <f>Activity!$E28*Activity!$F28*Activity!G28</f>
        <v>444.91199999999998</v>
      </c>
      <c r="D27" s="508">
        <f>Activity!$E28*Activity!$F28*Activity!H28</f>
        <v>0</v>
      </c>
      <c r="E27" s="508">
        <f>Activity!$E28*Activity!$F28*Activity!I28</f>
        <v>225.21599999999998</v>
      </c>
      <c r="F27" s="508">
        <f>Activity!$E28*Activity!$F28*Activity!J28</f>
        <v>23.184000000000001</v>
      </c>
      <c r="G27" s="508">
        <f>Activity!$E28*Activity!$F28*Activity!K28</f>
        <v>11.040000000000001</v>
      </c>
      <c r="H27" s="509">
        <f>Activity!$E28*Activity!$F28*Activity!L28</f>
        <v>0</v>
      </c>
      <c r="I27" s="509">
        <v>0</v>
      </c>
      <c r="J27" s="508">
        <f>Activity!E28*Activity!F28</f>
        <v>1104</v>
      </c>
      <c r="K27" s="508">
        <f>Activity!$E28*Activity!$F28*Activity!M28</f>
        <v>399.64799999999997</v>
      </c>
      <c r="L27" s="510">
        <f>Activity!V28</f>
        <v>500</v>
      </c>
    </row>
    <row r="28" spans="2:12">
      <c r="B28" s="7">
        <f t="shared" si="1"/>
        <v>1967</v>
      </c>
      <c r="C28" s="507">
        <f>Activity!$E29*Activity!$F29*Activity!G29</f>
        <v>444.91199999999998</v>
      </c>
      <c r="D28" s="508">
        <f>Activity!$E29*Activity!$F29*Activity!H29</f>
        <v>0</v>
      </c>
      <c r="E28" s="508">
        <f>Activity!$E29*Activity!$F29*Activity!I29</f>
        <v>225.21599999999998</v>
      </c>
      <c r="F28" s="508">
        <f>Activity!$E29*Activity!$F29*Activity!J29</f>
        <v>23.184000000000001</v>
      </c>
      <c r="G28" s="508">
        <f>Activity!$E29*Activity!$F29*Activity!K29</f>
        <v>11.040000000000001</v>
      </c>
      <c r="H28" s="509">
        <f>Activity!$E29*Activity!$F29*Activity!L29</f>
        <v>0</v>
      </c>
      <c r="I28" s="509">
        <v>0</v>
      </c>
      <c r="J28" s="508">
        <f>Activity!E29*Activity!F29</f>
        <v>1104</v>
      </c>
      <c r="K28" s="508">
        <f>Activity!$E29*Activity!$F29*Activity!M29</f>
        <v>399.64799999999997</v>
      </c>
      <c r="L28" s="510">
        <f>Activity!V29</f>
        <v>500</v>
      </c>
    </row>
    <row r="29" spans="2:12">
      <c r="B29" s="7">
        <f t="shared" si="1"/>
        <v>1968</v>
      </c>
      <c r="C29" s="507">
        <f>Activity!$E30*Activity!$F30*Activity!G30</f>
        <v>444.91199999999998</v>
      </c>
      <c r="D29" s="508">
        <f>Activity!$E30*Activity!$F30*Activity!H30</f>
        <v>0</v>
      </c>
      <c r="E29" s="508">
        <f>Activity!$E30*Activity!$F30*Activity!I30</f>
        <v>225.21599999999998</v>
      </c>
      <c r="F29" s="508">
        <f>Activity!$E30*Activity!$F30*Activity!J30</f>
        <v>23.184000000000001</v>
      </c>
      <c r="G29" s="508">
        <f>Activity!$E30*Activity!$F30*Activity!K30</f>
        <v>11.040000000000001</v>
      </c>
      <c r="H29" s="509">
        <f>Activity!$E30*Activity!$F30*Activity!L30</f>
        <v>0</v>
      </c>
      <c r="I29" s="509">
        <v>0</v>
      </c>
      <c r="J29" s="508">
        <f>Activity!E30*Activity!F30</f>
        <v>1104</v>
      </c>
      <c r="K29" s="508">
        <f>Activity!$E30*Activity!$F30*Activity!M30</f>
        <v>399.64799999999997</v>
      </c>
      <c r="L29" s="510">
        <f>Activity!V30</f>
        <v>500</v>
      </c>
    </row>
    <row r="30" spans="2:12">
      <c r="B30" s="7">
        <f t="shared" si="1"/>
        <v>1969</v>
      </c>
      <c r="C30" s="507">
        <f>Activity!$E31*Activity!$F31*Activity!G31</f>
        <v>444.91199999999998</v>
      </c>
      <c r="D30" s="508">
        <f>Activity!$E31*Activity!$F31*Activity!H31</f>
        <v>0</v>
      </c>
      <c r="E30" s="508">
        <f>Activity!$E31*Activity!$F31*Activity!I31</f>
        <v>225.21599999999998</v>
      </c>
      <c r="F30" s="508">
        <f>Activity!$E31*Activity!$F31*Activity!J31</f>
        <v>23.184000000000001</v>
      </c>
      <c r="G30" s="508">
        <f>Activity!$E31*Activity!$F31*Activity!K31</f>
        <v>11.040000000000001</v>
      </c>
      <c r="H30" s="509">
        <f>Activity!$E31*Activity!$F31*Activity!L31</f>
        <v>0</v>
      </c>
      <c r="I30" s="509">
        <v>0</v>
      </c>
      <c r="J30" s="508">
        <f>Activity!E31*Activity!F31</f>
        <v>1104</v>
      </c>
      <c r="K30" s="508">
        <f>Activity!$E31*Activity!$F31*Activity!M31</f>
        <v>399.64799999999997</v>
      </c>
      <c r="L30" s="510">
        <f>Activity!V31</f>
        <v>500</v>
      </c>
    </row>
    <row r="31" spans="2:12">
      <c r="B31" s="7">
        <f t="shared" si="1"/>
        <v>1970</v>
      </c>
      <c r="C31" s="507">
        <f>Activity!$E32*Activity!$F32*Activity!G32</f>
        <v>444.91199999999998</v>
      </c>
      <c r="D31" s="508">
        <f>Activity!$E32*Activity!$F32*Activity!H32</f>
        <v>0</v>
      </c>
      <c r="E31" s="508">
        <f>Activity!$E32*Activity!$F32*Activity!I32</f>
        <v>225.21599999999998</v>
      </c>
      <c r="F31" s="508">
        <f>Activity!$E32*Activity!$F32*Activity!J32</f>
        <v>23.184000000000001</v>
      </c>
      <c r="G31" s="508">
        <f>Activity!$E32*Activity!$F32*Activity!K32</f>
        <v>11.040000000000001</v>
      </c>
      <c r="H31" s="509">
        <f>Activity!$E32*Activity!$F32*Activity!L32</f>
        <v>0</v>
      </c>
      <c r="I31" s="509">
        <v>0</v>
      </c>
      <c r="J31" s="508">
        <f>Activity!E32*Activity!F32</f>
        <v>1104</v>
      </c>
      <c r="K31" s="508">
        <f>Activity!$E32*Activity!$F32*Activity!M32</f>
        <v>399.64799999999997</v>
      </c>
      <c r="L31" s="510">
        <f>Activity!V32</f>
        <v>500</v>
      </c>
    </row>
    <row r="32" spans="2:12">
      <c r="B32" s="7">
        <f t="shared" si="1"/>
        <v>1971</v>
      </c>
      <c r="C32" s="507">
        <f>Activity!$E33*Activity!$F33*Activity!G33</f>
        <v>444.91199999999998</v>
      </c>
      <c r="D32" s="508">
        <f>Activity!$E33*Activity!$F33*Activity!H33</f>
        <v>0</v>
      </c>
      <c r="E32" s="508">
        <f>Activity!$E33*Activity!$F33*Activity!I33</f>
        <v>225.21599999999998</v>
      </c>
      <c r="F32" s="508">
        <f>Activity!$E33*Activity!$F33*Activity!J33</f>
        <v>23.184000000000001</v>
      </c>
      <c r="G32" s="508">
        <f>Activity!$E33*Activity!$F33*Activity!K33</f>
        <v>11.040000000000001</v>
      </c>
      <c r="H32" s="509">
        <f>Activity!$E33*Activity!$F33*Activity!L33</f>
        <v>0</v>
      </c>
      <c r="I32" s="509">
        <v>0</v>
      </c>
      <c r="J32" s="508">
        <f>Activity!E33*Activity!F33</f>
        <v>1104</v>
      </c>
      <c r="K32" s="508">
        <f>Activity!$E33*Activity!$F33*Activity!M33</f>
        <v>399.64799999999997</v>
      </c>
      <c r="L32" s="510">
        <f>Activity!V33</f>
        <v>500</v>
      </c>
    </row>
    <row r="33" spans="2:12">
      <c r="B33" s="7">
        <f t="shared" si="1"/>
        <v>1972</v>
      </c>
      <c r="C33" s="507">
        <f>Activity!$E34*Activity!$F34*Activity!G34</f>
        <v>444.91199999999998</v>
      </c>
      <c r="D33" s="508">
        <f>Activity!$E34*Activity!$F34*Activity!H34</f>
        <v>0</v>
      </c>
      <c r="E33" s="508">
        <f>Activity!$E34*Activity!$F34*Activity!I34</f>
        <v>225.21599999999998</v>
      </c>
      <c r="F33" s="508">
        <f>Activity!$E34*Activity!$F34*Activity!J34</f>
        <v>23.184000000000001</v>
      </c>
      <c r="G33" s="508">
        <f>Activity!$E34*Activity!$F34*Activity!K34</f>
        <v>11.040000000000001</v>
      </c>
      <c r="H33" s="509">
        <f>Activity!$E34*Activity!$F34*Activity!L34</f>
        <v>0</v>
      </c>
      <c r="I33" s="509">
        <v>0</v>
      </c>
      <c r="J33" s="508">
        <f>Activity!E34*Activity!F34</f>
        <v>1104</v>
      </c>
      <c r="K33" s="508">
        <f>Activity!$E34*Activity!$F34*Activity!M34</f>
        <v>399.64799999999997</v>
      </c>
      <c r="L33" s="510">
        <f>Activity!V34</f>
        <v>500</v>
      </c>
    </row>
    <row r="34" spans="2:12">
      <c r="B34" s="7">
        <f t="shared" si="1"/>
        <v>1973</v>
      </c>
      <c r="C34" s="507">
        <f>Activity!$E35*Activity!$F35*Activity!G35</f>
        <v>444.91199999999998</v>
      </c>
      <c r="D34" s="508">
        <f>Activity!$E35*Activity!$F35*Activity!H35</f>
        <v>0</v>
      </c>
      <c r="E34" s="508">
        <f>Activity!$E35*Activity!$F35*Activity!I35</f>
        <v>225.21599999999998</v>
      </c>
      <c r="F34" s="508">
        <f>Activity!$E35*Activity!$F35*Activity!J35</f>
        <v>23.184000000000001</v>
      </c>
      <c r="G34" s="508">
        <f>Activity!$E35*Activity!$F35*Activity!K35</f>
        <v>11.040000000000001</v>
      </c>
      <c r="H34" s="509">
        <f>Activity!$E35*Activity!$F35*Activity!L35</f>
        <v>0</v>
      </c>
      <c r="I34" s="509">
        <v>0</v>
      </c>
      <c r="J34" s="508">
        <f>Activity!E35*Activity!F35</f>
        <v>1104</v>
      </c>
      <c r="K34" s="508">
        <f>Activity!$E35*Activity!$F35*Activity!M35</f>
        <v>399.64799999999997</v>
      </c>
      <c r="L34" s="510">
        <f>Activity!V35</f>
        <v>500</v>
      </c>
    </row>
    <row r="35" spans="2:12">
      <c r="B35" s="7">
        <f t="shared" si="1"/>
        <v>1974</v>
      </c>
      <c r="C35" s="507">
        <f>Activity!$E36*Activity!$F36*Activity!G36</f>
        <v>444.91199999999998</v>
      </c>
      <c r="D35" s="508">
        <f>Activity!$E36*Activity!$F36*Activity!H36</f>
        <v>0</v>
      </c>
      <c r="E35" s="508">
        <f>Activity!$E36*Activity!$F36*Activity!I36</f>
        <v>225.21599999999998</v>
      </c>
      <c r="F35" s="508">
        <f>Activity!$E36*Activity!$F36*Activity!J36</f>
        <v>23.184000000000001</v>
      </c>
      <c r="G35" s="508">
        <f>Activity!$E36*Activity!$F36*Activity!K36</f>
        <v>11.040000000000001</v>
      </c>
      <c r="H35" s="509">
        <f>Activity!$E36*Activity!$F36*Activity!L36</f>
        <v>0</v>
      </c>
      <c r="I35" s="509">
        <v>0</v>
      </c>
      <c r="J35" s="508">
        <f>Activity!E36*Activity!F36</f>
        <v>1104</v>
      </c>
      <c r="K35" s="508">
        <f>Activity!$E36*Activity!$F36*Activity!M36</f>
        <v>399.64799999999997</v>
      </c>
      <c r="L35" s="510">
        <f>Activity!V36</f>
        <v>500</v>
      </c>
    </row>
    <row r="36" spans="2:12">
      <c r="B36" s="7">
        <f t="shared" si="1"/>
        <v>1975</v>
      </c>
      <c r="C36" s="507">
        <f>Activity!$E37*Activity!$F37*Activity!G37</f>
        <v>444.91199999999998</v>
      </c>
      <c r="D36" s="508">
        <f>Activity!$E37*Activity!$F37*Activity!H37</f>
        <v>0</v>
      </c>
      <c r="E36" s="508">
        <f>Activity!$E37*Activity!$F37*Activity!I37</f>
        <v>225.21599999999998</v>
      </c>
      <c r="F36" s="508">
        <f>Activity!$E37*Activity!$F37*Activity!J37</f>
        <v>23.184000000000001</v>
      </c>
      <c r="G36" s="508">
        <f>Activity!$E37*Activity!$F37*Activity!K37</f>
        <v>11.040000000000001</v>
      </c>
      <c r="H36" s="509">
        <f>Activity!$E37*Activity!$F37*Activity!L37</f>
        <v>0</v>
      </c>
      <c r="I36" s="509">
        <v>0</v>
      </c>
      <c r="J36" s="508">
        <f>Activity!E37*Activity!F37</f>
        <v>1104</v>
      </c>
      <c r="K36" s="508">
        <f>Activity!$E37*Activity!$F37*Activity!M37</f>
        <v>399.64799999999997</v>
      </c>
      <c r="L36" s="510">
        <f>Activity!V37</f>
        <v>500</v>
      </c>
    </row>
    <row r="37" spans="2:12">
      <c r="B37" s="7">
        <f t="shared" si="1"/>
        <v>1976</v>
      </c>
      <c r="C37" s="507">
        <f>Activity!$E38*Activity!$F38*Activity!G38</f>
        <v>444.91199999999998</v>
      </c>
      <c r="D37" s="508">
        <f>Activity!$E38*Activity!$F38*Activity!H38</f>
        <v>0</v>
      </c>
      <c r="E37" s="508">
        <f>Activity!$E38*Activity!$F38*Activity!I38</f>
        <v>225.21599999999998</v>
      </c>
      <c r="F37" s="508">
        <f>Activity!$E38*Activity!$F38*Activity!J38</f>
        <v>23.184000000000001</v>
      </c>
      <c r="G37" s="508">
        <f>Activity!$E38*Activity!$F38*Activity!K38</f>
        <v>11.040000000000001</v>
      </c>
      <c r="H37" s="509">
        <f>Activity!$E38*Activity!$F38*Activity!L38</f>
        <v>0</v>
      </c>
      <c r="I37" s="509">
        <v>0</v>
      </c>
      <c r="J37" s="508">
        <f>Activity!E38*Activity!F38</f>
        <v>1104</v>
      </c>
      <c r="K37" s="508">
        <f>Activity!$E38*Activity!$F38*Activity!M38</f>
        <v>399.64799999999997</v>
      </c>
      <c r="L37" s="510">
        <f>Activity!V38</f>
        <v>500</v>
      </c>
    </row>
    <row r="38" spans="2:12">
      <c r="B38" s="7">
        <f t="shared" si="1"/>
        <v>1977</v>
      </c>
      <c r="C38" s="507">
        <f>Activity!$E39*Activity!$F39*Activity!G39</f>
        <v>444.91199999999998</v>
      </c>
      <c r="D38" s="508">
        <f>Activity!$E39*Activity!$F39*Activity!H39</f>
        <v>0</v>
      </c>
      <c r="E38" s="508">
        <f>Activity!$E39*Activity!$F39*Activity!I39</f>
        <v>225.21599999999998</v>
      </c>
      <c r="F38" s="508">
        <f>Activity!$E39*Activity!$F39*Activity!J39</f>
        <v>23.184000000000001</v>
      </c>
      <c r="G38" s="508">
        <f>Activity!$E39*Activity!$F39*Activity!K39</f>
        <v>11.040000000000001</v>
      </c>
      <c r="H38" s="509">
        <f>Activity!$E39*Activity!$F39*Activity!L39</f>
        <v>0</v>
      </c>
      <c r="I38" s="509">
        <v>0</v>
      </c>
      <c r="J38" s="508">
        <f>Activity!E39*Activity!F39</f>
        <v>1104</v>
      </c>
      <c r="K38" s="508">
        <f>Activity!$E39*Activity!$F39*Activity!M39</f>
        <v>399.64799999999997</v>
      </c>
      <c r="L38" s="510">
        <f>Activity!V39</f>
        <v>500</v>
      </c>
    </row>
    <row r="39" spans="2:12">
      <c r="B39" s="7">
        <f t="shared" si="1"/>
        <v>1978</v>
      </c>
      <c r="C39" s="507">
        <f>Activity!$E40*Activity!$F40*Activity!G40</f>
        <v>444.91199999999998</v>
      </c>
      <c r="D39" s="508">
        <f>Activity!$E40*Activity!$F40*Activity!H40</f>
        <v>0</v>
      </c>
      <c r="E39" s="508">
        <f>Activity!$E40*Activity!$F40*Activity!I40</f>
        <v>225.21599999999998</v>
      </c>
      <c r="F39" s="508">
        <f>Activity!$E40*Activity!$F40*Activity!J40</f>
        <v>23.184000000000001</v>
      </c>
      <c r="G39" s="508">
        <f>Activity!$E40*Activity!$F40*Activity!K40</f>
        <v>11.040000000000001</v>
      </c>
      <c r="H39" s="509">
        <f>Activity!$E40*Activity!$F40*Activity!L40</f>
        <v>0</v>
      </c>
      <c r="I39" s="509">
        <v>0</v>
      </c>
      <c r="J39" s="508">
        <f>Activity!E40*Activity!F40</f>
        <v>1104</v>
      </c>
      <c r="K39" s="508">
        <f>Activity!$E40*Activity!$F40*Activity!M40</f>
        <v>399.64799999999997</v>
      </c>
      <c r="L39" s="510">
        <f>Activity!V40</f>
        <v>500</v>
      </c>
    </row>
    <row r="40" spans="2:12">
      <c r="B40" s="7">
        <f t="shared" si="1"/>
        <v>1979</v>
      </c>
      <c r="C40" s="507">
        <f>Activity!$E41*Activity!$F41*Activity!G41</f>
        <v>444.91199999999998</v>
      </c>
      <c r="D40" s="508">
        <f>Activity!$E41*Activity!$F41*Activity!H41</f>
        <v>0</v>
      </c>
      <c r="E40" s="508">
        <f>Activity!$E41*Activity!$F41*Activity!I41</f>
        <v>225.21599999999998</v>
      </c>
      <c r="F40" s="508">
        <f>Activity!$E41*Activity!$F41*Activity!J41</f>
        <v>23.184000000000001</v>
      </c>
      <c r="G40" s="508">
        <f>Activity!$E41*Activity!$F41*Activity!K41</f>
        <v>11.040000000000001</v>
      </c>
      <c r="H40" s="509">
        <f>Activity!$E41*Activity!$F41*Activity!L41</f>
        <v>0</v>
      </c>
      <c r="I40" s="509">
        <v>0</v>
      </c>
      <c r="J40" s="508">
        <f>Activity!E41*Activity!F41</f>
        <v>1104</v>
      </c>
      <c r="K40" s="508">
        <f>Activity!$E41*Activity!$F41*Activity!M41</f>
        <v>399.64799999999997</v>
      </c>
      <c r="L40" s="510">
        <f>Activity!V41</f>
        <v>500</v>
      </c>
    </row>
    <row r="41" spans="2:12">
      <c r="B41" s="7">
        <f t="shared" si="1"/>
        <v>1980</v>
      </c>
      <c r="C41" s="507">
        <f>Activity!$E42*Activity!$F42*Activity!G42</f>
        <v>444.91199999999998</v>
      </c>
      <c r="D41" s="508">
        <f>Activity!$E42*Activity!$F42*Activity!H42</f>
        <v>0</v>
      </c>
      <c r="E41" s="508">
        <f>Activity!$E42*Activity!$F42*Activity!I42</f>
        <v>225.21599999999998</v>
      </c>
      <c r="F41" s="508">
        <f>Activity!$E42*Activity!$F42*Activity!J42</f>
        <v>23.184000000000001</v>
      </c>
      <c r="G41" s="508">
        <f>Activity!$E42*Activity!$F42*Activity!K42</f>
        <v>11.040000000000001</v>
      </c>
      <c r="H41" s="509">
        <f>Activity!$E42*Activity!$F42*Activity!L42</f>
        <v>0</v>
      </c>
      <c r="I41" s="509">
        <v>0</v>
      </c>
      <c r="J41" s="508">
        <f>Activity!E42*Activity!F42</f>
        <v>1104</v>
      </c>
      <c r="K41" s="508">
        <f>Activity!$E42*Activity!$F42*Activity!M42</f>
        <v>399.64799999999997</v>
      </c>
      <c r="L41" s="510">
        <f>Activity!V42</f>
        <v>500</v>
      </c>
    </row>
    <row r="42" spans="2:12">
      <c r="B42" s="7">
        <f t="shared" si="1"/>
        <v>1981</v>
      </c>
      <c r="C42" s="507">
        <f>Activity!$E43*Activity!$F43*Activity!G43</f>
        <v>444.91199999999998</v>
      </c>
      <c r="D42" s="508">
        <f>Activity!$E43*Activity!$F43*Activity!H43</f>
        <v>0</v>
      </c>
      <c r="E42" s="508">
        <f>Activity!$E43*Activity!$F43*Activity!I43</f>
        <v>225.21599999999998</v>
      </c>
      <c r="F42" s="508">
        <f>Activity!$E43*Activity!$F43*Activity!J43</f>
        <v>23.184000000000001</v>
      </c>
      <c r="G42" s="508">
        <f>Activity!$E43*Activity!$F43*Activity!K43</f>
        <v>11.040000000000001</v>
      </c>
      <c r="H42" s="509">
        <f>Activity!$E43*Activity!$F43*Activity!L43</f>
        <v>0</v>
      </c>
      <c r="I42" s="509">
        <v>0</v>
      </c>
      <c r="J42" s="508">
        <f>Activity!E43*Activity!F43</f>
        <v>1104</v>
      </c>
      <c r="K42" s="508">
        <f>Activity!$E43*Activity!$F43*Activity!M43</f>
        <v>399.64799999999997</v>
      </c>
      <c r="L42" s="510">
        <f>Activity!V43</f>
        <v>500</v>
      </c>
    </row>
    <row r="43" spans="2:12">
      <c r="B43" s="7">
        <f t="shared" si="1"/>
        <v>1982</v>
      </c>
      <c r="C43" s="507">
        <f>Activity!$E44*Activity!$F44*Activity!G44</f>
        <v>444.91199999999998</v>
      </c>
      <c r="D43" s="508">
        <f>Activity!$E44*Activity!$F44*Activity!H44</f>
        <v>0</v>
      </c>
      <c r="E43" s="508">
        <f>Activity!$E44*Activity!$F44*Activity!I44</f>
        <v>225.21599999999998</v>
      </c>
      <c r="F43" s="508">
        <f>Activity!$E44*Activity!$F44*Activity!J44</f>
        <v>23.184000000000001</v>
      </c>
      <c r="G43" s="508">
        <f>Activity!$E44*Activity!$F44*Activity!K44</f>
        <v>11.040000000000001</v>
      </c>
      <c r="H43" s="509">
        <f>Activity!$E44*Activity!$F44*Activity!L44</f>
        <v>0</v>
      </c>
      <c r="I43" s="509">
        <v>0</v>
      </c>
      <c r="J43" s="508">
        <f>Activity!E44*Activity!F44</f>
        <v>1104</v>
      </c>
      <c r="K43" s="508">
        <f>Activity!$E44*Activity!$F44*Activity!M44</f>
        <v>399.64799999999997</v>
      </c>
      <c r="L43" s="510">
        <f>Activity!V44</f>
        <v>500</v>
      </c>
    </row>
    <row r="44" spans="2:12">
      <c r="B44" s="7">
        <f t="shared" si="1"/>
        <v>1983</v>
      </c>
      <c r="C44" s="507">
        <f>Activity!$E45*Activity!$F45*Activity!G45</f>
        <v>444.91199999999998</v>
      </c>
      <c r="D44" s="508">
        <f>Activity!$E45*Activity!$F45*Activity!H45</f>
        <v>0</v>
      </c>
      <c r="E44" s="508">
        <f>Activity!$E45*Activity!$F45*Activity!I45</f>
        <v>225.21599999999998</v>
      </c>
      <c r="F44" s="508">
        <f>Activity!$E45*Activity!$F45*Activity!J45</f>
        <v>23.184000000000001</v>
      </c>
      <c r="G44" s="508">
        <f>Activity!$E45*Activity!$F45*Activity!K45</f>
        <v>11.040000000000001</v>
      </c>
      <c r="H44" s="509">
        <f>Activity!$E45*Activity!$F45*Activity!L45</f>
        <v>0</v>
      </c>
      <c r="I44" s="509">
        <v>0</v>
      </c>
      <c r="J44" s="508">
        <f>Activity!E45*Activity!F45</f>
        <v>1104</v>
      </c>
      <c r="K44" s="508">
        <f>Activity!$E45*Activity!$F45*Activity!M45</f>
        <v>399.64799999999997</v>
      </c>
      <c r="L44" s="510">
        <f>Activity!V45</f>
        <v>500</v>
      </c>
    </row>
    <row r="45" spans="2:12">
      <c r="B45" s="7">
        <f t="shared" si="1"/>
        <v>1984</v>
      </c>
      <c r="C45" s="507">
        <f>Activity!$E46*Activity!$F46*Activity!G46</f>
        <v>444.91199999999998</v>
      </c>
      <c r="D45" s="508">
        <f>Activity!$E46*Activity!$F46*Activity!H46</f>
        <v>0</v>
      </c>
      <c r="E45" s="508">
        <f>Activity!$E46*Activity!$F46*Activity!I46</f>
        <v>225.21599999999998</v>
      </c>
      <c r="F45" s="508">
        <f>Activity!$E46*Activity!$F46*Activity!J46</f>
        <v>23.184000000000001</v>
      </c>
      <c r="G45" s="508">
        <f>Activity!$E46*Activity!$F46*Activity!K46</f>
        <v>11.040000000000001</v>
      </c>
      <c r="H45" s="509">
        <f>Activity!$E46*Activity!$F46*Activity!L46</f>
        <v>0</v>
      </c>
      <c r="I45" s="509">
        <v>0</v>
      </c>
      <c r="J45" s="508">
        <f>Activity!E46*Activity!F46</f>
        <v>1104</v>
      </c>
      <c r="K45" s="508">
        <f>Activity!$E46*Activity!$F46*Activity!M46</f>
        <v>399.64799999999997</v>
      </c>
      <c r="L45" s="510">
        <f>Activity!V46</f>
        <v>500</v>
      </c>
    </row>
    <row r="46" spans="2:12">
      <c r="B46" s="7">
        <f t="shared" si="1"/>
        <v>1985</v>
      </c>
      <c r="C46" s="507">
        <f>Activity!$E47*Activity!$F47*Activity!G47</f>
        <v>444.91199999999998</v>
      </c>
      <c r="D46" s="508">
        <f>Activity!$E47*Activity!$F47*Activity!H47</f>
        <v>0</v>
      </c>
      <c r="E46" s="508">
        <f>Activity!$E47*Activity!$F47*Activity!I47</f>
        <v>225.21599999999998</v>
      </c>
      <c r="F46" s="508">
        <f>Activity!$E47*Activity!$F47*Activity!J47</f>
        <v>23.184000000000001</v>
      </c>
      <c r="G46" s="508">
        <f>Activity!$E47*Activity!$F47*Activity!K47</f>
        <v>11.040000000000001</v>
      </c>
      <c r="H46" s="509">
        <f>Activity!$E47*Activity!$F47*Activity!L47</f>
        <v>0</v>
      </c>
      <c r="I46" s="509">
        <v>0</v>
      </c>
      <c r="J46" s="508">
        <f>Activity!E47*Activity!F47</f>
        <v>1104</v>
      </c>
      <c r="K46" s="508">
        <f>Activity!$E47*Activity!$F47*Activity!M47</f>
        <v>399.64799999999997</v>
      </c>
      <c r="L46" s="510">
        <f>Activity!V47</f>
        <v>500</v>
      </c>
    </row>
    <row r="47" spans="2:12">
      <c r="B47" s="7">
        <f t="shared" si="1"/>
        <v>1986</v>
      </c>
      <c r="C47" s="507">
        <f>Activity!$E48*Activity!$F48*Activity!G48</f>
        <v>444.91199999999998</v>
      </c>
      <c r="D47" s="508">
        <f>Activity!$E48*Activity!$F48*Activity!H48</f>
        <v>0</v>
      </c>
      <c r="E47" s="508">
        <f>Activity!$E48*Activity!$F48*Activity!I48</f>
        <v>225.21599999999998</v>
      </c>
      <c r="F47" s="508">
        <f>Activity!$E48*Activity!$F48*Activity!J48</f>
        <v>23.184000000000001</v>
      </c>
      <c r="G47" s="508">
        <f>Activity!$E48*Activity!$F48*Activity!K48</f>
        <v>11.040000000000001</v>
      </c>
      <c r="H47" s="509">
        <f>Activity!$E48*Activity!$F48*Activity!L48</f>
        <v>0</v>
      </c>
      <c r="I47" s="509">
        <v>0</v>
      </c>
      <c r="J47" s="508">
        <f>Activity!E48*Activity!F48</f>
        <v>1104</v>
      </c>
      <c r="K47" s="508">
        <f>Activity!$E48*Activity!$F48*Activity!M48</f>
        <v>399.64799999999997</v>
      </c>
      <c r="L47" s="510">
        <f>Activity!V48</f>
        <v>500</v>
      </c>
    </row>
    <row r="48" spans="2:12">
      <c r="B48" s="7">
        <f t="shared" si="1"/>
        <v>1987</v>
      </c>
      <c r="C48" s="507">
        <f>Activity!$E49*Activity!$F49*Activity!G49</f>
        <v>444.91199999999998</v>
      </c>
      <c r="D48" s="508">
        <f>Activity!$E49*Activity!$F49*Activity!H49</f>
        <v>0</v>
      </c>
      <c r="E48" s="508">
        <f>Activity!$E49*Activity!$F49*Activity!I49</f>
        <v>225.21599999999998</v>
      </c>
      <c r="F48" s="508">
        <f>Activity!$E49*Activity!$F49*Activity!J49</f>
        <v>23.184000000000001</v>
      </c>
      <c r="G48" s="508">
        <f>Activity!$E49*Activity!$F49*Activity!K49</f>
        <v>11.040000000000001</v>
      </c>
      <c r="H48" s="509">
        <f>Activity!$E49*Activity!$F49*Activity!L49</f>
        <v>0</v>
      </c>
      <c r="I48" s="509">
        <v>0</v>
      </c>
      <c r="J48" s="508">
        <f>Activity!E49*Activity!F49</f>
        <v>1104</v>
      </c>
      <c r="K48" s="508">
        <f>Activity!$E49*Activity!$F49*Activity!M49</f>
        <v>399.64799999999997</v>
      </c>
      <c r="L48" s="510">
        <f>Activity!V49</f>
        <v>500</v>
      </c>
    </row>
    <row r="49" spans="2:12">
      <c r="B49" s="7">
        <f t="shared" si="1"/>
        <v>1988</v>
      </c>
      <c r="C49" s="507">
        <f>Activity!$E50*Activity!$F50*Activity!G50</f>
        <v>444.91199999999998</v>
      </c>
      <c r="D49" s="508">
        <f>Activity!$E50*Activity!$F50*Activity!H50</f>
        <v>0</v>
      </c>
      <c r="E49" s="508">
        <f>Activity!$E50*Activity!$F50*Activity!I50</f>
        <v>225.21599999999998</v>
      </c>
      <c r="F49" s="508">
        <f>Activity!$E50*Activity!$F50*Activity!J50</f>
        <v>23.184000000000001</v>
      </c>
      <c r="G49" s="508">
        <f>Activity!$E50*Activity!$F50*Activity!K50</f>
        <v>11.040000000000001</v>
      </c>
      <c r="H49" s="509">
        <f>Activity!$E50*Activity!$F50*Activity!L50</f>
        <v>0</v>
      </c>
      <c r="I49" s="509">
        <v>0</v>
      </c>
      <c r="J49" s="508">
        <f>Activity!E50*Activity!F50</f>
        <v>1104</v>
      </c>
      <c r="K49" s="508">
        <f>Activity!$E50*Activity!$F50*Activity!M50</f>
        <v>399.64799999999997</v>
      </c>
      <c r="L49" s="510">
        <f>Activity!V50</f>
        <v>500</v>
      </c>
    </row>
    <row r="50" spans="2:12">
      <c r="B50" s="7">
        <f t="shared" si="1"/>
        <v>1989</v>
      </c>
      <c r="C50" s="507">
        <f>Activity!$E51*Activity!$F51*Activity!G51</f>
        <v>444.91199999999998</v>
      </c>
      <c r="D50" s="508">
        <f>Activity!$E51*Activity!$F51*Activity!H51</f>
        <v>0</v>
      </c>
      <c r="E50" s="508">
        <f>Activity!$E51*Activity!$F51*Activity!I51</f>
        <v>225.21599999999998</v>
      </c>
      <c r="F50" s="508">
        <f>Activity!$E51*Activity!$F51*Activity!J51</f>
        <v>23.184000000000001</v>
      </c>
      <c r="G50" s="508">
        <f>Activity!$E51*Activity!$F51*Activity!K51</f>
        <v>11.040000000000001</v>
      </c>
      <c r="H50" s="509">
        <f>Activity!$E51*Activity!$F51*Activity!L51</f>
        <v>0</v>
      </c>
      <c r="I50" s="509">
        <v>0</v>
      </c>
      <c r="J50" s="508">
        <f>Activity!E51*Activity!F51</f>
        <v>1104</v>
      </c>
      <c r="K50" s="508">
        <f>Activity!$E51*Activity!$F51*Activity!M51</f>
        <v>399.64799999999997</v>
      </c>
      <c r="L50" s="510">
        <f>Activity!V51</f>
        <v>500</v>
      </c>
    </row>
    <row r="51" spans="2:12">
      <c r="B51" s="7">
        <f t="shared" si="1"/>
        <v>1990</v>
      </c>
      <c r="C51" s="507">
        <f>Activity!$E52*Activity!$F52*Activity!G52</f>
        <v>444.91199999999998</v>
      </c>
      <c r="D51" s="508">
        <f>Activity!$E52*Activity!$F52*Activity!H52</f>
        <v>0</v>
      </c>
      <c r="E51" s="508">
        <f>Activity!$E52*Activity!$F52*Activity!I52</f>
        <v>225.21599999999998</v>
      </c>
      <c r="F51" s="508">
        <f>Activity!$E52*Activity!$F52*Activity!J52</f>
        <v>23.184000000000001</v>
      </c>
      <c r="G51" s="508">
        <f>Activity!$E52*Activity!$F52*Activity!K52</f>
        <v>11.040000000000001</v>
      </c>
      <c r="H51" s="509">
        <f>Activity!$E52*Activity!$F52*Activity!L52</f>
        <v>0</v>
      </c>
      <c r="I51" s="509">
        <v>0</v>
      </c>
      <c r="J51" s="508">
        <f>Activity!E52*Activity!F52</f>
        <v>1104</v>
      </c>
      <c r="K51" s="508">
        <f>Activity!$E52*Activity!$F52*Activity!M52</f>
        <v>399.64799999999997</v>
      </c>
      <c r="L51" s="510">
        <f>Activity!V52</f>
        <v>500</v>
      </c>
    </row>
    <row r="52" spans="2:12">
      <c r="B52" s="7">
        <f t="shared" si="1"/>
        <v>1991</v>
      </c>
      <c r="C52" s="507">
        <f>Activity!$E53*Activity!$F53*Activity!G53</f>
        <v>444.91199999999998</v>
      </c>
      <c r="D52" s="508">
        <f>Activity!$E53*Activity!$F53*Activity!H53</f>
        <v>0</v>
      </c>
      <c r="E52" s="508">
        <f>Activity!$E53*Activity!$F53*Activity!I53</f>
        <v>225.21599999999998</v>
      </c>
      <c r="F52" s="508">
        <f>Activity!$E53*Activity!$F53*Activity!J53</f>
        <v>23.184000000000001</v>
      </c>
      <c r="G52" s="508">
        <f>Activity!$E53*Activity!$F53*Activity!K53</f>
        <v>11.040000000000001</v>
      </c>
      <c r="H52" s="509">
        <f>Activity!$E53*Activity!$F53*Activity!L53</f>
        <v>0</v>
      </c>
      <c r="I52" s="509">
        <v>0</v>
      </c>
      <c r="J52" s="508">
        <f>Activity!E53*Activity!F53</f>
        <v>1104</v>
      </c>
      <c r="K52" s="508">
        <f>Activity!$E53*Activity!$F53*Activity!M53</f>
        <v>399.64799999999997</v>
      </c>
      <c r="L52" s="510">
        <f>Activity!V53</f>
        <v>500</v>
      </c>
    </row>
    <row r="53" spans="2:12">
      <c r="B53" s="7">
        <f t="shared" si="1"/>
        <v>1992</v>
      </c>
      <c r="C53" s="507">
        <f>Activity!$E54*Activity!$F54*Activity!G54</f>
        <v>444.91199999999998</v>
      </c>
      <c r="D53" s="508">
        <f>Activity!$E54*Activity!$F54*Activity!H54</f>
        <v>0</v>
      </c>
      <c r="E53" s="508">
        <f>Activity!$E54*Activity!$F54*Activity!I54</f>
        <v>225.21599999999998</v>
      </c>
      <c r="F53" s="508">
        <f>Activity!$E54*Activity!$F54*Activity!J54</f>
        <v>23.184000000000001</v>
      </c>
      <c r="G53" s="508">
        <f>Activity!$E54*Activity!$F54*Activity!K54</f>
        <v>11.040000000000001</v>
      </c>
      <c r="H53" s="509">
        <f>Activity!$E54*Activity!$F54*Activity!L54</f>
        <v>0</v>
      </c>
      <c r="I53" s="509">
        <v>0</v>
      </c>
      <c r="J53" s="508">
        <f>Activity!E54*Activity!F54</f>
        <v>1104</v>
      </c>
      <c r="K53" s="508">
        <f>Activity!$E54*Activity!$F54*Activity!M54</f>
        <v>399.64799999999997</v>
      </c>
      <c r="L53" s="510">
        <f>Activity!V54</f>
        <v>500</v>
      </c>
    </row>
    <row r="54" spans="2:12">
      <c r="B54" s="7">
        <f t="shared" si="1"/>
        <v>1993</v>
      </c>
      <c r="C54" s="507">
        <f>Activity!$E55*Activity!$F55*Activity!G55</f>
        <v>444.91199999999998</v>
      </c>
      <c r="D54" s="508">
        <f>Activity!$E55*Activity!$F55*Activity!H55</f>
        <v>0</v>
      </c>
      <c r="E54" s="508">
        <f>Activity!$E55*Activity!$F55*Activity!I55</f>
        <v>225.21599999999998</v>
      </c>
      <c r="F54" s="508">
        <f>Activity!$E55*Activity!$F55*Activity!J55</f>
        <v>23.184000000000001</v>
      </c>
      <c r="G54" s="508">
        <f>Activity!$E55*Activity!$F55*Activity!K55</f>
        <v>11.040000000000001</v>
      </c>
      <c r="H54" s="509">
        <f>Activity!$E55*Activity!$F55*Activity!L55</f>
        <v>0</v>
      </c>
      <c r="I54" s="509">
        <v>0</v>
      </c>
      <c r="J54" s="508">
        <f>Activity!E55*Activity!F55</f>
        <v>1104</v>
      </c>
      <c r="K54" s="508">
        <f>Activity!$E55*Activity!$F55*Activity!M55</f>
        <v>399.64799999999997</v>
      </c>
      <c r="L54" s="510">
        <f>Activity!V55</f>
        <v>500</v>
      </c>
    </row>
    <row r="55" spans="2:12">
      <c r="B55" s="7">
        <f t="shared" si="1"/>
        <v>1994</v>
      </c>
      <c r="C55" s="507">
        <f>Activity!$E56*Activity!$F56*Activity!G56</f>
        <v>444.91199999999998</v>
      </c>
      <c r="D55" s="508">
        <f>Activity!$E56*Activity!$F56*Activity!H56</f>
        <v>0</v>
      </c>
      <c r="E55" s="508">
        <f>Activity!$E56*Activity!$F56*Activity!I56</f>
        <v>225.21599999999998</v>
      </c>
      <c r="F55" s="508">
        <f>Activity!$E56*Activity!$F56*Activity!J56</f>
        <v>23.184000000000001</v>
      </c>
      <c r="G55" s="508">
        <f>Activity!$E56*Activity!$F56*Activity!K56</f>
        <v>11.040000000000001</v>
      </c>
      <c r="H55" s="509">
        <f>Activity!$E56*Activity!$F56*Activity!L56</f>
        <v>0</v>
      </c>
      <c r="I55" s="509">
        <v>0</v>
      </c>
      <c r="J55" s="508">
        <f>Activity!E56*Activity!F56</f>
        <v>1104</v>
      </c>
      <c r="K55" s="508">
        <f>Activity!$E56*Activity!$F56*Activity!M56</f>
        <v>399.64799999999997</v>
      </c>
      <c r="L55" s="510">
        <f>Activity!V56</f>
        <v>500</v>
      </c>
    </row>
    <row r="56" spans="2:12">
      <c r="B56" s="7">
        <f t="shared" si="1"/>
        <v>1995</v>
      </c>
      <c r="C56" s="507">
        <f>Activity!$E57*Activity!$F57*Activity!G57</f>
        <v>444.91199999999998</v>
      </c>
      <c r="D56" s="508">
        <f>Activity!$E57*Activity!$F57*Activity!H57</f>
        <v>0</v>
      </c>
      <c r="E56" s="508">
        <f>Activity!$E57*Activity!$F57*Activity!I57</f>
        <v>225.21599999999998</v>
      </c>
      <c r="F56" s="508">
        <f>Activity!$E57*Activity!$F57*Activity!J57</f>
        <v>23.184000000000001</v>
      </c>
      <c r="G56" s="508">
        <f>Activity!$E57*Activity!$F57*Activity!K57</f>
        <v>11.040000000000001</v>
      </c>
      <c r="H56" s="509">
        <f>Activity!$E57*Activity!$F57*Activity!L57</f>
        <v>0</v>
      </c>
      <c r="I56" s="509">
        <v>0</v>
      </c>
      <c r="J56" s="508">
        <f>Activity!E57*Activity!F57</f>
        <v>1104</v>
      </c>
      <c r="K56" s="508">
        <f>Activity!$E57*Activity!$F57*Activity!M57</f>
        <v>399.64799999999997</v>
      </c>
      <c r="L56" s="510">
        <f>Activity!V57</f>
        <v>500</v>
      </c>
    </row>
    <row r="57" spans="2:12">
      <c r="B57" s="7">
        <f t="shared" si="1"/>
        <v>1996</v>
      </c>
      <c r="C57" s="507">
        <f>Activity!$E58*Activity!$F58*Activity!G58</f>
        <v>444.91199999999998</v>
      </c>
      <c r="D57" s="508">
        <f>Activity!$E58*Activity!$F58*Activity!H58</f>
        <v>0</v>
      </c>
      <c r="E57" s="508">
        <f>Activity!$E58*Activity!$F58*Activity!I58</f>
        <v>225.21599999999998</v>
      </c>
      <c r="F57" s="508">
        <f>Activity!$E58*Activity!$F58*Activity!J58</f>
        <v>23.184000000000001</v>
      </c>
      <c r="G57" s="508">
        <f>Activity!$E58*Activity!$F58*Activity!K58</f>
        <v>11.040000000000001</v>
      </c>
      <c r="H57" s="509">
        <f>Activity!$E58*Activity!$F58*Activity!L58</f>
        <v>0</v>
      </c>
      <c r="I57" s="509">
        <v>0</v>
      </c>
      <c r="J57" s="508">
        <f>Activity!E58*Activity!F58</f>
        <v>1104</v>
      </c>
      <c r="K57" s="508">
        <f>Activity!$E58*Activity!$F58*Activity!M58</f>
        <v>399.64799999999997</v>
      </c>
      <c r="L57" s="510">
        <f>Activity!V58</f>
        <v>500</v>
      </c>
    </row>
    <row r="58" spans="2:12">
      <c r="B58" s="7">
        <f t="shared" si="1"/>
        <v>1997</v>
      </c>
      <c r="C58" s="507">
        <f>Activity!$E59*Activity!$F59*Activity!G59</f>
        <v>444.91199999999998</v>
      </c>
      <c r="D58" s="508">
        <f>Activity!$E59*Activity!$F59*Activity!H59</f>
        <v>0</v>
      </c>
      <c r="E58" s="508">
        <f>Activity!$E59*Activity!$F59*Activity!I59</f>
        <v>225.21599999999998</v>
      </c>
      <c r="F58" s="508">
        <f>Activity!$E59*Activity!$F59*Activity!J59</f>
        <v>23.184000000000001</v>
      </c>
      <c r="G58" s="508">
        <f>Activity!$E59*Activity!$F59*Activity!K59</f>
        <v>11.040000000000001</v>
      </c>
      <c r="H58" s="509">
        <f>Activity!$E59*Activity!$F59*Activity!L59</f>
        <v>0</v>
      </c>
      <c r="I58" s="509">
        <v>0</v>
      </c>
      <c r="J58" s="508">
        <f>Activity!E59*Activity!F59</f>
        <v>1104</v>
      </c>
      <c r="K58" s="508">
        <f>Activity!$E59*Activity!$F59*Activity!M59</f>
        <v>399.64799999999997</v>
      </c>
      <c r="L58" s="510">
        <f>Activity!V59</f>
        <v>500</v>
      </c>
    </row>
    <row r="59" spans="2:12">
      <c r="B59" s="7">
        <f t="shared" si="1"/>
        <v>1998</v>
      </c>
      <c r="C59" s="507">
        <f>Activity!$E60*Activity!$F60*Activity!G60</f>
        <v>444.91199999999998</v>
      </c>
      <c r="D59" s="508">
        <f>Activity!$E60*Activity!$F60*Activity!H60</f>
        <v>0</v>
      </c>
      <c r="E59" s="508">
        <f>Activity!$E60*Activity!$F60*Activity!I60</f>
        <v>225.21599999999998</v>
      </c>
      <c r="F59" s="508">
        <f>Activity!$E60*Activity!$F60*Activity!J60</f>
        <v>23.184000000000001</v>
      </c>
      <c r="G59" s="508">
        <f>Activity!$E60*Activity!$F60*Activity!K60</f>
        <v>11.040000000000001</v>
      </c>
      <c r="H59" s="509">
        <f>Activity!$E60*Activity!$F60*Activity!L60</f>
        <v>0</v>
      </c>
      <c r="I59" s="509">
        <v>0</v>
      </c>
      <c r="J59" s="508">
        <f>Activity!E60*Activity!F60</f>
        <v>1104</v>
      </c>
      <c r="K59" s="508">
        <f>Activity!$E60*Activity!$F60*Activity!M60</f>
        <v>399.64799999999997</v>
      </c>
      <c r="L59" s="510">
        <f>Activity!V60</f>
        <v>500</v>
      </c>
    </row>
    <row r="60" spans="2:12">
      <c r="B60" s="7">
        <f t="shared" si="1"/>
        <v>1999</v>
      </c>
      <c r="C60" s="507">
        <f>Activity!$E61*Activity!$F61*Activity!G61</f>
        <v>444.91199999999998</v>
      </c>
      <c r="D60" s="508">
        <f>Activity!$E61*Activity!$F61*Activity!H61</f>
        <v>0</v>
      </c>
      <c r="E60" s="508">
        <f>Activity!$E61*Activity!$F61*Activity!I61</f>
        <v>225.21599999999998</v>
      </c>
      <c r="F60" s="508">
        <f>Activity!$E61*Activity!$F61*Activity!J61</f>
        <v>23.184000000000001</v>
      </c>
      <c r="G60" s="508">
        <f>Activity!$E61*Activity!$F61*Activity!K61</f>
        <v>11.040000000000001</v>
      </c>
      <c r="H60" s="509">
        <f>Activity!$E61*Activity!$F61*Activity!L61</f>
        <v>0</v>
      </c>
      <c r="I60" s="509">
        <v>0</v>
      </c>
      <c r="J60" s="508">
        <f>Activity!E61*Activity!F61</f>
        <v>1104</v>
      </c>
      <c r="K60" s="508">
        <f>Activity!$E61*Activity!$F61*Activity!M61</f>
        <v>399.64799999999997</v>
      </c>
      <c r="L60" s="510">
        <f>Activity!V61</f>
        <v>500</v>
      </c>
    </row>
    <row r="61" spans="2:12">
      <c r="B61" s="7">
        <f t="shared" si="1"/>
        <v>2000</v>
      </c>
      <c r="C61" s="507">
        <f>Activity!$E62*Activity!$F62*Activity!G62</f>
        <v>444.91199999999998</v>
      </c>
      <c r="D61" s="508">
        <f>Activity!$E62*Activity!$F62*Activity!H62</f>
        <v>0</v>
      </c>
      <c r="E61" s="508">
        <f>Activity!$E62*Activity!$F62*Activity!I62</f>
        <v>225.21599999999998</v>
      </c>
      <c r="F61" s="508">
        <f>Activity!$E62*Activity!$F62*Activity!J62</f>
        <v>23.184000000000001</v>
      </c>
      <c r="G61" s="508">
        <f>Activity!$E62*Activity!$F62*Activity!K62</f>
        <v>11.040000000000001</v>
      </c>
      <c r="H61" s="509">
        <f>Activity!$E62*Activity!$F62*Activity!L62</f>
        <v>0</v>
      </c>
      <c r="I61" s="509">
        <v>0</v>
      </c>
      <c r="J61" s="508">
        <f>Activity!E62*Activity!F62</f>
        <v>1104</v>
      </c>
      <c r="K61" s="508">
        <f>Activity!$E62*Activity!$F62*Activity!M62</f>
        <v>399.64799999999997</v>
      </c>
      <c r="L61" s="510">
        <f>Activity!V62</f>
        <v>500</v>
      </c>
    </row>
    <row r="62" spans="2:12">
      <c r="B62" s="7">
        <f t="shared" si="1"/>
        <v>2001</v>
      </c>
      <c r="C62" s="507">
        <f>Activity!$E63*Activity!$F63*Activity!G63</f>
        <v>444.91199999999998</v>
      </c>
      <c r="D62" s="508">
        <f>Activity!$E63*Activity!$F63*Activity!H63</f>
        <v>0</v>
      </c>
      <c r="E62" s="508">
        <f>Activity!$E63*Activity!$F63*Activity!I63</f>
        <v>225.21599999999998</v>
      </c>
      <c r="F62" s="508">
        <f>Activity!$E63*Activity!$F63*Activity!J63</f>
        <v>23.184000000000001</v>
      </c>
      <c r="G62" s="508">
        <f>Activity!$E63*Activity!$F63*Activity!K63</f>
        <v>11.040000000000001</v>
      </c>
      <c r="H62" s="509">
        <f>Activity!$E63*Activity!$F63*Activity!L63</f>
        <v>0</v>
      </c>
      <c r="I62" s="509">
        <v>0</v>
      </c>
      <c r="J62" s="508">
        <f>Activity!E63*Activity!F63</f>
        <v>1104</v>
      </c>
      <c r="K62" s="508">
        <f>Activity!$E63*Activity!$F63*Activity!M63</f>
        <v>399.64799999999997</v>
      </c>
      <c r="L62" s="510">
        <f>Activity!V63</f>
        <v>500</v>
      </c>
    </row>
    <row r="63" spans="2:12">
      <c r="B63" s="7">
        <f t="shared" si="1"/>
        <v>2002</v>
      </c>
      <c r="C63" s="507">
        <f>Activity!$E64*Activity!$F64*Activity!G64</f>
        <v>444.91199999999998</v>
      </c>
      <c r="D63" s="508">
        <f>Activity!$E64*Activity!$F64*Activity!H64</f>
        <v>0</v>
      </c>
      <c r="E63" s="508">
        <f>Activity!$E64*Activity!$F64*Activity!I64</f>
        <v>225.21599999999998</v>
      </c>
      <c r="F63" s="508">
        <f>Activity!$E64*Activity!$F64*Activity!J64</f>
        <v>23.184000000000001</v>
      </c>
      <c r="G63" s="508">
        <f>Activity!$E64*Activity!$F64*Activity!K64</f>
        <v>11.040000000000001</v>
      </c>
      <c r="H63" s="509">
        <f>Activity!$E64*Activity!$F64*Activity!L64</f>
        <v>0</v>
      </c>
      <c r="I63" s="509">
        <v>0</v>
      </c>
      <c r="J63" s="508">
        <f>Activity!E64*Activity!F64</f>
        <v>1104</v>
      </c>
      <c r="K63" s="508">
        <f>Activity!$E64*Activity!$F64*Activity!M64</f>
        <v>399.64799999999997</v>
      </c>
      <c r="L63" s="510">
        <f>Activity!V64</f>
        <v>500</v>
      </c>
    </row>
    <row r="64" spans="2:12">
      <c r="B64" s="7">
        <f t="shared" si="1"/>
        <v>2003</v>
      </c>
      <c r="C64" s="507">
        <f>Activity!$E65*Activity!$F65*Activity!G65</f>
        <v>444.91199999999998</v>
      </c>
      <c r="D64" s="508">
        <f>Activity!$E65*Activity!$F65*Activity!H65</f>
        <v>0</v>
      </c>
      <c r="E64" s="508">
        <f>Activity!$E65*Activity!$F65*Activity!I65</f>
        <v>225.21599999999998</v>
      </c>
      <c r="F64" s="508">
        <f>Activity!$E65*Activity!$F65*Activity!J65</f>
        <v>23.184000000000001</v>
      </c>
      <c r="G64" s="508">
        <f>Activity!$E65*Activity!$F65*Activity!K65</f>
        <v>11.040000000000001</v>
      </c>
      <c r="H64" s="509">
        <f>Activity!$E65*Activity!$F65*Activity!L65</f>
        <v>0</v>
      </c>
      <c r="I64" s="509">
        <v>0</v>
      </c>
      <c r="J64" s="508">
        <f>Activity!E65*Activity!F65</f>
        <v>1104</v>
      </c>
      <c r="K64" s="508">
        <f>Activity!$E65*Activity!$F65*Activity!M65</f>
        <v>399.64799999999997</v>
      </c>
      <c r="L64" s="510">
        <f>Activity!V65</f>
        <v>500</v>
      </c>
    </row>
    <row r="65" spans="2:12">
      <c r="B65" s="7">
        <f t="shared" si="1"/>
        <v>2004</v>
      </c>
      <c r="C65" s="507">
        <f>Activity!$E66*Activity!$F66*Activity!G66</f>
        <v>444.91199999999998</v>
      </c>
      <c r="D65" s="508">
        <f>Activity!$E66*Activity!$F66*Activity!H66</f>
        <v>0</v>
      </c>
      <c r="E65" s="508">
        <f>Activity!$E66*Activity!$F66*Activity!I66</f>
        <v>225.21599999999998</v>
      </c>
      <c r="F65" s="508">
        <f>Activity!$E66*Activity!$F66*Activity!J66</f>
        <v>23.184000000000001</v>
      </c>
      <c r="G65" s="508">
        <f>Activity!$E66*Activity!$F66*Activity!K66</f>
        <v>11.040000000000001</v>
      </c>
      <c r="H65" s="509">
        <f>Activity!$E66*Activity!$F66*Activity!L66</f>
        <v>0</v>
      </c>
      <c r="I65" s="509">
        <v>0</v>
      </c>
      <c r="J65" s="508">
        <f>Activity!E66*Activity!F66</f>
        <v>1104</v>
      </c>
      <c r="K65" s="508">
        <f>Activity!$E66*Activity!$F66*Activity!M66</f>
        <v>399.64799999999997</v>
      </c>
      <c r="L65" s="510">
        <f>Activity!V66</f>
        <v>500</v>
      </c>
    </row>
    <row r="66" spans="2:12">
      <c r="B66" s="7">
        <f t="shared" si="1"/>
        <v>2005</v>
      </c>
      <c r="C66" s="507">
        <f>Activity!$E67*Activity!$F67*Activity!G67</f>
        <v>444.91199999999998</v>
      </c>
      <c r="D66" s="508">
        <f>Activity!$E67*Activity!$F67*Activity!H67</f>
        <v>0</v>
      </c>
      <c r="E66" s="508">
        <f>Activity!$E67*Activity!$F67*Activity!I67</f>
        <v>225.21599999999998</v>
      </c>
      <c r="F66" s="508">
        <f>Activity!$E67*Activity!$F67*Activity!J67</f>
        <v>23.184000000000001</v>
      </c>
      <c r="G66" s="508">
        <f>Activity!$E67*Activity!$F67*Activity!K67</f>
        <v>11.040000000000001</v>
      </c>
      <c r="H66" s="509">
        <f>Activity!$E67*Activity!$F67*Activity!L67</f>
        <v>0</v>
      </c>
      <c r="I66" s="509">
        <v>0</v>
      </c>
      <c r="J66" s="508">
        <f>Activity!E67*Activity!F67</f>
        <v>1104</v>
      </c>
      <c r="K66" s="508">
        <f>Activity!$E67*Activity!$F67*Activity!M67</f>
        <v>399.64799999999997</v>
      </c>
      <c r="L66" s="510">
        <f>Activity!V67</f>
        <v>500</v>
      </c>
    </row>
    <row r="67" spans="2:12">
      <c r="B67" s="7">
        <f t="shared" si="1"/>
        <v>2006</v>
      </c>
      <c r="C67" s="507">
        <f>Activity!$E68*Activity!$F68*Activity!G68</f>
        <v>444.91199999999998</v>
      </c>
      <c r="D67" s="508">
        <f>Activity!$E68*Activity!$F68*Activity!H68</f>
        <v>0</v>
      </c>
      <c r="E67" s="508">
        <f>Activity!$E68*Activity!$F68*Activity!I68</f>
        <v>225.21599999999998</v>
      </c>
      <c r="F67" s="508">
        <f>Activity!$E68*Activity!$F68*Activity!J68</f>
        <v>23.184000000000001</v>
      </c>
      <c r="G67" s="508">
        <f>Activity!$E68*Activity!$F68*Activity!K68</f>
        <v>11.040000000000001</v>
      </c>
      <c r="H67" s="509">
        <f>Activity!$E68*Activity!$F68*Activity!L68</f>
        <v>0</v>
      </c>
      <c r="I67" s="509">
        <v>0</v>
      </c>
      <c r="J67" s="508">
        <f>Activity!E68*Activity!F68</f>
        <v>1104</v>
      </c>
      <c r="K67" s="508">
        <f>Activity!$E68*Activity!$F68*Activity!M68</f>
        <v>399.64799999999997</v>
      </c>
      <c r="L67" s="510">
        <f>Activity!V68</f>
        <v>500</v>
      </c>
    </row>
    <row r="68" spans="2:12">
      <c r="B68" s="7">
        <f t="shared" si="1"/>
        <v>2007</v>
      </c>
      <c r="C68" s="507">
        <f>Activity!$E69*Activity!$F69*Activity!G69</f>
        <v>444.91199999999998</v>
      </c>
      <c r="D68" s="508">
        <f>Activity!$E69*Activity!$F69*Activity!H69</f>
        <v>0</v>
      </c>
      <c r="E68" s="508">
        <f>Activity!$E69*Activity!$F69*Activity!I69</f>
        <v>225.21599999999998</v>
      </c>
      <c r="F68" s="508">
        <f>Activity!$E69*Activity!$F69*Activity!J69</f>
        <v>23.184000000000001</v>
      </c>
      <c r="G68" s="508">
        <f>Activity!$E69*Activity!$F69*Activity!K69</f>
        <v>11.040000000000001</v>
      </c>
      <c r="H68" s="509">
        <f>Activity!$E69*Activity!$F69*Activity!L69</f>
        <v>0</v>
      </c>
      <c r="I68" s="509">
        <v>0</v>
      </c>
      <c r="J68" s="508">
        <f>Activity!E69*Activity!F69</f>
        <v>1104</v>
      </c>
      <c r="K68" s="508">
        <f>Activity!$E69*Activity!$F69*Activity!M69</f>
        <v>399.64799999999997</v>
      </c>
      <c r="L68" s="510">
        <f>Activity!V69</f>
        <v>500</v>
      </c>
    </row>
    <row r="69" spans="2:12">
      <c r="B69" s="7">
        <f t="shared" si="1"/>
        <v>2008</v>
      </c>
      <c r="C69" s="507">
        <f>Activity!$E70*Activity!$F70*Activity!G70</f>
        <v>444.91199999999998</v>
      </c>
      <c r="D69" s="508">
        <f>Activity!$E70*Activity!$F70*Activity!H70</f>
        <v>0</v>
      </c>
      <c r="E69" s="508">
        <f>Activity!$E70*Activity!$F70*Activity!I70</f>
        <v>225.21599999999998</v>
      </c>
      <c r="F69" s="508">
        <f>Activity!$E70*Activity!$F70*Activity!J70</f>
        <v>23.184000000000001</v>
      </c>
      <c r="G69" s="508">
        <f>Activity!$E70*Activity!$F70*Activity!K70</f>
        <v>11.040000000000001</v>
      </c>
      <c r="H69" s="509">
        <f>Activity!$E70*Activity!$F70*Activity!L70</f>
        <v>0</v>
      </c>
      <c r="I69" s="509">
        <v>0</v>
      </c>
      <c r="J69" s="508">
        <f>Activity!E70*Activity!F70</f>
        <v>1104</v>
      </c>
      <c r="K69" s="508">
        <f>Activity!$E70*Activity!$F70*Activity!M70</f>
        <v>399.64799999999997</v>
      </c>
      <c r="L69" s="510">
        <f>Activity!V70</f>
        <v>500</v>
      </c>
    </row>
    <row r="70" spans="2:12">
      <c r="B70" s="7">
        <f t="shared" si="1"/>
        <v>2009</v>
      </c>
      <c r="C70" s="507">
        <f>Activity!$E71*Activity!$F71*Activity!G71</f>
        <v>444.91199999999998</v>
      </c>
      <c r="D70" s="508">
        <f>Activity!$E71*Activity!$F71*Activity!H71</f>
        <v>0</v>
      </c>
      <c r="E70" s="508">
        <f>Activity!$E71*Activity!$F71*Activity!I71</f>
        <v>225.21599999999998</v>
      </c>
      <c r="F70" s="508">
        <f>Activity!$E71*Activity!$F71*Activity!J71</f>
        <v>23.184000000000001</v>
      </c>
      <c r="G70" s="508">
        <f>Activity!$E71*Activity!$F71*Activity!K71</f>
        <v>11.040000000000001</v>
      </c>
      <c r="H70" s="509">
        <f>Activity!$E71*Activity!$F71*Activity!L71</f>
        <v>0</v>
      </c>
      <c r="I70" s="509">
        <v>0</v>
      </c>
      <c r="J70" s="508">
        <f>Activity!E71*Activity!F71</f>
        <v>1104</v>
      </c>
      <c r="K70" s="508">
        <f>Activity!$E71*Activity!$F71*Activity!M71</f>
        <v>399.64799999999997</v>
      </c>
      <c r="L70" s="510">
        <f>Activity!V71</f>
        <v>500</v>
      </c>
    </row>
    <row r="71" spans="2:12">
      <c r="B71" s="7">
        <f t="shared" si="1"/>
        <v>2010</v>
      </c>
      <c r="C71" s="507">
        <f>Activity!$E72*Activity!$F72*Activity!G72</f>
        <v>444.91199999999998</v>
      </c>
      <c r="D71" s="508">
        <f>Activity!$E72*Activity!$F72*Activity!H72</f>
        <v>0</v>
      </c>
      <c r="E71" s="508">
        <f>Activity!$E72*Activity!$F72*Activity!I72</f>
        <v>225.21599999999998</v>
      </c>
      <c r="F71" s="508">
        <f>Activity!$E72*Activity!$F72*Activity!J72</f>
        <v>23.184000000000001</v>
      </c>
      <c r="G71" s="508">
        <f>Activity!$E72*Activity!$F72*Activity!K72</f>
        <v>11.040000000000001</v>
      </c>
      <c r="H71" s="509">
        <f>Activity!$E72*Activity!$F72*Activity!L72</f>
        <v>0</v>
      </c>
      <c r="I71" s="509">
        <v>0</v>
      </c>
      <c r="J71" s="508">
        <f>Activity!E72*Activity!F72</f>
        <v>1104</v>
      </c>
      <c r="K71" s="508">
        <f>Activity!$E72*Activity!$F72*Activity!M72</f>
        <v>399.64799999999997</v>
      </c>
      <c r="L71" s="510">
        <f>Activity!V72</f>
        <v>500</v>
      </c>
    </row>
    <row r="72" spans="2:12">
      <c r="B72" s="7">
        <f t="shared" si="1"/>
        <v>2011</v>
      </c>
      <c r="C72" s="507">
        <f>Activity!$E73*Activity!$F73*Activity!G73</f>
        <v>444.91199999999998</v>
      </c>
      <c r="D72" s="508">
        <f>Activity!$E73*Activity!$F73*Activity!H73</f>
        <v>0</v>
      </c>
      <c r="E72" s="508">
        <f>Activity!$E73*Activity!$F73*Activity!I73</f>
        <v>225.21599999999998</v>
      </c>
      <c r="F72" s="508">
        <f>Activity!$E73*Activity!$F73*Activity!J73</f>
        <v>23.184000000000001</v>
      </c>
      <c r="G72" s="508">
        <f>Activity!$E73*Activity!$F73*Activity!K73</f>
        <v>11.040000000000001</v>
      </c>
      <c r="H72" s="509">
        <f>Activity!$E73*Activity!$F73*Activity!L73</f>
        <v>0</v>
      </c>
      <c r="I72" s="509">
        <v>0</v>
      </c>
      <c r="J72" s="508">
        <f>Activity!E73*Activity!F73</f>
        <v>1104</v>
      </c>
      <c r="K72" s="508">
        <f>Activity!$E73*Activity!$F73*Activity!M73</f>
        <v>399.64799999999997</v>
      </c>
      <c r="L72" s="510">
        <f>Activity!V73</f>
        <v>500</v>
      </c>
    </row>
    <row r="73" spans="2:12">
      <c r="B73" s="7">
        <f t="shared" si="1"/>
        <v>2012</v>
      </c>
      <c r="C73" s="507">
        <f>Activity!$E74*Activity!$F74*Activity!G74</f>
        <v>444.91199999999998</v>
      </c>
      <c r="D73" s="508">
        <f>Activity!$E74*Activity!$F74*Activity!H74</f>
        <v>0</v>
      </c>
      <c r="E73" s="508">
        <f>Activity!$E74*Activity!$F74*Activity!I74</f>
        <v>225.21599999999998</v>
      </c>
      <c r="F73" s="508">
        <f>Activity!$E74*Activity!$F74*Activity!J74</f>
        <v>23.184000000000001</v>
      </c>
      <c r="G73" s="508">
        <f>Activity!$E74*Activity!$F74*Activity!K74</f>
        <v>11.040000000000001</v>
      </c>
      <c r="H73" s="509">
        <f>Activity!$E74*Activity!$F74*Activity!L74</f>
        <v>0</v>
      </c>
      <c r="I73" s="509">
        <v>0</v>
      </c>
      <c r="J73" s="508">
        <f>Activity!E74*Activity!F74</f>
        <v>1104</v>
      </c>
      <c r="K73" s="508">
        <f>Activity!$E74*Activity!$F74*Activity!M74</f>
        <v>399.64799999999997</v>
      </c>
      <c r="L73" s="510">
        <f>Activity!V74</f>
        <v>500</v>
      </c>
    </row>
    <row r="74" spans="2:12">
      <c r="B74" s="7">
        <f t="shared" si="1"/>
        <v>2013</v>
      </c>
      <c r="C74" s="507">
        <f>Activity!$E75*Activity!$F75*Activity!G75</f>
        <v>444.91199999999998</v>
      </c>
      <c r="D74" s="508">
        <f>Activity!$E75*Activity!$F75*Activity!H75</f>
        <v>0</v>
      </c>
      <c r="E74" s="508">
        <f>Activity!$E75*Activity!$F75*Activity!I75</f>
        <v>225.21599999999998</v>
      </c>
      <c r="F74" s="508">
        <f>Activity!$E75*Activity!$F75*Activity!J75</f>
        <v>23.184000000000001</v>
      </c>
      <c r="G74" s="508">
        <f>Activity!$E75*Activity!$F75*Activity!K75</f>
        <v>11.040000000000001</v>
      </c>
      <c r="H74" s="509">
        <f>Activity!$E75*Activity!$F75*Activity!L75</f>
        <v>0</v>
      </c>
      <c r="I74" s="509">
        <v>0</v>
      </c>
      <c r="J74" s="508">
        <f>Activity!E75*Activity!F75</f>
        <v>1104</v>
      </c>
      <c r="K74" s="508">
        <f>Activity!$E75*Activity!$F75*Activity!M75</f>
        <v>399.64799999999997</v>
      </c>
      <c r="L74" s="510">
        <f>Activity!V75</f>
        <v>500</v>
      </c>
    </row>
    <row r="75" spans="2:12">
      <c r="B75" s="7">
        <f t="shared" si="1"/>
        <v>2014</v>
      </c>
      <c r="C75" s="507">
        <f>Activity!$E76*Activity!$F76*Activity!G76</f>
        <v>444.91199999999998</v>
      </c>
      <c r="D75" s="508">
        <f>Activity!$E76*Activity!$F76*Activity!H76</f>
        <v>0</v>
      </c>
      <c r="E75" s="508">
        <f>Activity!$E76*Activity!$F76*Activity!I76</f>
        <v>225.21599999999998</v>
      </c>
      <c r="F75" s="508">
        <f>Activity!$E76*Activity!$F76*Activity!J76</f>
        <v>23.184000000000001</v>
      </c>
      <c r="G75" s="508">
        <f>Activity!$E76*Activity!$F76*Activity!K76</f>
        <v>11.040000000000001</v>
      </c>
      <c r="H75" s="509">
        <f>Activity!$E76*Activity!$F76*Activity!L76</f>
        <v>0</v>
      </c>
      <c r="I75" s="509">
        <v>0</v>
      </c>
      <c r="J75" s="508">
        <f>Activity!E76*Activity!F76</f>
        <v>1104</v>
      </c>
      <c r="K75" s="508">
        <f>Activity!$E76*Activity!$F76*Activity!M76</f>
        <v>399.64799999999997</v>
      </c>
      <c r="L75" s="510">
        <f>Activity!V76</f>
        <v>500</v>
      </c>
    </row>
    <row r="76" spans="2:12">
      <c r="B76" s="7">
        <f t="shared" si="1"/>
        <v>2015</v>
      </c>
      <c r="C76" s="507">
        <f>Activity!$E77*Activity!$F77*Activity!G77</f>
        <v>444.91199999999998</v>
      </c>
      <c r="D76" s="508">
        <f>Activity!$E77*Activity!$F77*Activity!H77</f>
        <v>0</v>
      </c>
      <c r="E76" s="508">
        <f>Activity!$E77*Activity!$F77*Activity!I77</f>
        <v>225.21599999999998</v>
      </c>
      <c r="F76" s="508">
        <f>Activity!$E77*Activity!$F77*Activity!J77</f>
        <v>23.184000000000001</v>
      </c>
      <c r="G76" s="508">
        <f>Activity!$E77*Activity!$F77*Activity!K77</f>
        <v>11.040000000000001</v>
      </c>
      <c r="H76" s="509">
        <f>Activity!$E77*Activity!$F77*Activity!L77</f>
        <v>0</v>
      </c>
      <c r="I76" s="509">
        <v>0</v>
      </c>
      <c r="J76" s="508">
        <f>Activity!E77*Activity!F77</f>
        <v>1104</v>
      </c>
      <c r="K76" s="508">
        <f>Activity!$E77*Activity!$F77*Activity!M77</f>
        <v>399.64799999999997</v>
      </c>
      <c r="L76" s="510">
        <f>Activity!V77</f>
        <v>500</v>
      </c>
    </row>
    <row r="77" spans="2:12">
      <c r="B77" s="7">
        <f t="shared" si="1"/>
        <v>2016</v>
      </c>
      <c r="C77" s="507">
        <f>Activity!$E78*Activity!$F78*Activity!G78</f>
        <v>444.91199999999998</v>
      </c>
      <c r="D77" s="508">
        <f>Activity!$E78*Activity!$F78*Activity!H78</f>
        <v>0</v>
      </c>
      <c r="E77" s="508">
        <f>Activity!$E78*Activity!$F78*Activity!I78</f>
        <v>225.21599999999998</v>
      </c>
      <c r="F77" s="508">
        <f>Activity!$E78*Activity!$F78*Activity!J78</f>
        <v>23.184000000000001</v>
      </c>
      <c r="G77" s="508">
        <f>Activity!$E78*Activity!$F78*Activity!K78</f>
        <v>11.040000000000001</v>
      </c>
      <c r="H77" s="509">
        <f>Activity!$E78*Activity!$F78*Activity!L78</f>
        <v>0</v>
      </c>
      <c r="I77" s="509">
        <v>0</v>
      </c>
      <c r="J77" s="508">
        <f>Activity!E78*Activity!F78</f>
        <v>1104</v>
      </c>
      <c r="K77" s="508">
        <f>Activity!$E78*Activity!$F78*Activity!M78</f>
        <v>399.64799999999997</v>
      </c>
      <c r="L77" s="510">
        <f>Activity!V78</f>
        <v>500</v>
      </c>
    </row>
    <row r="78" spans="2:12">
      <c r="B78" s="7">
        <f t="shared" si="1"/>
        <v>2017</v>
      </c>
      <c r="C78" s="507">
        <f>Activity!$E79*Activity!$F79*Activity!G79</f>
        <v>444.91199999999998</v>
      </c>
      <c r="D78" s="508">
        <f>Activity!$E79*Activity!$F79*Activity!H79</f>
        <v>0</v>
      </c>
      <c r="E78" s="508">
        <f>Activity!$E79*Activity!$F79*Activity!I79</f>
        <v>225.21599999999998</v>
      </c>
      <c r="F78" s="508">
        <f>Activity!$E79*Activity!$F79*Activity!J79</f>
        <v>23.184000000000001</v>
      </c>
      <c r="G78" s="508">
        <f>Activity!$E79*Activity!$F79*Activity!K79</f>
        <v>11.040000000000001</v>
      </c>
      <c r="H78" s="509">
        <f>Activity!$E79*Activity!$F79*Activity!L79</f>
        <v>0</v>
      </c>
      <c r="I78" s="509">
        <v>0</v>
      </c>
      <c r="J78" s="508">
        <f>Activity!E79*Activity!F79</f>
        <v>1104</v>
      </c>
      <c r="K78" s="508">
        <f>Activity!$E79*Activity!$F79*Activity!M79</f>
        <v>399.64799999999997</v>
      </c>
      <c r="L78" s="510">
        <f>Activity!V79</f>
        <v>500</v>
      </c>
    </row>
    <row r="79" spans="2:12">
      <c r="B79" s="7">
        <f t="shared" si="1"/>
        <v>2018</v>
      </c>
      <c r="C79" s="507">
        <f>Activity!$E80*Activity!$F80*Activity!G80</f>
        <v>444.91199999999998</v>
      </c>
      <c r="D79" s="508">
        <f>Activity!$E80*Activity!$F80*Activity!H80</f>
        <v>0</v>
      </c>
      <c r="E79" s="508">
        <f>Activity!$E80*Activity!$F80*Activity!I80</f>
        <v>225.21599999999998</v>
      </c>
      <c r="F79" s="508">
        <f>Activity!$E80*Activity!$F80*Activity!J80</f>
        <v>23.184000000000001</v>
      </c>
      <c r="G79" s="508">
        <f>Activity!$E80*Activity!$F80*Activity!K80</f>
        <v>11.040000000000001</v>
      </c>
      <c r="H79" s="509">
        <f>Activity!$E80*Activity!$F80*Activity!L80</f>
        <v>0</v>
      </c>
      <c r="I79" s="509">
        <v>0</v>
      </c>
      <c r="J79" s="508">
        <f>Activity!E80*Activity!F80</f>
        <v>1104</v>
      </c>
      <c r="K79" s="508">
        <f>Activity!$E80*Activity!$F80*Activity!M80</f>
        <v>399.64799999999997</v>
      </c>
      <c r="L79" s="510">
        <f>Activity!V80</f>
        <v>500</v>
      </c>
    </row>
    <row r="80" spans="2:12">
      <c r="B80" s="7">
        <f t="shared" si="1"/>
        <v>2019</v>
      </c>
      <c r="C80" s="507">
        <f>Activity!$E81*Activity!$F81*Activity!G81</f>
        <v>444.91199999999998</v>
      </c>
      <c r="D80" s="508">
        <f>Activity!$E81*Activity!$F81*Activity!H81</f>
        <v>0</v>
      </c>
      <c r="E80" s="508">
        <f>Activity!$E81*Activity!$F81*Activity!I81</f>
        <v>225.21599999999998</v>
      </c>
      <c r="F80" s="508">
        <f>Activity!$E81*Activity!$F81*Activity!J81</f>
        <v>23.184000000000001</v>
      </c>
      <c r="G80" s="508">
        <f>Activity!$E81*Activity!$F81*Activity!K81</f>
        <v>11.040000000000001</v>
      </c>
      <c r="H80" s="509">
        <f>Activity!$E81*Activity!$F81*Activity!L81</f>
        <v>0</v>
      </c>
      <c r="I80" s="509">
        <v>0</v>
      </c>
      <c r="J80" s="508">
        <f>Activity!E81*Activity!F81</f>
        <v>1104</v>
      </c>
      <c r="K80" s="508">
        <f>Activity!$E81*Activity!$F81*Activity!M81</f>
        <v>399.64799999999997</v>
      </c>
      <c r="L80" s="510">
        <f>Activity!V81</f>
        <v>500</v>
      </c>
    </row>
    <row r="81" spans="2:12">
      <c r="B81" s="7">
        <f t="shared" si="1"/>
        <v>2020</v>
      </c>
      <c r="C81" s="507">
        <f>Activity!$E82*Activity!$F82*Activity!G82</f>
        <v>444.91199999999998</v>
      </c>
      <c r="D81" s="508">
        <f>Activity!$E82*Activity!$F82*Activity!H82</f>
        <v>0</v>
      </c>
      <c r="E81" s="508">
        <f>Activity!$E82*Activity!$F82*Activity!I82</f>
        <v>225.21599999999998</v>
      </c>
      <c r="F81" s="508">
        <f>Activity!$E82*Activity!$F82*Activity!J82</f>
        <v>23.184000000000001</v>
      </c>
      <c r="G81" s="508">
        <f>Activity!$E82*Activity!$F82*Activity!K82</f>
        <v>11.040000000000001</v>
      </c>
      <c r="H81" s="509">
        <f>Activity!$E82*Activity!$F82*Activity!L82</f>
        <v>0</v>
      </c>
      <c r="I81" s="509">
        <v>0</v>
      </c>
      <c r="J81" s="508">
        <f>Activity!E82*Activity!F82</f>
        <v>1104</v>
      </c>
      <c r="K81" s="508">
        <f>Activity!$E82*Activity!$F82*Activity!M82</f>
        <v>399.64799999999997</v>
      </c>
      <c r="L81" s="510">
        <f>Activity!V82</f>
        <v>500</v>
      </c>
    </row>
    <row r="82" spans="2:12">
      <c r="B82" s="7">
        <f t="shared" si="1"/>
        <v>2021</v>
      </c>
      <c r="C82" s="507">
        <f>Activity!$E83*Activity!$F83*Activity!G83</f>
        <v>444.91199999999998</v>
      </c>
      <c r="D82" s="508">
        <f>Activity!$E83*Activity!$F83*Activity!H83</f>
        <v>0</v>
      </c>
      <c r="E82" s="508">
        <f>Activity!$E83*Activity!$F83*Activity!I83</f>
        <v>225.21599999999998</v>
      </c>
      <c r="F82" s="508">
        <f>Activity!$E83*Activity!$F83*Activity!J83</f>
        <v>23.184000000000001</v>
      </c>
      <c r="G82" s="508">
        <f>Activity!$E83*Activity!$F83*Activity!K83</f>
        <v>11.040000000000001</v>
      </c>
      <c r="H82" s="509">
        <f>Activity!$E83*Activity!$F83*Activity!L83</f>
        <v>0</v>
      </c>
      <c r="I82" s="509">
        <v>0</v>
      </c>
      <c r="J82" s="508">
        <f>Activity!E83*Activity!F83</f>
        <v>1104</v>
      </c>
      <c r="K82" s="508">
        <f>Activity!$E83*Activity!$F83*Activity!M83</f>
        <v>399.64799999999997</v>
      </c>
      <c r="L82" s="510">
        <f>Activity!V83</f>
        <v>500</v>
      </c>
    </row>
    <row r="83" spans="2:12">
      <c r="B83" s="7">
        <f t="shared" ref="B83:B91" si="2">B82+1</f>
        <v>2022</v>
      </c>
      <c r="C83" s="507">
        <f>Activity!$E84*Activity!$F84*Activity!G84</f>
        <v>444.91199999999998</v>
      </c>
      <c r="D83" s="508">
        <f>Activity!$E84*Activity!$F84*Activity!H84</f>
        <v>0</v>
      </c>
      <c r="E83" s="508">
        <f>Activity!$E84*Activity!$F84*Activity!I84</f>
        <v>225.21599999999998</v>
      </c>
      <c r="F83" s="508">
        <f>Activity!$E84*Activity!$F84*Activity!J84</f>
        <v>23.184000000000001</v>
      </c>
      <c r="G83" s="508">
        <f>Activity!$E84*Activity!$F84*Activity!K84</f>
        <v>11.040000000000001</v>
      </c>
      <c r="H83" s="509">
        <f>Activity!$E84*Activity!$F84*Activity!L84</f>
        <v>0</v>
      </c>
      <c r="I83" s="509">
        <v>0</v>
      </c>
      <c r="J83" s="508">
        <f>Activity!E84*Activity!F84</f>
        <v>1104</v>
      </c>
      <c r="K83" s="508">
        <f>Activity!$E84*Activity!$F84*Activity!M84</f>
        <v>399.64799999999997</v>
      </c>
      <c r="L83" s="510">
        <f>Activity!V84</f>
        <v>500</v>
      </c>
    </row>
    <row r="84" spans="2:12">
      <c r="B84" s="7">
        <f t="shared" si="2"/>
        <v>2023</v>
      </c>
      <c r="C84" s="507">
        <f>Activity!$E85*Activity!$F85*Activity!G85</f>
        <v>444.91199999999998</v>
      </c>
      <c r="D84" s="508">
        <f>Activity!$E85*Activity!$F85*Activity!H85</f>
        <v>0</v>
      </c>
      <c r="E84" s="508">
        <f>Activity!$E85*Activity!$F85*Activity!I85</f>
        <v>225.21599999999998</v>
      </c>
      <c r="F84" s="508">
        <f>Activity!$E85*Activity!$F85*Activity!J85</f>
        <v>23.184000000000001</v>
      </c>
      <c r="G84" s="508">
        <f>Activity!$E85*Activity!$F85*Activity!K85</f>
        <v>11.040000000000001</v>
      </c>
      <c r="H84" s="509">
        <f>Activity!$E85*Activity!$F85*Activity!L85</f>
        <v>0</v>
      </c>
      <c r="I84" s="509">
        <v>0</v>
      </c>
      <c r="J84" s="508">
        <f>Activity!E85*Activity!F85</f>
        <v>1104</v>
      </c>
      <c r="K84" s="508">
        <f>Activity!$E85*Activity!$F85*Activity!M85</f>
        <v>399.64799999999997</v>
      </c>
      <c r="L84" s="510">
        <f>Activity!V85</f>
        <v>500</v>
      </c>
    </row>
    <row r="85" spans="2:12">
      <c r="B85" s="7">
        <f t="shared" si="2"/>
        <v>2024</v>
      </c>
      <c r="C85" s="507">
        <f>Activity!$E86*Activity!$F86*Activity!G86</f>
        <v>444.91199999999998</v>
      </c>
      <c r="D85" s="508">
        <f>Activity!$E86*Activity!$F86*Activity!H86</f>
        <v>0</v>
      </c>
      <c r="E85" s="508">
        <f>Activity!$E86*Activity!$F86*Activity!I86</f>
        <v>225.21599999999998</v>
      </c>
      <c r="F85" s="508">
        <f>Activity!$E86*Activity!$F86*Activity!J86</f>
        <v>23.184000000000001</v>
      </c>
      <c r="G85" s="508">
        <f>Activity!$E86*Activity!$F86*Activity!K86</f>
        <v>11.040000000000001</v>
      </c>
      <c r="H85" s="509">
        <f>Activity!$E86*Activity!$F86*Activity!L86</f>
        <v>0</v>
      </c>
      <c r="I85" s="509">
        <v>0</v>
      </c>
      <c r="J85" s="508">
        <f>Activity!E86*Activity!F86</f>
        <v>1104</v>
      </c>
      <c r="K85" s="508">
        <f>Activity!$E86*Activity!$F86*Activity!M86</f>
        <v>399.64799999999997</v>
      </c>
      <c r="L85" s="510">
        <f>Activity!V86</f>
        <v>500</v>
      </c>
    </row>
    <row r="86" spans="2:12">
      <c r="B86" s="7">
        <f t="shared" si="2"/>
        <v>2025</v>
      </c>
      <c r="C86" s="507">
        <f>Activity!$E87*Activity!$F87*Activity!G87</f>
        <v>444.91199999999998</v>
      </c>
      <c r="D86" s="508">
        <f>Activity!$E87*Activity!$F87*Activity!H87</f>
        <v>0</v>
      </c>
      <c r="E86" s="508">
        <f>Activity!$E87*Activity!$F87*Activity!I87</f>
        <v>225.21599999999998</v>
      </c>
      <c r="F86" s="508">
        <f>Activity!$E87*Activity!$F87*Activity!J87</f>
        <v>23.184000000000001</v>
      </c>
      <c r="G86" s="508">
        <f>Activity!$E87*Activity!$F87*Activity!K87</f>
        <v>11.040000000000001</v>
      </c>
      <c r="H86" s="509">
        <f>Activity!$E87*Activity!$F87*Activity!L87</f>
        <v>0</v>
      </c>
      <c r="I86" s="509">
        <v>0</v>
      </c>
      <c r="J86" s="508">
        <f>Activity!E87*Activity!F87</f>
        <v>1104</v>
      </c>
      <c r="K86" s="508">
        <f>Activity!$E87*Activity!$F87*Activity!M87</f>
        <v>399.64799999999997</v>
      </c>
      <c r="L86" s="510">
        <f>Activity!V87</f>
        <v>500</v>
      </c>
    </row>
    <row r="87" spans="2:12">
      <c r="B87" s="7">
        <f t="shared" si="2"/>
        <v>2026</v>
      </c>
      <c r="C87" s="507">
        <f>Activity!$E88*Activity!$F88*Activity!G88</f>
        <v>444.91199999999998</v>
      </c>
      <c r="D87" s="508">
        <f>Activity!$E88*Activity!$F88*Activity!H88</f>
        <v>0</v>
      </c>
      <c r="E87" s="508">
        <f>Activity!$E88*Activity!$F88*Activity!I88</f>
        <v>225.21599999999998</v>
      </c>
      <c r="F87" s="508">
        <f>Activity!$E88*Activity!$F88*Activity!J88</f>
        <v>23.184000000000001</v>
      </c>
      <c r="G87" s="508">
        <f>Activity!$E88*Activity!$F88*Activity!K88</f>
        <v>11.040000000000001</v>
      </c>
      <c r="H87" s="509">
        <f>Activity!$E88*Activity!$F88*Activity!L88</f>
        <v>0</v>
      </c>
      <c r="I87" s="509">
        <v>0</v>
      </c>
      <c r="J87" s="508">
        <f>Activity!E88*Activity!F88</f>
        <v>1104</v>
      </c>
      <c r="K87" s="508">
        <f>Activity!$E88*Activity!$F88*Activity!M88</f>
        <v>399.64799999999997</v>
      </c>
      <c r="L87" s="510">
        <f>Activity!V88</f>
        <v>500</v>
      </c>
    </row>
    <row r="88" spans="2:12">
      <c r="B88" s="7">
        <f t="shared" si="2"/>
        <v>2027</v>
      </c>
      <c r="C88" s="507">
        <f>Activity!$E89*Activity!$F89*Activity!G89</f>
        <v>444.91199999999998</v>
      </c>
      <c r="D88" s="508">
        <f>Activity!$E89*Activity!$F89*Activity!H89</f>
        <v>0</v>
      </c>
      <c r="E88" s="508">
        <f>Activity!$E89*Activity!$F89*Activity!I89</f>
        <v>225.21599999999998</v>
      </c>
      <c r="F88" s="508">
        <f>Activity!$E89*Activity!$F89*Activity!J89</f>
        <v>23.184000000000001</v>
      </c>
      <c r="G88" s="508">
        <f>Activity!$E89*Activity!$F89*Activity!K89</f>
        <v>11.040000000000001</v>
      </c>
      <c r="H88" s="509">
        <f>Activity!$E89*Activity!$F89*Activity!L89</f>
        <v>0</v>
      </c>
      <c r="I88" s="509">
        <v>0</v>
      </c>
      <c r="J88" s="508">
        <f>Activity!E89*Activity!F89</f>
        <v>1104</v>
      </c>
      <c r="K88" s="508">
        <f>Activity!$E89*Activity!$F89*Activity!M89</f>
        <v>399.64799999999997</v>
      </c>
      <c r="L88" s="510">
        <f>Activity!V89</f>
        <v>500</v>
      </c>
    </row>
    <row r="89" spans="2:12">
      <c r="B89" s="7">
        <f t="shared" si="2"/>
        <v>2028</v>
      </c>
      <c r="C89" s="507">
        <f>Activity!$E90*Activity!$F90*Activity!G90</f>
        <v>444.91199999999998</v>
      </c>
      <c r="D89" s="508">
        <f>Activity!$E90*Activity!$F90*Activity!H90</f>
        <v>0</v>
      </c>
      <c r="E89" s="508">
        <f>Activity!$E90*Activity!$F90*Activity!I90</f>
        <v>225.21599999999998</v>
      </c>
      <c r="F89" s="508">
        <f>Activity!$E90*Activity!$F90*Activity!J90</f>
        <v>23.184000000000001</v>
      </c>
      <c r="G89" s="508">
        <f>Activity!$E90*Activity!$F90*Activity!K90</f>
        <v>11.040000000000001</v>
      </c>
      <c r="H89" s="509">
        <f>Activity!$E90*Activity!$F90*Activity!L90</f>
        <v>0</v>
      </c>
      <c r="I89" s="509">
        <v>0</v>
      </c>
      <c r="J89" s="508">
        <f>Activity!E90*Activity!F90</f>
        <v>1104</v>
      </c>
      <c r="K89" s="508">
        <f>Activity!$E90*Activity!$F90*Activity!M90</f>
        <v>399.64799999999997</v>
      </c>
      <c r="L89" s="510">
        <f>Activity!V90</f>
        <v>500</v>
      </c>
    </row>
    <row r="90" spans="2:12">
      <c r="B90" s="7">
        <f t="shared" si="2"/>
        <v>2029</v>
      </c>
      <c r="C90" s="507">
        <f>Activity!$E91*Activity!$F91*Activity!G91</f>
        <v>444.91199999999998</v>
      </c>
      <c r="D90" s="508">
        <f>Activity!$E91*Activity!$F91*Activity!H91</f>
        <v>0</v>
      </c>
      <c r="E90" s="508">
        <f>Activity!$E91*Activity!$F91*Activity!I91</f>
        <v>225.21599999999998</v>
      </c>
      <c r="F90" s="508">
        <f>Activity!$E91*Activity!$F91*Activity!J91</f>
        <v>23.184000000000001</v>
      </c>
      <c r="G90" s="508">
        <f>Activity!$E91*Activity!$F91*Activity!K91</f>
        <v>11.040000000000001</v>
      </c>
      <c r="H90" s="509">
        <f>Activity!$E91*Activity!$F91*Activity!L91</f>
        <v>0</v>
      </c>
      <c r="I90" s="509">
        <v>0</v>
      </c>
      <c r="J90" s="508">
        <f>Activity!E91*Activity!F91</f>
        <v>1104</v>
      </c>
      <c r="K90" s="508">
        <f>Activity!$E91*Activity!$F91*Activity!M91</f>
        <v>399.64799999999997</v>
      </c>
      <c r="L90" s="510">
        <f>Activity!V91</f>
        <v>500</v>
      </c>
    </row>
    <row r="91" spans="2:12" ht="13.8" thickBot="1">
      <c r="B91" s="20">
        <f t="shared" si="2"/>
        <v>2030</v>
      </c>
      <c r="C91" s="511">
        <f>Activity!$E92*Activity!$F92*Activity!G92</f>
        <v>444.91199999999998</v>
      </c>
      <c r="D91" s="512">
        <f>Activity!$E92*Activity!$F92*Activity!H92</f>
        <v>0</v>
      </c>
      <c r="E91" s="512">
        <f>Activity!$E92*Activity!$F92*Activity!I92</f>
        <v>225.21599999999998</v>
      </c>
      <c r="F91" s="512">
        <f>Activity!$E92*Activity!$F92*Activity!J92</f>
        <v>23.184000000000001</v>
      </c>
      <c r="G91" s="512">
        <f>Activity!$E92*Activity!$F92*Activity!K92</f>
        <v>11.040000000000001</v>
      </c>
      <c r="H91" s="513">
        <f>Activity!$E92*Activity!$F92*Activity!L92</f>
        <v>0</v>
      </c>
      <c r="I91" s="513">
        <v>0</v>
      </c>
      <c r="J91" s="512">
        <f>Activity!E92*Activity!F92</f>
        <v>1104</v>
      </c>
      <c r="K91" s="512">
        <f>Activity!$E92*Activity!$F92*Activity!M92</f>
        <v>399.64799999999997</v>
      </c>
      <c r="L91" s="514">
        <f>Activity!V92</f>
        <v>500</v>
      </c>
    </row>
  </sheetData>
  <sheetProtection password="CF65" sheet="1" objects="1" scenarios="1"/>
  <customSheetViews>
    <customSheetView guid="{B400968E-E9A7-41C3-9739-36597C9C6BC6}" showGridLines="0" showRuler="0">
      <pane xSplit="2" ySplit="9" topLeftCell="C10" activePane="bottomRight" state="frozen"/>
      <selection pane="bottomRight" activeCell="J7" sqref="J7"/>
      <pageMargins left="0.75" right="0.75" top="1" bottom="1" header="0.5" footer="0.5"/>
      <headerFooter alignWithMargins="0"/>
    </customSheetView>
  </customSheetViews>
  <mergeCells count="2">
    <mergeCell ref="G2:L2"/>
    <mergeCell ref="C8:L8"/>
  </mergeCells>
  <phoneticPr fontId="17" type="noConversion"/>
  <dataValidations count="1">
    <dataValidation type="whole" allowBlank="1" showInputMessage="1" showErrorMessage="1" error="Please enter a year between 1900 and 2000" sqref="B11" xr:uid="{00000000-0002-0000-0400-000000000000}">
      <formula1>1900</formula1>
      <formula2>2000</formula2>
    </dataValidation>
  </dataValidations>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62" sqref="E62"/>
    </sheetView>
  </sheetViews>
  <sheetFormatPr defaultColWidth="8.6640625" defaultRowHeight="13.2"/>
  <cols>
    <col min="1" max="1" width="3.44140625" customWidth="1"/>
    <col min="2" max="2" width="11.6640625" customWidth="1"/>
    <col min="3" max="3" width="12.6640625" customWidth="1"/>
    <col min="4" max="4" width="31.33203125" customWidth="1"/>
    <col min="5" max="5" width="10.44140625" style="539" customWidth="1"/>
    <col min="6" max="6" width="10.33203125" customWidth="1"/>
    <col min="7" max="7" width="38" customWidth="1"/>
  </cols>
  <sheetData>
    <row r="2" spans="1:7" ht="15.6">
      <c r="C2" s="4" t="s">
        <v>236</v>
      </c>
      <c r="D2" s="4"/>
      <c r="E2" s="538"/>
    </row>
    <row r="4" spans="1:7">
      <c r="C4" t="s">
        <v>133</v>
      </c>
    </row>
    <row r="5" spans="1:7">
      <c r="C5" t="s">
        <v>134</v>
      </c>
    </row>
    <row r="6" spans="1:7" ht="13.8" thickBot="1"/>
    <row r="7" spans="1:7" ht="53.4" thickBot="1">
      <c r="A7" s="1"/>
      <c r="B7" s="431"/>
      <c r="C7" s="434" t="s">
        <v>131</v>
      </c>
      <c r="D7" s="445" t="s">
        <v>31</v>
      </c>
      <c r="E7" s="540" t="s">
        <v>251</v>
      </c>
      <c r="F7" s="487" t="s">
        <v>237</v>
      </c>
      <c r="G7" s="190" t="s">
        <v>238</v>
      </c>
    </row>
    <row r="8" spans="1:7" ht="13.8" thickBot="1">
      <c r="A8" s="3"/>
      <c r="B8" s="36"/>
      <c r="C8" s="541"/>
      <c r="D8" s="542"/>
      <c r="E8" s="543"/>
      <c r="F8" s="544"/>
      <c r="G8" s="161"/>
    </row>
    <row r="9" spans="1:7" ht="13.8" thickBot="1">
      <c r="A9" s="3"/>
      <c r="B9" s="201" t="s">
        <v>28</v>
      </c>
      <c r="C9" s="545">
        <v>0</v>
      </c>
      <c r="D9" s="546"/>
      <c r="E9" s="547"/>
      <c r="F9" s="548">
        <v>0</v>
      </c>
      <c r="G9" s="549"/>
    </row>
    <row r="10" spans="1:7">
      <c r="A10" s="3"/>
      <c r="B10" s="36"/>
      <c r="C10" s="541"/>
      <c r="D10" s="550"/>
      <c r="E10" s="551"/>
      <c r="F10" s="552"/>
      <c r="G10" s="553"/>
    </row>
    <row r="11" spans="1:7" ht="13.8" thickBot="1">
      <c r="A11" s="3"/>
      <c r="B11" s="16" t="s">
        <v>1</v>
      </c>
      <c r="C11" s="554" t="s">
        <v>17</v>
      </c>
      <c r="D11" s="53"/>
      <c r="E11" s="555"/>
      <c r="F11" s="556" t="s">
        <v>239</v>
      </c>
      <c r="G11" s="557"/>
    </row>
    <row r="12" spans="1:7">
      <c r="B12" s="24">
        <f>year</f>
        <v>1950</v>
      </c>
      <c r="C12" s="299">
        <v>0</v>
      </c>
      <c r="D12" s="73"/>
      <c r="E12" s="558">
        <f>IF(Results!L15&lt;=0,0,C12/Results!L15)</f>
        <v>0</v>
      </c>
      <c r="F12" s="559">
        <f t="shared" ref="F12:F43" si="0">ox</f>
        <v>0</v>
      </c>
      <c r="G12" s="560"/>
    </row>
    <row r="13" spans="1:7">
      <c r="B13" s="7">
        <f t="shared" ref="B13:B76" si="1">B12+1</f>
        <v>1951</v>
      </c>
      <c r="C13" s="300">
        <v>0</v>
      </c>
      <c r="D13" s="316"/>
      <c r="E13" s="558">
        <f>IF(Results!L16&lt;=0,0,C13/Results!L16)</f>
        <v>0</v>
      </c>
      <c r="F13" s="559">
        <f t="shared" si="0"/>
        <v>0</v>
      </c>
      <c r="G13" s="561"/>
    </row>
    <row r="14" spans="1:7">
      <c r="B14" s="7">
        <f t="shared" si="1"/>
        <v>1952</v>
      </c>
      <c r="C14" s="300">
        <v>0</v>
      </c>
      <c r="D14" s="316"/>
      <c r="E14" s="558">
        <f>IF(Results!L17&lt;=0,0,C14/Results!L17)</f>
        <v>0</v>
      </c>
      <c r="F14" s="559">
        <f t="shared" si="0"/>
        <v>0</v>
      </c>
      <c r="G14" s="561"/>
    </row>
    <row r="15" spans="1:7">
      <c r="B15" s="7">
        <f t="shared" si="1"/>
        <v>1953</v>
      </c>
      <c r="C15" s="300">
        <v>0</v>
      </c>
      <c r="D15" s="316"/>
      <c r="E15" s="558">
        <f>IF(Results!L18&lt;=0,0,C15/Results!L18)</f>
        <v>0</v>
      </c>
      <c r="F15" s="559">
        <f t="shared" si="0"/>
        <v>0</v>
      </c>
      <c r="G15" s="561"/>
    </row>
    <row r="16" spans="1:7">
      <c r="B16" s="7">
        <f t="shared" si="1"/>
        <v>1954</v>
      </c>
      <c r="C16" s="300">
        <v>0</v>
      </c>
      <c r="D16" s="316"/>
      <c r="E16" s="558">
        <f>IF(Results!L19&lt;=0,0,C16/Results!L19)</f>
        <v>0</v>
      </c>
      <c r="F16" s="559">
        <f t="shared" si="0"/>
        <v>0</v>
      </c>
      <c r="G16" s="561"/>
    </row>
    <row r="17" spans="2:7">
      <c r="B17" s="7">
        <f t="shared" si="1"/>
        <v>1955</v>
      </c>
      <c r="C17" s="300">
        <v>0</v>
      </c>
      <c r="D17" s="316"/>
      <c r="E17" s="558">
        <f>IF(Results!L20&lt;=0,0,C17/Results!L20)</f>
        <v>0</v>
      </c>
      <c r="F17" s="559">
        <f t="shared" si="0"/>
        <v>0</v>
      </c>
      <c r="G17" s="561"/>
    </row>
    <row r="18" spans="2:7">
      <c r="B18" s="7">
        <f t="shared" si="1"/>
        <v>1956</v>
      </c>
      <c r="C18" s="300">
        <v>0</v>
      </c>
      <c r="D18" s="316"/>
      <c r="E18" s="558">
        <f>IF(Results!L21&lt;=0,0,C18/Results!L21)</f>
        <v>0</v>
      </c>
      <c r="F18" s="559">
        <f t="shared" si="0"/>
        <v>0</v>
      </c>
      <c r="G18" s="561"/>
    </row>
    <row r="19" spans="2:7">
      <c r="B19" s="7">
        <f t="shared" si="1"/>
        <v>1957</v>
      </c>
      <c r="C19" s="300">
        <v>0</v>
      </c>
      <c r="D19" s="316"/>
      <c r="E19" s="558">
        <f>IF(Results!L22&lt;=0,0,C19/Results!L22)</f>
        <v>0</v>
      </c>
      <c r="F19" s="559">
        <f t="shared" si="0"/>
        <v>0</v>
      </c>
      <c r="G19" s="561"/>
    </row>
    <row r="20" spans="2:7">
      <c r="B20" s="7">
        <f t="shared" si="1"/>
        <v>1958</v>
      </c>
      <c r="C20" s="300">
        <v>0</v>
      </c>
      <c r="D20" s="316"/>
      <c r="E20" s="558">
        <f>IF(Results!L23&lt;=0,0,C20/Results!L23)</f>
        <v>0</v>
      </c>
      <c r="F20" s="559">
        <f t="shared" si="0"/>
        <v>0</v>
      </c>
      <c r="G20" s="561"/>
    </row>
    <row r="21" spans="2:7">
      <c r="B21" s="7">
        <f t="shared" si="1"/>
        <v>1959</v>
      </c>
      <c r="C21" s="300">
        <v>0</v>
      </c>
      <c r="D21" s="316"/>
      <c r="E21" s="558">
        <f>IF(Results!L24&lt;=0,0,C21/Results!L24)</f>
        <v>0</v>
      </c>
      <c r="F21" s="559">
        <f t="shared" si="0"/>
        <v>0</v>
      </c>
      <c r="G21" s="561"/>
    </row>
    <row r="22" spans="2:7">
      <c r="B22" s="7">
        <f t="shared" si="1"/>
        <v>1960</v>
      </c>
      <c r="C22" s="300">
        <v>0</v>
      </c>
      <c r="D22" s="316"/>
      <c r="E22" s="558">
        <f>IF(Results!L25&lt;=0,0,C22/Results!L25)</f>
        <v>0</v>
      </c>
      <c r="F22" s="559">
        <f t="shared" si="0"/>
        <v>0</v>
      </c>
      <c r="G22" s="561"/>
    </row>
    <row r="23" spans="2:7">
      <c r="B23" s="7">
        <f t="shared" si="1"/>
        <v>1961</v>
      </c>
      <c r="C23" s="300">
        <v>0</v>
      </c>
      <c r="D23" s="316"/>
      <c r="E23" s="558">
        <f>IF(Results!L26&lt;=0,0,C23/Results!L26)</f>
        <v>0</v>
      </c>
      <c r="F23" s="559">
        <f t="shared" si="0"/>
        <v>0</v>
      </c>
      <c r="G23" s="561"/>
    </row>
    <row r="24" spans="2:7">
      <c r="B24" s="7">
        <f t="shared" si="1"/>
        <v>1962</v>
      </c>
      <c r="C24" s="300">
        <v>0</v>
      </c>
      <c r="D24" s="316"/>
      <c r="E24" s="558">
        <f>IF(Results!L27&lt;=0,0,C24/Results!L27)</f>
        <v>0</v>
      </c>
      <c r="F24" s="559">
        <f t="shared" si="0"/>
        <v>0</v>
      </c>
      <c r="G24" s="561"/>
    </row>
    <row r="25" spans="2:7">
      <c r="B25" s="7">
        <f t="shared" si="1"/>
        <v>1963</v>
      </c>
      <c r="C25" s="300">
        <v>0</v>
      </c>
      <c r="D25" s="316"/>
      <c r="E25" s="558">
        <f>IF(Results!L28&lt;=0,0,C25/Results!L28)</f>
        <v>0</v>
      </c>
      <c r="F25" s="559">
        <f t="shared" si="0"/>
        <v>0</v>
      </c>
      <c r="G25" s="561"/>
    </row>
    <row r="26" spans="2:7">
      <c r="B26" s="7">
        <f t="shared" si="1"/>
        <v>1964</v>
      </c>
      <c r="C26" s="300">
        <v>0</v>
      </c>
      <c r="D26" s="316"/>
      <c r="E26" s="558">
        <f>IF(Results!L29&lt;=0,0,C26/Results!L29)</f>
        <v>0</v>
      </c>
      <c r="F26" s="559">
        <f t="shared" si="0"/>
        <v>0</v>
      </c>
      <c r="G26" s="561"/>
    </row>
    <row r="27" spans="2:7">
      <c r="B27" s="7">
        <f t="shared" si="1"/>
        <v>1965</v>
      </c>
      <c r="C27" s="300">
        <v>0</v>
      </c>
      <c r="D27" s="316"/>
      <c r="E27" s="558">
        <f>IF(Results!L30&lt;=0,0,C27/Results!L30)</f>
        <v>0</v>
      </c>
      <c r="F27" s="559">
        <f t="shared" si="0"/>
        <v>0</v>
      </c>
      <c r="G27" s="561"/>
    </row>
    <row r="28" spans="2:7">
      <c r="B28" s="7">
        <f t="shared" si="1"/>
        <v>1966</v>
      </c>
      <c r="C28" s="300">
        <v>0</v>
      </c>
      <c r="D28" s="316"/>
      <c r="E28" s="558">
        <f>IF(Results!L31&lt;=0,0,C28/Results!L31)</f>
        <v>0</v>
      </c>
      <c r="F28" s="559">
        <f t="shared" si="0"/>
        <v>0</v>
      </c>
      <c r="G28" s="561"/>
    </row>
    <row r="29" spans="2:7">
      <c r="B29" s="7">
        <f t="shared" si="1"/>
        <v>1967</v>
      </c>
      <c r="C29" s="300">
        <v>0</v>
      </c>
      <c r="D29" s="316"/>
      <c r="E29" s="558">
        <f>IF(Results!L32&lt;=0,0,C29/Results!L32)</f>
        <v>0</v>
      </c>
      <c r="F29" s="559">
        <f t="shared" si="0"/>
        <v>0</v>
      </c>
      <c r="G29" s="561"/>
    </row>
    <row r="30" spans="2:7">
      <c r="B30" s="7">
        <f t="shared" si="1"/>
        <v>1968</v>
      </c>
      <c r="C30" s="300">
        <v>0</v>
      </c>
      <c r="D30" s="316"/>
      <c r="E30" s="558">
        <f>IF(Results!L33&lt;=0,0,C30/Results!L33)</f>
        <v>0</v>
      </c>
      <c r="F30" s="559">
        <f t="shared" si="0"/>
        <v>0</v>
      </c>
      <c r="G30" s="561"/>
    </row>
    <row r="31" spans="2:7">
      <c r="B31" s="7">
        <f t="shared" si="1"/>
        <v>1969</v>
      </c>
      <c r="C31" s="300">
        <v>0</v>
      </c>
      <c r="D31" s="316"/>
      <c r="E31" s="558">
        <f>IF(Results!L34&lt;=0,0,C31/Results!L34)</f>
        <v>0</v>
      </c>
      <c r="F31" s="559">
        <f t="shared" si="0"/>
        <v>0</v>
      </c>
      <c r="G31" s="561"/>
    </row>
    <row r="32" spans="2:7">
      <c r="B32" s="7">
        <f t="shared" si="1"/>
        <v>1970</v>
      </c>
      <c r="C32" s="300">
        <v>0</v>
      </c>
      <c r="D32" s="316"/>
      <c r="E32" s="558">
        <f>IF(Results!L35&lt;=0,0,C32/Results!L35)</f>
        <v>0</v>
      </c>
      <c r="F32" s="559">
        <f t="shared" si="0"/>
        <v>0</v>
      </c>
      <c r="G32" s="561"/>
    </row>
    <row r="33" spans="2:7">
      <c r="B33" s="7">
        <f t="shared" si="1"/>
        <v>1971</v>
      </c>
      <c r="C33" s="300">
        <v>0</v>
      </c>
      <c r="D33" s="316"/>
      <c r="E33" s="558">
        <f>IF(Results!L36&lt;=0,0,C33/Results!L36)</f>
        <v>0</v>
      </c>
      <c r="F33" s="559">
        <f t="shared" si="0"/>
        <v>0</v>
      </c>
      <c r="G33" s="561"/>
    </row>
    <row r="34" spans="2:7">
      <c r="B34" s="7">
        <f t="shared" si="1"/>
        <v>1972</v>
      </c>
      <c r="C34" s="300">
        <v>0</v>
      </c>
      <c r="D34" s="316"/>
      <c r="E34" s="558">
        <f>IF(Results!L37&lt;=0,0,C34/Results!L37)</f>
        <v>0</v>
      </c>
      <c r="F34" s="559">
        <f t="shared" si="0"/>
        <v>0</v>
      </c>
      <c r="G34" s="561"/>
    </row>
    <row r="35" spans="2:7">
      <c r="B35" s="7">
        <f t="shared" si="1"/>
        <v>1973</v>
      </c>
      <c r="C35" s="300">
        <v>0</v>
      </c>
      <c r="D35" s="316"/>
      <c r="E35" s="558">
        <f>IF(Results!L38&lt;=0,0,C35/Results!L38)</f>
        <v>0</v>
      </c>
      <c r="F35" s="559">
        <f t="shared" si="0"/>
        <v>0</v>
      </c>
      <c r="G35" s="561"/>
    </row>
    <row r="36" spans="2:7">
      <c r="B36" s="7">
        <f t="shared" si="1"/>
        <v>1974</v>
      </c>
      <c r="C36" s="300">
        <v>0</v>
      </c>
      <c r="D36" s="316"/>
      <c r="E36" s="558">
        <f>IF(Results!L39&lt;=0,0,C36/Results!L39)</f>
        <v>0</v>
      </c>
      <c r="F36" s="559">
        <f t="shared" si="0"/>
        <v>0</v>
      </c>
      <c r="G36" s="561"/>
    </row>
    <row r="37" spans="2:7">
      <c r="B37" s="7">
        <f t="shared" si="1"/>
        <v>1975</v>
      </c>
      <c r="C37" s="300">
        <v>0</v>
      </c>
      <c r="D37" s="316"/>
      <c r="E37" s="558">
        <f>IF(Results!L40&lt;=0,0,C37/Results!L40)</f>
        <v>0</v>
      </c>
      <c r="F37" s="559">
        <f t="shared" si="0"/>
        <v>0</v>
      </c>
      <c r="G37" s="561"/>
    </row>
    <row r="38" spans="2:7">
      <c r="B38" s="7">
        <f t="shared" si="1"/>
        <v>1976</v>
      </c>
      <c r="C38" s="300">
        <v>0</v>
      </c>
      <c r="D38" s="316"/>
      <c r="E38" s="558">
        <f>IF(Results!L41&lt;=0,0,C38/Results!L41)</f>
        <v>0</v>
      </c>
      <c r="F38" s="559">
        <f t="shared" si="0"/>
        <v>0</v>
      </c>
      <c r="G38" s="561"/>
    </row>
    <row r="39" spans="2:7">
      <c r="B39" s="7">
        <f t="shared" si="1"/>
        <v>1977</v>
      </c>
      <c r="C39" s="300">
        <v>0</v>
      </c>
      <c r="D39" s="316"/>
      <c r="E39" s="558">
        <f>IF(Results!L42&lt;=0,0,C39/Results!L42)</f>
        <v>0</v>
      </c>
      <c r="F39" s="559">
        <f t="shared" si="0"/>
        <v>0</v>
      </c>
      <c r="G39" s="561"/>
    </row>
    <row r="40" spans="2:7">
      <c r="B40" s="7">
        <f t="shared" si="1"/>
        <v>1978</v>
      </c>
      <c r="C40" s="300">
        <v>0</v>
      </c>
      <c r="D40" s="316"/>
      <c r="E40" s="558">
        <f>IF(Results!L43&lt;=0,0,C40/Results!L43)</f>
        <v>0</v>
      </c>
      <c r="F40" s="559">
        <f t="shared" si="0"/>
        <v>0</v>
      </c>
      <c r="G40" s="561"/>
    </row>
    <row r="41" spans="2:7">
      <c r="B41" s="7">
        <f t="shared" si="1"/>
        <v>1979</v>
      </c>
      <c r="C41" s="300">
        <v>0</v>
      </c>
      <c r="D41" s="316"/>
      <c r="E41" s="558">
        <f>IF(Results!L44&lt;=0,0,C41/Results!L44)</f>
        <v>0</v>
      </c>
      <c r="F41" s="559">
        <f t="shared" si="0"/>
        <v>0</v>
      </c>
      <c r="G41" s="561"/>
    </row>
    <row r="42" spans="2:7">
      <c r="B42" s="7">
        <f t="shared" si="1"/>
        <v>1980</v>
      </c>
      <c r="C42" s="300">
        <v>0</v>
      </c>
      <c r="D42" s="316"/>
      <c r="E42" s="558">
        <f>IF(Results!L45&lt;=0,0,C42/Results!L45)</f>
        <v>0</v>
      </c>
      <c r="F42" s="559">
        <f t="shared" si="0"/>
        <v>0</v>
      </c>
      <c r="G42" s="561"/>
    </row>
    <row r="43" spans="2:7">
      <c r="B43" s="7">
        <f t="shared" si="1"/>
        <v>1981</v>
      </c>
      <c r="C43" s="300">
        <v>0</v>
      </c>
      <c r="D43" s="316"/>
      <c r="E43" s="558">
        <f>IF(Results!L46&lt;=0,0,C43/Results!L46)</f>
        <v>0</v>
      </c>
      <c r="F43" s="559">
        <f t="shared" si="0"/>
        <v>0</v>
      </c>
      <c r="G43" s="561"/>
    </row>
    <row r="44" spans="2:7">
      <c r="B44" s="7">
        <f t="shared" si="1"/>
        <v>1982</v>
      </c>
      <c r="C44" s="300">
        <v>0</v>
      </c>
      <c r="D44" s="316"/>
      <c r="E44" s="558">
        <f>IF(Results!L47&lt;=0,0,C44/Results!L47)</f>
        <v>0</v>
      </c>
      <c r="F44" s="559">
        <f t="shared" ref="F44:F75" si="2">ox</f>
        <v>0</v>
      </c>
      <c r="G44" s="561"/>
    </row>
    <row r="45" spans="2:7">
      <c r="B45" s="7">
        <f t="shared" si="1"/>
        <v>1983</v>
      </c>
      <c r="C45" s="300">
        <v>0</v>
      </c>
      <c r="D45" s="316"/>
      <c r="E45" s="558">
        <f>IF(Results!L48&lt;=0,0,C45/Results!L48)</f>
        <v>0</v>
      </c>
      <c r="F45" s="559">
        <f t="shared" si="2"/>
        <v>0</v>
      </c>
      <c r="G45" s="561"/>
    </row>
    <row r="46" spans="2:7">
      <c r="B46" s="7">
        <f t="shared" si="1"/>
        <v>1984</v>
      </c>
      <c r="C46" s="300">
        <v>0</v>
      </c>
      <c r="D46" s="316"/>
      <c r="E46" s="558">
        <f>IF(Results!L49&lt;=0,0,C46/Results!L49)</f>
        <v>0</v>
      </c>
      <c r="F46" s="559">
        <f t="shared" si="2"/>
        <v>0</v>
      </c>
      <c r="G46" s="561"/>
    </row>
    <row r="47" spans="2:7">
      <c r="B47" s="7">
        <f t="shared" si="1"/>
        <v>1985</v>
      </c>
      <c r="C47" s="300">
        <v>0</v>
      </c>
      <c r="D47" s="316"/>
      <c r="E47" s="558">
        <f>IF(Results!L50&lt;=0,0,C47/Results!L50)</f>
        <v>0</v>
      </c>
      <c r="F47" s="559">
        <f t="shared" si="2"/>
        <v>0</v>
      </c>
      <c r="G47" s="561"/>
    </row>
    <row r="48" spans="2:7">
      <c r="B48" s="7">
        <f t="shared" si="1"/>
        <v>1986</v>
      </c>
      <c r="C48" s="300">
        <v>0</v>
      </c>
      <c r="D48" s="316"/>
      <c r="E48" s="558">
        <f>IF(Results!L51&lt;=0,0,C48/Results!L51)</f>
        <v>0</v>
      </c>
      <c r="F48" s="559">
        <f t="shared" si="2"/>
        <v>0</v>
      </c>
      <c r="G48" s="561"/>
    </row>
    <row r="49" spans="2:7">
      <c r="B49" s="7">
        <f t="shared" si="1"/>
        <v>1987</v>
      </c>
      <c r="C49" s="300">
        <v>0</v>
      </c>
      <c r="D49" s="316"/>
      <c r="E49" s="558">
        <f>IF(Results!L52&lt;=0,0,C49/Results!L52)</f>
        <v>0</v>
      </c>
      <c r="F49" s="559">
        <f t="shared" si="2"/>
        <v>0</v>
      </c>
      <c r="G49" s="561"/>
    </row>
    <row r="50" spans="2:7">
      <c r="B50" s="7">
        <f t="shared" si="1"/>
        <v>1988</v>
      </c>
      <c r="C50" s="300">
        <v>0</v>
      </c>
      <c r="D50" s="316"/>
      <c r="E50" s="558">
        <f>IF(Results!L53&lt;=0,0,C50/Results!L53)</f>
        <v>0</v>
      </c>
      <c r="F50" s="559">
        <f t="shared" si="2"/>
        <v>0</v>
      </c>
      <c r="G50" s="561"/>
    </row>
    <row r="51" spans="2:7">
      <c r="B51" s="7">
        <f t="shared" si="1"/>
        <v>1989</v>
      </c>
      <c r="C51" s="300">
        <v>0</v>
      </c>
      <c r="D51" s="316"/>
      <c r="E51" s="558">
        <f>IF(Results!L54&lt;=0,0,C51/Results!L54)</f>
        <v>0</v>
      </c>
      <c r="F51" s="559">
        <f t="shared" si="2"/>
        <v>0</v>
      </c>
      <c r="G51" s="561"/>
    </row>
    <row r="52" spans="2:7">
      <c r="B52" s="7">
        <f t="shared" si="1"/>
        <v>1990</v>
      </c>
      <c r="C52" s="300">
        <v>0</v>
      </c>
      <c r="D52" s="316"/>
      <c r="E52" s="558">
        <f>IF(Results!L55&lt;=0,0,C52/Results!L55)</f>
        <v>0</v>
      </c>
      <c r="F52" s="559">
        <f t="shared" si="2"/>
        <v>0</v>
      </c>
      <c r="G52" s="561"/>
    </row>
    <row r="53" spans="2:7">
      <c r="B53" s="7">
        <f t="shared" si="1"/>
        <v>1991</v>
      </c>
      <c r="C53" s="300">
        <v>0</v>
      </c>
      <c r="D53" s="316"/>
      <c r="E53" s="558">
        <f>IF(Results!L56&lt;=0,0,C53/Results!L56)</f>
        <v>0</v>
      </c>
      <c r="F53" s="559">
        <f t="shared" si="2"/>
        <v>0</v>
      </c>
      <c r="G53" s="561"/>
    </row>
    <row r="54" spans="2:7">
      <c r="B54" s="7">
        <f t="shared" si="1"/>
        <v>1992</v>
      </c>
      <c r="C54" s="300">
        <v>0</v>
      </c>
      <c r="D54" s="316"/>
      <c r="E54" s="558">
        <f>IF(Results!L57&lt;=0,0,C54/Results!L57)</f>
        <v>0</v>
      </c>
      <c r="F54" s="559">
        <f t="shared" si="2"/>
        <v>0</v>
      </c>
      <c r="G54" s="561"/>
    </row>
    <row r="55" spans="2:7">
      <c r="B55" s="7">
        <f t="shared" si="1"/>
        <v>1993</v>
      </c>
      <c r="C55" s="300">
        <v>0</v>
      </c>
      <c r="D55" s="316"/>
      <c r="E55" s="558">
        <f>IF(Results!L58&lt;=0,0,C55/Results!L58)</f>
        <v>0</v>
      </c>
      <c r="F55" s="559">
        <f t="shared" si="2"/>
        <v>0</v>
      </c>
      <c r="G55" s="561"/>
    </row>
    <row r="56" spans="2:7">
      <c r="B56" s="7">
        <f t="shared" si="1"/>
        <v>1994</v>
      </c>
      <c r="C56" s="300">
        <v>0</v>
      </c>
      <c r="D56" s="316"/>
      <c r="E56" s="558">
        <f>IF(Results!L59&lt;=0,0,C56/Results!L59)</f>
        <v>0</v>
      </c>
      <c r="F56" s="559">
        <f t="shared" si="2"/>
        <v>0</v>
      </c>
      <c r="G56" s="561"/>
    </row>
    <row r="57" spans="2:7">
      <c r="B57" s="7">
        <f t="shared" si="1"/>
        <v>1995</v>
      </c>
      <c r="C57" s="300">
        <v>0</v>
      </c>
      <c r="D57" s="316"/>
      <c r="E57" s="558">
        <f>IF(Results!L60&lt;=0,0,C57/Results!L60)</f>
        <v>0</v>
      </c>
      <c r="F57" s="559">
        <f>ox</f>
        <v>0</v>
      </c>
      <c r="G57" s="561"/>
    </row>
    <row r="58" spans="2:7">
      <c r="B58" s="7">
        <f t="shared" si="1"/>
        <v>1996</v>
      </c>
      <c r="C58" s="300">
        <v>0</v>
      </c>
      <c r="D58" s="316"/>
      <c r="E58" s="558">
        <f>IF(Results!L61&lt;=0,0,C58/Results!L61)</f>
        <v>0</v>
      </c>
      <c r="F58" s="559">
        <f t="shared" si="2"/>
        <v>0</v>
      </c>
      <c r="G58" s="561"/>
    </row>
    <row r="59" spans="2:7">
      <c r="B59" s="7">
        <f t="shared" si="1"/>
        <v>1997</v>
      </c>
      <c r="C59" s="300">
        <v>0</v>
      </c>
      <c r="D59" s="316"/>
      <c r="E59" s="558">
        <f>IF(Results!L62&lt;=0,0,C59/Results!L62)</f>
        <v>0</v>
      </c>
      <c r="F59" s="559">
        <f t="shared" si="2"/>
        <v>0</v>
      </c>
      <c r="G59" s="561"/>
    </row>
    <row r="60" spans="2:7">
      <c r="B60" s="7">
        <f t="shared" si="1"/>
        <v>1998</v>
      </c>
      <c r="C60" s="300">
        <v>0</v>
      </c>
      <c r="D60" s="316"/>
      <c r="E60" s="558">
        <f>IF(Results!L63&lt;=0,0,C60/Results!L63)</f>
        <v>0</v>
      </c>
      <c r="F60" s="559">
        <f t="shared" si="2"/>
        <v>0</v>
      </c>
      <c r="G60" s="561"/>
    </row>
    <row r="61" spans="2:7">
      <c r="B61" s="7">
        <f t="shared" si="1"/>
        <v>1999</v>
      </c>
      <c r="C61" s="300">
        <v>0</v>
      </c>
      <c r="D61" s="316"/>
      <c r="E61" s="558">
        <f>IF(Results!L64&lt;=0,0,C61/Results!L64)</f>
        <v>0</v>
      </c>
      <c r="F61" s="559">
        <f>ox</f>
        <v>0</v>
      </c>
      <c r="G61" s="561"/>
    </row>
    <row r="62" spans="2:7">
      <c r="B62" s="7">
        <f t="shared" si="1"/>
        <v>2000</v>
      </c>
      <c r="C62" s="300">
        <v>10</v>
      </c>
      <c r="D62" s="316"/>
      <c r="E62" s="558">
        <f>IF(Results!L65&lt;=0,0,C62/Results!L65)</f>
        <v>0.17806233253552239</v>
      </c>
      <c r="F62" s="559">
        <f t="shared" si="2"/>
        <v>0</v>
      </c>
      <c r="G62" s="561"/>
    </row>
    <row r="63" spans="2:7">
      <c r="B63" s="7">
        <f t="shared" si="1"/>
        <v>2001</v>
      </c>
      <c r="C63" s="300">
        <v>10</v>
      </c>
      <c r="D63" s="316"/>
      <c r="E63" s="558">
        <f>IF(Results!L66&lt;=0,0,C63/Results!L66)</f>
        <v>0.17789033406757343</v>
      </c>
      <c r="F63" s="559">
        <f t="shared" si="2"/>
        <v>0</v>
      </c>
      <c r="G63" s="561"/>
    </row>
    <row r="64" spans="2:7">
      <c r="B64" s="7">
        <f t="shared" si="1"/>
        <v>2002</v>
      </c>
      <c r="C64" s="300">
        <v>10</v>
      </c>
      <c r="D64" s="316"/>
      <c r="E64" s="558">
        <f>IF(Results!L67&lt;=0,0,C64/Results!L67)</f>
        <v>0.17773342966182162</v>
      </c>
      <c r="F64" s="559">
        <f t="shared" si="2"/>
        <v>0</v>
      </c>
      <c r="G64" s="561"/>
    </row>
    <row r="65" spans="2:7">
      <c r="B65" s="7">
        <f t="shared" si="1"/>
        <v>2003</v>
      </c>
      <c r="C65" s="300">
        <v>10</v>
      </c>
      <c r="D65" s="316"/>
      <c r="E65" s="558">
        <f>IF(Results!L68&lt;=0,0,C65/Results!L68)</f>
        <v>0.17759027171666061</v>
      </c>
      <c r="F65" s="559">
        <f t="shared" si="2"/>
        <v>0</v>
      </c>
      <c r="G65" s="561"/>
    </row>
    <row r="66" spans="2:7">
      <c r="B66" s="7">
        <f t="shared" si="1"/>
        <v>2004</v>
      </c>
      <c r="C66" s="300">
        <v>10</v>
      </c>
      <c r="D66" s="316"/>
      <c r="E66" s="558">
        <f>IF(Results!L69&lt;=0,0,C66/Results!L69)</f>
        <v>0.17745963675579668</v>
      </c>
      <c r="F66" s="559">
        <f t="shared" si="2"/>
        <v>0</v>
      </c>
      <c r="G66" s="561"/>
    </row>
    <row r="67" spans="2:7">
      <c r="B67" s="7">
        <f t="shared" si="1"/>
        <v>2005</v>
      </c>
      <c r="C67" s="300">
        <v>10</v>
      </c>
      <c r="D67" s="316"/>
      <c r="E67" s="558">
        <f>IF(Results!L70&lt;=0,0,C67/Results!L70)</f>
        <v>0.17734041336732179</v>
      </c>
      <c r="F67" s="559">
        <f t="shared" si="2"/>
        <v>0</v>
      </c>
      <c r="G67" s="561"/>
    </row>
    <row r="68" spans="2:7">
      <c r="B68" s="7">
        <f t="shared" si="1"/>
        <v>2006</v>
      </c>
      <c r="C68" s="300">
        <v>10</v>
      </c>
      <c r="D68" s="316"/>
      <c r="E68" s="558">
        <f>IF(Results!L71&lt;=0,0,C68/Results!L71)</f>
        <v>0.17723159141667535</v>
      </c>
      <c r="F68" s="559">
        <f t="shared" si="2"/>
        <v>0</v>
      </c>
      <c r="G68" s="561"/>
    </row>
    <row r="69" spans="2:7">
      <c r="B69" s="7">
        <f t="shared" si="1"/>
        <v>2007</v>
      </c>
      <c r="C69" s="300">
        <v>10</v>
      </c>
      <c r="D69" s="316"/>
      <c r="E69" s="558">
        <f>IF(Results!L72&lt;=0,0,C69/Results!L72)</f>
        <v>0.17713225238285657</v>
      </c>
      <c r="F69" s="559">
        <f t="shared" si="2"/>
        <v>0</v>
      </c>
      <c r="G69" s="561"/>
    </row>
    <row r="70" spans="2:7">
      <c r="B70" s="7">
        <f t="shared" si="1"/>
        <v>2008</v>
      </c>
      <c r="C70" s="300">
        <v>10</v>
      </c>
      <c r="D70" s="316"/>
      <c r="E70" s="558">
        <f>IF(Results!L73&lt;=0,0,C70/Results!L73)</f>
        <v>0.17704156068748994</v>
      </c>
      <c r="F70" s="559">
        <f t="shared" si="2"/>
        <v>0</v>
      </c>
      <c r="G70" s="561"/>
    </row>
    <row r="71" spans="2:7">
      <c r="B71" s="7">
        <f t="shared" si="1"/>
        <v>2009</v>
      </c>
      <c r="C71" s="300">
        <v>10</v>
      </c>
      <c r="D71" s="316"/>
      <c r="E71" s="558">
        <f>IF(Results!L74&lt;=0,0,C71/Results!L74)</f>
        <v>0.17695875590352089</v>
      </c>
      <c r="F71" s="559">
        <f t="shared" si="2"/>
        <v>0</v>
      </c>
      <c r="G71" s="561"/>
    </row>
    <row r="72" spans="2:7">
      <c r="B72" s="7">
        <f t="shared" si="1"/>
        <v>2010</v>
      </c>
      <c r="C72" s="300">
        <v>10</v>
      </c>
      <c r="D72" s="316"/>
      <c r="E72" s="558">
        <f>IF(Results!L75&lt;=0,0,C72/Results!L75)</f>
        <v>0.17688314574493488</v>
      </c>
      <c r="F72" s="559">
        <f t="shared" si="2"/>
        <v>0</v>
      </c>
      <c r="G72" s="561"/>
    </row>
    <row r="73" spans="2:7">
      <c r="B73" s="7">
        <f t="shared" si="1"/>
        <v>2011</v>
      </c>
      <c r="C73" s="300">
        <v>10</v>
      </c>
      <c r="D73" s="316"/>
      <c r="E73" s="558">
        <f>IF(Results!L76&lt;=0,0,C73/Results!L76)</f>
        <v>0.17681409975137888</v>
      </c>
      <c r="F73" s="559">
        <f t="shared" si="2"/>
        <v>0</v>
      </c>
      <c r="G73" s="561"/>
    </row>
    <row r="74" spans="2:7">
      <c r="B74" s="7">
        <f t="shared" si="1"/>
        <v>2012</v>
      </c>
      <c r="C74" s="300">
        <v>10</v>
      </c>
      <c r="D74" s="316"/>
      <c r="E74" s="558">
        <f>IF(Results!L77&lt;=0,0,C74/Results!L77)</f>
        <v>0.17675104359226065</v>
      </c>
      <c r="F74" s="559">
        <f t="shared" si="2"/>
        <v>0</v>
      </c>
      <c r="G74" s="561"/>
    </row>
    <row r="75" spans="2:7">
      <c r="B75" s="7">
        <f t="shared" si="1"/>
        <v>2013</v>
      </c>
      <c r="C75" s="300">
        <v>10</v>
      </c>
      <c r="D75" s="316"/>
      <c r="E75" s="558">
        <f>IF(Results!L78&lt;=0,0,C75/Results!L78)</f>
        <v>0.17669345392409355</v>
      </c>
      <c r="F75" s="559">
        <f t="shared" si="2"/>
        <v>0</v>
      </c>
      <c r="G75" s="561"/>
    </row>
    <row r="76" spans="2:7">
      <c r="B76" s="7">
        <f t="shared" si="1"/>
        <v>2014</v>
      </c>
      <c r="C76" s="300">
        <v>10</v>
      </c>
      <c r="D76" s="316"/>
      <c r="E76" s="558">
        <f>IF(Results!L79&lt;=0,0,C76/Results!L79)</f>
        <v>0.17664085374278196</v>
      </c>
      <c r="F76" s="559">
        <f t="shared" ref="F76:F92" si="3">ox</f>
        <v>0</v>
      </c>
      <c r="G76" s="561"/>
    </row>
    <row r="77" spans="2:7">
      <c r="B77" s="7">
        <f t="shared" ref="B77:B92" si="4">B76+1</f>
        <v>2015</v>
      </c>
      <c r="C77" s="300">
        <v>10</v>
      </c>
      <c r="D77" s="316"/>
      <c r="E77" s="558">
        <f>IF(Results!L80&lt;=0,0,C77/Results!L80)</f>
        <v>0.17659280817939424</v>
      </c>
      <c r="F77" s="559">
        <f t="shared" si="3"/>
        <v>0</v>
      </c>
      <c r="G77" s="561"/>
    </row>
    <row r="78" spans="2:7">
      <c r="B78" s="7">
        <f t="shared" si="4"/>
        <v>2016</v>
      </c>
      <c r="C78" s="300">
        <v>10</v>
      </c>
      <c r="D78" s="316"/>
      <c r="E78" s="558">
        <f>IF(Results!L81&lt;=0,0,C78/Results!L81)</f>
        <v>0.1765489206939147</v>
      </c>
      <c r="F78" s="559">
        <f t="shared" si="3"/>
        <v>0</v>
      </c>
      <c r="G78" s="561"/>
    </row>
    <row r="79" spans="2:7">
      <c r="B79" s="7">
        <f t="shared" si="4"/>
        <v>2017</v>
      </c>
      <c r="C79" s="300">
        <v>10</v>
      </c>
      <c r="D79" s="316"/>
      <c r="E79" s="558">
        <f>IF(Results!L82&lt;=0,0,C79/Results!L82)</f>
        <v>0.176508829626634</v>
      </c>
      <c r="F79" s="559">
        <f t="shared" si="3"/>
        <v>0</v>
      </c>
      <c r="G79" s="561"/>
    </row>
    <row r="80" spans="2:7">
      <c r="B80" s="7">
        <f t="shared" si="4"/>
        <v>2018</v>
      </c>
      <c r="C80" s="300">
        <v>10</v>
      </c>
      <c r="D80" s="316"/>
      <c r="E80" s="558">
        <f>IF(Results!L83&lt;=0,0,C80/Results!L83)</f>
        <v>0.17647220507134428</v>
      </c>
      <c r="F80" s="559">
        <f t="shared" si="3"/>
        <v>0</v>
      </c>
      <c r="G80" s="561"/>
    </row>
    <row r="81" spans="2:7">
      <c r="B81" s="7">
        <f t="shared" si="4"/>
        <v>2019</v>
      </c>
      <c r="C81" s="300">
        <v>10</v>
      </c>
      <c r="D81" s="316"/>
      <c r="E81" s="558">
        <f>IF(Results!L84&lt;=0,0,C81/Results!L84)</f>
        <v>0.17643874603844792</v>
      </c>
      <c r="F81" s="559">
        <f t="shared" si="3"/>
        <v>0</v>
      </c>
      <c r="G81" s="561"/>
    </row>
    <row r="82" spans="2:7">
      <c r="B82" s="7">
        <f t="shared" si="4"/>
        <v>2020</v>
      </c>
      <c r="C82" s="300">
        <v>10</v>
      </c>
      <c r="D82" s="316"/>
      <c r="E82" s="558">
        <f>IF(Results!L85&lt;=0,0,C82/Results!L85)</f>
        <v>0.17640817787954111</v>
      </c>
      <c r="F82" s="559">
        <f t="shared" si="3"/>
        <v>0</v>
      </c>
      <c r="G82" s="561"/>
    </row>
    <row r="83" spans="2:7">
      <c r="B83" s="7">
        <f t="shared" si="4"/>
        <v>2021</v>
      </c>
      <c r="C83" s="300">
        <v>10</v>
      </c>
      <c r="D83" s="316"/>
      <c r="E83" s="558">
        <f>IF(Results!L86&lt;=0,0,C83/Results!L86)</f>
        <v>0.17638024994807189</v>
      </c>
      <c r="F83" s="559">
        <f t="shared" si="3"/>
        <v>0</v>
      </c>
      <c r="G83" s="561"/>
    </row>
    <row r="84" spans="2:7">
      <c r="B84" s="7">
        <f t="shared" si="4"/>
        <v>2022</v>
      </c>
      <c r="C84" s="300">
        <v>10</v>
      </c>
      <c r="D84" s="316"/>
      <c r="E84" s="558">
        <f>IF(Results!L87&lt;=0,0,C84/Results!L87)</f>
        <v>0.17635473347334477</v>
      </c>
      <c r="F84" s="559">
        <f t="shared" si="3"/>
        <v>0</v>
      </c>
      <c r="G84" s="561"/>
    </row>
    <row r="85" spans="2:7">
      <c r="B85" s="7">
        <f t="shared" si="4"/>
        <v>2023</v>
      </c>
      <c r="C85" s="300">
        <v>10</v>
      </c>
      <c r="D85" s="316"/>
      <c r="E85" s="558">
        <f>IF(Results!L88&lt;=0,0,C85/Results!L88)</f>
        <v>0.17633141962750618</v>
      </c>
      <c r="F85" s="559">
        <f t="shared" si="3"/>
        <v>0</v>
      </c>
      <c r="G85" s="561"/>
    </row>
    <row r="86" spans="2:7">
      <c r="B86" s="7">
        <f t="shared" si="4"/>
        <v>2024</v>
      </c>
      <c r="C86" s="300">
        <v>10</v>
      </c>
      <c r="D86" s="316"/>
      <c r="E86" s="558">
        <f>IF(Results!L89&lt;=0,0,C86/Results!L89)</f>
        <v>0.17631011776723343</v>
      </c>
      <c r="F86" s="559">
        <f t="shared" si="3"/>
        <v>0</v>
      </c>
      <c r="G86" s="561"/>
    </row>
    <row r="87" spans="2:7">
      <c r="B87" s="7">
        <f t="shared" si="4"/>
        <v>2025</v>
      </c>
      <c r="C87" s="300">
        <v>10</v>
      </c>
      <c r="D87" s="316"/>
      <c r="E87" s="558">
        <f>IF(Results!L90&lt;=0,0,C87/Results!L90)</f>
        <v>0.17629065383370376</v>
      </c>
      <c r="F87" s="559">
        <f t="shared" si="3"/>
        <v>0</v>
      </c>
      <c r="G87" s="561"/>
    </row>
    <row r="88" spans="2:7">
      <c r="B88" s="7">
        <f t="shared" si="4"/>
        <v>2026</v>
      </c>
      <c r="C88" s="300">
        <v>10</v>
      </c>
      <c r="D88" s="316"/>
      <c r="E88" s="558">
        <f>IF(Results!L91&lt;=0,0,C88/Results!L91)</f>
        <v>0.17627286889606383</v>
      </c>
      <c r="F88" s="559">
        <f t="shared" si="3"/>
        <v>0</v>
      </c>
      <c r="G88" s="561"/>
    </row>
    <row r="89" spans="2:7">
      <c r="B89" s="7">
        <f t="shared" si="4"/>
        <v>2027</v>
      </c>
      <c r="C89" s="300">
        <v>10</v>
      </c>
      <c r="D89" s="316"/>
      <c r="E89" s="558">
        <f>IF(Results!L92&lt;=0,0,C89/Results!L92)</f>
        <v>0.17625661782508731</v>
      </c>
      <c r="F89" s="559">
        <f t="shared" si="3"/>
        <v>0</v>
      </c>
      <c r="G89" s="561"/>
    </row>
    <row r="90" spans="2:7">
      <c r="B90" s="7">
        <f t="shared" si="4"/>
        <v>2028</v>
      </c>
      <c r="C90" s="300">
        <v>10</v>
      </c>
      <c r="D90" s="316"/>
      <c r="E90" s="558">
        <f>IF(Results!L93&lt;=0,0,C90/Results!L93)</f>
        <v>0.17624176808501307</v>
      </c>
      <c r="F90" s="559">
        <f t="shared" si="3"/>
        <v>0</v>
      </c>
      <c r="G90" s="561"/>
    </row>
    <row r="91" spans="2:7">
      <c r="B91" s="7">
        <f t="shared" si="4"/>
        <v>2029</v>
      </c>
      <c r="C91" s="300">
        <v>10</v>
      </c>
      <c r="D91" s="316"/>
      <c r="E91" s="558">
        <f>IF(Results!L94&lt;=0,0,C91/Results!L94)</f>
        <v>0.17622819863272468</v>
      </c>
      <c r="F91" s="559">
        <f t="shared" si="3"/>
        <v>0</v>
      </c>
      <c r="G91" s="561"/>
    </row>
    <row r="92" spans="2:7" ht="13.8" thickBot="1">
      <c r="B92" s="20">
        <f t="shared" si="4"/>
        <v>2030</v>
      </c>
      <c r="C92" s="516">
        <v>10</v>
      </c>
      <c r="D92" s="317"/>
      <c r="E92" s="562">
        <f>IF(Results!L95&lt;=0,0,C92/Results!L95)</f>
        <v>0.17621579891447522</v>
      </c>
      <c r="F92" s="563">
        <f t="shared" si="3"/>
        <v>0</v>
      </c>
      <c r="G92" s="564"/>
    </row>
    <row r="93" spans="2:7">
      <c r="F93" s="6"/>
    </row>
    <row r="94" spans="2:7">
      <c r="F94" s="6"/>
    </row>
    <row r="95" spans="2:7">
      <c r="F95" s="6"/>
    </row>
    <row r="96" spans="2:7">
      <c r="F96" s="6"/>
    </row>
    <row r="97" spans="6:6">
      <c r="F97" s="6"/>
    </row>
    <row r="98" spans="6:6">
      <c r="F98" s="6"/>
    </row>
    <row r="99" spans="6:6">
      <c r="F99" s="6"/>
    </row>
    <row r="100" spans="6:6">
      <c r="F100" s="6"/>
    </row>
    <row r="101" spans="6:6">
      <c r="F101" s="6"/>
    </row>
    <row r="102" spans="6:6">
      <c r="F102" s="6"/>
    </row>
    <row r="103" spans="6:6">
      <c r="F103" s="6"/>
    </row>
    <row r="104" spans="6:6">
      <c r="F104" s="6"/>
    </row>
    <row r="105" spans="6:6">
      <c r="F105" s="6"/>
    </row>
    <row r="106" spans="6:6">
      <c r="F106" s="6"/>
    </row>
    <row r="107" spans="6:6">
      <c r="F107" s="6"/>
    </row>
    <row r="108" spans="6:6">
      <c r="F108" s="6"/>
    </row>
    <row r="109" spans="6:6">
      <c r="F109" s="6"/>
    </row>
    <row r="110" spans="6:6">
      <c r="F110" s="6"/>
    </row>
    <row r="111" spans="6:6">
      <c r="F111" s="6"/>
    </row>
    <row r="112" spans="6:6">
      <c r="F112" s="6"/>
    </row>
    <row r="113" spans="6:6">
      <c r="F113" s="6"/>
    </row>
    <row r="114" spans="6:6">
      <c r="F114" s="6"/>
    </row>
    <row r="115" spans="6:6">
      <c r="F115" s="6"/>
    </row>
    <row r="116" spans="6:6">
      <c r="F116" s="6"/>
    </row>
    <row r="117" spans="6:6">
      <c r="F117" s="6"/>
    </row>
  </sheetData>
  <sheetProtection password="CF65" sheet="1" objects="1" scenarios="1"/>
  <phoneticPr fontId="17" type="noConversion"/>
  <pageMargins left="0.75" right="0.75" top="1" bottom="1" header="0.5" footer="0.5"/>
  <pageSetup paperSize="9" orientation="portrait" verticalDpi="0"/>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33"/>
  </sheetPr>
  <dimension ref="A1:Q96"/>
  <sheetViews>
    <sheetView topLeftCell="A4" workbookViewId="0">
      <selection activeCell="Q18" sqref="Q18"/>
    </sheetView>
  </sheetViews>
  <sheetFormatPr defaultColWidth="11.44140625" defaultRowHeight="13.2"/>
  <cols>
    <col min="1" max="1" width="11.44140625" style="192" customWidth="1"/>
    <col min="2" max="2" width="7" style="382" customWidth="1"/>
    <col min="3" max="13" width="11.44140625" style="382" customWidth="1"/>
    <col min="14" max="14" width="4.6640625" style="382" customWidth="1"/>
    <col min="15" max="15" width="10.44140625" style="382" customWidth="1"/>
    <col min="16" max="16384" width="11.44140625" style="192"/>
  </cols>
  <sheetData>
    <row r="1" spans="1:17">
      <c r="A1" s="191"/>
      <c r="N1" s="383"/>
    </row>
    <row r="2" spans="1:17" ht="15.6">
      <c r="A2" s="191"/>
      <c r="B2" s="384" t="s">
        <v>106</v>
      </c>
      <c r="D2" s="384"/>
    </row>
    <row r="3" spans="1:17" ht="15.6">
      <c r="A3" s="191"/>
      <c r="B3" s="384"/>
      <c r="D3" s="384"/>
      <c r="G3" s="385"/>
      <c r="H3" s="386"/>
      <c r="I3" s="386"/>
      <c r="J3" s="386"/>
      <c r="K3" s="386"/>
      <c r="L3" s="386"/>
      <c r="M3" s="386"/>
    </row>
    <row r="4" spans="1:17" ht="16.2" thickBot="1">
      <c r="A4" s="191"/>
      <c r="B4" s="385" t="s">
        <v>33</v>
      </c>
      <c r="D4" s="384"/>
      <c r="G4" s="385"/>
      <c r="H4" s="386"/>
      <c r="I4" s="386"/>
      <c r="J4" s="386"/>
      <c r="K4" s="386"/>
      <c r="L4" s="386"/>
      <c r="M4" s="386"/>
    </row>
    <row r="5" spans="1:17" ht="13.8" thickBot="1">
      <c r="A5" s="191"/>
      <c r="B5" s="689">
        <f>country</f>
        <v>0</v>
      </c>
      <c r="C5" s="690"/>
      <c r="D5" s="690"/>
      <c r="E5" s="690"/>
      <c r="F5" s="690"/>
      <c r="G5" s="690"/>
      <c r="H5" s="691"/>
      <c r="I5" s="386"/>
      <c r="J5" s="386"/>
      <c r="K5" s="386"/>
      <c r="L5" s="386"/>
      <c r="M5" s="386"/>
    </row>
    <row r="6" spans="1:17">
      <c r="A6" s="191"/>
      <c r="C6" s="385"/>
      <c r="D6" s="385"/>
    </row>
    <row r="7" spans="1:17">
      <c r="A7" s="191"/>
      <c r="B7" s="382" t="s">
        <v>38</v>
      </c>
      <c r="N7" s="383"/>
    </row>
    <row r="8" spans="1:17">
      <c r="A8" s="191"/>
      <c r="B8" s="382" t="s">
        <v>40</v>
      </c>
      <c r="N8" s="383"/>
    </row>
    <row r="9" spans="1:17" ht="13.8" thickBot="1">
      <c r="B9" s="387"/>
      <c r="N9" s="383"/>
    </row>
    <row r="10" spans="1:17" ht="13.8" thickBot="1">
      <c r="B10" s="350"/>
      <c r="C10" s="686" t="s">
        <v>103</v>
      </c>
      <c r="D10" s="687"/>
      <c r="E10" s="687"/>
      <c r="F10" s="687"/>
      <c r="G10" s="687"/>
      <c r="H10" s="687"/>
      <c r="I10" s="687"/>
      <c r="J10" s="687"/>
      <c r="K10" s="687"/>
      <c r="L10" s="688"/>
      <c r="M10" s="388"/>
      <c r="N10" s="389"/>
      <c r="O10" s="350"/>
    </row>
    <row r="11" spans="1:17" ht="27" thickBot="1">
      <c r="A11" s="193"/>
      <c r="B11" s="390" t="s">
        <v>1</v>
      </c>
      <c r="C11" s="391" t="s">
        <v>13</v>
      </c>
      <c r="D11" s="392" t="s">
        <v>54</v>
      </c>
      <c r="E11" s="392" t="s">
        <v>2</v>
      </c>
      <c r="F11" s="392" t="s">
        <v>3</v>
      </c>
      <c r="G11" s="392" t="s">
        <v>4</v>
      </c>
      <c r="H11" s="480" t="s">
        <v>175</v>
      </c>
      <c r="I11" s="393" t="s">
        <v>176</v>
      </c>
      <c r="J11" s="393" t="s">
        <v>115</v>
      </c>
      <c r="K11" s="393" t="s">
        <v>22</v>
      </c>
      <c r="L11" s="488" t="s">
        <v>30</v>
      </c>
      <c r="M11" s="393" t="s">
        <v>6</v>
      </c>
      <c r="N11" s="394"/>
      <c r="O11" s="395" t="s">
        <v>5</v>
      </c>
      <c r="P11" s="193"/>
      <c r="Q11" s="193"/>
    </row>
    <row r="12" spans="1:17" ht="21.6" thickBot="1">
      <c r="A12" s="194"/>
      <c r="B12" s="396"/>
      <c r="C12" s="397" t="s">
        <v>92</v>
      </c>
      <c r="D12" s="141" t="s">
        <v>98</v>
      </c>
      <c r="E12" s="141" t="s">
        <v>99</v>
      </c>
      <c r="F12" s="141" t="s">
        <v>100</v>
      </c>
      <c r="G12" s="141" t="s">
        <v>101</v>
      </c>
      <c r="H12" s="481" t="s">
        <v>93</v>
      </c>
      <c r="I12" s="484" t="s">
        <v>104</v>
      </c>
      <c r="J12" s="398" t="s">
        <v>105</v>
      </c>
      <c r="K12" s="398" t="s">
        <v>187</v>
      </c>
      <c r="L12" s="489" t="s">
        <v>229</v>
      </c>
      <c r="M12" s="398" t="s">
        <v>196</v>
      </c>
      <c r="N12" s="399"/>
      <c r="O12" s="400" t="s">
        <v>197</v>
      </c>
      <c r="P12" s="194"/>
      <c r="Q12" s="194"/>
    </row>
    <row r="13" spans="1:17" ht="13.8" thickBot="1">
      <c r="A13" s="195"/>
      <c r="B13" s="401"/>
      <c r="C13" s="402" t="s">
        <v>17</v>
      </c>
      <c r="D13" s="89" t="s">
        <v>17</v>
      </c>
      <c r="E13" s="89" t="s">
        <v>17</v>
      </c>
      <c r="F13" s="89" t="s">
        <v>17</v>
      </c>
      <c r="G13" s="89" t="s">
        <v>17</v>
      </c>
      <c r="H13" s="403" t="s">
        <v>17</v>
      </c>
      <c r="I13" s="404" t="s">
        <v>17</v>
      </c>
      <c r="J13" s="404" t="s">
        <v>17</v>
      </c>
      <c r="K13" s="404" t="s">
        <v>17</v>
      </c>
      <c r="L13" s="490" t="s">
        <v>17</v>
      </c>
      <c r="M13" s="404" t="s">
        <v>17</v>
      </c>
      <c r="N13" s="405"/>
      <c r="O13" s="406" t="s">
        <v>17</v>
      </c>
      <c r="P13" s="195"/>
      <c r="Q13" s="195"/>
    </row>
    <row r="14" spans="1:17" ht="13.8" thickBot="1">
      <c r="A14" s="195"/>
      <c r="B14" s="407"/>
      <c r="C14" s="408"/>
      <c r="D14" s="409"/>
      <c r="E14" s="409"/>
      <c r="F14" s="409"/>
      <c r="G14" s="409"/>
      <c r="H14" s="482"/>
      <c r="I14" s="410"/>
      <c r="J14" s="410"/>
      <c r="K14" s="411"/>
      <c r="L14" s="491"/>
      <c r="M14" s="411"/>
      <c r="N14" s="412"/>
      <c r="O14" s="413"/>
      <c r="P14" s="195"/>
      <c r="Q14" s="195"/>
    </row>
    <row r="15" spans="1:17">
      <c r="B15" s="463">
        <f>year</f>
        <v>1950</v>
      </c>
      <c r="C15" s="426" t="str">
        <f>IF(Select2=1,Food!$J19,"")</f>
        <v/>
      </c>
      <c r="D15" s="167" t="str">
        <f>IF(Select2=1,Garden!$J19,"")</f>
        <v/>
      </c>
      <c r="E15" s="167" t="str">
        <f>IF(Select2=1,Paper!$J19,"")</f>
        <v/>
      </c>
      <c r="F15" s="167" t="str">
        <f>IF(Select2=1,Wood!$J19,"")</f>
        <v/>
      </c>
      <c r="G15" s="167" t="str">
        <f>IF(Select2=1,Textiles!$J19,"")</f>
        <v/>
      </c>
      <c r="H15" s="483" t="str">
        <f>IF(Select2=1,Nappies!$J19,"")</f>
        <v/>
      </c>
      <c r="I15" s="414">
        <f>Sludge!$J19</f>
        <v>0</v>
      </c>
      <c r="J15" s="415">
        <f>IF(Select2=2,MSW!$J19,"")</f>
        <v>0</v>
      </c>
      <c r="K15" s="414">
        <f>Industry!$J19</f>
        <v>0</v>
      </c>
      <c r="L15" s="492">
        <f>SUM(C15:K15)</f>
        <v>0</v>
      </c>
      <c r="M15" s="414">
        <f>Recovery_OX!C12</f>
        <v>0</v>
      </c>
      <c r="N15" s="389"/>
      <c r="O15" s="284">
        <f>(L15-M15)*(1-Recovery_OX!F12)</f>
        <v>0</v>
      </c>
    </row>
    <row r="16" spans="1:17">
      <c r="B16" s="464">
        <f t="shared" ref="B16:B79" si="0">B15+1</f>
        <v>1951</v>
      </c>
      <c r="C16" s="422" t="str">
        <f>IF(Select2=1,Food!$J20,"")</f>
        <v/>
      </c>
      <c r="D16" s="100" t="str">
        <f>IF(Select2=1,Garden!$J20,"")</f>
        <v/>
      </c>
      <c r="E16" s="100" t="str">
        <f>IF(Select2=1,Paper!$J20,"")</f>
        <v/>
      </c>
      <c r="F16" s="100" t="str">
        <f>IF(Select2=1,Wood!$J20,"")</f>
        <v/>
      </c>
      <c r="G16" s="100" t="str">
        <f>IF(Select2=1,Textiles!$J20,"")</f>
        <v/>
      </c>
      <c r="H16" s="341" t="str">
        <f>IF(Select2=1,Nappies!$J20,"")</f>
        <v/>
      </c>
      <c r="I16" s="416">
        <f>Sludge!$J20</f>
        <v>0</v>
      </c>
      <c r="J16" s="416">
        <f>IF(Select2=2,MSW!$J20,"")</f>
        <v>3.3494539939848833</v>
      </c>
      <c r="K16" s="416">
        <f>Industry!$J20</f>
        <v>1.5384800632767963</v>
      </c>
      <c r="L16" s="493">
        <f t="shared" ref="L16:L79" si="1">SUM(C16:K16)</f>
        <v>4.8879340572616794</v>
      </c>
      <c r="M16" s="416">
        <f>Recovery_OX!C13</f>
        <v>0</v>
      </c>
      <c r="N16" s="389"/>
      <c r="O16" s="285">
        <f>(L16-M16)*(1-Recovery_OX!F13)</f>
        <v>4.8879340572616794</v>
      </c>
    </row>
    <row r="17" spans="2:15">
      <c r="B17" s="464">
        <f t="shared" si="0"/>
        <v>1952</v>
      </c>
      <c r="C17" s="422" t="str">
        <f>IF(Select2=1,Food!$J21,"")</f>
        <v/>
      </c>
      <c r="D17" s="100" t="str">
        <f>IF(Select2=1,Garden!$J21,"")</f>
        <v/>
      </c>
      <c r="E17" s="100" t="str">
        <f>IF(Select2=1,Paper!$J21,"")</f>
        <v/>
      </c>
      <c r="F17" s="100" t="str">
        <f>IF(Select2=1,Wood!$J21,"")</f>
        <v/>
      </c>
      <c r="G17" s="100" t="str">
        <f>IF(Select2=1,Textiles!$J21,"")</f>
        <v/>
      </c>
      <c r="H17" s="341" t="str">
        <f>IF(Select2=1,Nappies!$J21,"")</f>
        <v/>
      </c>
      <c r="I17" s="416">
        <f>Sludge!$J21</f>
        <v>0</v>
      </c>
      <c r="J17" s="416">
        <f>IF(Select2=2,MSW!$J21,"")</f>
        <v>6.4106244527189364</v>
      </c>
      <c r="K17" s="416">
        <f>Industry!$J21</f>
        <v>2.9445449710235132</v>
      </c>
      <c r="L17" s="493">
        <f t="shared" si="1"/>
        <v>9.3551694237424492</v>
      </c>
      <c r="M17" s="416">
        <f>Recovery_OX!C14</f>
        <v>0</v>
      </c>
      <c r="N17" s="389"/>
      <c r="O17" s="285">
        <f>(L17-M17)*(1-Recovery_OX!F14)</f>
        <v>9.3551694237424492</v>
      </c>
    </row>
    <row r="18" spans="2:15">
      <c r="B18" s="464">
        <f t="shared" si="0"/>
        <v>1953</v>
      </c>
      <c r="C18" s="422" t="str">
        <f>IF(Select2=1,Food!$J22,"")</f>
        <v/>
      </c>
      <c r="D18" s="100" t="str">
        <f>IF(Select2=1,Garden!$J22,"")</f>
        <v/>
      </c>
      <c r="E18" s="100" t="str">
        <f>IF(Select2=1,Paper!$J22,"")</f>
        <v/>
      </c>
      <c r="F18" s="100" t="str">
        <f>IF(Select2=1,Wood!$J22,"")</f>
        <v/>
      </c>
      <c r="G18" s="100" t="str">
        <f>IF(Select2=1,Textiles!$J22,"")</f>
        <v/>
      </c>
      <c r="H18" s="341" t="str">
        <f>IF(Select2=1,Nappies!$J22,"")</f>
        <v/>
      </c>
      <c r="I18" s="416">
        <f>Sludge!$J22</f>
        <v>0</v>
      </c>
      <c r="J18" s="416">
        <f>IF(Select2=2,MSW!$J22,"")</f>
        <v>9.20832359838702</v>
      </c>
      <c r="K18" s="416">
        <f>Industry!$J22</f>
        <v>4.2295915387287497</v>
      </c>
      <c r="L18" s="493">
        <f t="shared" si="1"/>
        <v>13.43791513711577</v>
      </c>
      <c r="M18" s="416">
        <f>Recovery_OX!C15</f>
        <v>0</v>
      </c>
      <c r="N18" s="389"/>
      <c r="O18" s="285">
        <f>(L18-M18)*(1-Recovery_OX!F15)</f>
        <v>13.43791513711577</v>
      </c>
    </row>
    <row r="19" spans="2:15">
      <c r="B19" s="464">
        <f t="shared" si="0"/>
        <v>1954</v>
      </c>
      <c r="C19" s="422" t="str">
        <f>IF(Select2=1,Food!$J23,"")</f>
        <v/>
      </c>
      <c r="D19" s="100" t="str">
        <f>IF(Select2=1,Garden!$J23,"")</f>
        <v/>
      </c>
      <c r="E19" s="100" t="str">
        <f>IF(Select2=1,Paper!$J23,"")</f>
        <v/>
      </c>
      <c r="F19" s="100" t="str">
        <f>IF(Select2=1,Wood!$J23,"")</f>
        <v/>
      </c>
      <c r="G19" s="100" t="str">
        <f>IF(Select2=1,Textiles!$J23,"")</f>
        <v/>
      </c>
      <c r="H19" s="341" t="str">
        <f>IF(Select2=1,Nappies!$J23,"")</f>
        <v/>
      </c>
      <c r="I19" s="416">
        <f>Sludge!$J23</f>
        <v>0</v>
      </c>
      <c r="J19" s="416">
        <f>IF(Select2=2,MSW!$J23,"")</f>
        <v>11.765228094619754</v>
      </c>
      <c r="K19" s="416">
        <f>Industry!$J23</f>
        <v>5.4040356714803206</v>
      </c>
      <c r="L19" s="493">
        <f t="shared" si="1"/>
        <v>17.169263766100073</v>
      </c>
      <c r="M19" s="416">
        <f>Recovery_OX!C16</f>
        <v>0</v>
      </c>
      <c r="N19" s="389"/>
      <c r="O19" s="285">
        <f>(L19-M19)*(1-Recovery_OX!F16)</f>
        <v>17.169263766100073</v>
      </c>
    </row>
    <row r="20" spans="2:15">
      <c r="B20" s="464">
        <f t="shared" si="0"/>
        <v>1955</v>
      </c>
      <c r="C20" s="422" t="str">
        <f>IF(Select2=1,Food!$J24,"")</f>
        <v/>
      </c>
      <c r="D20" s="100" t="str">
        <f>IF(Select2=1,Garden!$J24,"")</f>
        <v/>
      </c>
      <c r="E20" s="100" t="str">
        <f>IF(Select2=1,Paper!$J24,"")</f>
        <v/>
      </c>
      <c r="F20" s="100" t="str">
        <f>IF(Select2=1,Wood!$J24,"")</f>
        <v/>
      </c>
      <c r="G20" s="100" t="str">
        <f>IF(Select2=1,Textiles!$J24,"")</f>
        <v/>
      </c>
      <c r="H20" s="341" t="str">
        <f>IF(Select2=1,Nappies!$J24,"")</f>
        <v/>
      </c>
      <c r="I20" s="416">
        <f>Sludge!$J24</f>
        <v>0</v>
      </c>
      <c r="J20" s="416">
        <f>IF(Select2=2,MSW!$J24,"")</f>
        <v>14.102062851487069</v>
      </c>
      <c r="K20" s="416">
        <f>Industry!$J24</f>
        <v>6.4773967897608031</v>
      </c>
      <c r="L20" s="493">
        <f t="shared" si="1"/>
        <v>20.579459641247873</v>
      </c>
      <c r="M20" s="416">
        <f>Recovery_OX!C17</f>
        <v>0</v>
      </c>
      <c r="N20" s="389"/>
      <c r="O20" s="285">
        <f>(L20-M20)*(1-Recovery_OX!F17)</f>
        <v>20.579459641247873</v>
      </c>
    </row>
    <row r="21" spans="2:15">
      <c r="B21" s="464">
        <f t="shared" si="0"/>
        <v>1956</v>
      </c>
      <c r="C21" s="422" t="str">
        <f>IF(Select2=1,Food!$J25,"")</f>
        <v/>
      </c>
      <c r="D21" s="100" t="str">
        <f>IF(Select2=1,Garden!$J25,"")</f>
        <v/>
      </c>
      <c r="E21" s="100" t="str">
        <f>IF(Select2=1,Paper!$J25,"")</f>
        <v/>
      </c>
      <c r="F21" s="100" t="str">
        <f>IF(Select2=1,Wood!$J25,"")</f>
        <v/>
      </c>
      <c r="G21" s="100" t="str">
        <f>IF(Select2=1,Textiles!$J25,"")</f>
        <v/>
      </c>
      <c r="H21" s="341" t="str">
        <f>IF(Select2=1,Nappies!$J25,"")</f>
        <v/>
      </c>
      <c r="I21" s="416">
        <f>Sludge!$J25</f>
        <v>0</v>
      </c>
      <c r="J21" s="416">
        <f>IF(Select2=2,MSW!$J25,"")</f>
        <v>16.237769010613817</v>
      </c>
      <c r="K21" s="416">
        <f>Industry!$J25</f>
        <v>7.4583749888149358</v>
      </c>
      <c r="L21" s="493">
        <f t="shared" si="1"/>
        <v>23.696143999428752</v>
      </c>
      <c r="M21" s="416">
        <f>Recovery_OX!C18</f>
        <v>0</v>
      </c>
      <c r="N21" s="389"/>
      <c r="O21" s="285">
        <f>(L21-M21)*(1-Recovery_OX!F18)</f>
        <v>23.696143999428752</v>
      </c>
    </row>
    <row r="22" spans="2:15">
      <c r="B22" s="464">
        <f t="shared" si="0"/>
        <v>1957</v>
      </c>
      <c r="C22" s="422" t="str">
        <f>IF(Select2=1,Food!$J26,"")</f>
        <v/>
      </c>
      <c r="D22" s="100" t="str">
        <f>IF(Select2=1,Garden!$J26,"")</f>
        <v/>
      </c>
      <c r="E22" s="100" t="str">
        <f>IF(Select2=1,Paper!$J26,"")</f>
        <v/>
      </c>
      <c r="F22" s="100" t="str">
        <f>IF(Select2=1,Wood!$J26,"")</f>
        <v/>
      </c>
      <c r="G22" s="100" t="str">
        <f>IF(Select2=1,Textiles!$J26,"")</f>
        <v/>
      </c>
      <c r="H22" s="341" t="str">
        <f>IF(Select2=1,Nappies!$J26,"")</f>
        <v/>
      </c>
      <c r="I22" s="416">
        <f>Sludge!$J26</f>
        <v>0</v>
      </c>
      <c r="J22" s="416">
        <f>IF(Select2=2,MSW!$J26,"")</f>
        <v>18.189657472015586</v>
      </c>
      <c r="K22" s="416">
        <f>Industry!$J26</f>
        <v>8.3549215570017132</v>
      </c>
      <c r="L22" s="493">
        <f t="shared" si="1"/>
        <v>26.544579029017299</v>
      </c>
      <c r="M22" s="416">
        <f>Recovery_OX!C19</f>
        <v>0</v>
      </c>
      <c r="N22" s="389"/>
      <c r="O22" s="285">
        <f>(L22-M22)*(1-Recovery_OX!F19)</f>
        <v>26.544579029017299</v>
      </c>
    </row>
    <row r="23" spans="2:15">
      <c r="B23" s="464">
        <f t="shared" si="0"/>
        <v>1958</v>
      </c>
      <c r="C23" s="422" t="str">
        <f>IF(Select2=1,Food!$J27,"")</f>
        <v/>
      </c>
      <c r="D23" s="100" t="str">
        <f>IF(Select2=1,Garden!$J27,"")</f>
        <v/>
      </c>
      <c r="E23" s="100" t="str">
        <f>IF(Select2=1,Paper!$J27,"")</f>
        <v/>
      </c>
      <c r="F23" s="100" t="str">
        <f>IF(Select2=1,Wood!$J27,"")</f>
        <v/>
      </c>
      <c r="G23" s="100" t="str">
        <f>IF(Select2=1,Textiles!$J27,"")</f>
        <v/>
      </c>
      <c r="H23" s="341" t="str">
        <f>IF(Select2=1,Nappies!$J27,"")</f>
        <v/>
      </c>
      <c r="I23" s="416">
        <f>Sludge!$J27</f>
        <v>0</v>
      </c>
      <c r="J23" s="416">
        <f>IF(Select2=2,MSW!$J27,"")</f>
        <v>19.97354920706174</v>
      </c>
      <c r="K23" s="416">
        <f>Industry!$J27</f>
        <v>9.1743034247155073</v>
      </c>
      <c r="L23" s="493">
        <f t="shared" si="1"/>
        <v>29.147852631777248</v>
      </c>
      <c r="M23" s="416">
        <f>Recovery_OX!C20</f>
        <v>0</v>
      </c>
      <c r="N23" s="389"/>
      <c r="O23" s="285">
        <f>(L23-M23)*(1-Recovery_OX!F20)</f>
        <v>29.147852631777248</v>
      </c>
    </row>
    <row r="24" spans="2:15">
      <c r="B24" s="464">
        <f t="shared" si="0"/>
        <v>1959</v>
      </c>
      <c r="C24" s="422" t="str">
        <f>IF(Select2=1,Food!$J28,"")</f>
        <v/>
      </c>
      <c r="D24" s="100" t="str">
        <f>IF(Select2=1,Garden!$J28,"")</f>
        <v/>
      </c>
      <c r="E24" s="100" t="str">
        <f>IF(Select2=1,Paper!$J28,"")</f>
        <v/>
      </c>
      <c r="F24" s="100" t="str">
        <f>IF(Select2=1,Wood!$J28,"")</f>
        <v/>
      </c>
      <c r="G24" s="100" t="str">
        <f>IF(Select2=1,Textiles!$J28,"")</f>
        <v/>
      </c>
      <c r="H24" s="341" t="str">
        <f>IF(Select2=1,Nappies!$J28,"")</f>
        <v/>
      </c>
      <c r="I24" s="416">
        <f>Sludge!$J28</f>
        <v>0</v>
      </c>
      <c r="J24" s="416">
        <f>IF(Select2=2,MSW!$J28,"")</f>
        <v>21.603903494868021</v>
      </c>
      <c r="K24" s="416">
        <f>Industry!$J28</f>
        <v>9.9231620662649291</v>
      </c>
      <c r="L24" s="493">
        <f t="shared" si="1"/>
        <v>31.52706556113295</v>
      </c>
      <c r="M24" s="416">
        <f>Recovery_OX!C21</f>
        <v>0</v>
      </c>
      <c r="N24" s="389"/>
      <c r="O24" s="285">
        <f>(L24-M24)*(1-Recovery_OX!F21)</f>
        <v>31.52706556113295</v>
      </c>
    </row>
    <row r="25" spans="2:15">
      <c r="B25" s="464">
        <f t="shared" si="0"/>
        <v>1960</v>
      </c>
      <c r="C25" s="422" t="str">
        <f>IF(Select2=1,Food!$J29,"")</f>
        <v/>
      </c>
      <c r="D25" s="100" t="str">
        <f>IF(Select2=1,Garden!$J29,"")</f>
        <v/>
      </c>
      <c r="E25" s="100" t="str">
        <f>IF(Select2=1,Paper!$J29,"")</f>
        <v/>
      </c>
      <c r="F25" s="100" t="str">
        <f>IF(Select2=1,Wood!$J29,"")</f>
        <v/>
      </c>
      <c r="G25" s="100" t="str">
        <f>IF(Select2=1,Textiles!$J29,"")</f>
        <v/>
      </c>
      <c r="H25" s="341" t="str">
        <f>IF(Select2=1,Nappies!$J29,"")</f>
        <v/>
      </c>
      <c r="I25" s="416">
        <f>Sludge!$J29</f>
        <v>0</v>
      </c>
      <c r="J25" s="416">
        <f>IF(Select2=2,MSW!$J29,"")</f>
        <v>23.093935121534841</v>
      </c>
      <c r="K25" s="416">
        <f>Industry!$J29</f>
        <v>10.607567332136792</v>
      </c>
      <c r="L25" s="493">
        <f t="shared" si="1"/>
        <v>33.701502453671637</v>
      </c>
      <c r="M25" s="416">
        <f>Recovery_OX!C22</f>
        <v>0</v>
      </c>
      <c r="N25" s="389"/>
      <c r="O25" s="285">
        <f>(L25-M25)*(1-Recovery_OX!F22)</f>
        <v>33.701502453671637</v>
      </c>
    </row>
    <row r="26" spans="2:15">
      <c r="B26" s="464">
        <f t="shared" si="0"/>
        <v>1961</v>
      </c>
      <c r="C26" s="422" t="str">
        <f>IF(Select2=1,Food!$J30,"")</f>
        <v/>
      </c>
      <c r="D26" s="100" t="str">
        <f>IF(Select2=1,Garden!$J30,"")</f>
        <v/>
      </c>
      <c r="E26" s="100" t="str">
        <f>IF(Select2=1,Paper!$J30,"")</f>
        <v/>
      </c>
      <c r="F26" s="100" t="str">
        <f>IF(Select2=1,Wood!$J30,"")</f>
        <v/>
      </c>
      <c r="G26" s="100" t="str">
        <f>IF(Select2=1,Textiles!$J30,"")</f>
        <v/>
      </c>
      <c r="H26" s="341" t="str">
        <f>IF(Select2=1,Nappies!$J30,"")</f>
        <v/>
      </c>
      <c r="I26" s="416">
        <f>Sludge!$J30</f>
        <v>0</v>
      </c>
      <c r="J26" s="416">
        <f>IF(Select2=2,MSW!$J30,"")</f>
        <v>24.455721492186061</v>
      </c>
      <c r="K26" s="416">
        <f>Industry!$J30</f>
        <v>11.233066647980936</v>
      </c>
      <c r="L26" s="493">
        <f t="shared" si="1"/>
        <v>35.688788140166999</v>
      </c>
      <c r="M26" s="416">
        <f>Recovery_OX!C23</f>
        <v>0</v>
      </c>
      <c r="N26" s="389"/>
      <c r="O26" s="285">
        <f>(L26-M26)*(1-Recovery_OX!F23)</f>
        <v>35.688788140166999</v>
      </c>
    </row>
    <row r="27" spans="2:15">
      <c r="B27" s="464">
        <f t="shared" si="0"/>
        <v>1962</v>
      </c>
      <c r="C27" s="422" t="str">
        <f>IF(Select2=1,Food!$J31,"")</f>
        <v/>
      </c>
      <c r="D27" s="100" t="str">
        <f>IF(Select2=1,Garden!$J31,"")</f>
        <v/>
      </c>
      <c r="E27" s="100" t="str">
        <f>IF(Select2=1,Paper!$J31,"")</f>
        <v/>
      </c>
      <c r="F27" s="100" t="str">
        <f>IF(Select2=1,Wood!$J31,"")</f>
        <v/>
      </c>
      <c r="G27" s="100" t="str">
        <f>IF(Select2=1,Textiles!$J31,"")</f>
        <v/>
      </c>
      <c r="H27" s="341" t="str">
        <f>IF(Select2=1,Nappies!$J31,"")</f>
        <v/>
      </c>
      <c r="I27" s="416">
        <f>Sludge!$J31</f>
        <v>0</v>
      </c>
      <c r="J27" s="416">
        <f>IF(Select2=2,MSW!$J31,"")</f>
        <v>25.700300524001541</v>
      </c>
      <c r="K27" s="416">
        <f>Industry!$J31</f>
        <v>11.804729979096715</v>
      </c>
      <c r="L27" s="493">
        <f t="shared" si="1"/>
        <v>37.505030503098254</v>
      </c>
      <c r="M27" s="416">
        <f>Recovery_OX!C24</f>
        <v>0</v>
      </c>
      <c r="N27" s="389"/>
      <c r="O27" s="285">
        <f>(L27-M27)*(1-Recovery_OX!F24)</f>
        <v>37.505030503098254</v>
      </c>
    </row>
    <row r="28" spans="2:15">
      <c r="B28" s="464">
        <f t="shared" si="0"/>
        <v>1963</v>
      </c>
      <c r="C28" s="422" t="str">
        <f>IF(Select2=1,Food!$J32,"")</f>
        <v/>
      </c>
      <c r="D28" s="100" t="str">
        <f>IF(Select2=1,Garden!$J32,"")</f>
        <v/>
      </c>
      <c r="E28" s="100" t="str">
        <f>IF(Select2=1,Paper!$J32,"")</f>
        <v/>
      </c>
      <c r="F28" s="100" t="str">
        <f>IF(Select2=1,Wood!$J32,"")</f>
        <v/>
      </c>
      <c r="G28" s="100" t="str">
        <f>IF(Select2=1,Textiles!$J32,"")</f>
        <v/>
      </c>
      <c r="H28" s="341" t="str">
        <f>IF(Select2=1,Nappies!$J32,"")</f>
        <v/>
      </c>
      <c r="I28" s="416">
        <f>Sludge!$J32</f>
        <v>0</v>
      </c>
      <c r="J28" s="416">
        <f>IF(Select2=2,MSW!$J32,"")</f>
        <v>26.837760113712381</v>
      </c>
      <c r="K28" s="416">
        <f>Industry!$J32</f>
        <v>12.327190924879456</v>
      </c>
      <c r="L28" s="493">
        <f t="shared" si="1"/>
        <v>39.164951038591838</v>
      </c>
      <c r="M28" s="416">
        <f>Recovery_OX!C25</f>
        <v>0</v>
      </c>
      <c r="N28" s="389"/>
      <c r="O28" s="285">
        <f>(L28-M28)*(1-Recovery_OX!F25)</f>
        <v>39.164951038591838</v>
      </c>
    </row>
    <row r="29" spans="2:15">
      <c r="B29" s="464">
        <f t="shared" si="0"/>
        <v>1964</v>
      </c>
      <c r="C29" s="422" t="str">
        <f>IF(Select2=1,Food!$J33,"")</f>
        <v/>
      </c>
      <c r="D29" s="100" t="str">
        <f>IF(Select2=1,Garden!$J33,"")</f>
        <v/>
      </c>
      <c r="E29" s="100" t="str">
        <f>IF(Select2=1,Paper!$J33,"")</f>
        <v/>
      </c>
      <c r="F29" s="100" t="str">
        <f>IF(Select2=1,Wood!$J33,"")</f>
        <v/>
      </c>
      <c r="G29" s="100" t="str">
        <f>IF(Select2=1,Textiles!$J33,"")</f>
        <v/>
      </c>
      <c r="H29" s="341" t="str">
        <f>IF(Select2=1,Nappies!$J33,"")</f>
        <v/>
      </c>
      <c r="I29" s="416">
        <f>Sludge!$J33</f>
        <v>0</v>
      </c>
      <c r="J29" s="416">
        <f>IF(Select2=2,MSW!$J33,"")</f>
        <v>27.877319904734932</v>
      </c>
      <c r="K29" s="416">
        <f>Industry!$J33</f>
        <v>12.804684276316607</v>
      </c>
      <c r="L29" s="493">
        <f t="shared" si="1"/>
        <v>40.682004181051539</v>
      </c>
      <c r="M29" s="416">
        <f>Recovery_OX!C26</f>
        <v>0</v>
      </c>
      <c r="N29" s="389"/>
      <c r="O29" s="285">
        <f>(L29-M29)*(1-Recovery_OX!F26)</f>
        <v>40.682004181051539</v>
      </c>
    </row>
    <row r="30" spans="2:15">
      <c r="B30" s="464">
        <f t="shared" si="0"/>
        <v>1965</v>
      </c>
      <c r="C30" s="422" t="str">
        <f>IF(Select2=1,Food!$J34,"")</f>
        <v/>
      </c>
      <c r="D30" s="100" t="str">
        <f>IF(Select2=1,Garden!$J34,"")</f>
        <v/>
      </c>
      <c r="E30" s="100" t="str">
        <f>IF(Select2=1,Paper!$J34,"")</f>
        <v/>
      </c>
      <c r="F30" s="100" t="str">
        <f>IF(Select2=1,Wood!$J34,"")</f>
        <v/>
      </c>
      <c r="G30" s="100" t="str">
        <f>IF(Select2=1,Textiles!$J34,"")</f>
        <v/>
      </c>
      <c r="H30" s="341" t="str">
        <f>IF(Select2=1,Nappies!$J34,"")</f>
        <v/>
      </c>
      <c r="I30" s="416">
        <f>Sludge!$J34</f>
        <v>0</v>
      </c>
      <c r="J30" s="416">
        <f>IF(Select2=2,MSW!$J34,"")</f>
        <v>28.827406016704479</v>
      </c>
      <c r="K30" s="416">
        <f>Industry!$J34</f>
        <v>13.24108034095469</v>
      </c>
      <c r="L30" s="493">
        <f t="shared" si="1"/>
        <v>42.068486357659168</v>
      </c>
      <c r="M30" s="416">
        <f>Recovery_OX!C27</f>
        <v>0</v>
      </c>
      <c r="N30" s="389"/>
      <c r="O30" s="285">
        <f>(L30-M30)*(1-Recovery_OX!F27)</f>
        <v>42.068486357659168</v>
      </c>
    </row>
    <row r="31" spans="2:15">
      <c r="B31" s="464">
        <f t="shared" si="0"/>
        <v>1966</v>
      </c>
      <c r="C31" s="422" t="str">
        <f>IF(Select2=1,Food!$J35,"")</f>
        <v/>
      </c>
      <c r="D31" s="100" t="str">
        <f>IF(Select2=1,Garden!$J35,"")</f>
        <v/>
      </c>
      <c r="E31" s="100" t="str">
        <f>IF(Select2=1,Paper!$J35,"")</f>
        <v/>
      </c>
      <c r="F31" s="100" t="str">
        <f>IF(Select2=1,Wood!$J35,"")</f>
        <v/>
      </c>
      <c r="G31" s="100" t="str">
        <f>IF(Select2=1,Textiles!$J35,"")</f>
        <v/>
      </c>
      <c r="H31" s="341" t="str">
        <f>IF(Select2=1,Nappies!$J35,"")</f>
        <v/>
      </c>
      <c r="I31" s="416">
        <f>Sludge!$J35</f>
        <v>0</v>
      </c>
      <c r="J31" s="416">
        <f>IF(Select2=2,MSW!$J35,"")</f>
        <v>29.695719343126544</v>
      </c>
      <c r="K31" s="416">
        <f>Industry!$J35</f>
        <v>13.639916313557075</v>
      </c>
      <c r="L31" s="493">
        <f t="shared" si="1"/>
        <v>43.335635656683621</v>
      </c>
      <c r="M31" s="416">
        <f>Recovery_OX!C28</f>
        <v>0</v>
      </c>
      <c r="N31" s="389"/>
      <c r="O31" s="285">
        <f>(L31-M31)*(1-Recovery_OX!F28)</f>
        <v>43.335635656683621</v>
      </c>
    </row>
    <row r="32" spans="2:15">
      <c r="B32" s="464">
        <f t="shared" si="0"/>
        <v>1967</v>
      </c>
      <c r="C32" s="422" t="str">
        <f>IF(Select2=1,Food!$J36,"")</f>
        <v/>
      </c>
      <c r="D32" s="100" t="str">
        <f>IF(Select2=1,Garden!$J36,"")</f>
        <v/>
      </c>
      <c r="E32" s="100" t="str">
        <f>IF(Select2=1,Paper!$J36,"")</f>
        <v/>
      </c>
      <c r="F32" s="100" t="str">
        <f>IF(Select2=1,Wood!$J36,"")</f>
        <v/>
      </c>
      <c r="G32" s="100" t="str">
        <f>IF(Select2=1,Textiles!$J36,"")</f>
        <v/>
      </c>
      <c r="H32" s="341" t="str">
        <f>IF(Select2=1,Nappies!$J36,"")</f>
        <v/>
      </c>
      <c r="I32" s="416">
        <f>Sludge!$J36</f>
        <v>0</v>
      </c>
      <c r="J32" s="416">
        <f>IF(Select2=2,MSW!$J36,"")</f>
        <v>30.489297970730266</v>
      </c>
      <c r="K32" s="416">
        <f>Industry!$J36</f>
        <v>14.004424946726374</v>
      </c>
      <c r="L32" s="493">
        <f t="shared" si="1"/>
        <v>44.493722917456637</v>
      </c>
      <c r="M32" s="416">
        <f>Recovery_OX!C29</f>
        <v>0</v>
      </c>
      <c r="N32" s="389"/>
      <c r="O32" s="285">
        <f>(L32-M32)*(1-Recovery_OX!F29)</f>
        <v>44.493722917456637</v>
      </c>
    </row>
    <row r="33" spans="2:15">
      <c r="B33" s="464">
        <f t="shared" si="0"/>
        <v>1968</v>
      </c>
      <c r="C33" s="422" t="str">
        <f>IF(Select2=1,Food!$J37,"")</f>
        <v/>
      </c>
      <c r="D33" s="100" t="str">
        <f>IF(Select2=1,Garden!$J37,"")</f>
        <v/>
      </c>
      <c r="E33" s="100" t="str">
        <f>IF(Select2=1,Paper!$J37,"")</f>
        <v/>
      </c>
      <c r="F33" s="100" t="str">
        <f>IF(Select2=1,Wood!$J37,"")</f>
        <v/>
      </c>
      <c r="G33" s="100" t="str">
        <f>IF(Select2=1,Textiles!$J37,"")</f>
        <v/>
      </c>
      <c r="H33" s="341" t="str">
        <f>IF(Select2=1,Nappies!$J37,"")</f>
        <v/>
      </c>
      <c r="I33" s="416">
        <f>Sludge!$J37</f>
        <v>0</v>
      </c>
      <c r="J33" s="416">
        <f>IF(Select2=2,MSW!$J37,"")</f>
        <v>31.214574226462048</v>
      </c>
      <c r="K33" s="416">
        <f>Industry!$J37</f>
        <v>14.337560753880386</v>
      </c>
      <c r="L33" s="493">
        <f t="shared" si="1"/>
        <v>45.55213498034243</v>
      </c>
      <c r="M33" s="416">
        <f>Recovery_OX!C30</f>
        <v>0</v>
      </c>
      <c r="N33" s="389"/>
      <c r="O33" s="285">
        <f>(L33-M33)*(1-Recovery_OX!F30)</f>
        <v>45.55213498034243</v>
      </c>
    </row>
    <row r="34" spans="2:15">
      <c r="B34" s="464">
        <f t="shared" si="0"/>
        <v>1969</v>
      </c>
      <c r="C34" s="422" t="str">
        <f>IF(Select2=1,Food!$J38,"")</f>
        <v/>
      </c>
      <c r="D34" s="100" t="str">
        <f>IF(Select2=1,Garden!$J38,"")</f>
        <v/>
      </c>
      <c r="E34" s="100" t="str">
        <f>IF(Select2=1,Paper!$J38,"")</f>
        <v/>
      </c>
      <c r="F34" s="100" t="str">
        <f>IF(Select2=1,Wood!$J38,"")</f>
        <v/>
      </c>
      <c r="G34" s="100" t="str">
        <f>IF(Select2=1,Textiles!$J38,"")</f>
        <v/>
      </c>
      <c r="H34" s="341" t="str">
        <f>IF(Select2=1,Nappies!$J38,"")</f>
        <v/>
      </c>
      <c r="I34" s="416">
        <f>Sludge!$J38</f>
        <v>0</v>
      </c>
      <c r="J34" s="416">
        <f>IF(Select2=2,MSW!$J38,"")</f>
        <v>31.87742681451207</v>
      </c>
      <c r="K34" s="416">
        <f>Industry!$J38</f>
        <v>14.642023956968943</v>
      </c>
      <c r="L34" s="493">
        <f t="shared" si="1"/>
        <v>46.519450771481011</v>
      </c>
      <c r="M34" s="416">
        <f>Recovery_OX!C31</f>
        <v>0</v>
      </c>
      <c r="N34" s="389"/>
      <c r="O34" s="285">
        <f>(L34-M34)*(1-Recovery_OX!F31)</f>
        <v>46.519450771481011</v>
      </c>
    </row>
    <row r="35" spans="2:15">
      <c r="B35" s="464">
        <f t="shared" si="0"/>
        <v>1970</v>
      </c>
      <c r="C35" s="422" t="str">
        <f>IF(Select2=1,Food!$J39,"")</f>
        <v/>
      </c>
      <c r="D35" s="100" t="str">
        <f>IF(Select2=1,Garden!$J39,"")</f>
        <v/>
      </c>
      <c r="E35" s="100" t="str">
        <f>IF(Select2=1,Paper!$J39,"")</f>
        <v/>
      </c>
      <c r="F35" s="100" t="str">
        <f>IF(Select2=1,Wood!$J39,"")</f>
        <v/>
      </c>
      <c r="G35" s="100" t="str">
        <f>IF(Select2=1,Textiles!$J39,"")</f>
        <v/>
      </c>
      <c r="H35" s="341" t="str">
        <f>IF(Select2=1,Nappies!$J39,"")</f>
        <v/>
      </c>
      <c r="I35" s="416">
        <f>Sludge!$J39</f>
        <v>0</v>
      </c>
      <c r="J35" s="416">
        <f>IF(Select2=2,MSW!$J39,"")</f>
        <v>32.483228465968736</v>
      </c>
      <c r="K35" s="416">
        <f>Industry!$J39</f>
        <v>14.920282373039143</v>
      </c>
      <c r="L35" s="493">
        <f t="shared" si="1"/>
        <v>47.403510839007879</v>
      </c>
      <c r="M35" s="416">
        <f>Recovery_OX!C32</f>
        <v>0</v>
      </c>
      <c r="N35" s="389"/>
      <c r="O35" s="285">
        <f>(L35-M35)*(1-Recovery_OX!F32)</f>
        <v>47.403510839007879</v>
      </c>
    </row>
    <row r="36" spans="2:15">
      <c r="B36" s="464">
        <f t="shared" si="0"/>
        <v>1971</v>
      </c>
      <c r="C36" s="422" t="str">
        <f>IF(Select2=1,Food!$J40,"")</f>
        <v/>
      </c>
      <c r="D36" s="100" t="str">
        <f>IF(Select2=1,Garden!$J40,"")</f>
        <v/>
      </c>
      <c r="E36" s="100" t="str">
        <f>IF(Select2=1,Paper!$J40,"")</f>
        <v/>
      </c>
      <c r="F36" s="100" t="str">
        <f>IF(Select2=1,Wood!$J40,"")</f>
        <v/>
      </c>
      <c r="G36" s="100" t="str">
        <f>IF(Select2=1,Textiles!$J40,"")</f>
        <v/>
      </c>
      <c r="H36" s="341" t="str">
        <f>IF(Select2=1,Nappies!$J40,"")</f>
        <v/>
      </c>
      <c r="I36" s="416">
        <f>Sludge!$J40</f>
        <v>0</v>
      </c>
      <c r="J36" s="416">
        <f>IF(Select2=2,MSW!$J40,"")</f>
        <v>33.036889487323783</v>
      </c>
      <c r="K36" s="416">
        <f>Industry!$J40</f>
        <v>15.174591417049871</v>
      </c>
      <c r="L36" s="493">
        <f t="shared" si="1"/>
        <v>48.211480904373659</v>
      </c>
      <c r="M36" s="416">
        <f>Recovery_OX!C33</f>
        <v>0</v>
      </c>
      <c r="N36" s="389"/>
      <c r="O36" s="285">
        <f>(L36-M36)*(1-Recovery_OX!F33)</f>
        <v>48.211480904373659</v>
      </c>
    </row>
    <row r="37" spans="2:15">
      <c r="B37" s="464">
        <f t="shared" si="0"/>
        <v>1972</v>
      </c>
      <c r="C37" s="422" t="str">
        <f>IF(Select2=1,Food!$J41,"")</f>
        <v/>
      </c>
      <c r="D37" s="100" t="str">
        <f>IF(Select2=1,Garden!$J41,"")</f>
        <v/>
      </c>
      <c r="E37" s="100" t="str">
        <f>IF(Select2=1,Paper!$J41,"")</f>
        <v/>
      </c>
      <c r="F37" s="100" t="str">
        <f>IF(Select2=1,Wood!$J41,"")</f>
        <v/>
      </c>
      <c r="G37" s="100" t="str">
        <f>IF(Select2=1,Textiles!$J41,"")</f>
        <v/>
      </c>
      <c r="H37" s="341" t="str">
        <f>IF(Select2=1,Nappies!$J41,"")</f>
        <v/>
      </c>
      <c r="I37" s="416">
        <f>Sludge!$J41</f>
        <v>0</v>
      </c>
      <c r="J37" s="416">
        <f>IF(Select2=2,MSW!$J41,"")</f>
        <v>33.542897560809294</v>
      </c>
      <c r="K37" s="416">
        <f>Industry!$J41</f>
        <v>15.407012383067791</v>
      </c>
      <c r="L37" s="493">
        <f t="shared" si="1"/>
        <v>48.949909943877088</v>
      </c>
      <c r="M37" s="416">
        <f>Recovery_OX!C34</f>
        <v>0</v>
      </c>
      <c r="N37" s="389"/>
      <c r="O37" s="285">
        <f>(L37-M37)*(1-Recovery_OX!F34)</f>
        <v>48.949909943877088</v>
      </c>
    </row>
    <row r="38" spans="2:15">
      <c r="B38" s="464">
        <f t="shared" si="0"/>
        <v>1973</v>
      </c>
      <c r="C38" s="422" t="str">
        <f>IF(Select2=1,Food!$J42,"")</f>
        <v/>
      </c>
      <c r="D38" s="100" t="str">
        <f>IF(Select2=1,Garden!$J42,"")</f>
        <v/>
      </c>
      <c r="E38" s="100" t="str">
        <f>IF(Select2=1,Paper!$J42,"")</f>
        <v/>
      </c>
      <c r="F38" s="100" t="str">
        <f>IF(Select2=1,Wood!$J42,"")</f>
        <v/>
      </c>
      <c r="G38" s="100" t="str">
        <f>IF(Select2=1,Textiles!$J42,"")</f>
        <v/>
      </c>
      <c r="H38" s="341" t="str">
        <f>IF(Select2=1,Nappies!$J42,"")</f>
        <v/>
      </c>
      <c r="I38" s="416">
        <f>Sludge!$J42</f>
        <v>0</v>
      </c>
      <c r="J38" s="416">
        <f>IF(Select2=2,MSW!$J42,"")</f>
        <v>34.005354119166711</v>
      </c>
      <c r="K38" s="416">
        <f>Industry!$J42</f>
        <v>15.619429152022436</v>
      </c>
      <c r="L38" s="493">
        <f t="shared" si="1"/>
        <v>49.624783271189145</v>
      </c>
      <c r="M38" s="416">
        <f>Recovery_OX!C35</f>
        <v>0</v>
      </c>
      <c r="N38" s="389"/>
      <c r="O38" s="285">
        <f>(L38-M38)*(1-Recovery_OX!F35)</f>
        <v>49.624783271189145</v>
      </c>
    </row>
    <row r="39" spans="2:15">
      <c r="B39" s="464">
        <f t="shared" si="0"/>
        <v>1974</v>
      </c>
      <c r="C39" s="422" t="str">
        <f>IF(Select2=1,Food!$J43,"")</f>
        <v/>
      </c>
      <c r="D39" s="100" t="str">
        <f>IF(Select2=1,Garden!$J43,"")</f>
        <v/>
      </c>
      <c r="E39" s="100" t="str">
        <f>IF(Select2=1,Paper!$J43,"")</f>
        <v/>
      </c>
      <c r="F39" s="100" t="str">
        <f>IF(Select2=1,Wood!$J43,"")</f>
        <v/>
      </c>
      <c r="G39" s="100" t="str">
        <f>IF(Select2=1,Textiles!$J43,"")</f>
        <v/>
      </c>
      <c r="H39" s="341" t="str">
        <f>IF(Select2=1,Nappies!$J43,"")</f>
        <v/>
      </c>
      <c r="I39" s="416">
        <f>Sludge!$J43</f>
        <v>0</v>
      </c>
      <c r="J39" s="416">
        <f>IF(Select2=2,MSW!$J43,"")</f>
        <v>34.42800758968275</v>
      </c>
      <c r="K39" s="416">
        <f>Industry!$J43</f>
        <v>15.813563461444637</v>
      </c>
      <c r="L39" s="493">
        <f t="shared" si="1"/>
        <v>50.241571051127387</v>
      </c>
      <c r="M39" s="416">
        <f>Recovery_OX!C36</f>
        <v>0</v>
      </c>
      <c r="N39" s="389"/>
      <c r="O39" s="285">
        <f>(L39-M39)*(1-Recovery_OX!F36)</f>
        <v>50.241571051127387</v>
      </c>
    </row>
    <row r="40" spans="2:15">
      <c r="B40" s="464">
        <f t="shared" si="0"/>
        <v>1975</v>
      </c>
      <c r="C40" s="422" t="str">
        <f>IF(Select2=1,Food!$J44,"")</f>
        <v/>
      </c>
      <c r="D40" s="100" t="str">
        <f>IF(Select2=1,Garden!$J44,"")</f>
        <v/>
      </c>
      <c r="E40" s="100" t="str">
        <f>IF(Select2=1,Paper!$J44,"")</f>
        <v/>
      </c>
      <c r="F40" s="100" t="str">
        <f>IF(Select2=1,Wood!$J44,"")</f>
        <v/>
      </c>
      <c r="G40" s="100" t="str">
        <f>IF(Select2=1,Textiles!$J44,"")</f>
        <v/>
      </c>
      <c r="H40" s="341" t="str">
        <f>IF(Select2=1,Nappies!$J44,"")</f>
        <v/>
      </c>
      <c r="I40" s="416">
        <f>Sludge!$J44</f>
        <v>0</v>
      </c>
      <c r="J40" s="416">
        <f>IF(Select2=2,MSW!$J44,"")</f>
        <v>34.814283776950482</v>
      </c>
      <c r="K40" s="416">
        <f>Industry!$J44</f>
        <v>15.99098886095668</v>
      </c>
      <c r="L40" s="493">
        <f t="shared" si="1"/>
        <v>50.805272637907166</v>
      </c>
      <c r="M40" s="416">
        <f>Recovery_OX!C37</f>
        <v>0</v>
      </c>
      <c r="N40" s="389"/>
      <c r="O40" s="285">
        <f>(L40-M40)*(1-Recovery_OX!F37)</f>
        <v>50.805272637907166</v>
      </c>
    </row>
    <row r="41" spans="2:15">
      <c r="B41" s="464">
        <f t="shared" si="0"/>
        <v>1976</v>
      </c>
      <c r="C41" s="422" t="str">
        <f>IF(Select2=1,Food!$J45,"")</f>
        <v/>
      </c>
      <c r="D41" s="100" t="str">
        <f>IF(Select2=1,Garden!$J45,"")</f>
        <v/>
      </c>
      <c r="E41" s="100" t="str">
        <f>IF(Select2=1,Paper!$J45,"")</f>
        <v/>
      </c>
      <c r="F41" s="100" t="str">
        <f>IF(Select2=1,Wood!$J45,"")</f>
        <v/>
      </c>
      <c r="G41" s="100" t="str">
        <f>IF(Select2=1,Textiles!$J45,"")</f>
        <v/>
      </c>
      <c r="H41" s="341" t="str">
        <f>IF(Select2=1,Nappies!$J45,"")</f>
        <v/>
      </c>
      <c r="I41" s="416">
        <f>Sludge!$J45</f>
        <v>0</v>
      </c>
      <c r="J41" s="416">
        <f>IF(Select2=2,MSW!$J45,"")</f>
        <v>35.167313630622132</v>
      </c>
      <c r="K41" s="416">
        <f>Industry!$J45</f>
        <v>16.153143466629942</v>
      </c>
      <c r="L41" s="493">
        <f t="shared" si="1"/>
        <v>51.320457097252074</v>
      </c>
      <c r="M41" s="416">
        <f>Recovery_OX!C38</f>
        <v>0</v>
      </c>
      <c r="N41" s="389"/>
      <c r="O41" s="285">
        <f>(L41-M41)*(1-Recovery_OX!F38)</f>
        <v>51.320457097252074</v>
      </c>
    </row>
    <row r="42" spans="2:15">
      <c r="B42" s="464">
        <f t="shared" si="0"/>
        <v>1977</v>
      </c>
      <c r="C42" s="422" t="str">
        <f>IF(Select2=1,Food!$J46,"")</f>
        <v/>
      </c>
      <c r="D42" s="100" t="str">
        <f>IF(Select2=1,Garden!$J46,"")</f>
        <v/>
      </c>
      <c r="E42" s="100" t="str">
        <f>IF(Select2=1,Paper!$J46,"")</f>
        <v/>
      </c>
      <c r="F42" s="100" t="str">
        <f>IF(Select2=1,Wood!$J46,"")</f>
        <v/>
      </c>
      <c r="G42" s="100" t="str">
        <f>IF(Select2=1,Textiles!$J46,"")</f>
        <v/>
      </c>
      <c r="H42" s="341" t="str">
        <f>IF(Select2=1,Nappies!$J46,"")</f>
        <v/>
      </c>
      <c r="I42" s="416">
        <f>Sludge!$J46</f>
        <v>0</v>
      </c>
      <c r="J42" s="416">
        <f>IF(Select2=2,MSW!$J46,"")</f>
        <v>35.489958623224389</v>
      </c>
      <c r="K42" s="416">
        <f>Industry!$J46</f>
        <v>16.301341617590097</v>
      </c>
      <c r="L42" s="493">
        <f t="shared" si="1"/>
        <v>51.791300240814486</v>
      </c>
      <c r="M42" s="416">
        <f>Recovery_OX!C39</f>
        <v>0</v>
      </c>
      <c r="N42" s="389"/>
      <c r="O42" s="285">
        <f>(L42-M42)*(1-Recovery_OX!F39)</f>
        <v>51.791300240814486</v>
      </c>
    </row>
    <row r="43" spans="2:15">
      <c r="B43" s="464">
        <f t="shared" si="0"/>
        <v>1978</v>
      </c>
      <c r="C43" s="422" t="str">
        <f>IF(Select2=1,Food!$J47,"")</f>
        <v/>
      </c>
      <c r="D43" s="100" t="str">
        <f>IF(Select2=1,Garden!$J47,"")</f>
        <v/>
      </c>
      <c r="E43" s="100" t="str">
        <f>IF(Select2=1,Paper!$J47,"")</f>
        <v/>
      </c>
      <c r="F43" s="100" t="str">
        <f>IF(Select2=1,Wood!$J47,"")</f>
        <v/>
      </c>
      <c r="G43" s="100" t="str">
        <f>IF(Select2=1,Textiles!$J47,"")</f>
        <v/>
      </c>
      <c r="H43" s="341" t="str">
        <f>IF(Select2=1,Nappies!$J47,"")</f>
        <v/>
      </c>
      <c r="I43" s="416">
        <f>Sludge!$J47</f>
        <v>0</v>
      </c>
      <c r="J43" s="416">
        <f>IF(Select2=2,MSW!$J47,"")</f>
        <v>35.784833943735201</v>
      </c>
      <c r="K43" s="416">
        <f>Industry!$J47</f>
        <v>16.436784529352117</v>
      </c>
      <c r="L43" s="493">
        <f t="shared" si="1"/>
        <v>52.221618473087318</v>
      </c>
      <c r="M43" s="416">
        <f>Recovery_OX!C40</f>
        <v>0</v>
      </c>
      <c r="N43" s="389"/>
      <c r="O43" s="285">
        <f>(L43-M43)*(1-Recovery_OX!F40)</f>
        <v>52.221618473087318</v>
      </c>
    </row>
    <row r="44" spans="2:15">
      <c r="B44" s="464">
        <f t="shared" si="0"/>
        <v>1979</v>
      </c>
      <c r="C44" s="422" t="str">
        <f>IF(Select2=1,Food!$J48,"")</f>
        <v/>
      </c>
      <c r="D44" s="100" t="str">
        <f>IF(Select2=1,Garden!$J48,"")</f>
        <v/>
      </c>
      <c r="E44" s="100" t="str">
        <f>IF(Select2=1,Paper!$J48,"")</f>
        <v/>
      </c>
      <c r="F44" s="100" t="str">
        <f>IF(Select2=1,Wood!$J48,"")</f>
        <v/>
      </c>
      <c r="G44" s="100" t="str">
        <f>IF(Select2=1,Textiles!$J48,"")</f>
        <v/>
      </c>
      <c r="H44" s="341" t="str">
        <f>IF(Select2=1,Nappies!$J48,"")</f>
        <v/>
      </c>
      <c r="I44" s="416">
        <f>Sludge!$J48</f>
        <v>0</v>
      </c>
      <c r="J44" s="416">
        <f>IF(Select2=2,MSW!$J48,"")</f>
        <v>36.054329694916873</v>
      </c>
      <c r="K44" s="416">
        <f>Industry!$J48</f>
        <v>16.560570030235361</v>
      </c>
      <c r="L44" s="493">
        <f t="shared" si="1"/>
        <v>52.614899725152235</v>
      </c>
      <c r="M44" s="416">
        <f>Recovery_OX!C41</f>
        <v>0</v>
      </c>
      <c r="N44" s="389"/>
      <c r="O44" s="285">
        <f>(L44-M44)*(1-Recovery_OX!F41)</f>
        <v>52.614899725152235</v>
      </c>
    </row>
    <row r="45" spans="2:15">
      <c r="B45" s="464">
        <f t="shared" si="0"/>
        <v>1980</v>
      </c>
      <c r="C45" s="422" t="str">
        <f>IF(Select2=1,Food!$J49,"")</f>
        <v/>
      </c>
      <c r="D45" s="100" t="str">
        <f>IF(Select2=1,Garden!$J49,"")</f>
        <v/>
      </c>
      <c r="E45" s="100" t="str">
        <f>IF(Select2=1,Paper!$J49,"")</f>
        <v/>
      </c>
      <c r="F45" s="100" t="str">
        <f>IF(Select2=1,Wood!$J49,"")</f>
        <v/>
      </c>
      <c r="G45" s="100" t="str">
        <f>IF(Select2=1,Textiles!$J49,"")</f>
        <v/>
      </c>
      <c r="H45" s="341" t="str">
        <f>IF(Select2=1,Nappies!$J49,"")</f>
        <v/>
      </c>
      <c r="I45" s="416">
        <f>Sludge!$J49</f>
        <v>0</v>
      </c>
      <c r="J45" s="416">
        <f>IF(Select2=2,MSW!$J49,"")</f>
        <v>36.300630266219898</v>
      </c>
      <c r="K45" s="416">
        <f>Industry!$J49</f>
        <v>16.673701459776979</v>
      </c>
      <c r="L45" s="493">
        <f t="shared" si="1"/>
        <v>52.974331725996876</v>
      </c>
      <c r="M45" s="416">
        <f>Recovery_OX!C42</f>
        <v>0</v>
      </c>
      <c r="N45" s="389"/>
      <c r="O45" s="285">
        <f>(L45-M45)*(1-Recovery_OX!F42)</f>
        <v>52.974331725996876</v>
      </c>
    </row>
    <row r="46" spans="2:15">
      <c r="B46" s="464">
        <f t="shared" si="0"/>
        <v>1981</v>
      </c>
      <c r="C46" s="422" t="str">
        <f>IF(Select2=1,Food!$J50,"")</f>
        <v/>
      </c>
      <c r="D46" s="100" t="str">
        <f>IF(Select2=1,Garden!$J50,"")</f>
        <v/>
      </c>
      <c r="E46" s="100" t="str">
        <f>IF(Select2=1,Paper!$J50,"")</f>
        <v/>
      </c>
      <c r="F46" s="100" t="str">
        <f>IF(Select2=1,Wood!$J50,"")</f>
        <v/>
      </c>
      <c r="G46" s="100" t="str">
        <f>IF(Select2=1,Textiles!$J50,"")</f>
        <v/>
      </c>
      <c r="H46" s="341" t="str">
        <f>IF(Select2=1,Nappies!$J50,"")</f>
        <v/>
      </c>
      <c r="I46" s="416">
        <f>Sludge!$J50</f>
        <v>0</v>
      </c>
      <c r="J46" s="416">
        <f>IF(Select2=2,MSW!$J50,"")</f>
        <v>36.525732039283859</v>
      </c>
      <c r="K46" s="416">
        <f>Industry!$J50</f>
        <v>16.777095801269375</v>
      </c>
      <c r="L46" s="493">
        <f t="shared" si="1"/>
        <v>53.302827840553235</v>
      </c>
      <c r="M46" s="416">
        <f>Recovery_OX!C43</f>
        <v>0</v>
      </c>
      <c r="N46" s="389"/>
      <c r="O46" s="285">
        <f>(L46-M46)*(1-Recovery_OX!F43)</f>
        <v>53.302827840553235</v>
      </c>
    </row>
    <row r="47" spans="2:15">
      <c r="B47" s="464">
        <f t="shared" si="0"/>
        <v>1982</v>
      </c>
      <c r="C47" s="422" t="str">
        <f>IF(Select2=1,Food!$J51,"")</f>
        <v/>
      </c>
      <c r="D47" s="100" t="str">
        <f>IF(Select2=1,Garden!$J51,"")</f>
        <v/>
      </c>
      <c r="E47" s="100" t="str">
        <f>IF(Select2=1,Paper!$J51,"")</f>
        <v/>
      </c>
      <c r="F47" s="100" t="str">
        <f>IF(Select2=1,Wood!$J51,"")</f>
        <v/>
      </c>
      <c r="G47" s="100" t="str">
        <f>IF(Select2=1,Textiles!$J51,"")</f>
        <v/>
      </c>
      <c r="H47" s="341" t="str">
        <f>IF(Select2=1,Nappies!$J51,"")</f>
        <v/>
      </c>
      <c r="I47" s="416">
        <f>Sludge!$J51</f>
        <v>0</v>
      </c>
      <c r="J47" s="416">
        <f>IF(Select2=2,MSW!$J51,"")</f>
        <v>36.731459569546857</v>
      </c>
      <c r="K47" s="416">
        <f>Industry!$J51</f>
        <v>16.871591114339864</v>
      </c>
      <c r="L47" s="493">
        <f t="shared" si="1"/>
        <v>53.603050683886721</v>
      </c>
      <c r="M47" s="416">
        <f>Recovery_OX!C44</f>
        <v>0</v>
      </c>
      <c r="N47" s="389"/>
      <c r="O47" s="285">
        <f>(L47-M47)*(1-Recovery_OX!F44)</f>
        <v>53.603050683886721</v>
      </c>
    </row>
    <row r="48" spans="2:15">
      <c r="B48" s="464">
        <f t="shared" si="0"/>
        <v>1983</v>
      </c>
      <c r="C48" s="422" t="str">
        <f>IF(Select2=1,Food!$J52,"")</f>
        <v/>
      </c>
      <c r="D48" s="100" t="str">
        <f>IF(Select2=1,Garden!$J52,"")</f>
        <v/>
      </c>
      <c r="E48" s="100" t="str">
        <f>IF(Select2=1,Paper!$J52,"")</f>
        <v/>
      </c>
      <c r="F48" s="100" t="str">
        <f>IF(Select2=1,Wood!$J52,"")</f>
        <v/>
      </c>
      <c r="G48" s="100" t="str">
        <f>IF(Select2=1,Textiles!$J52,"")</f>
        <v/>
      </c>
      <c r="H48" s="341" t="str">
        <f>IF(Select2=1,Nappies!$J52,"")</f>
        <v/>
      </c>
      <c r="I48" s="416">
        <f>Sludge!$J52</f>
        <v>0</v>
      </c>
      <c r="J48" s="416">
        <f>IF(Select2=2,MSW!$J52,"")</f>
        <v>36.919480375123037</v>
      </c>
      <c r="K48" s="416">
        <f>Industry!$J52</f>
        <v>16.957953327816949</v>
      </c>
      <c r="L48" s="493">
        <f t="shared" si="1"/>
        <v>53.877433702939982</v>
      </c>
      <c r="M48" s="416">
        <f>Recovery_OX!C45</f>
        <v>0</v>
      </c>
      <c r="N48" s="389"/>
      <c r="O48" s="285">
        <f>(L48-M48)*(1-Recovery_OX!F45)</f>
        <v>53.877433702939982</v>
      </c>
    </row>
    <row r="49" spans="2:15">
      <c r="B49" s="464">
        <f t="shared" si="0"/>
        <v>1984</v>
      </c>
      <c r="C49" s="422" t="str">
        <f>IF(Select2=1,Food!$J53,"")</f>
        <v/>
      </c>
      <c r="D49" s="100" t="str">
        <f>IF(Select2=1,Garden!$J53,"")</f>
        <v/>
      </c>
      <c r="E49" s="100" t="str">
        <f>IF(Select2=1,Paper!$J53,"")</f>
        <v/>
      </c>
      <c r="F49" s="100" t="str">
        <f>IF(Select2=1,Wood!$J53,"")</f>
        <v/>
      </c>
      <c r="G49" s="100" t="str">
        <f>IF(Select2=1,Textiles!$J53,"")</f>
        <v/>
      </c>
      <c r="H49" s="341" t="str">
        <f>IF(Select2=1,Nappies!$J53,"")</f>
        <v/>
      </c>
      <c r="I49" s="416">
        <f>Sludge!$J53</f>
        <v>0</v>
      </c>
      <c r="J49" s="416">
        <f>IF(Select2=2,MSW!$J53,"")</f>
        <v>37.091318452818932</v>
      </c>
      <c r="K49" s="416">
        <f>Industry!$J53</f>
        <v>17.036882447942709</v>
      </c>
      <c r="L49" s="493">
        <f t="shared" si="1"/>
        <v>54.128200900761641</v>
      </c>
      <c r="M49" s="416">
        <f>Recovery_OX!C46</f>
        <v>0</v>
      </c>
      <c r="N49" s="389"/>
      <c r="O49" s="285">
        <f>(L49-M49)*(1-Recovery_OX!F46)</f>
        <v>54.128200900761641</v>
      </c>
    </row>
    <row r="50" spans="2:15">
      <c r="B50" s="464">
        <f t="shared" si="0"/>
        <v>1985</v>
      </c>
      <c r="C50" s="422" t="str">
        <f>IF(Select2=1,Food!$J54,"")</f>
        <v/>
      </c>
      <c r="D50" s="100" t="str">
        <f>IF(Select2=1,Garden!$J54,"")</f>
        <v/>
      </c>
      <c r="E50" s="100" t="str">
        <f>IF(Select2=1,Paper!$J54,"")</f>
        <v/>
      </c>
      <c r="F50" s="100" t="str">
        <f>IF(Select2=1,Wood!$J54,"")</f>
        <v/>
      </c>
      <c r="G50" s="100" t="str">
        <f>IF(Select2=1,Textiles!$J54,"")</f>
        <v/>
      </c>
      <c r="H50" s="341" t="str">
        <f>IF(Select2=1,Nappies!$J54,"")</f>
        <v/>
      </c>
      <c r="I50" s="416">
        <f>Sludge!$J54</f>
        <v>0</v>
      </c>
      <c r="J50" s="416">
        <f>IF(Select2=2,MSW!$J54,"")</f>
        <v>37.24836663084227</v>
      </c>
      <c r="K50" s="416">
        <f>Industry!$J54</f>
        <v>17.10901823225166</v>
      </c>
      <c r="L50" s="493">
        <f t="shared" si="1"/>
        <v>54.357384863093927</v>
      </c>
      <c r="M50" s="416">
        <f>Recovery_OX!C47</f>
        <v>0</v>
      </c>
      <c r="N50" s="389"/>
      <c r="O50" s="285">
        <f>(L50-M50)*(1-Recovery_OX!F47)</f>
        <v>54.357384863093927</v>
      </c>
    </row>
    <row r="51" spans="2:15">
      <c r="B51" s="464">
        <f t="shared" si="0"/>
        <v>1986</v>
      </c>
      <c r="C51" s="422" t="str">
        <f>IF(Select2=1,Food!$J55,"")</f>
        <v/>
      </c>
      <c r="D51" s="100" t="str">
        <f>IF(Select2=1,Garden!$J55,"")</f>
        <v/>
      </c>
      <c r="E51" s="100" t="str">
        <f>IF(Select2=1,Paper!$J55,"")</f>
        <v/>
      </c>
      <c r="F51" s="100" t="str">
        <f>IF(Select2=1,Wood!$J55,"")</f>
        <v/>
      </c>
      <c r="G51" s="100" t="str">
        <f>IF(Select2=1,Textiles!$J55,"")</f>
        <v/>
      </c>
      <c r="H51" s="341" t="str">
        <f>IF(Select2=1,Nappies!$J55,"")</f>
        <v/>
      </c>
      <c r="I51" s="416">
        <f>Sludge!$J55</f>
        <v>0</v>
      </c>
      <c r="J51" s="416">
        <f>IF(Select2=2,MSW!$J55,"")</f>
        <v>37.391897858327823</v>
      </c>
      <c r="K51" s="416">
        <f>Industry!$J55</f>
        <v>17.174945375105608</v>
      </c>
      <c r="L51" s="493">
        <f t="shared" si="1"/>
        <v>54.566843233433431</v>
      </c>
      <c r="M51" s="416">
        <f>Recovery_OX!C48</f>
        <v>0</v>
      </c>
      <c r="N51" s="389"/>
      <c r="O51" s="285">
        <f>(L51-M51)*(1-Recovery_OX!F48)</f>
        <v>54.566843233433431</v>
      </c>
    </row>
    <row r="52" spans="2:15">
      <c r="B52" s="464">
        <f t="shared" si="0"/>
        <v>1987</v>
      </c>
      <c r="C52" s="422" t="str">
        <f>IF(Select2=1,Food!$J56,"")</f>
        <v/>
      </c>
      <c r="D52" s="100" t="str">
        <f>IF(Select2=1,Garden!$J56,"")</f>
        <v/>
      </c>
      <c r="E52" s="100" t="str">
        <f>IF(Select2=1,Paper!$J56,"")</f>
        <v/>
      </c>
      <c r="F52" s="100" t="str">
        <f>IF(Select2=1,Wood!$J56,"")</f>
        <v/>
      </c>
      <c r="G52" s="100" t="str">
        <f>IF(Select2=1,Textiles!$J56,"")</f>
        <v/>
      </c>
      <c r="H52" s="341" t="str">
        <f>IF(Select2=1,Nappies!$J56,"")</f>
        <v/>
      </c>
      <c r="I52" s="416">
        <f>Sludge!$J56</f>
        <v>0</v>
      </c>
      <c r="J52" s="416">
        <f>IF(Select2=2,MSW!$J56,"")</f>
        <v>37.523075523187131</v>
      </c>
      <c r="K52" s="416">
        <f>Industry!$J56</f>
        <v>17.235198246915665</v>
      </c>
      <c r="L52" s="493">
        <f t="shared" si="1"/>
        <v>54.758273770102797</v>
      </c>
      <c r="M52" s="416">
        <f>Recovery_OX!C49</f>
        <v>0</v>
      </c>
      <c r="N52" s="389"/>
      <c r="O52" s="285">
        <f>(L52-M52)*(1-Recovery_OX!F49)</f>
        <v>54.758273770102797</v>
      </c>
    </row>
    <row r="53" spans="2:15">
      <c r="B53" s="464">
        <f t="shared" si="0"/>
        <v>1988</v>
      </c>
      <c r="C53" s="422" t="str">
        <f>IF(Select2=1,Food!$J57,"")</f>
        <v/>
      </c>
      <c r="D53" s="100" t="str">
        <f>IF(Select2=1,Garden!$J57,"")</f>
        <v/>
      </c>
      <c r="E53" s="100" t="str">
        <f>IF(Select2=1,Paper!$J57,"")</f>
        <v/>
      </c>
      <c r="F53" s="100" t="str">
        <f>IF(Select2=1,Wood!$J57,"")</f>
        <v/>
      </c>
      <c r="G53" s="100" t="str">
        <f>IF(Select2=1,Textiles!$J57,"")</f>
        <v/>
      </c>
      <c r="H53" s="341" t="str">
        <f>IF(Select2=1,Nappies!$J57,"")</f>
        <v/>
      </c>
      <c r="I53" s="416">
        <f>Sludge!$J57</f>
        <v>0</v>
      </c>
      <c r="J53" s="416">
        <f>IF(Select2=2,MSW!$J57,"")</f>
        <v>37.642962881913114</v>
      </c>
      <c r="K53" s="416">
        <f>Industry!$J57</f>
        <v>17.290265225465024</v>
      </c>
      <c r="L53" s="493">
        <f t="shared" si="1"/>
        <v>54.933228107378142</v>
      </c>
      <c r="M53" s="416">
        <f>Recovery_OX!C50</f>
        <v>0</v>
      </c>
      <c r="N53" s="389"/>
      <c r="O53" s="285">
        <f>(L53-M53)*(1-Recovery_OX!F50)</f>
        <v>54.933228107378142</v>
      </c>
    </row>
    <row r="54" spans="2:15">
      <c r="B54" s="464">
        <f t="shared" si="0"/>
        <v>1989</v>
      </c>
      <c r="C54" s="422" t="str">
        <f>IF(Select2=1,Food!$J58,"")</f>
        <v/>
      </c>
      <c r="D54" s="100" t="str">
        <f>IF(Select2=1,Garden!$J58,"")</f>
        <v/>
      </c>
      <c r="E54" s="100" t="str">
        <f>IF(Select2=1,Paper!$J58,"")</f>
        <v/>
      </c>
      <c r="F54" s="100" t="str">
        <f>IF(Select2=1,Wood!$J58,"")</f>
        <v/>
      </c>
      <c r="G54" s="100" t="str">
        <f>IF(Select2=1,Textiles!$J58,"")</f>
        <v/>
      </c>
      <c r="H54" s="341" t="str">
        <f>IF(Select2=1,Nappies!$J58,"")</f>
        <v/>
      </c>
      <c r="I54" s="416">
        <f>Sludge!$J58</f>
        <v>0</v>
      </c>
      <c r="J54" s="416">
        <f>IF(Select2=2,MSW!$J58,"")</f>
        <v>37.752531677772588</v>
      </c>
      <c r="K54" s="416">
        <f>Industry!$J58</f>
        <v>17.340592654439945</v>
      </c>
      <c r="L54" s="493">
        <f t="shared" si="1"/>
        <v>55.093124332212533</v>
      </c>
      <c r="M54" s="416">
        <f>Recovery_OX!C51</f>
        <v>0</v>
      </c>
      <c r="N54" s="389"/>
      <c r="O54" s="285">
        <f>(L54-M54)*(1-Recovery_OX!F51)</f>
        <v>55.093124332212533</v>
      </c>
    </row>
    <row r="55" spans="2:15">
      <c r="B55" s="464">
        <f t="shared" si="0"/>
        <v>1990</v>
      </c>
      <c r="C55" s="422" t="str">
        <f>IF(Select2=1,Food!$J59,"")</f>
        <v/>
      </c>
      <c r="D55" s="100" t="str">
        <f>IF(Select2=1,Garden!$J59,"")</f>
        <v/>
      </c>
      <c r="E55" s="100" t="str">
        <f>IF(Select2=1,Paper!$J59,"")</f>
        <v/>
      </c>
      <c r="F55" s="100" t="str">
        <f>IF(Select2=1,Wood!$J59,"")</f>
        <v/>
      </c>
      <c r="G55" s="100" t="str">
        <f>IF(Select2=1,Textiles!$J59,"")</f>
        <v/>
      </c>
      <c r="H55" s="341" t="str">
        <f>IF(Select2=1,Nappies!$J59,"")</f>
        <v/>
      </c>
      <c r="I55" s="416">
        <f>Sludge!$J59</f>
        <v>0</v>
      </c>
      <c r="J55" s="416">
        <f>IF(Select2=2,MSW!$J59,"")</f>
        <v>37.852670017241174</v>
      </c>
      <c r="K55" s="416">
        <f>Industry!$J59</f>
        <v>17.386588461254647</v>
      </c>
      <c r="L55" s="493">
        <f t="shared" si="1"/>
        <v>55.23925847849582</v>
      </c>
      <c r="M55" s="416">
        <f>Recovery_OX!C52</f>
        <v>0</v>
      </c>
      <c r="N55" s="389"/>
      <c r="O55" s="285">
        <f>(L55-M55)*(1-Recovery_OX!F52)</f>
        <v>55.23925847849582</v>
      </c>
    </row>
    <row r="56" spans="2:15">
      <c r="B56" s="464">
        <f t="shared" si="0"/>
        <v>1991</v>
      </c>
      <c r="C56" s="422" t="str">
        <f>IF(Select2=1,Food!$J60,"")</f>
        <v/>
      </c>
      <c r="D56" s="100" t="str">
        <f>IF(Select2=1,Garden!$J60,"")</f>
        <v/>
      </c>
      <c r="E56" s="100" t="str">
        <f>IF(Select2=1,Paper!$J60,"")</f>
        <v/>
      </c>
      <c r="F56" s="100" t="str">
        <f>IF(Select2=1,Wood!$J60,"")</f>
        <v/>
      </c>
      <c r="G56" s="100" t="str">
        <f>IF(Select2=1,Textiles!$J60,"")</f>
        <v/>
      </c>
      <c r="H56" s="341" t="str">
        <f>IF(Select2=1,Nappies!$J60,"")</f>
        <v/>
      </c>
      <c r="I56" s="416">
        <f>Sludge!$J60</f>
        <v>0</v>
      </c>
      <c r="J56" s="416">
        <f>IF(Select2=2,MSW!$J60,"")</f>
        <v>37.944189568522788</v>
      </c>
      <c r="K56" s="416">
        <f>Industry!$J60</f>
        <v>17.428625463494317</v>
      </c>
      <c r="L56" s="493">
        <f t="shared" si="1"/>
        <v>55.372815032017101</v>
      </c>
      <c r="M56" s="416">
        <f>Recovery_OX!C53</f>
        <v>0</v>
      </c>
      <c r="N56" s="389"/>
      <c r="O56" s="285">
        <f>(L56-M56)*(1-Recovery_OX!F53)</f>
        <v>55.372815032017101</v>
      </c>
    </row>
    <row r="57" spans="2:15">
      <c r="B57" s="464">
        <f t="shared" si="0"/>
        <v>1992</v>
      </c>
      <c r="C57" s="422" t="str">
        <f>IF(Select2=1,Food!$J61,"")</f>
        <v/>
      </c>
      <c r="D57" s="100" t="str">
        <f>IF(Select2=1,Garden!$J61,"")</f>
        <v/>
      </c>
      <c r="E57" s="100" t="str">
        <f>IF(Select2=1,Paper!$J61,"")</f>
        <v/>
      </c>
      <c r="F57" s="100" t="str">
        <f>IF(Select2=1,Wood!$J61,"")</f>
        <v/>
      </c>
      <c r="G57" s="100" t="str">
        <f>IF(Select2=1,Textiles!$J61,"")</f>
        <v/>
      </c>
      <c r="H57" s="341" t="str">
        <f>IF(Select2=1,Nappies!$J61,"")</f>
        <v/>
      </c>
      <c r="I57" s="416">
        <f>Sludge!$J61</f>
        <v>0</v>
      </c>
      <c r="J57" s="416">
        <f>IF(Select2=2,MSW!$J61,"")</f>
        <v>38.02783214050109</v>
      </c>
      <c r="K57" s="416">
        <f>Industry!$J61</f>
        <v>17.467044390776465</v>
      </c>
      <c r="L57" s="493">
        <f t="shared" si="1"/>
        <v>55.494876531277555</v>
      </c>
      <c r="M57" s="416">
        <f>Recovery_OX!C54</f>
        <v>0</v>
      </c>
      <c r="N57" s="389"/>
      <c r="O57" s="285">
        <f>(L57-M57)*(1-Recovery_OX!F54)</f>
        <v>55.494876531277555</v>
      </c>
    </row>
    <row r="58" spans="2:15">
      <c r="B58" s="464">
        <f t="shared" si="0"/>
        <v>1993</v>
      </c>
      <c r="C58" s="422" t="str">
        <f>IF(Select2=1,Food!$J62,"")</f>
        <v/>
      </c>
      <c r="D58" s="100" t="str">
        <f>IF(Select2=1,Garden!$J62,"")</f>
        <v/>
      </c>
      <c r="E58" s="100" t="str">
        <f>IF(Select2=1,Paper!$J62,"")</f>
        <v/>
      </c>
      <c r="F58" s="100" t="str">
        <f>IF(Select2=1,Wood!$J62,"")</f>
        <v/>
      </c>
      <c r="G58" s="100" t="str">
        <f>IF(Select2=1,Textiles!$J62,"")</f>
        <v/>
      </c>
      <c r="H58" s="341" t="str">
        <f>IF(Select2=1,Nappies!$J62,"")</f>
        <v/>
      </c>
      <c r="I58" s="416">
        <f>Sludge!$J62</f>
        <v>0</v>
      </c>
      <c r="J58" s="416">
        <f>IF(Select2=2,MSW!$J62,"")</f>
        <v>38.104275695448358</v>
      </c>
      <c r="K58" s="416">
        <f>Industry!$J62</f>
        <v>17.502156646524291</v>
      </c>
      <c r="L58" s="493">
        <f t="shared" si="1"/>
        <v>55.606432341972649</v>
      </c>
      <c r="M58" s="416">
        <f>Recovery_OX!C55</f>
        <v>0</v>
      </c>
      <c r="N58" s="389"/>
      <c r="O58" s="285">
        <f>(L58-M58)*(1-Recovery_OX!F55)</f>
        <v>55.606432341972649</v>
      </c>
    </row>
    <row r="59" spans="2:15">
      <c r="B59" s="464">
        <f t="shared" si="0"/>
        <v>1994</v>
      </c>
      <c r="C59" s="422" t="str">
        <f>IF(Select2=1,Food!$J63,"")</f>
        <v/>
      </c>
      <c r="D59" s="100" t="str">
        <f>IF(Select2=1,Garden!$J63,"")</f>
        <v/>
      </c>
      <c r="E59" s="100" t="str">
        <f>IF(Select2=1,Paper!$J63,"")</f>
        <v/>
      </c>
      <c r="F59" s="100" t="str">
        <f>IF(Select2=1,Wood!$J63,"")</f>
        <v/>
      </c>
      <c r="G59" s="100" t="str">
        <f>IF(Select2=1,Textiles!$J63,"")</f>
        <v/>
      </c>
      <c r="H59" s="341" t="str">
        <f>IF(Select2=1,Nappies!$J63,"")</f>
        <v/>
      </c>
      <c r="I59" s="416">
        <f>Sludge!$J63</f>
        <v>0</v>
      </c>
      <c r="J59" s="416">
        <f>IF(Select2=2,MSW!$J63,"")</f>
        <v>38.174139844227653</v>
      </c>
      <c r="K59" s="416">
        <f>Industry!$J63</f>
        <v>17.534246832037446</v>
      </c>
      <c r="L59" s="493">
        <f t="shared" si="1"/>
        <v>55.7083866762651</v>
      </c>
      <c r="M59" s="416">
        <f>Recovery_OX!C56</f>
        <v>0</v>
      </c>
      <c r="N59" s="389"/>
      <c r="O59" s="285">
        <f>(L59-M59)*(1-Recovery_OX!F56)</f>
        <v>55.7083866762651</v>
      </c>
    </row>
    <row r="60" spans="2:15">
      <c r="B60" s="464">
        <f t="shared" si="0"/>
        <v>1995</v>
      </c>
      <c r="C60" s="422" t="str">
        <f>IF(Select2=1,Food!$J64,"")</f>
        <v/>
      </c>
      <c r="D60" s="100" t="str">
        <f>IF(Select2=1,Garden!$J64,"")</f>
        <v/>
      </c>
      <c r="E60" s="100" t="str">
        <f>IF(Select2=1,Paper!$J64,"")</f>
        <v/>
      </c>
      <c r="F60" s="100" t="str">
        <f>IF(Select2=1,Wood!$J64,"")</f>
        <v/>
      </c>
      <c r="G60" s="100" t="str">
        <f>IF(Select2=1,Textiles!$J64,"")</f>
        <v/>
      </c>
      <c r="H60" s="341" t="str">
        <f>IF(Select2=1,Nappies!$J64,"")</f>
        <v/>
      </c>
      <c r="I60" s="416">
        <f>Sludge!$J64</f>
        <v>0</v>
      </c>
      <c r="J60" s="416">
        <f>IF(Select2=2,MSW!$J64,"")</f>
        <v>38.237990868529479</v>
      </c>
      <c r="K60" s="416">
        <f>Industry!$J64</f>
        <v>17.563575053319056</v>
      </c>
      <c r="L60" s="493">
        <f t="shared" si="1"/>
        <v>55.801565921848535</v>
      </c>
      <c r="M60" s="416">
        <f>Recovery_OX!C57</f>
        <v>0</v>
      </c>
      <c r="N60" s="389"/>
      <c r="O60" s="285">
        <f>(L60-M60)*(1-Recovery_OX!F57)</f>
        <v>55.801565921848535</v>
      </c>
    </row>
    <row r="61" spans="2:15">
      <c r="B61" s="464">
        <f t="shared" si="0"/>
        <v>1996</v>
      </c>
      <c r="C61" s="422" t="str">
        <f>IF(Select2=1,Food!$J65,"")</f>
        <v/>
      </c>
      <c r="D61" s="100" t="str">
        <f>IF(Select2=1,Garden!$J65,"")</f>
        <v/>
      </c>
      <c r="E61" s="100" t="str">
        <f>IF(Select2=1,Paper!$J65,"")</f>
        <v/>
      </c>
      <c r="F61" s="100" t="str">
        <f>IF(Select2=1,Wood!$J65,"")</f>
        <v/>
      </c>
      <c r="G61" s="100" t="str">
        <f>IF(Select2=1,Textiles!$J65,"")</f>
        <v/>
      </c>
      <c r="H61" s="341" t="str">
        <f>IF(Select2=1,Nappies!$J65,"")</f>
        <v/>
      </c>
      <c r="I61" s="416">
        <f>Sludge!$J65</f>
        <v>0</v>
      </c>
      <c r="J61" s="416">
        <f>IF(Select2=2,MSW!$J65,"")</f>
        <v>38.296346310850438</v>
      </c>
      <c r="K61" s="416">
        <f>Industry!$J65</f>
        <v>17.590379029356853</v>
      </c>
      <c r="L61" s="493">
        <f t="shared" si="1"/>
        <v>55.886725340207292</v>
      </c>
      <c r="M61" s="416">
        <f>Recovery_OX!C58</f>
        <v>0</v>
      </c>
      <c r="N61" s="389"/>
      <c r="O61" s="285">
        <f>(L61-M61)*(1-Recovery_OX!F58)</f>
        <v>55.886725340207292</v>
      </c>
    </row>
    <row r="62" spans="2:15">
      <c r="B62" s="464">
        <f t="shared" si="0"/>
        <v>1997</v>
      </c>
      <c r="C62" s="422" t="str">
        <f>IF(Select2=1,Food!$J66,"")</f>
        <v/>
      </c>
      <c r="D62" s="100" t="str">
        <f>IF(Select2=1,Garden!$J66,"")</f>
        <v/>
      </c>
      <c r="E62" s="100" t="str">
        <f>IF(Select2=1,Paper!$J66,"")</f>
        <v/>
      </c>
      <c r="F62" s="100" t="str">
        <f>IF(Select2=1,Wood!$J66,"")</f>
        <v/>
      </c>
      <c r="G62" s="100" t="str">
        <f>IF(Select2=1,Textiles!$J66,"")</f>
        <v/>
      </c>
      <c r="H62" s="341" t="str">
        <f>IF(Select2=1,Nappies!$J66,"")</f>
        <v/>
      </c>
      <c r="I62" s="416">
        <f>Sludge!$J66</f>
        <v>0</v>
      </c>
      <c r="J62" s="416">
        <f>IF(Select2=2,MSW!$J66,"")</f>
        <v>38.349679169417854</v>
      </c>
      <c r="K62" s="416">
        <f>Industry!$J66</f>
        <v>17.614876018947065</v>
      </c>
      <c r="L62" s="493">
        <f t="shared" si="1"/>
        <v>55.964555188364919</v>
      </c>
      <c r="M62" s="416">
        <f>Recovery_OX!C59</f>
        <v>0</v>
      </c>
      <c r="N62" s="389"/>
      <c r="O62" s="285">
        <f>(L62-M62)*(1-Recovery_OX!F59)</f>
        <v>55.964555188364919</v>
      </c>
    </row>
    <row r="63" spans="2:15">
      <c r="B63" s="464">
        <f t="shared" si="0"/>
        <v>1998</v>
      </c>
      <c r="C63" s="422" t="str">
        <f>IF(Select2=1,Food!$J67,"")</f>
        <v/>
      </c>
      <c r="D63" s="100" t="str">
        <f>IF(Select2=1,Garden!$J67,"")</f>
        <v/>
      </c>
      <c r="E63" s="100" t="str">
        <f>IF(Select2=1,Paper!$J67,"")</f>
        <v/>
      </c>
      <c r="F63" s="100" t="str">
        <f>IF(Select2=1,Wood!$J67,"")</f>
        <v/>
      </c>
      <c r="G63" s="100" t="str">
        <f>IF(Select2=1,Textiles!$J67,"")</f>
        <v/>
      </c>
      <c r="H63" s="341" t="str">
        <f>IF(Select2=1,Nappies!$J67,"")</f>
        <v/>
      </c>
      <c r="I63" s="416">
        <f>Sludge!$J67</f>
        <v>0</v>
      </c>
      <c r="J63" s="416">
        <f>IF(Select2=2,MSW!$J67,"")</f>
        <v>38.398421732062268</v>
      </c>
      <c r="K63" s="416">
        <f>Industry!$J67</f>
        <v>17.637264581678821</v>
      </c>
      <c r="L63" s="493">
        <f t="shared" si="1"/>
        <v>56.035686313741088</v>
      </c>
      <c r="M63" s="416">
        <f>Recovery_OX!C60</f>
        <v>0</v>
      </c>
      <c r="N63" s="389"/>
      <c r="O63" s="285">
        <f>(L63-M63)*(1-Recovery_OX!F60)</f>
        <v>56.035686313741088</v>
      </c>
    </row>
    <row r="64" spans="2:15">
      <c r="B64" s="464">
        <f t="shared" si="0"/>
        <v>1999</v>
      </c>
      <c r="C64" s="422" t="str">
        <f>IF(Select2=1,Food!$J68,"")</f>
        <v/>
      </c>
      <c r="D64" s="100" t="str">
        <f>IF(Select2=1,Garden!$J68,"")</f>
        <v/>
      </c>
      <c r="E64" s="100" t="str">
        <f>IF(Select2=1,Paper!$J68,"")</f>
        <v/>
      </c>
      <c r="F64" s="100" t="str">
        <f>IF(Select2=1,Wood!$J68,"")</f>
        <v/>
      </c>
      <c r="G64" s="100" t="str">
        <f>IF(Select2=1,Textiles!$J68,"")</f>
        <v/>
      </c>
      <c r="H64" s="341" t="str">
        <f>IF(Select2=1,Nappies!$J68,"")</f>
        <v/>
      </c>
      <c r="I64" s="416">
        <f>Sludge!$J68</f>
        <v>0</v>
      </c>
      <c r="J64" s="416">
        <f>IF(Select2=2,MSW!$J68,"")</f>
        <v>38.442969080113045</v>
      </c>
      <c r="K64" s="416">
        <f>Industry!$J68</f>
        <v>17.657726187352772</v>
      </c>
      <c r="L64" s="493">
        <f t="shared" si="1"/>
        <v>56.100695267465817</v>
      </c>
      <c r="M64" s="416">
        <f>Recovery_OX!C61</f>
        <v>0</v>
      </c>
      <c r="N64" s="389"/>
      <c r="O64" s="285">
        <f>(L64-M64)*(1-Recovery_OX!F61)</f>
        <v>56.100695267465817</v>
      </c>
    </row>
    <row r="65" spans="2:15">
      <c r="B65" s="464">
        <f t="shared" si="0"/>
        <v>2000</v>
      </c>
      <c r="C65" s="422" t="str">
        <f>IF(Select2=1,Food!$J69,"")</f>
        <v/>
      </c>
      <c r="D65" s="100" t="str">
        <f>IF(Select2=1,Garden!$J69,"")</f>
        <v/>
      </c>
      <c r="E65" s="100" t="str">
        <f>IF(Select2=1,Paper!$J69,"")</f>
        <v/>
      </c>
      <c r="F65" s="100" t="str">
        <f>IF(Select2=1,Wood!$J69,"")</f>
        <v/>
      </c>
      <c r="G65" s="100" t="str">
        <f>IF(Select2=1,Textiles!$J69,"")</f>
        <v/>
      </c>
      <c r="H65" s="341" t="str">
        <f>IF(Select2=1,Nappies!$J69,"")</f>
        <v/>
      </c>
      <c r="I65" s="416">
        <f>Sludge!$J69</f>
        <v>0</v>
      </c>
      <c r="J65" s="416">
        <f>IF(Select2=2,MSW!$J69,"")</f>
        <v>38.48368229071778</v>
      </c>
      <c r="K65" s="416">
        <f>Industry!$J69</f>
        <v>17.676426686878919</v>
      </c>
      <c r="L65" s="493">
        <f t="shared" si="1"/>
        <v>56.1601089775967</v>
      </c>
      <c r="M65" s="416">
        <f>Recovery_OX!C62</f>
        <v>10</v>
      </c>
      <c r="N65" s="389"/>
      <c r="O65" s="285">
        <f>(L65-M65)*(1-Recovery_OX!F62)</f>
        <v>46.1601089775967</v>
      </c>
    </row>
    <row r="66" spans="2:15">
      <c r="B66" s="464">
        <f t="shared" si="0"/>
        <v>2001</v>
      </c>
      <c r="C66" s="422" t="str">
        <f>IF(Select2=1,Food!$J70,"")</f>
        <v/>
      </c>
      <c r="D66" s="100" t="str">
        <f>IF(Select2=1,Garden!$J70,"")</f>
        <v/>
      </c>
      <c r="E66" s="100" t="str">
        <f>IF(Select2=1,Paper!$J70,"")</f>
        <v/>
      </c>
      <c r="F66" s="100" t="str">
        <f>IF(Select2=1,Wood!$J70,"")</f>
        <v/>
      </c>
      <c r="G66" s="100" t="str">
        <f>IF(Select2=1,Textiles!$J70,"")</f>
        <v/>
      </c>
      <c r="H66" s="341" t="str">
        <f>IF(Select2=1,Nappies!$J70,"")</f>
        <v/>
      </c>
      <c r="I66" s="416">
        <f>Sludge!$J70</f>
        <v>0</v>
      </c>
      <c r="J66" s="416">
        <f>IF(Select2=2,MSW!$J70,"")</f>
        <v>38.520891363541963</v>
      </c>
      <c r="K66" s="416">
        <f>Industry!$J70</f>
        <v>17.693517656576013</v>
      </c>
      <c r="L66" s="493">
        <f t="shared" si="1"/>
        <v>56.214409020117976</v>
      </c>
      <c r="M66" s="416">
        <f>Recovery_OX!C63</f>
        <v>10</v>
      </c>
      <c r="N66" s="389"/>
      <c r="O66" s="285">
        <f>(L66-M66)*(1-Recovery_OX!F63)</f>
        <v>46.214409020117976</v>
      </c>
    </row>
    <row r="67" spans="2:15">
      <c r="B67" s="464">
        <f t="shared" si="0"/>
        <v>2002</v>
      </c>
      <c r="C67" s="422" t="str">
        <f>IF(Select2=1,Food!$J71,"")</f>
        <v/>
      </c>
      <c r="D67" s="100" t="str">
        <f>IF(Select2=1,Garden!$J71,"")</f>
        <v/>
      </c>
      <c r="E67" s="100" t="str">
        <f>IF(Select2=1,Paper!$J71,"")</f>
        <v/>
      </c>
      <c r="F67" s="100" t="str">
        <f>IF(Select2=1,Wood!$J71,"")</f>
        <v/>
      </c>
      <c r="G67" s="100" t="str">
        <f>IF(Select2=1,Textiles!$J71,"")</f>
        <v/>
      </c>
      <c r="H67" s="341" t="str">
        <f>IF(Select2=1,Nappies!$J71,"")</f>
        <v/>
      </c>
      <c r="I67" s="416">
        <f>Sludge!$J71</f>
        <v>0</v>
      </c>
      <c r="J67" s="416">
        <f>IF(Select2=2,MSW!$J71,"")</f>
        <v>38.554897895571003</v>
      </c>
      <c r="K67" s="416">
        <f>Industry!$J71</f>
        <v>17.709137626768715</v>
      </c>
      <c r="L67" s="493">
        <f t="shared" si="1"/>
        <v>56.264035522339718</v>
      </c>
      <c r="M67" s="416">
        <f>Recovery_OX!C64</f>
        <v>10</v>
      </c>
      <c r="N67" s="389"/>
      <c r="O67" s="285">
        <f>(L67-M67)*(1-Recovery_OX!F64)</f>
        <v>46.264035522339718</v>
      </c>
    </row>
    <row r="68" spans="2:15">
      <c r="B68" s="464">
        <f t="shared" si="0"/>
        <v>2003</v>
      </c>
      <c r="C68" s="422" t="str">
        <f>IF(Select2=1,Food!$J72,"")</f>
        <v/>
      </c>
      <c r="D68" s="100" t="str">
        <f>IF(Select2=1,Garden!$J72,"")</f>
        <v/>
      </c>
      <c r="E68" s="100" t="str">
        <f>IF(Select2=1,Paper!$J72,"")</f>
        <v/>
      </c>
      <c r="F68" s="100" t="str">
        <f>IF(Select2=1,Wood!$J72,"")</f>
        <v/>
      </c>
      <c r="G68" s="100" t="str">
        <f>IF(Select2=1,Textiles!$J72,"")</f>
        <v/>
      </c>
      <c r="H68" s="341" t="str">
        <f>IF(Select2=1,Nappies!$J72,"")</f>
        <v/>
      </c>
      <c r="I68" s="416">
        <f>Sludge!$J72</f>
        <v>0</v>
      </c>
      <c r="J68" s="416">
        <f>IF(Select2=2,MSW!$J72,"")</f>
        <v>38.585977525695277</v>
      </c>
      <c r="K68" s="416">
        <f>Industry!$J72</f>
        <v>17.723413204640835</v>
      </c>
      <c r="L68" s="493">
        <f t="shared" si="1"/>
        <v>56.309390730336112</v>
      </c>
      <c r="M68" s="416">
        <f>Recovery_OX!C65</f>
        <v>10</v>
      </c>
      <c r="N68" s="389"/>
      <c r="O68" s="285">
        <f>(L68-M68)*(1-Recovery_OX!F65)</f>
        <v>46.309390730336112</v>
      </c>
    </row>
    <row r="69" spans="2:15">
      <c r="B69" s="464">
        <f t="shared" si="0"/>
        <v>2004</v>
      </c>
      <c r="C69" s="422" t="str">
        <f>IF(Select2=1,Food!$J73,"")</f>
        <v/>
      </c>
      <c r="D69" s="100" t="str">
        <f>IF(Select2=1,Garden!$J73,"")</f>
        <v/>
      </c>
      <c r="E69" s="100" t="str">
        <f>IF(Select2=1,Paper!$J73,"")</f>
        <v/>
      </c>
      <c r="F69" s="100" t="str">
        <f>IF(Select2=1,Wood!$J73,"")</f>
        <v/>
      </c>
      <c r="G69" s="100" t="str">
        <f>IF(Select2=1,Textiles!$J73,"")</f>
        <v/>
      </c>
      <c r="H69" s="341" t="str">
        <f>IF(Select2=1,Nappies!$J73,"")</f>
        <v/>
      </c>
      <c r="I69" s="416">
        <f>Sludge!$J73</f>
        <v>0</v>
      </c>
      <c r="J69" s="416">
        <f>IF(Select2=2,MSW!$J73,"")</f>
        <v>38.614382168892547</v>
      </c>
      <c r="K69" s="416">
        <f>Industry!$J73</f>
        <v>17.736460100445932</v>
      </c>
      <c r="L69" s="493">
        <f t="shared" si="1"/>
        <v>56.350842269338479</v>
      </c>
      <c r="M69" s="416">
        <f>Recovery_OX!C66</f>
        <v>10</v>
      </c>
      <c r="N69" s="389"/>
      <c r="O69" s="285">
        <f>(L69-M69)*(1-Recovery_OX!F66)</f>
        <v>46.350842269338479</v>
      </c>
    </row>
    <row r="70" spans="2:15">
      <c r="B70" s="464">
        <f t="shared" si="0"/>
        <v>2005</v>
      </c>
      <c r="C70" s="422" t="str">
        <f>IF(Select2=1,Food!$J74,"")</f>
        <v/>
      </c>
      <c r="D70" s="100" t="str">
        <f>IF(Select2=1,Garden!$J74,"")</f>
        <v/>
      </c>
      <c r="E70" s="100" t="str">
        <f>IF(Select2=1,Paper!$J74,"")</f>
        <v/>
      </c>
      <c r="F70" s="100" t="str">
        <f>IF(Select2=1,Wood!$J74,"")</f>
        <v/>
      </c>
      <c r="G70" s="100" t="str">
        <f>IF(Select2=1,Textiles!$J74,"")</f>
        <v/>
      </c>
      <c r="H70" s="341" t="str">
        <f>IF(Select2=1,Nappies!$J74,"")</f>
        <v/>
      </c>
      <c r="I70" s="416">
        <f>Sludge!$J74</f>
        <v>0</v>
      </c>
      <c r="J70" s="416">
        <f>IF(Select2=2,MSW!$J74,"")</f>
        <v>38.640342058117028</v>
      </c>
      <c r="K70" s="416">
        <f>Industry!$J74</f>
        <v>17.748384065393196</v>
      </c>
      <c r="L70" s="493">
        <f t="shared" si="1"/>
        <v>56.388726123510224</v>
      </c>
      <c r="M70" s="416">
        <f>Recovery_OX!C67</f>
        <v>10</v>
      </c>
      <c r="N70" s="389"/>
      <c r="O70" s="285">
        <f>(L70-M70)*(1-Recovery_OX!F67)</f>
        <v>46.388726123510224</v>
      </c>
    </row>
    <row r="71" spans="2:15">
      <c r="B71" s="464">
        <f t="shared" si="0"/>
        <v>2006</v>
      </c>
      <c r="C71" s="422" t="str">
        <f>IF(Select2=1,Food!$J75,"")</f>
        <v/>
      </c>
      <c r="D71" s="100" t="str">
        <f>IF(Select2=1,Garden!$J75,"")</f>
        <v/>
      </c>
      <c r="E71" s="100" t="str">
        <f>IF(Select2=1,Paper!$J75,"")</f>
        <v/>
      </c>
      <c r="F71" s="100" t="str">
        <f>IF(Select2=1,Wood!$J75,"")</f>
        <v/>
      </c>
      <c r="G71" s="100" t="str">
        <f>IF(Select2=1,Textiles!$J75,"")</f>
        <v/>
      </c>
      <c r="H71" s="341" t="str">
        <f>IF(Select2=1,Nappies!$J75,"")</f>
        <v/>
      </c>
      <c r="I71" s="416">
        <f>Sludge!$J75</f>
        <v>0</v>
      </c>
      <c r="J71" s="416">
        <f>IF(Select2=2,MSW!$J75,"")</f>
        <v>38.664067610445471</v>
      </c>
      <c r="K71" s="416">
        <f>Industry!$J75</f>
        <v>17.759281748810579</v>
      </c>
      <c r="L71" s="493">
        <f t="shared" si="1"/>
        <v>56.423349359256051</v>
      </c>
      <c r="M71" s="416">
        <f>Recovery_OX!C68</f>
        <v>10</v>
      </c>
      <c r="N71" s="389"/>
      <c r="O71" s="285">
        <f>(L71-M71)*(1-Recovery_OX!F68)</f>
        <v>46.423349359256051</v>
      </c>
    </row>
    <row r="72" spans="2:15">
      <c r="B72" s="464">
        <f t="shared" si="0"/>
        <v>2007</v>
      </c>
      <c r="C72" s="422" t="str">
        <f>IF(Select2=1,Food!$J76,"")</f>
        <v/>
      </c>
      <c r="D72" s="100" t="str">
        <f>IF(Select2=1,Garden!$J76,"")</f>
        <v/>
      </c>
      <c r="E72" s="100" t="str">
        <f>IF(Select2=1,Paper!$J76,"")</f>
        <v/>
      </c>
      <c r="F72" s="100" t="str">
        <f>IF(Select2=1,Wood!$J76,"")</f>
        <v/>
      </c>
      <c r="G72" s="100" t="str">
        <f>IF(Select2=1,Textiles!$J76,"")</f>
        <v/>
      </c>
      <c r="H72" s="341" t="str">
        <f>IF(Select2=1,Nappies!$J76,"")</f>
        <v/>
      </c>
      <c r="I72" s="416">
        <f>Sludge!$J76</f>
        <v>0</v>
      </c>
      <c r="J72" s="416">
        <f>IF(Select2=2,MSW!$J76,"")</f>
        <v>38.685751132606214</v>
      </c>
      <c r="K72" s="416">
        <f>Industry!$J76</f>
        <v>17.769241481532937</v>
      </c>
      <c r="L72" s="493">
        <f t="shared" si="1"/>
        <v>56.454992614139151</v>
      </c>
      <c r="M72" s="416">
        <f>Recovery_OX!C69</f>
        <v>10</v>
      </c>
      <c r="N72" s="389"/>
      <c r="O72" s="285">
        <f>(L72-M72)*(1-Recovery_OX!F69)</f>
        <v>46.454992614139151</v>
      </c>
    </row>
    <row r="73" spans="2:15">
      <c r="B73" s="464">
        <f t="shared" si="0"/>
        <v>2008</v>
      </c>
      <c r="C73" s="422" t="str">
        <f>IF(Select2=1,Food!$J77,"")</f>
        <v/>
      </c>
      <c r="D73" s="100" t="str">
        <f>IF(Select2=1,Garden!$J77,"")</f>
        <v/>
      </c>
      <c r="E73" s="100" t="str">
        <f>IF(Select2=1,Paper!$J77,"")</f>
        <v/>
      </c>
      <c r="F73" s="100" t="str">
        <f>IF(Select2=1,Wood!$J77,"")</f>
        <v/>
      </c>
      <c r="G73" s="100" t="str">
        <f>IF(Select2=1,Textiles!$J77,"")</f>
        <v/>
      </c>
      <c r="H73" s="341" t="str">
        <f>IF(Select2=1,Nappies!$J77,"")</f>
        <v/>
      </c>
      <c r="I73" s="416">
        <f>Sludge!$J77</f>
        <v>0</v>
      </c>
      <c r="J73" s="416">
        <f>IF(Select2=2,MSW!$J77,"")</f>
        <v>38.705568379715444</v>
      </c>
      <c r="K73" s="416">
        <f>Industry!$J77</f>
        <v>17.778343991864872</v>
      </c>
      <c r="L73" s="493">
        <f t="shared" si="1"/>
        <v>56.483912371580317</v>
      </c>
      <c r="M73" s="416">
        <f>Recovery_OX!C70</f>
        <v>10</v>
      </c>
      <c r="N73" s="389"/>
      <c r="O73" s="285">
        <f>(L73-M73)*(1-Recovery_OX!F70)</f>
        <v>46.483912371580317</v>
      </c>
    </row>
    <row r="74" spans="2:15">
      <c r="B74" s="464">
        <f t="shared" si="0"/>
        <v>2009</v>
      </c>
      <c r="C74" s="422" t="str">
        <f>IF(Select2=1,Food!$J78,"")</f>
        <v/>
      </c>
      <c r="D74" s="100" t="str">
        <f>IF(Select2=1,Garden!$J78,"")</f>
        <v/>
      </c>
      <c r="E74" s="100" t="str">
        <f>IF(Select2=1,Paper!$J78,"")</f>
        <v/>
      </c>
      <c r="F74" s="100" t="str">
        <f>IF(Select2=1,Wood!$J78,"")</f>
        <v/>
      </c>
      <c r="G74" s="100" t="str">
        <f>IF(Select2=1,Textiles!$J78,"")</f>
        <v/>
      </c>
      <c r="H74" s="341" t="str">
        <f>IF(Select2=1,Nappies!$J78,"")</f>
        <v/>
      </c>
      <c r="I74" s="416">
        <f>Sludge!$J78</f>
        <v>0</v>
      </c>
      <c r="J74" s="416">
        <f>IF(Select2=2,MSW!$J78,"")</f>
        <v>38.723679979854793</v>
      </c>
      <c r="K74" s="416">
        <f>Industry!$J78</f>
        <v>17.786663059921477</v>
      </c>
      <c r="L74" s="493">
        <f t="shared" si="1"/>
        <v>56.510343039776274</v>
      </c>
      <c r="M74" s="416">
        <f>Recovery_OX!C71</f>
        <v>10</v>
      </c>
      <c r="N74" s="389"/>
      <c r="O74" s="285">
        <f>(L74-M74)*(1-Recovery_OX!F71)</f>
        <v>46.510343039776274</v>
      </c>
    </row>
    <row r="75" spans="2:15">
      <c r="B75" s="464">
        <f t="shared" si="0"/>
        <v>2010</v>
      </c>
      <c r="C75" s="422" t="str">
        <f>IF(Select2=1,Food!$J79,"")</f>
        <v/>
      </c>
      <c r="D75" s="100" t="str">
        <f>IF(Select2=1,Garden!$J79,"")</f>
        <v/>
      </c>
      <c r="E75" s="100" t="str">
        <f>IF(Select2=1,Paper!$J79,"")</f>
        <v/>
      </c>
      <c r="F75" s="100" t="str">
        <f>IF(Select2=1,Wood!$J79,"")</f>
        <v/>
      </c>
      <c r="G75" s="100" t="str">
        <f>IF(Select2=1,Textiles!$J79,"")</f>
        <v/>
      </c>
      <c r="H75" s="341" t="str">
        <f>IF(Select2=1,Nappies!$J79,"")</f>
        <v/>
      </c>
      <c r="I75" s="416">
        <f>Sludge!$J79</f>
        <v>0</v>
      </c>
      <c r="J75" s="416">
        <f>IF(Select2=2,MSW!$J79,"")</f>
        <v>38.740232736037299</v>
      </c>
      <c r="K75" s="416">
        <f>Industry!$J79</f>
        <v>17.794266115650803</v>
      </c>
      <c r="L75" s="493">
        <f t="shared" si="1"/>
        <v>56.534498851688099</v>
      </c>
      <c r="M75" s="416">
        <f>Recovery_OX!C72</f>
        <v>10</v>
      </c>
      <c r="N75" s="389"/>
      <c r="O75" s="285">
        <f>(L75-M75)*(1-Recovery_OX!F72)</f>
        <v>46.534498851688099</v>
      </c>
    </row>
    <row r="76" spans="2:15">
      <c r="B76" s="464">
        <f t="shared" si="0"/>
        <v>2011</v>
      </c>
      <c r="C76" s="422" t="str">
        <f>IF(Select2=1,Food!$J80,"")</f>
        <v/>
      </c>
      <c r="D76" s="100" t="str">
        <f>IF(Select2=1,Garden!$J80,"")</f>
        <v/>
      </c>
      <c r="E76" s="100" t="str">
        <f>IF(Select2=1,Paper!$J80,"")</f>
        <v/>
      </c>
      <c r="F76" s="100" t="str">
        <f>IF(Select2=1,Wood!$J80,"")</f>
        <v/>
      </c>
      <c r="G76" s="100" t="str">
        <f>IF(Select2=1,Textiles!$J80,"")</f>
        <v/>
      </c>
      <c r="H76" s="341" t="str">
        <f>IF(Select2=1,Nappies!$J80,"")</f>
        <v/>
      </c>
      <c r="I76" s="416">
        <f>Sludge!$J80</f>
        <v>0</v>
      </c>
      <c r="J76" s="416">
        <f>IF(Select2=2,MSW!$J80,"")</f>
        <v>38.755360816114688</v>
      </c>
      <c r="K76" s="416">
        <f>Industry!$J80</f>
        <v>17.801214785385188</v>
      </c>
      <c r="L76" s="493">
        <f t="shared" si="1"/>
        <v>56.556575601499873</v>
      </c>
      <c r="M76" s="416">
        <f>Recovery_OX!C73</f>
        <v>10</v>
      </c>
      <c r="N76" s="389"/>
      <c r="O76" s="285">
        <f>(L76-M76)*(1-Recovery_OX!F73)</f>
        <v>46.556575601499873</v>
      </c>
    </row>
    <row r="77" spans="2:15">
      <c r="B77" s="464">
        <f t="shared" si="0"/>
        <v>2012</v>
      </c>
      <c r="C77" s="422" t="str">
        <f>IF(Select2=1,Food!$J81,"")</f>
        <v/>
      </c>
      <c r="D77" s="100" t="str">
        <f>IF(Select2=1,Garden!$J81,"")</f>
        <v/>
      </c>
      <c r="E77" s="100" t="str">
        <f>IF(Select2=1,Paper!$J81,"")</f>
        <v/>
      </c>
      <c r="F77" s="100" t="str">
        <f>IF(Select2=1,Wood!$J81,"")</f>
        <v/>
      </c>
      <c r="G77" s="100" t="str">
        <f>IF(Select2=1,Textiles!$J81,"")</f>
        <v/>
      </c>
      <c r="H77" s="341" t="str">
        <f>IF(Select2=1,Nappies!$J81,"")</f>
        <v/>
      </c>
      <c r="I77" s="416">
        <f>Sludge!$J81</f>
        <v>0</v>
      </c>
      <c r="J77" s="416">
        <f>IF(Select2=2,MSW!$J81,"")</f>
        <v>38.769186840270692</v>
      </c>
      <c r="K77" s="416">
        <f>Industry!$J81</f>
        <v>17.807565391351591</v>
      </c>
      <c r="L77" s="493">
        <f t="shared" si="1"/>
        <v>56.57675223162228</v>
      </c>
      <c r="M77" s="416">
        <f>Recovery_OX!C74</f>
        <v>10</v>
      </c>
      <c r="N77" s="389"/>
      <c r="O77" s="285">
        <f>(L77-M77)*(1-Recovery_OX!F74)</f>
        <v>46.57675223162228</v>
      </c>
    </row>
    <row r="78" spans="2:15">
      <c r="B78" s="464">
        <f t="shared" si="0"/>
        <v>2013</v>
      </c>
      <c r="C78" s="422" t="str">
        <f>IF(Select2=1,Food!$J82,"")</f>
        <v/>
      </c>
      <c r="D78" s="100" t="str">
        <f>IF(Select2=1,Garden!$J82,"")</f>
        <v/>
      </c>
      <c r="E78" s="100" t="str">
        <f>IF(Select2=1,Paper!$J82,"")</f>
        <v/>
      </c>
      <c r="F78" s="100" t="str">
        <f>IF(Select2=1,Wood!$J82,"")</f>
        <v/>
      </c>
      <c r="G78" s="100" t="str">
        <f>IF(Select2=1,Textiles!$J82,"")</f>
        <v/>
      </c>
      <c r="H78" s="341" t="str">
        <f>IF(Select2=1,Nappies!$J82,"")</f>
        <v/>
      </c>
      <c r="I78" s="416">
        <f>Sludge!$J82</f>
        <v>0</v>
      </c>
      <c r="J78" s="416">
        <f>IF(Select2=2,MSW!$J82,"")</f>
        <v>38.781822874915179</v>
      </c>
      <c r="K78" s="416">
        <f>Industry!$J82</f>
        <v>17.813369408189658</v>
      </c>
      <c r="L78" s="493">
        <f t="shared" si="1"/>
        <v>56.595192283104836</v>
      </c>
      <c r="M78" s="416">
        <f>Recovery_OX!C75</f>
        <v>10</v>
      </c>
      <c r="N78" s="389"/>
      <c r="O78" s="285">
        <f>(L78-M78)*(1-Recovery_OX!F75)</f>
        <v>46.595192283104836</v>
      </c>
    </row>
    <row r="79" spans="2:15">
      <c r="B79" s="464">
        <f t="shared" si="0"/>
        <v>2014</v>
      </c>
      <c r="C79" s="422" t="str">
        <f>IF(Select2=1,Food!$J83,"")</f>
        <v/>
      </c>
      <c r="D79" s="100" t="str">
        <f>IF(Select2=1,Garden!$J83,"")</f>
        <v/>
      </c>
      <c r="E79" s="100" t="str">
        <f>IF(Select2=1,Paper!$J83,"")</f>
        <v/>
      </c>
      <c r="F79" s="100" t="str">
        <f>IF(Select2=1,Wood!$J83,"")</f>
        <v/>
      </c>
      <c r="G79" s="100" t="str">
        <f>IF(Select2=1,Textiles!$J83,"")</f>
        <v/>
      </c>
      <c r="H79" s="341" t="str">
        <f>IF(Select2=1,Nappies!$J83,"")</f>
        <v/>
      </c>
      <c r="I79" s="416">
        <f>Sludge!$J83</f>
        <v>0</v>
      </c>
      <c r="J79" s="416">
        <f>IF(Select2=2,MSW!$J83,"")</f>
        <v>38.793371341034948</v>
      </c>
      <c r="K79" s="416">
        <f>Industry!$J83</f>
        <v>17.818673880177805</v>
      </c>
      <c r="L79" s="493">
        <f t="shared" si="1"/>
        <v>56.612045221212753</v>
      </c>
      <c r="M79" s="416">
        <f>Recovery_OX!C76</f>
        <v>10</v>
      </c>
      <c r="N79" s="389"/>
      <c r="O79" s="285">
        <f>(L79-M79)*(1-Recovery_OX!F76)</f>
        <v>46.612045221212753</v>
      </c>
    </row>
    <row r="80" spans="2:15">
      <c r="B80" s="464">
        <f t="shared" ref="B80:B95" si="2">B79+1</f>
        <v>2015</v>
      </c>
      <c r="C80" s="422" t="str">
        <f>IF(Select2=1,Food!$J84,"")</f>
        <v/>
      </c>
      <c r="D80" s="100" t="str">
        <f>IF(Select2=1,Garden!$J84,"")</f>
        <v/>
      </c>
      <c r="E80" s="100" t="str">
        <f>IF(Select2=1,Paper!$J84,"")</f>
        <v/>
      </c>
      <c r="F80" s="100" t="str">
        <f>IF(Select2=1,Wood!$J84,"")</f>
        <v/>
      </c>
      <c r="G80" s="100" t="str">
        <f>IF(Select2=1,Textiles!$J84,"")</f>
        <v/>
      </c>
      <c r="H80" s="341" t="str">
        <f>IF(Select2=1,Nappies!$J84,"")</f>
        <v/>
      </c>
      <c r="I80" s="416">
        <f>Sludge!$J84</f>
        <v>0</v>
      </c>
      <c r="J80" s="416">
        <f>IF(Select2=2,MSW!$J84,"")</f>
        <v>38.803925844363846</v>
      </c>
      <c r="K80" s="416">
        <f>Industry!$J84</f>
        <v>17.823521802549173</v>
      </c>
      <c r="L80" s="493">
        <f t="shared" ref="L80:L95" si="3">SUM(C80:K80)</f>
        <v>56.627447646913019</v>
      </c>
      <c r="M80" s="416">
        <f>Recovery_OX!C77</f>
        <v>10</v>
      </c>
      <c r="N80" s="389"/>
      <c r="O80" s="285">
        <f>(L80-M80)*(1-Recovery_OX!F77)</f>
        <v>46.627447646913019</v>
      </c>
    </row>
    <row r="81" spans="2:15">
      <c r="B81" s="464">
        <f t="shared" si="2"/>
        <v>2016</v>
      </c>
      <c r="C81" s="422" t="str">
        <f>IF(Select2=1,Food!$J85,"")</f>
        <v/>
      </c>
      <c r="D81" s="100" t="str">
        <f>IF(Select2=1,Garden!$J85,"")</f>
        <v/>
      </c>
      <c r="E81" s="100" t="str">
        <f>IF(Select2=1,Paper!$J85,"")</f>
        <v/>
      </c>
      <c r="F81" s="100" t="str">
        <f>IF(Select2=1,Wood!$J85,"")</f>
        <v/>
      </c>
      <c r="G81" s="100" t="str">
        <f>IF(Select2=1,Textiles!$J85,"")</f>
        <v/>
      </c>
      <c r="H81" s="341" t="str">
        <f>IF(Select2=1,Nappies!$J85,"")</f>
        <v/>
      </c>
      <c r="I81" s="416">
        <f>Sludge!$J85</f>
        <v>0</v>
      </c>
      <c r="J81" s="416">
        <f>IF(Select2=2,MSW!$J85,"")</f>
        <v>38.813571934101184</v>
      </c>
      <c r="K81" s="416">
        <f>Industry!$J85</f>
        <v>17.827952469988137</v>
      </c>
      <c r="L81" s="493">
        <f t="shared" si="3"/>
        <v>56.641524404089324</v>
      </c>
      <c r="M81" s="416">
        <f>Recovery_OX!C78</f>
        <v>10</v>
      </c>
      <c r="N81" s="389"/>
      <c r="O81" s="285">
        <f>(L81-M81)*(1-Recovery_OX!F78)</f>
        <v>46.641524404089324</v>
      </c>
    </row>
    <row r="82" spans="2:15">
      <c r="B82" s="464">
        <f t="shared" si="2"/>
        <v>2017</v>
      </c>
      <c r="C82" s="422" t="str">
        <f>IF(Select2=1,Food!$J86,"")</f>
        <v/>
      </c>
      <c r="D82" s="100" t="str">
        <f>IF(Select2=1,Garden!$J86,"")</f>
        <v/>
      </c>
      <c r="E82" s="100" t="str">
        <f>IF(Select2=1,Paper!$J86,"")</f>
        <v/>
      </c>
      <c r="F82" s="100" t="str">
        <f>IF(Select2=1,Wood!$J86,"")</f>
        <v/>
      </c>
      <c r="G82" s="100" t="str">
        <f>IF(Select2=1,Textiles!$J86,"")</f>
        <v/>
      </c>
      <c r="H82" s="341" t="str">
        <f>IF(Select2=1,Nappies!$J86,"")</f>
        <v/>
      </c>
      <c r="I82" s="416">
        <f>Sludge!$J86</f>
        <v>0</v>
      </c>
      <c r="J82" s="416">
        <f>IF(Select2=2,MSW!$J86,"")</f>
        <v>38.822387796328059</v>
      </c>
      <c r="K82" s="416">
        <f>Industry!$J86</f>
        <v>17.832001795132175</v>
      </c>
      <c r="L82" s="493">
        <f t="shared" si="3"/>
        <v>56.65438959146023</v>
      </c>
      <c r="M82" s="416">
        <f>Recovery_OX!C79</f>
        <v>10</v>
      </c>
      <c r="N82" s="389"/>
      <c r="O82" s="285">
        <f>(L82-M82)*(1-Recovery_OX!F79)</f>
        <v>46.65438959146023</v>
      </c>
    </row>
    <row r="83" spans="2:15">
      <c r="B83" s="464">
        <f t="shared" si="2"/>
        <v>2018</v>
      </c>
      <c r="C83" s="422" t="str">
        <f>IF(Select2=1,Food!$J87,"")</f>
        <v/>
      </c>
      <c r="D83" s="100" t="str">
        <f>IF(Select2=1,Garden!$J87,"")</f>
        <v/>
      </c>
      <c r="E83" s="100" t="str">
        <f>IF(Select2=1,Paper!$J87,"")</f>
        <v/>
      </c>
      <c r="F83" s="100" t="str">
        <f>IF(Select2=1,Wood!$J87,"")</f>
        <v/>
      </c>
      <c r="G83" s="100" t="str">
        <f>IF(Select2=1,Textiles!$J87,"")</f>
        <v/>
      </c>
      <c r="H83" s="341" t="str">
        <f>IF(Select2=1,Nappies!$J87,"")</f>
        <v/>
      </c>
      <c r="I83" s="416">
        <f>Sludge!$J87</f>
        <v>0</v>
      </c>
      <c r="J83" s="416">
        <f>IF(Select2=2,MSW!$J87,"")</f>
        <v>38.830444887742253</v>
      </c>
      <c r="K83" s="416">
        <f>Industry!$J87</f>
        <v>17.835702599660614</v>
      </c>
      <c r="L83" s="493">
        <f t="shared" si="3"/>
        <v>56.666147487402867</v>
      </c>
      <c r="M83" s="416">
        <f>Recovery_OX!C80</f>
        <v>10</v>
      </c>
      <c r="N83" s="389"/>
      <c r="O83" s="285">
        <f>(L83-M83)*(1-Recovery_OX!F80)</f>
        <v>46.666147487402867</v>
      </c>
    </row>
    <row r="84" spans="2:15">
      <c r="B84" s="464">
        <f t="shared" si="2"/>
        <v>2019</v>
      </c>
      <c r="C84" s="422" t="str">
        <f>IF(Select2=1,Food!$J88,"")</f>
        <v/>
      </c>
      <c r="D84" s="100" t="str">
        <f>IF(Select2=1,Garden!$J88,"")</f>
        <v/>
      </c>
      <c r="E84" s="100" t="str">
        <f>IF(Select2=1,Paper!$J88,"")</f>
        <v/>
      </c>
      <c r="F84" s="100" t="str">
        <f>IF(Select2=1,Wood!$J88,"")</f>
        <v/>
      </c>
      <c r="G84" s="100" t="str">
        <f>IF(Select2=1,Textiles!$J88,"")</f>
        <v/>
      </c>
      <c r="H84" s="341" t="str">
        <f>IF(Select2=1,Nappies!$J88,"")</f>
        <v/>
      </c>
      <c r="I84" s="416">
        <f>Sludge!$J88</f>
        <v>0</v>
      </c>
      <c r="J84" s="416">
        <f>IF(Select2=2,MSW!$J88,"")</f>
        <v>38.837808514848263</v>
      </c>
      <c r="K84" s="416">
        <f>Industry!$J88</f>
        <v>17.839084880329747</v>
      </c>
      <c r="L84" s="493">
        <f t="shared" si="3"/>
        <v>56.676893395178013</v>
      </c>
      <c r="M84" s="416">
        <f>Recovery_OX!C81</f>
        <v>10</v>
      </c>
      <c r="N84" s="389"/>
      <c r="O84" s="285">
        <f>(L84-M84)*(1-Recovery_OX!F81)</f>
        <v>46.676893395178013</v>
      </c>
    </row>
    <row r="85" spans="2:15">
      <c r="B85" s="464">
        <f t="shared" si="2"/>
        <v>2020</v>
      </c>
      <c r="C85" s="422" t="str">
        <f>IF(Select2=1,Food!$J89,"")</f>
        <v/>
      </c>
      <c r="D85" s="100" t="str">
        <f>IF(Select2=1,Garden!$J89,"")</f>
        <v/>
      </c>
      <c r="E85" s="100" t="str">
        <f>IF(Select2=1,Paper!$J89,"")</f>
        <v/>
      </c>
      <c r="F85" s="100" t="str">
        <f>IF(Select2=1,Wood!$J89,"")</f>
        <v/>
      </c>
      <c r="G85" s="100" t="str">
        <f>IF(Select2=1,Textiles!$J89,"")</f>
        <v/>
      </c>
      <c r="H85" s="341" t="str">
        <f>IF(Select2=1,Nappies!$J89,"")</f>
        <v/>
      </c>
      <c r="I85" s="416">
        <f>Sludge!$J89</f>
        <v>0</v>
      </c>
      <c r="J85" s="416">
        <f>IF(Select2=2,MSW!$J89,"")</f>
        <v>38.844538363297154</v>
      </c>
      <c r="K85" s="416">
        <f>Industry!$J89</f>
        <v>17.842176052110609</v>
      </c>
      <c r="L85" s="493">
        <f t="shared" si="3"/>
        <v>56.686714415407764</v>
      </c>
      <c r="M85" s="416">
        <f>Recovery_OX!C82</f>
        <v>10</v>
      </c>
      <c r="N85" s="389"/>
      <c r="O85" s="285">
        <f>(L85-M85)*(1-Recovery_OX!F82)</f>
        <v>46.686714415407764</v>
      </c>
    </row>
    <row r="86" spans="2:15">
      <c r="B86" s="464">
        <f t="shared" si="2"/>
        <v>2021</v>
      </c>
      <c r="C86" s="422" t="str">
        <f>IF(Select2=1,Food!$J90,"")</f>
        <v/>
      </c>
      <c r="D86" s="100" t="str">
        <f>IF(Select2=1,Garden!$J90,"")</f>
        <v/>
      </c>
      <c r="E86" s="100" t="str">
        <f>IF(Select2=1,Paper!$J90,"")</f>
        <v/>
      </c>
      <c r="F86" s="100" t="str">
        <f>IF(Select2=1,Wood!$J90,"")</f>
        <v/>
      </c>
      <c r="G86" s="100" t="str">
        <f>IF(Select2=1,Textiles!$J90,"")</f>
        <v/>
      </c>
      <c r="H86" s="341" t="str">
        <f>IF(Select2=1,Nappies!$J90,"")</f>
        <v/>
      </c>
      <c r="I86" s="416">
        <f>Sludge!$J90</f>
        <v>0</v>
      </c>
      <c r="J86" s="416">
        <f>IF(Select2=2,MSW!$J90,"")</f>
        <v>38.85068898166675</v>
      </c>
      <c r="K86" s="416">
        <f>Industry!$J90</f>
        <v>17.845001170400167</v>
      </c>
      <c r="L86" s="493">
        <f t="shared" si="3"/>
        <v>56.695690152066916</v>
      </c>
      <c r="M86" s="416">
        <f>Recovery_OX!C83</f>
        <v>10</v>
      </c>
      <c r="N86" s="389"/>
      <c r="O86" s="285">
        <f>(L86-M86)*(1-Recovery_OX!F83)</f>
        <v>46.695690152066916</v>
      </c>
    </row>
    <row r="87" spans="2:15">
      <c r="B87" s="464">
        <f t="shared" si="2"/>
        <v>2022</v>
      </c>
      <c r="C87" s="422" t="str">
        <f>IF(Select2=1,Food!$J91,"")</f>
        <v/>
      </c>
      <c r="D87" s="100" t="str">
        <f>IF(Select2=1,Garden!$J91,"")</f>
        <v/>
      </c>
      <c r="E87" s="100" t="str">
        <f>IF(Select2=1,Paper!$J91,"")</f>
        <v/>
      </c>
      <c r="F87" s="100" t="str">
        <f>IF(Select2=1,Wood!$J91,"")</f>
        <v/>
      </c>
      <c r="G87" s="100" t="str">
        <f>IF(Select2=1,Textiles!$J91,"")</f>
        <v/>
      </c>
      <c r="H87" s="341" t="str">
        <f>IF(Select2=1,Nappies!$J91,"")</f>
        <v/>
      </c>
      <c r="I87" s="416">
        <f>Sludge!$J91</f>
        <v>0</v>
      </c>
      <c r="J87" s="416">
        <f>IF(Select2=2,MSW!$J91,"")</f>
        <v>38.856310223603423</v>
      </c>
      <c r="K87" s="416">
        <f>Industry!$J91</f>
        <v>17.847583134107076</v>
      </c>
      <c r="L87" s="493">
        <f t="shared" si="3"/>
        <v>56.703893357710498</v>
      </c>
      <c r="M87" s="416">
        <f>Recovery_OX!C84</f>
        <v>10</v>
      </c>
      <c r="N87" s="389"/>
      <c r="O87" s="285">
        <f>(L87-M87)*(1-Recovery_OX!F84)</f>
        <v>46.703893357710498</v>
      </c>
    </row>
    <row r="88" spans="2:15">
      <c r="B88" s="464">
        <f t="shared" si="2"/>
        <v>2023</v>
      </c>
      <c r="C88" s="422" t="str">
        <f>IF(Select2=1,Food!$J92,"")</f>
        <v/>
      </c>
      <c r="D88" s="100" t="str">
        <f>IF(Select2=1,Garden!$J92,"")</f>
        <v/>
      </c>
      <c r="E88" s="100" t="str">
        <f>IF(Select2=1,Paper!$J92,"")</f>
        <v/>
      </c>
      <c r="F88" s="100" t="str">
        <f>IF(Select2=1,Wood!$J92,"")</f>
        <v/>
      </c>
      <c r="G88" s="100" t="str">
        <f>IF(Select2=1,Textiles!$J92,"")</f>
        <v/>
      </c>
      <c r="H88" s="341" t="str">
        <f>IF(Select2=1,Nappies!$J92,"")</f>
        <v/>
      </c>
      <c r="I88" s="416">
        <f>Sludge!$J92</f>
        <v>0</v>
      </c>
      <c r="J88" s="416">
        <f>IF(Select2=2,MSW!$J92,"")</f>
        <v>38.861447651909302</v>
      </c>
      <c r="K88" s="416">
        <f>Industry!$J92</f>
        <v>17.849942871258058</v>
      </c>
      <c r="L88" s="493">
        <f t="shared" si="3"/>
        <v>56.71139052316736</v>
      </c>
      <c r="M88" s="416">
        <f>Recovery_OX!C85</f>
        <v>10</v>
      </c>
      <c r="N88" s="389"/>
      <c r="O88" s="285">
        <f>(L88-M88)*(1-Recovery_OX!F85)</f>
        <v>46.71139052316736</v>
      </c>
    </row>
    <row r="89" spans="2:15">
      <c r="B89" s="464">
        <f t="shared" si="2"/>
        <v>2024</v>
      </c>
      <c r="C89" s="422" t="str">
        <f>IF(Select2=1,Food!$J93,"")</f>
        <v/>
      </c>
      <c r="D89" s="100" t="str">
        <f>IF(Select2=1,Garden!$J93,"")</f>
        <v/>
      </c>
      <c r="E89" s="100" t="str">
        <f>IF(Select2=1,Paper!$J93,"")</f>
        <v/>
      </c>
      <c r="F89" s="100" t="str">
        <f>IF(Select2=1,Wood!$J93,"")</f>
        <v/>
      </c>
      <c r="G89" s="100" t="str">
        <f>IF(Select2=1,Textiles!$J93,"")</f>
        <v/>
      </c>
      <c r="H89" s="341" t="str">
        <f>IF(Select2=1,Nappies!$J93,"")</f>
        <v/>
      </c>
      <c r="I89" s="416">
        <f>Sludge!$J93</f>
        <v>0</v>
      </c>
      <c r="J89" s="416">
        <f>IF(Select2=2,MSW!$J93,"")</f>
        <v>38.866142907850147</v>
      </c>
      <c r="K89" s="416">
        <f>Industry!$J93</f>
        <v>17.852099508629383</v>
      </c>
      <c r="L89" s="493">
        <f t="shared" si="3"/>
        <v>56.718242416479526</v>
      </c>
      <c r="M89" s="416">
        <f>Recovery_OX!C86</f>
        <v>10</v>
      </c>
      <c r="N89" s="389"/>
      <c r="O89" s="285">
        <f>(L89-M89)*(1-Recovery_OX!F86)</f>
        <v>46.718242416479526</v>
      </c>
    </row>
    <row r="90" spans="2:15">
      <c r="B90" s="464">
        <f t="shared" si="2"/>
        <v>2025</v>
      </c>
      <c r="C90" s="422" t="str">
        <f>IF(Select2=1,Food!$J94,"")</f>
        <v/>
      </c>
      <c r="D90" s="100" t="str">
        <f>IF(Select2=1,Garden!$J94,"")</f>
        <v/>
      </c>
      <c r="E90" s="100" t="str">
        <f>IF(Select2=1,Paper!$J94,"")</f>
        <v/>
      </c>
      <c r="F90" s="100" t="str">
        <f>IF(Select2=1,Wood!$J94,"")</f>
        <v/>
      </c>
      <c r="G90" s="100" t="str">
        <f>IF(Select2=1,Textiles!$J94,"")</f>
        <v/>
      </c>
      <c r="H90" s="341" t="str">
        <f>IF(Select2=1,Nappies!$J94,"")</f>
        <v/>
      </c>
      <c r="I90" s="416">
        <f>Sludge!$J94</f>
        <v>0</v>
      </c>
      <c r="J90" s="416">
        <f>IF(Select2=2,MSW!$J94,"")</f>
        <v>38.870434048677311</v>
      </c>
      <c r="K90" s="416">
        <f>Industry!$J94</f>
        <v>17.854070526778361</v>
      </c>
      <c r="L90" s="493">
        <f t="shared" si="3"/>
        <v>56.724504575455668</v>
      </c>
      <c r="M90" s="416">
        <f>Recovery_OX!C87</f>
        <v>10</v>
      </c>
      <c r="N90" s="389"/>
      <c r="O90" s="285">
        <f>(L90-M90)*(1-Recovery_OX!F87)</f>
        <v>46.724504575455668</v>
      </c>
    </row>
    <row r="91" spans="2:15">
      <c r="B91" s="464">
        <f t="shared" si="2"/>
        <v>2026</v>
      </c>
      <c r="C91" s="422" t="str">
        <f>IF(Select2=1,Food!$J95,"")</f>
        <v/>
      </c>
      <c r="D91" s="100" t="str">
        <f>IF(Select2=1,Garden!$J95,"")</f>
        <v/>
      </c>
      <c r="E91" s="100" t="str">
        <f>IF(Select2=1,Paper!$J95,"")</f>
        <v/>
      </c>
      <c r="F91" s="100" t="str">
        <f>IF(Select2=1,Wood!$J95,"")</f>
        <v/>
      </c>
      <c r="G91" s="100" t="str">
        <f>IF(Select2=1,Textiles!$J95,"")</f>
        <v/>
      </c>
      <c r="H91" s="341" t="str">
        <f>IF(Select2=1,Nappies!$J95,"")</f>
        <v/>
      </c>
      <c r="I91" s="416">
        <f>Sludge!$J95</f>
        <v>0</v>
      </c>
      <c r="J91" s="416">
        <f>IF(Select2=2,MSW!$J95,"")</f>
        <v>38.874355856099641</v>
      </c>
      <c r="K91" s="416">
        <f>Industry!$J95</f>
        <v>17.855871901731444</v>
      </c>
      <c r="L91" s="493">
        <f t="shared" si="3"/>
        <v>56.730227757831088</v>
      </c>
      <c r="M91" s="416">
        <f>Recovery_OX!C88</f>
        <v>10</v>
      </c>
      <c r="N91" s="389"/>
      <c r="O91" s="285">
        <f>(L91-M91)*(1-Recovery_OX!F88)</f>
        <v>46.730227757831088</v>
      </c>
    </row>
    <row r="92" spans="2:15">
      <c r="B92" s="464">
        <f t="shared" si="2"/>
        <v>2027</v>
      </c>
      <c r="C92" s="422" t="str">
        <f>IF(Select2=1,Food!$J96,"")</f>
        <v/>
      </c>
      <c r="D92" s="100" t="str">
        <f>IF(Select2=1,Garden!$J96,"")</f>
        <v/>
      </c>
      <c r="E92" s="100" t="str">
        <f>IF(Select2=1,Paper!$J96,"")</f>
        <v/>
      </c>
      <c r="F92" s="100" t="str">
        <f>IF(Select2=1,Wood!$J96,"")</f>
        <v/>
      </c>
      <c r="G92" s="100" t="str">
        <f>IF(Select2=1,Textiles!$J96,"")</f>
        <v/>
      </c>
      <c r="H92" s="341" t="str">
        <f>IF(Select2=1,Nappies!$J96,"")</f>
        <v/>
      </c>
      <c r="I92" s="416">
        <f>Sludge!$J96</f>
        <v>0</v>
      </c>
      <c r="J92" s="416">
        <f>IF(Select2=2,MSW!$J96,"")</f>
        <v>38.877940118205544</v>
      </c>
      <c r="K92" s="416">
        <f>Industry!$J96</f>
        <v>17.857518234477432</v>
      </c>
      <c r="L92" s="493">
        <f t="shared" si="3"/>
        <v>56.735458352682976</v>
      </c>
      <c r="M92" s="416">
        <f>Recovery_OX!C89</f>
        <v>10</v>
      </c>
      <c r="N92" s="389"/>
      <c r="O92" s="285">
        <f>(L92-M92)*(1-Recovery_OX!F89)</f>
        <v>46.735458352682976</v>
      </c>
    </row>
    <row r="93" spans="2:15">
      <c r="B93" s="464">
        <f t="shared" si="2"/>
        <v>2028</v>
      </c>
      <c r="C93" s="422" t="str">
        <f>IF(Select2=1,Food!$J97,"")</f>
        <v/>
      </c>
      <c r="D93" s="100" t="str">
        <f>IF(Select2=1,Garden!$J97,"")</f>
        <v/>
      </c>
      <c r="E93" s="100" t="str">
        <f>IF(Select2=1,Paper!$J97,"")</f>
        <v/>
      </c>
      <c r="F93" s="100" t="str">
        <f>IF(Select2=1,Wood!$J97,"")</f>
        <v/>
      </c>
      <c r="G93" s="100" t="str">
        <f>IF(Select2=1,Textiles!$J97,"")</f>
        <v/>
      </c>
      <c r="H93" s="341" t="str">
        <f>IF(Select2=1,Nappies!$J97,"")</f>
        <v/>
      </c>
      <c r="I93" s="416">
        <f>Sludge!$J97</f>
        <v>0</v>
      </c>
      <c r="J93" s="416">
        <f>IF(Select2=2,MSW!$J97,"")</f>
        <v>38.881215887120312</v>
      </c>
      <c r="K93" s="416">
        <f>Industry!$J97</f>
        <v>17.859022869315325</v>
      </c>
      <c r="L93" s="493">
        <f t="shared" si="3"/>
        <v>56.740238756435637</v>
      </c>
      <c r="M93" s="416">
        <f>Recovery_OX!C90</f>
        <v>10</v>
      </c>
      <c r="N93" s="389"/>
      <c r="O93" s="285">
        <f>(L93-M93)*(1-Recovery_OX!F90)</f>
        <v>46.740238756435637</v>
      </c>
    </row>
    <row r="94" spans="2:15">
      <c r="B94" s="464">
        <f t="shared" si="2"/>
        <v>2029</v>
      </c>
      <c r="C94" s="422" t="str">
        <f>IF(Select2=1,Food!$J98,"")</f>
        <v/>
      </c>
      <c r="D94" s="100" t="str">
        <f>IF(Select2=1,Garden!$J98,"")</f>
        <v/>
      </c>
      <c r="E94" s="100" t="str">
        <f>IF(Select2=1,Paper!$J98,"")</f>
        <v/>
      </c>
      <c r="F94" s="100" t="str">
        <f>IF(Select2=1,Wood!$J98,"")</f>
        <v/>
      </c>
      <c r="G94" s="100" t="str">
        <f>IF(Select2=1,Textiles!$J98,"")</f>
        <v/>
      </c>
      <c r="H94" s="341" t="str">
        <f>IF(Select2=1,Nappies!$J98,"")</f>
        <v/>
      </c>
      <c r="I94" s="416">
        <f>Sludge!$J98</f>
        <v>0</v>
      </c>
      <c r="J94" s="416">
        <f>IF(Select2=2,MSW!$J98,"")</f>
        <v>38.884209714487262</v>
      </c>
      <c r="K94" s="416">
        <f>Industry!$J98</f>
        <v>17.860398002016122</v>
      </c>
      <c r="L94" s="493">
        <f t="shared" si="3"/>
        <v>56.744607716503381</v>
      </c>
      <c r="M94" s="416">
        <f>Recovery_OX!C91</f>
        <v>10</v>
      </c>
      <c r="N94" s="389"/>
      <c r="O94" s="285">
        <f>(L94-M94)*(1-Recovery_OX!F91)</f>
        <v>46.744607716503381</v>
      </c>
    </row>
    <row r="95" spans="2:15" ht="13.8" thickBot="1">
      <c r="B95" s="465">
        <f t="shared" si="2"/>
        <v>2030</v>
      </c>
      <c r="C95" s="447" t="str">
        <f>IF(Select2=1,Food!$J99,"")</f>
        <v/>
      </c>
      <c r="D95" s="101" t="str">
        <f>IF(Select2=1,Garden!$J99,"")</f>
        <v/>
      </c>
      <c r="E95" s="101" t="str">
        <f>IF(Select2=1,Paper!$J99,"")</f>
        <v/>
      </c>
      <c r="F95" s="101" t="str">
        <f>IF(Select2=1,Wood!$J99,"")</f>
        <v/>
      </c>
      <c r="G95" s="101" t="str">
        <f>IF(Select2=1,Textiles!$J99,"")</f>
        <v/>
      </c>
      <c r="H95" s="342" t="str">
        <f>IF(Select2=1,Nappies!$J99,"")</f>
        <v/>
      </c>
      <c r="I95" s="417">
        <f>Sludge!$J99</f>
        <v>0</v>
      </c>
      <c r="J95" s="417">
        <f>IF(Select2=2,MSW!$J99,"")</f>
        <v>38.886945866681231</v>
      </c>
      <c r="K95" s="417">
        <f>Industry!$J99</f>
        <v>17.861654778675266</v>
      </c>
      <c r="L95" s="494">
        <f t="shared" si="3"/>
        <v>56.748600645356497</v>
      </c>
      <c r="M95" s="417">
        <f>Recovery_OX!C92</f>
        <v>10</v>
      </c>
      <c r="N95" s="389"/>
      <c r="O95" s="286">
        <f>(L95-M95)*(1-Recovery_OX!F92)</f>
        <v>46.748600645356497</v>
      </c>
    </row>
    <row r="96" spans="2:15">
      <c r="N96" s="383"/>
    </row>
  </sheetData>
  <sheetProtection password="CF65" sheet="1" objects="1" scenarios="1"/>
  <mergeCells count="2">
    <mergeCell ref="C10:L10"/>
    <mergeCell ref="B5:H5"/>
  </mergeCells>
  <phoneticPr fontId="17" type="noConversion"/>
  <dataValidations count="1">
    <dataValidation type="whole" allowBlank="1" showInputMessage="1" showErrorMessage="1" error="Please enter a year between 1900 and 2000" sqref="B15" xr:uid="{00000000-0002-0000-0600-000000000000}">
      <formula1>1900</formula1>
      <formula2>2000</formula2>
    </dataValidation>
  </dataValidations>
  <pageMargins left="0.75" right="0.75" top="1" bottom="1" header="0.5" footer="0.5"/>
  <pageSetup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61"/>
  </sheetPr>
  <dimension ref="B2:O92"/>
  <sheetViews>
    <sheetView showGridLines="0" workbookViewId="0">
      <selection activeCell="S15" sqref="S15"/>
    </sheetView>
  </sheetViews>
  <sheetFormatPr defaultColWidth="11.44140625" defaultRowHeight="13.2"/>
  <cols>
    <col min="1" max="1" width="2.6640625" style="6" customWidth="1"/>
    <col min="2" max="2" width="7.33203125" style="6" customWidth="1"/>
    <col min="3" max="3" width="9.44140625" style="6" customWidth="1"/>
    <col min="4" max="4" width="9.109375" style="6" customWidth="1"/>
    <col min="5" max="5" width="8.6640625" style="6" customWidth="1"/>
    <col min="6" max="6" width="9.6640625" style="6" customWidth="1"/>
    <col min="7" max="7" width="9.44140625" style="6" customWidth="1"/>
    <col min="8" max="8" width="10.33203125" style="6" customWidth="1"/>
    <col min="9" max="9" width="2.44140625" style="6" customWidth="1"/>
    <col min="10" max="10" width="9.109375" style="6" customWidth="1"/>
    <col min="11" max="11" width="9.33203125" style="6" customWidth="1"/>
    <col min="12" max="12" width="8.6640625" style="6" customWidth="1"/>
    <col min="13" max="13" width="8.33203125" style="81" customWidth="1"/>
    <col min="14" max="14" width="9.6640625" style="81" customWidth="1"/>
    <col min="15" max="15" width="8.6640625" style="81" customWidth="1"/>
    <col min="16" max="16384" width="11.44140625" style="6"/>
  </cols>
  <sheetData>
    <row r="2" spans="2:15" s="277" customFormat="1">
      <c r="B2" s="277" t="s">
        <v>247</v>
      </c>
      <c r="M2" s="279"/>
      <c r="N2" s="279"/>
      <c r="O2" s="279"/>
    </row>
    <row r="4" spans="2:15">
      <c r="B4" s="6" t="s">
        <v>261</v>
      </c>
    </row>
    <row r="7" spans="2:15" ht="13.8" thickBot="1"/>
    <row r="8" spans="2:15" ht="13.8" thickBot="1">
      <c r="B8" s="459"/>
      <c r="C8" s="692" t="s">
        <v>242</v>
      </c>
      <c r="D8" s="693"/>
      <c r="E8" s="694"/>
      <c r="F8" s="692" t="s">
        <v>249</v>
      </c>
      <c r="G8" s="693"/>
      <c r="H8" s="695"/>
      <c r="I8" s="456"/>
      <c r="J8" s="692" t="s">
        <v>250</v>
      </c>
      <c r="K8" s="693"/>
      <c r="L8" s="695"/>
      <c r="M8" s="696" t="s">
        <v>252</v>
      </c>
      <c r="N8" s="697"/>
      <c r="O8" s="698"/>
    </row>
    <row r="9" spans="2:15" ht="13.8" thickBot="1">
      <c r="B9" s="203" t="s">
        <v>1</v>
      </c>
      <c r="C9" s="450" t="s">
        <v>243</v>
      </c>
      <c r="D9" s="451" t="s">
        <v>233</v>
      </c>
      <c r="E9" s="452" t="s">
        <v>234</v>
      </c>
      <c r="F9" s="431" t="s">
        <v>243</v>
      </c>
      <c r="G9" s="430" t="s">
        <v>233</v>
      </c>
      <c r="H9" s="432" t="s">
        <v>234</v>
      </c>
      <c r="I9" s="456"/>
      <c r="J9" s="431" t="s">
        <v>54</v>
      </c>
      <c r="K9" s="430" t="s">
        <v>2</v>
      </c>
      <c r="L9" s="432" t="s">
        <v>3</v>
      </c>
      <c r="M9" s="453" t="s">
        <v>54</v>
      </c>
      <c r="N9" s="454" t="s">
        <v>2</v>
      </c>
      <c r="O9" s="455" t="s">
        <v>3</v>
      </c>
    </row>
    <row r="10" spans="2:15" ht="13.8" thickBot="1">
      <c r="B10" s="160"/>
      <c r="C10" s="351" t="s">
        <v>17</v>
      </c>
      <c r="D10" s="324" t="s">
        <v>17</v>
      </c>
      <c r="E10" s="38" t="s">
        <v>17</v>
      </c>
      <c r="F10" s="351" t="s">
        <v>17</v>
      </c>
      <c r="G10" s="324" t="s">
        <v>17</v>
      </c>
      <c r="H10" s="38" t="s">
        <v>17</v>
      </c>
      <c r="I10" s="458"/>
      <c r="J10" s="351" t="s">
        <v>17</v>
      </c>
      <c r="K10" s="324" t="s">
        <v>17</v>
      </c>
      <c r="L10" s="38" t="s">
        <v>17</v>
      </c>
      <c r="M10" s="351" t="s">
        <v>17</v>
      </c>
      <c r="N10" s="324" t="s">
        <v>17</v>
      </c>
      <c r="O10" s="38" t="s">
        <v>17</v>
      </c>
    </row>
    <row r="11" spans="2:15" ht="13.8" thickBot="1">
      <c r="B11" s="373"/>
      <c r="C11" s="375"/>
      <c r="D11" s="168"/>
      <c r="E11" s="352"/>
      <c r="F11" s="374"/>
      <c r="G11" s="175"/>
      <c r="H11" s="46"/>
      <c r="I11" s="457"/>
      <c r="J11" s="380"/>
      <c r="K11" s="381"/>
      <c r="L11" s="347"/>
      <c r="M11" s="376"/>
      <c r="N11" s="168"/>
      <c r="O11" s="352"/>
    </row>
    <row r="12" spans="2:15">
      <c r="B12" s="358">
        <f>year</f>
        <v>1950</v>
      </c>
      <c r="C12" s="361">
        <f>Stored_C!E16</f>
        <v>0</v>
      </c>
      <c r="D12" s="354">
        <f>Stored_C!F16+Stored_C!L16</f>
        <v>31.755455999999999</v>
      </c>
      <c r="E12" s="355">
        <f>Stored_C!G16+Stored_C!M16</f>
        <v>3.5141147999999998</v>
      </c>
      <c r="F12" s="353">
        <f>F11+HWP!C12</f>
        <v>0</v>
      </c>
      <c r="G12" s="354">
        <f>G11+HWP!D12</f>
        <v>31.755455999999999</v>
      </c>
      <c r="H12" s="355">
        <f>H11+HWP!E12</f>
        <v>3.5141147999999998</v>
      </c>
      <c r="I12" s="457"/>
      <c r="J12" s="364">
        <f>Garden!J19</f>
        <v>0</v>
      </c>
      <c r="K12" s="366">
        <f>Paper!J19</f>
        <v>0</v>
      </c>
      <c r="L12" s="365">
        <f>Wood!J19</f>
        <v>0</v>
      </c>
      <c r="M12" s="377">
        <f>J12*(1-Recovery_OX!E12)*(1-Recovery_OX!F12)</f>
        <v>0</v>
      </c>
      <c r="N12" s="366">
        <f>K12*(1-Recovery_OX!E12)*(1-Recovery_OX!F12)</f>
        <v>0</v>
      </c>
      <c r="O12" s="365">
        <f>L12*(1-Recovery_OX!E12)*(1-Recovery_OX!F12)</f>
        <v>0</v>
      </c>
    </row>
    <row r="13" spans="2:15">
      <c r="B13" s="359">
        <f>B12+1</f>
        <v>1951</v>
      </c>
      <c r="C13" s="362">
        <f>Stored_C!E17</f>
        <v>0</v>
      </c>
      <c r="D13" s="319">
        <f>Stored_C!F17+Stored_C!L17</f>
        <v>31.755455999999999</v>
      </c>
      <c r="E13" s="320">
        <f>Stored_C!G17+Stored_C!M17</f>
        <v>3.5141147999999998</v>
      </c>
      <c r="F13" s="356">
        <f>F12+HWP!C13</f>
        <v>0</v>
      </c>
      <c r="G13" s="319">
        <f>G12+HWP!D13</f>
        <v>63.510911999999998</v>
      </c>
      <c r="H13" s="320">
        <f>H12+HWP!E13</f>
        <v>7.0282295999999995</v>
      </c>
      <c r="I13" s="457"/>
      <c r="J13" s="367">
        <f>Garden!J20</f>
        <v>0</v>
      </c>
      <c r="K13" s="369">
        <f>Paper!J20</f>
        <v>1.8221029727277767</v>
      </c>
      <c r="L13" s="368">
        <f>Wood!J20</f>
        <v>4.0327426087578E-2</v>
      </c>
      <c r="M13" s="378">
        <f>J13*(1-Recovery_OX!E13)*(1-Recovery_OX!F13)</f>
        <v>0</v>
      </c>
      <c r="N13" s="369">
        <f>K13*(1-Recovery_OX!E13)*(1-Recovery_OX!F13)</f>
        <v>1.8221029727277767</v>
      </c>
      <c r="O13" s="368">
        <f>L13*(1-Recovery_OX!E13)*(1-Recovery_OX!F13)</f>
        <v>4.0327426087578E-2</v>
      </c>
    </row>
    <row r="14" spans="2:15">
      <c r="B14" s="359">
        <f t="shared" ref="B14:B77" si="0">B13+1</f>
        <v>1952</v>
      </c>
      <c r="C14" s="362">
        <f>Stored_C!E18</f>
        <v>0</v>
      </c>
      <c r="D14" s="319">
        <f>Stored_C!F18+Stored_C!L18</f>
        <v>31.755455999999999</v>
      </c>
      <c r="E14" s="320">
        <f>Stored_C!G18+Stored_C!M18</f>
        <v>3.5141147999999998</v>
      </c>
      <c r="F14" s="356">
        <f>F13+HWP!C14</f>
        <v>0</v>
      </c>
      <c r="G14" s="319">
        <f>G13+HWP!D14</f>
        <v>95.266368</v>
      </c>
      <c r="H14" s="320">
        <f>H13+HWP!E14</f>
        <v>10.542344399999999</v>
      </c>
      <c r="I14" s="457"/>
      <c r="J14" s="367">
        <f>Garden!J21</f>
        <v>0</v>
      </c>
      <c r="K14" s="369">
        <f>Paper!J21</f>
        <v>3.4873797022791018</v>
      </c>
      <c r="L14" s="368">
        <f>Wood!J21</f>
        <v>7.7183918410735991E-2</v>
      </c>
      <c r="M14" s="378">
        <f>J14*(1-Recovery_OX!E14)*(1-Recovery_OX!F14)</f>
        <v>0</v>
      </c>
      <c r="N14" s="369">
        <f>K14*(1-Recovery_OX!E14)*(1-Recovery_OX!F14)</f>
        <v>3.4873797022791018</v>
      </c>
      <c r="O14" s="368">
        <f>L14*(1-Recovery_OX!E14)*(1-Recovery_OX!F14)</f>
        <v>7.7183918410735991E-2</v>
      </c>
    </row>
    <row r="15" spans="2:15">
      <c r="B15" s="359">
        <f t="shared" si="0"/>
        <v>1953</v>
      </c>
      <c r="C15" s="362">
        <f>Stored_C!E19</f>
        <v>0</v>
      </c>
      <c r="D15" s="319">
        <f>Stored_C!F19+Stored_C!L19</f>
        <v>31.755455999999999</v>
      </c>
      <c r="E15" s="320">
        <f>Stored_C!G19+Stored_C!M19</f>
        <v>3.5141147999999998</v>
      </c>
      <c r="F15" s="356">
        <f>F14+HWP!C15</f>
        <v>0</v>
      </c>
      <c r="G15" s="319">
        <f>G14+HWP!D15</f>
        <v>127.021824</v>
      </c>
      <c r="H15" s="320">
        <f>H14+HWP!E15</f>
        <v>14.056459199999999</v>
      </c>
      <c r="I15" s="457"/>
      <c r="J15" s="367">
        <f>Garden!J22</f>
        <v>0</v>
      </c>
      <c r="K15" s="369">
        <f>Paper!J22</f>
        <v>5.0093280375225389</v>
      </c>
      <c r="L15" s="368">
        <f>Wood!J22</f>
        <v>0.11086821612457973</v>
      </c>
      <c r="M15" s="378">
        <f>J15*(1-Recovery_OX!E15)*(1-Recovery_OX!F15)</f>
        <v>0</v>
      </c>
      <c r="N15" s="369">
        <f>K15*(1-Recovery_OX!E15)*(1-Recovery_OX!F15)</f>
        <v>5.0093280375225389</v>
      </c>
      <c r="O15" s="368">
        <f>L15*(1-Recovery_OX!E15)*(1-Recovery_OX!F15)</f>
        <v>0.11086821612457973</v>
      </c>
    </row>
    <row r="16" spans="2:15">
      <c r="B16" s="359">
        <f t="shared" si="0"/>
        <v>1954</v>
      </c>
      <c r="C16" s="362">
        <f>Stored_C!E20</f>
        <v>0</v>
      </c>
      <c r="D16" s="319">
        <f>Stored_C!F20+Stored_C!L20</f>
        <v>31.755455999999999</v>
      </c>
      <c r="E16" s="320">
        <f>Stored_C!G20+Stored_C!M20</f>
        <v>3.5141147999999998</v>
      </c>
      <c r="F16" s="356">
        <f>F15+HWP!C16</f>
        <v>0</v>
      </c>
      <c r="G16" s="319">
        <f>G15+HWP!D16</f>
        <v>158.77727999999999</v>
      </c>
      <c r="H16" s="320">
        <f>H15+HWP!E16</f>
        <v>17.570574000000001</v>
      </c>
      <c r="I16" s="457"/>
      <c r="J16" s="367">
        <f>Garden!J23</f>
        <v>0</v>
      </c>
      <c r="K16" s="369">
        <f>Paper!J23</f>
        <v>6.4002840834731458</v>
      </c>
      <c r="L16" s="368">
        <f>Wood!J23</f>
        <v>0.14165334625922185</v>
      </c>
      <c r="M16" s="378">
        <f>J16*(1-Recovery_OX!E16)*(1-Recovery_OX!F16)</f>
        <v>0</v>
      </c>
      <c r="N16" s="369">
        <f>K16*(1-Recovery_OX!E16)*(1-Recovery_OX!F16)</f>
        <v>6.4002840834731458</v>
      </c>
      <c r="O16" s="368">
        <f>L16*(1-Recovery_OX!E16)*(1-Recovery_OX!F16)</f>
        <v>0.14165334625922185</v>
      </c>
    </row>
    <row r="17" spans="2:15">
      <c r="B17" s="359">
        <f t="shared" si="0"/>
        <v>1955</v>
      </c>
      <c r="C17" s="362">
        <f>Stored_C!E21</f>
        <v>0</v>
      </c>
      <c r="D17" s="319">
        <f>Stored_C!F21+Stored_C!L21</f>
        <v>31.755455999999999</v>
      </c>
      <c r="E17" s="320">
        <f>Stored_C!G21+Stored_C!M21</f>
        <v>3.5141147999999998</v>
      </c>
      <c r="F17" s="356">
        <f>F16+HWP!C17</f>
        <v>0</v>
      </c>
      <c r="G17" s="319">
        <f>G16+HWP!D17</f>
        <v>190.532736</v>
      </c>
      <c r="H17" s="320">
        <f>H16+HWP!E17</f>
        <v>21.084688800000002</v>
      </c>
      <c r="I17" s="457"/>
      <c r="J17" s="367">
        <f>Garden!J24</f>
        <v>0</v>
      </c>
      <c r="K17" s="369">
        <f>Paper!J24</f>
        <v>7.6715221912089646</v>
      </c>
      <c r="L17" s="368">
        <f>Wood!J24</f>
        <v>0.16978883673190431</v>
      </c>
      <c r="M17" s="378">
        <f>J17*(1-Recovery_OX!E17)*(1-Recovery_OX!F17)</f>
        <v>0</v>
      </c>
      <c r="N17" s="369">
        <f>K17*(1-Recovery_OX!E17)*(1-Recovery_OX!F17)</f>
        <v>7.6715221912089646</v>
      </c>
      <c r="O17" s="368">
        <f>L17*(1-Recovery_OX!E17)*(1-Recovery_OX!F17)</f>
        <v>0.16978883673190431</v>
      </c>
    </row>
    <row r="18" spans="2:15">
      <c r="B18" s="359">
        <f t="shared" si="0"/>
        <v>1956</v>
      </c>
      <c r="C18" s="362">
        <f>Stored_C!E22</f>
        <v>0</v>
      </c>
      <c r="D18" s="319">
        <f>Stored_C!F22+Stored_C!L22</f>
        <v>31.755455999999999</v>
      </c>
      <c r="E18" s="320">
        <f>Stored_C!G22+Stored_C!M22</f>
        <v>3.5141147999999998</v>
      </c>
      <c r="F18" s="356">
        <f>F17+HWP!C18</f>
        <v>0</v>
      </c>
      <c r="G18" s="319">
        <f>G17+HWP!D18</f>
        <v>222.28819200000001</v>
      </c>
      <c r="H18" s="320">
        <f>H17+HWP!E18</f>
        <v>24.598803600000004</v>
      </c>
      <c r="I18" s="457"/>
      <c r="J18" s="367">
        <f>Garden!J25</f>
        <v>0</v>
      </c>
      <c r="K18" s="369">
        <f>Paper!J25</f>
        <v>8.8333463417739164</v>
      </c>
      <c r="L18" s="368">
        <f>Wood!J25</f>
        <v>0.19550273888779035</v>
      </c>
      <c r="M18" s="378">
        <f>J18*(1-Recovery_OX!E18)*(1-Recovery_OX!F18)</f>
        <v>0</v>
      </c>
      <c r="N18" s="369">
        <f>K18*(1-Recovery_OX!E18)*(1-Recovery_OX!F18)</f>
        <v>8.8333463417739164</v>
      </c>
      <c r="O18" s="368">
        <f>L18*(1-Recovery_OX!E18)*(1-Recovery_OX!F18)</f>
        <v>0.19550273888779035</v>
      </c>
    </row>
    <row r="19" spans="2:15">
      <c r="B19" s="359">
        <f t="shared" si="0"/>
        <v>1957</v>
      </c>
      <c r="C19" s="362">
        <f>Stored_C!E23</f>
        <v>0</v>
      </c>
      <c r="D19" s="319">
        <f>Stored_C!F23+Stored_C!L23</f>
        <v>31.755455999999999</v>
      </c>
      <c r="E19" s="320">
        <f>Stored_C!G23+Stored_C!M23</f>
        <v>3.5141147999999998</v>
      </c>
      <c r="F19" s="356">
        <f>F18+HWP!C19</f>
        <v>0</v>
      </c>
      <c r="G19" s="319">
        <f>G18+HWP!D19</f>
        <v>254.04364800000002</v>
      </c>
      <c r="H19" s="320">
        <f>H18+HWP!E19</f>
        <v>28.112918400000005</v>
      </c>
      <c r="I19" s="457"/>
      <c r="J19" s="367">
        <f>Garden!J26</f>
        <v>0</v>
      </c>
      <c r="K19" s="369">
        <f>Paper!J26</f>
        <v>9.895173664776479</v>
      </c>
      <c r="L19" s="368">
        <f>Wood!J26</f>
        <v>0.21900347596306768</v>
      </c>
      <c r="M19" s="378">
        <f>J19*(1-Recovery_OX!E19)*(1-Recovery_OX!F19)</f>
        <v>0</v>
      </c>
      <c r="N19" s="369">
        <f>K19*(1-Recovery_OX!E19)*(1-Recovery_OX!F19)</f>
        <v>9.895173664776479</v>
      </c>
      <c r="O19" s="368">
        <f>L19*(1-Recovery_OX!E19)*(1-Recovery_OX!F19)</f>
        <v>0.21900347596306768</v>
      </c>
    </row>
    <row r="20" spans="2:15">
      <c r="B20" s="359">
        <f t="shared" si="0"/>
        <v>1958</v>
      </c>
      <c r="C20" s="362">
        <f>Stored_C!E24</f>
        <v>0</v>
      </c>
      <c r="D20" s="319">
        <f>Stored_C!F24+Stored_C!L24</f>
        <v>31.755455999999999</v>
      </c>
      <c r="E20" s="320">
        <f>Stored_C!G24+Stored_C!M24</f>
        <v>3.5141147999999998</v>
      </c>
      <c r="F20" s="356">
        <f>F19+HWP!C20</f>
        <v>0</v>
      </c>
      <c r="G20" s="319">
        <f>G19+HWP!D20</f>
        <v>285.799104</v>
      </c>
      <c r="H20" s="320">
        <f>H19+HWP!E20</f>
        <v>31.627033200000007</v>
      </c>
      <c r="I20" s="457"/>
      <c r="J20" s="367">
        <f>Garden!J27</f>
        <v>0</v>
      </c>
      <c r="K20" s="369">
        <f>Paper!J27</f>
        <v>10.865610768641588</v>
      </c>
      <c r="L20" s="368">
        <f>Wood!J27</f>
        <v>0.24048153245302334</v>
      </c>
      <c r="M20" s="378">
        <f>J20*(1-Recovery_OX!E20)*(1-Recovery_OX!F20)</f>
        <v>0</v>
      </c>
      <c r="N20" s="369">
        <f>K20*(1-Recovery_OX!E20)*(1-Recovery_OX!F20)</f>
        <v>10.865610768641588</v>
      </c>
      <c r="O20" s="368">
        <f>L20*(1-Recovery_OX!E20)*(1-Recovery_OX!F20)</f>
        <v>0.24048153245302334</v>
      </c>
    </row>
    <row r="21" spans="2:15">
      <c r="B21" s="359">
        <f t="shared" si="0"/>
        <v>1959</v>
      </c>
      <c r="C21" s="362">
        <f>Stored_C!E25</f>
        <v>0</v>
      </c>
      <c r="D21" s="319">
        <f>Stored_C!F25+Stored_C!L25</f>
        <v>31.755455999999999</v>
      </c>
      <c r="E21" s="320">
        <f>Stored_C!G25+Stored_C!M25</f>
        <v>3.5141147999999998</v>
      </c>
      <c r="F21" s="356">
        <f>F20+HWP!C21</f>
        <v>0</v>
      </c>
      <c r="G21" s="319">
        <f>G20+HWP!D21</f>
        <v>317.55455999999998</v>
      </c>
      <c r="H21" s="320">
        <f>H20+HWP!E21</f>
        <v>35.141148000000008</v>
      </c>
      <c r="I21" s="457"/>
      <c r="J21" s="367">
        <f>Garden!J28</f>
        <v>0</v>
      </c>
      <c r="K21" s="369">
        <f>Paper!J28</f>
        <v>11.752523501208204</v>
      </c>
      <c r="L21" s="368">
        <f>Wood!J28</f>
        <v>0.26011099807821098</v>
      </c>
      <c r="M21" s="378">
        <f>J21*(1-Recovery_OX!E21)*(1-Recovery_OX!F21)</f>
        <v>0</v>
      </c>
      <c r="N21" s="369">
        <f>K21*(1-Recovery_OX!E21)*(1-Recovery_OX!F21)</f>
        <v>11.752523501208204</v>
      </c>
      <c r="O21" s="368">
        <f>L21*(1-Recovery_OX!E21)*(1-Recovery_OX!F21)</f>
        <v>0.26011099807821098</v>
      </c>
    </row>
    <row r="22" spans="2:15">
      <c r="B22" s="359">
        <f t="shared" si="0"/>
        <v>1960</v>
      </c>
      <c r="C22" s="362">
        <f>Stored_C!E26</f>
        <v>0</v>
      </c>
      <c r="D22" s="319">
        <f>Stored_C!F26+Stored_C!L26</f>
        <v>31.755455999999999</v>
      </c>
      <c r="E22" s="320">
        <f>Stored_C!G26+Stored_C!M26</f>
        <v>3.5141147999999998</v>
      </c>
      <c r="F22" s="356">
        <f>F21+HWP!C22</f>
        <v>0</v>
      </c>
      <c r="G22" s="319">
        <f>G21+HWP!D22</f>
        <v>349.31001599999996</v>
      </c>
      <c r="H22" s="320">
        <f>H21+HWP!E22</f>
        <v>38.65526280000001</v>
      </c>
      <c r="I22" s="457"/>
      <c r="J22" s="367">
        <f>Garden!J29</f>
        <v>0</v>
      </c>
      <c r="K22" s="369">
        <f>Paper!J29</f>
        <v>12.563100706114955</v>
      </c>
      <c r="L22" s="368">
        <f>Wood!J29</f>
        <v>0.27805097886327945</v>
      </c>
      <c r="M22" s="378">
        <f>J22*(1-Recovery_OX!E22)*(1-Recovery_OX!F22)</f>
        <v>0</v>
      </c>
      <c r="N22" s="369">
        <f>K22*(1-Recovery_OX!E22)*(1-Recovery_OX!F22)</f>
        <v>12.563100706114955</v>
      </c>
      <c r="O22" s="368">
        <f>L22*(1-Recovery_OX!E22)*(1-Recovery_OX!F22)</f>
        <v>0.27805097886327945</v>
      </c>
    </row>
    <row r="23" spans="2:15">
      <c r="B23" s="359">
        <f t="shared" si="0"/>
        <v>1961</v>
      </c>
      <c r="C23" s="362">
        <f>Stored_C!E27</f>
        <v>0</v>
      </c>
      <c r="D23" s="319">
        <f>Stored_C!F27+Stored_C!L27</f>
        <v>31.755455999999999</v>
      </c>
      <c r="E23" s="320">
        <f>Stored_C!G27+Stored_C!M27</f>
        <v>3.5141147999999998</v>
      </c>
      <c r="F23" s="356">
        <f>F22+HWP!C23</f>
        <v>0</v>
      </c>
      <c r="G23" s="319">
        <f>G22+HWP!D23</f>
        <v>381.06547199999994</v>
      </c>
      <c r="H23" s="320">
        <f>H22+HWP!E23</f>
        <v>42.169377600000011</v>
      </c>
      <c r="I23" s="457"/>
      <c r="J23" s="367">
        <f>Garden!J30</f>
        <v>0</v>
      </c>
      <c r="K23" s="369">
        <f>Paper!J30</f>
        <v>13.303912491749223</v>
      </c>
      <c r="L23" s="368">
        <f>Wood!J30</f>
        <v>0.29444688676592023</v>
      </c>
      <c r="M23" s="378">
        <f>J23*(1-Recovery_OX!E23)*(1-Recovery_OX!F23)</f>
        <v>0</v>
      </c>
      <c r="N23" s="369">
        <f>K23*(1-Recovery_OX!E23)*(1-Recovery_OX!F23)</f>
        <v>13.303912491749223</v>
      </c>
      <c r="O23" s="368">
        <f>L23*(1-Recovery_OX!E23)*(1-Recovery_OX!F23)</f>
        <v>0.29444688676592023</v>
      </c>
    </row>
    <row r="24" spans="2:15">
      <c r="B24" s="359">
        <f t="shared" si="0"/>
        <v>1962</v>
      </c>
      <c r="C24" s="362">
        <f>Stored_C!E28</f>
        <v>0</v>
      </c>
      <c r="D24" s="319">
        <f>Stored_C!F28+Stored_C!L28</f>
        <v>31.755455999999999</v>
      </c>
      <c r="E24" s="320">
        <f>Stored_C!G28+Stored_C!M28</f>
        <v>3.5141147999999998</v>
      </c>
      <c r="F24" s="356">
        <f>F23+HWP!C24</f>
        <v>0</v>
      </c>
      <c r="G24" s="319">
        <f>G23+HWP!D24</f>
        <v>412.82092799999992</v>
      </c>
      <c r="H24" s="320">
        <f>H23+HWP!E24</f>
        <v>45.683492400000013</v>
      </c>
      <c r="I24" s="457"/>
      <c r="J24" s="367">
        <f>Garden!J31</f>
        <v>0</v>
      </c>
      <c r="K24" s="369">
        <f>Paper!J31</f>
        <v>13.980963485056844</v>
      </c>
      <c r="L24" s="368">
        <f>Wood!J31</f>
        <v>0.30943161830897858</v>
      </c>
      <c r="M24" s="378">
        <f>J24*(1-Recovery_OX!E24)*(1-Recovery_OX!F24)</f>
        <v>0</v>
      </c>
      <c r="N24" s="369">
        <f>K24*(1-Recovery_OX!E24)*(1-Recovery_OX!F24)</f>
        <v>13.980963485056844</v>
      </c>
      <c r="O24" s="368">
        <f>L24*(1-Recovery_OX!E24)*(1-Recovery_OX!F24)</f>
        <v>0.30943161830897858</v>
      </c>
    </row>
    <row r="25" spans="2:15">
      <c r="B25" s="359">
        <f t="shared" si="0"/>
        <v>1963</v>
      </c>
      <c r="C25" s="362">
        <f>Stored_C!E29</f>
        <v>0</v>
      </c>
      <c r="D25" s="319">
        <f>Stored_C!F29+Stored_C!L29</f>
        <v>31.755455999999999</v>
      </c>
      <c r="E25" s="320">
        <f>Stored_C!G29+Stored_C!M29</f>
        <v>3.5141147999999998</v>
      </c>
      <c r="F25" s="356">
        <f>F24+HWP!C25</f>
        <v>0</v>
      </c>
      <c r="G25" s="319">
        <f>G24+HWP!D25</f>
        <v>444.5763839999999</v>
      </c>
      <c r="H25" s="320">
        <f>H24+HWP!E25</f>
        <v>49.197607200000014</v>
      </c>
      <c r="I25" s="457"/>
      <c r="J25" s="367">
        <f>Garden!J32</f>
        <v>0</v>
      </c>
      <c r="K25" s="369">
        <f>Paper!J32</f>
        <v>14.59974150185954</v>
      </c>
      <c r="L25" s="368">
        <f>Wood!J32</f>
        <v>0.32312663176909706</v>
      </c>
      <c r="M25" s="378">
        <f>J25*(1-Recovery_OX!E25)*(1-Recovery_OX!F25)</f>
        <v>0</v>
      </c>
      <c r="N25" s="369">
        <f>K25*(1-Recovery_OX!E25)*(1-Recovery_OX!F25)</f>
        <v>14.59974150185954</v>
      </c>
      <c r="O25" s="368">
        <f>L25*(1-Recovery_OX!E25)*(1-Recovery_OX!F25)</f>
        <v>0.32312663176909706</v>
      </c>
    </row>
    <row r="26" spans="2:15">
      <c r="B26" s="359">
        <f t="shared" si="0"/>
        <v>1964</v>
      </c>
      <c r="C26" s="362">
        <f>Stored_C!E30</f>
        <v>0</v>
      </c>
      <c r="D26" s="319">
        <f>Stored_C!F30+Stored_C!L30</f>
        <v>31.755455999999999</v>
      </c>
      <c r="E26" s="320">
        <f>Stored_C!G30+Stored_C!M30</f>
        <v>3.5141147999999998</v>
      </c>
      <c r="F26" s="356">
        <f>F25+HWP!C26</f>
        <v>0</v>
      </c>
      <c r="G26" s="319">
        <f>G25+HWP!D26</f>
        <v>476.33183999999989</v>
      </c>
      <c r="H26" s="320">
        <f>H25+HWP!E26</f>
        <v>52.711722000000016</v>
      </c>
      <c r="I26" s="457"/>
      <c r="J26" s="367">
        <f>Garden!J33</f>
        <v>0</v>
      </c>
      <c r="K26" s="369">
        <f>Paper!J33</f>
        <v>15.165262028175807</v>
      </c>
      <c r="L26" s="368">
        <f>Wood!J33</f>
        <v>0.33564293165300857</v>
      </c>
      <c r="M26" s="378">
        <f>J26*(1-Recovery_OX!E26)*(1-Recovery_OX!F26)</f>
        <v>0</v>
      </c>
      <c r="N26" s="369">
        <f>K26*(1-Recovery_OX!E26)*(1-Recovery_OX!F26)</f>
        <v>15.165262028175807</v>
      </c>
      <c r="O26" s="368">
        <f>L26*(1-Recovery_OX!E26)*(1-Recovery_OX!F26)</f>
        <v>0.33564293165300857</v>
      </c>
    </row>
    <row r="27" spans="2:15">
      <c r="B27" s="359">
        <f t="shared" si="0"/>
        <v>1965</v>
      </c>
      <c r="C27" s="362">
        <f>Stored_C!E31</f>
        <v>0</v>
      </c>
      <c r="D27" s="319">
        <f>Stored_C!F31+Stored_C!L31</f>
        <v>31.755455999999999</v>
      </c>
      <c r="E27" s="320">
        <f>Stored_C!G31+Stored_C!M31</f>
        <v>3.5141147999999998</v>
      </c>
      <c r="F27" s="356">
        <f>F26+HWP!C27</f>
        <v>0</v>
      </c>
      <c r="G27" s="319">
        <f>G26+HWP!D27</f>
        <v>508.08729599999987</v>
      </c>
      <c r="H27" s="320">
        <f>H26+HWP!E27</f>
        <v>56.225836800000017</v>
      </c>
      <c r="I27" s="457"/>
      <c r="J27" s="367">
        <f>Garden!J34</f>
        <v>0</v>
      </c>
      <c r="K27" s="369">
        <f>Paper!J34</f>
        <v>15.682108873087241</v>
      </c>
      <c r="L27" s="368">
        <f>Wood!J34</f>
        <v>0.34708196844112199</v>
      </c>
      <c r="M27" s="378">
        <f>J27*(1-Recovery_OX!E27)*(1-Recovery_OX!F27)</f>
        <v>0</v>
      </c>
      <c r="N27" s="369">
        <f>K27*(1-Recovery_OX!E27)*(1-Recovery_OX!F27)</f>
        <v>15.682108873087241</v>
      </c>
      <c r="O27" s="368">
        <f>L27*(1-Recovery_OX!E27)*(1-Recovery_OX!F27)</f>
        <v>0.34708196844112199</v>
      </c>
    </row>
    <row r="28" spans="2:15">
      <c r="B28" s="359">
        <f t="shared" si="0"/>
        <v>1966</v>
      </c>
      <c r="C28" s="362">
        <f>Stored_C!E32</f>
        <v>0</v>
      </c>
      <c r="D28" s="319">
        <f>Stored_C!F32+Stored_C!L32</f>
        <v>31.755455999999999</v>
      </c>
      <c r="E28" s="320">
        <f>Stored_C!G32+Stored_C!M32</f>
        <v>3.5141147999999998</v>
      </c>
      <c r="F28" s="356">
        <f>F27+HWP!C28</f>
        <v>0</v>
      </c>
      <c r="G28" s="319">
        <f>G27+HWP!D28</f>
        <v>539.8427519999999</v>
      </c>
      <c r="H28" s="320">
        <f>H27+HWP!E28</f>
        <v>59.739951600000019</v>
      </c>
      <c r="I28" s="457"/>
      <c r="J28" s="367">
        <f>Garden!J35</f>
        <v>0</v>
      </c>
      <c r="K28" s="369">
        <f>Paper!J35</f>
        <v>16.154471322660847</v>
      </c>
      <c r="L28" s="368">
        <f>Wood!J35</f>
        <v>0.35753646089124358</v>
      </c>
      <c r="M28" s="378">
        <f>J28*(1-Recovery_OX!E28)*(1-Recovery_OX!F28)</f>
        <v>0</v>
      </c>
      <c r="N28" s="369">
        <f>K28*(1-Recovery_OX!E28)*(1-Recovery_OX!F28)</f>
        <v>16.154471322660847</v>
      </c>
      <c r="O28" s="368">
        <f>L28*(1-Recovery_OX!E28)*(1-Recovery_OX!F28)</f>
        <v>0.35753646089124358</v>
      </c>
    </row>
    <row r="29" spans="2:15">
      <c r="B29" s="359">
        <f t="shared" si="0"/>
        <v>1967</v>
      </c>
      <c r="C29" s="362">
        <f>Stored_C!E33</f>
        <v>0</v>
      </c>
      <c r="D29" s="319">
        <f>Stored_C!F33+Stored_C!L33</f>
        <v>31.755455999999999</v>
      </c>
      <c r="E29" s="320">
        <f>Stored_C!G33+Stored_C!M33</f>
        <v>3.5141147999999998</v>
      </c>
      <c r="F29" s="356">
        <f>F28+HWP!C29</f>
        <v>0</v>
      </c>
      <c r="G29" s="319">
        <f>G28+HWP!D29</f>
        <v>571.59820799999989</v>
      </c>
      <c r="H29" s="320">
        <f>H28+HWP!E29</f>
        <v>63.254066400000021</v>
      </c>
      <c r="I29" s="457"/>
      <c r="J29" s="367">
        <f>Garden!J36</f>
        <v>0</v>
      </c>
      <c r="K29" s="369">
        <f>Paper!J36</f>
        <v>16.586178096077269</v>
      </c>
      <c r="L29" s="368">
        <f>Wood!J36</f>
        <v>0.36709114756759231</v>
      </c>
      <c r="M29" s="378">
        <f>J29*(1-Recovery_OX!E29)*(1-Recovery_OX!F29)</f>
        <v>0</v>
      </c>
      <c r="N29" s="369">
        <f>K29*(1-Recovery_OX!E29)*(1-Recovery_OX!F29)</f>
        <v>16.586178096077269</v>
      </c>
      <c r="O29" s="368">
        <f>L29*(1-Recovery_OX!E29)*(1-Recovery_OX!F29)</f>
        <v>0.36709114756759231</v>
      </c>
    </row>
    <row r="30" spans="2:15">
      <c r="B30" s="359">
        <f t="shared" si="0"/>
        <v>1968</v>
      </c>
      <c r="C30" s="362">
        <f>Stored_C!E34</f>
        <v>0</v>
      </c>
      <c r="D30" s="319">
        <f>Stored_C!F34+Stored_C!L34</f>
        <v>31.755455999999999</v>
      </c>
      <c r="E30" s="320">
        <f>Stored_C!G34+Stored_C!M34</f>
        <v>3.5141147999999998</v>
      </c>
      <c r="F30" s="356">
        <f>F29+HWP!C30</f>
        <v>0</v>
      </c>
      <c r="G30" s="319">
        <f>G29+HWP!D30</f>
        <v>603.35366399999987</v>
      </c>
      <c r="H30" s="320">
        <f>H29+HWP!E30</f>
        <v>66.768181200000015</v>
      </c>
      <c r="I30" s="457"/>
      <c r="J30" s="367">
        <f>Garden!J37</f>
        <v>0</v>
      </c>
      <c r="K30" s="369">
        <f>Paper!J37</f>
        <v>16.980728379195355</v>
      </c>
      <c r="L30" s="368">
        <f>Wood!J37</f>
        <v>0.37582347368660307</v>
      </c>
      <c r="M30" s="378">
        <f>J30*(1-Recovery_OX!E30)*(1-Recovery_OX!F30)</f>
        <v>0</v>
      </c>
      <c r="N30" s="369">
        <f>K30*(1-Recovery_OX!E30)*(1-Recovery_OX!F30)</f>
        <v>16.980728379195355</v>
      </c>
      <c r="O30" s="368">
        <f>L30*(1-Recovery_OX!E30)*(1-Recovery_OX!F30)</f>
        <v>0.37582347368660307</v>
      </c>
    </row>
    <row r="31" spans="2:15">
      <c r="B31" s="359">
        <f t="shared" si="0"/>
        <v>1969</v>
      </c>
      <c r="C31" s="362">
        <f>Stored_C!E35</f>
        <v>0</v>
      </c>
      <c r="D31" s="319">
        <f>Stored_C!F35+Stored_C!L35</f>
        <v>31.755455999999999</v>
      </c>
      <c r="E31" s="320">
        <f>Stored_C!G35+Stored_C!M35</f>
        <v>3.5141147999999998</v>
      </c>
      <c r="F31" s="356">
        <f>F30+HWP!C31</f>
        <v>0</v>
      </c>
      <c r="G31" s="319">
        <f>G30+HWP!D31</f>
        <v>635.10911999999985</v>
      </c>
      <c r="H31" s="320">
        <f>H30+HWP!E31</f>
        <v>70.282296000000017</v>
      </c>
      <c r="I31" s="457"/>
      <c r="J31" s="367">
        <f>Garden!J38</f>
        <v>0</v>
      </c>
      <c r="K31" s="369">
        <f>Paper!J38</f>
        <v>17.341320187094567</v>
      </c>
      <c r="L31" s="368">
        <f>Wood!J38</f>
        <v>0.38380421884672528</v>
      </c>
      <c r="M31" s="378">
        <f>J31*(1-Recovery_OX!E31)*(1-Recovery_OX!F31)</f>
        <v>0</v>
      </c>
      <c r="N31" s="369">
        <f>K31*(1-Recovery_OX!E31)*(1-Recovery_OX!F31)</f>
        <v>17.341320187094567</v>
      </c>
      <c r="O31" s="368">
        <f>L31*(1-Recovery_OX!E31)*(1-Recovery_OX!F31)</f>
        <v>0.38380421884672528</v>
      </c>
    </row>
    <row r="32" spans="2:15">
      <c r="B32" s="359">
        <f t="shared" si="0"/>
        <v>1970</v>
      </c>
      <c r="C32" s="362">
        <f>Stored_C!E36</f>
        <v>0</v>
      </c>
      <c r="D32" s="319">
        <f>Stored_C!F36+Stored_C!L36</f>
        <v>31.755455999999999</v>
      </c>
      <c r="E32" s="320">
        <f>Stored_C!G36+Stored_C!M36</f>
        <v>3.5141147999999998</v>
      </c>
      <c r="F32" s="356">
        <f>F31+HWP!C32</f>
        <v>0</v>
      </c>
      <c r="G32" s="319">
        <f>G31+HWP!D32</f>
        <v>666.86457599999983</v>
      </c>
      <c r="H32" s="320">
        <f>H31+HWP!E32</f>
        <v>73.796410800000018</v>
      </c>
      <c r="I32" s="457"/>
      <c r="J32" s="367">
        <f>Garden!J39</f>
        <v>0</v>
      </c>
      <c r="K32" s="369">
        <f>Paper!J39</f>
        <v>17.67087628548699</v>
      </c>
      <c r="L32" s="368">
        <f>Wood!J39</f>
        <v>0.39109807073026348</v>
      </c>
      <c r="M32" s="378">
        <f>J32*(1-Recovery_OX!E32)*(1-Recovery_OX!F32)</f>
        <v>0</v>
      </c>
      <c r="N32" s="369">
        <f>K32*(1-Recovery_OX!E32)*(1-Recovery_OX!F32)</f>
        <v>17.67087628548699</v>
      </c>
      <c r="O32" s="368">
        <f>L32*(1-Recovery_OX!E32)*(1-Recovery_OX!F32)</f>
        <v>0.39109807073026348</v>
      </c>
    </row>
    <row r="33" spans="2:15">
      <c r="B33" s="359">
        <f t="shared" si="0"/>
        <v>1971</v>
      </c>
      <c r="C33" s="362">
        <f>Stored_C!E37</f>
        <v>0</v>
      </c>
      <c r="D33" s="319">
        <f>Stored_C!F37+Stored_C!L37</f>
        <v>31.755455999999999</v>
      </c>
      <c r="E33" s="320">
        <f>Stored_C!G37+Stored_C!M37</f>
        <v>3.5141147999999998</v>
      </c>
      <c r="F33" s="356">
        <f>F32+HWP!C33</f>
        <v>0</v>
      </c>
      <c r="G33" s="319">
        <f>G32+HWP!D33</f>
        <v>698.62003199999981</v>
      </c>
      <c r="H33" s="320">
        <f>H32+HWP!E33</f>
        <v>77.31052560000002</v>
      </c>
      <c r="I33" s="457"/>
      <c r="J33" s="367">
        <f>Garden!J40</f>
        <v>0</v>
      </c>
      <c r="K33" s="369">
        <f>Paper!J40</f>
        <v>17.972067881104138</v>
      </c>
      <c r="L33" s="368">
        <f>Wood!J40</f>
        <v>0.39776414942737831</v>
      </c>
      <c r="M33" s="378">
        <f>J33*(1-Recovery_OX!E33)*(1-Recovery_OX!F33)</f>
        <v>0</v>
      </c>
      <c r="N33" s="369">
        <f>K33*(1-Recovery_OX!E33)*(1-Recovery_OX!F33)</f>
        <v>17.972067881104138</v>
      </c>
      <c r="O33" s="368">
        <f>L33*(1-Recovery_OX!E33)*(1-Recovery_OX!F33)</f>
        <v>0.39776414942737831</v>
      </c>
    </row>
    <row r="34" spans="2:15">
      <c r="B34" s="359">
        <f t="shared" si="0"/>
        <v>1972</v>
      </c>
      <c r="C34" s="362">
        <f>Stored_C!E38</f>
        <v>0</v>
      </c>
      <c r="D34" s="319">
        <f>Stored_C!F38+Stored_C!L38</f>
        <v>31.755455999999999</v>
      </c>
      <c r="E34" s="320">
        <f>Stored_C!G38+Stored_C!M38</f>
        <v>3.5141147999999998</v>
      </c>
      <c r="F34" s="356">
        <f>F33+HWP!C34</f>
        <v>0</v>
      </c>
      <c r="G34" s="319">
        <f>G33+HWP!D34</f>
        <v>730.37548799999979</v>
      </c>
      <c r="H34" s="320">
        <f>H33+HWP!E34</f>
        <v>80.824640400000021</v>
      </c>
      <c r="I34" s="457"/>
      <c r="J34" s="367">
        <f>Garden!J41</f>
        <v>0</v>
      </c>
      <c r="K34" s="369">
        <f>Paper!J41</f>
        <v>18.247336273080251</v>
      </c>
      <c r="L34" s="368">
        <f>Wood!J41</f>
        <v>0.4038564866321438</v>
      </c>
      <c r="M34" s="378">
        <f>J34*(1-Recovery_OX!E34)*(1-Recovery_OX!F34)</f>
        <v>0</v>
      </c>
      <c r="N34" s="369">
        <f>K34*(1-Recovery_OX!E34)*(1-Recovery_OX!F34)</f>
        <v>18.247336273080251</v>
      </c>
      <c r="O34" s="368">
        <f>L34*(1-Recovery_OX!E34)*(1-Recovery_OX!F34)</f>
        <v>0.4038564866321438</v>
      </c>
    </row>
    <row r="35" spans="2:15">
      <c r="B35" s="359">
        <f t="shared" si="0"/>
        <v>1973</v>
      </c>
      <c r="C35" s="362">
        <f>Stored_C!E39</f>
        <v>0</v>
      </c>
      <c r="D35" s="319">
        <f>Stored_C!F39+Stored_C!L39</f>
        <v>31.755455999999999</v>
      </c>
      <c r="E35" s="320">
        <f>Stored_C!G39+Stored_C!M39</f>
        <v>3.5141147999999998</v>
      </c>
      <c r="F35" s="356">
        <f>F34+HWP!C35</f>
        <v>0</v>
      </c>
      <c r="G35" s="319">
        <f>G34+HWP!D35</f>
        <v>762.13094399999977</v>
      </c>
      <c r="H35" s="320">
        <f>H34+HWP!E35</f>
        <v>84.338755200000023</v>
      </c>
      <c r="I35" s="457"/>
      <c r="J35" s="367">
        <f>Garden!J42</f>
        <v>0</v>
      </c>
      <c r="K35" s="369">
        <f>Paper!J42</f>
        <v>18.498912640826688</v>
      </c>
      <c r="L35" s="368">
        <f>Wood!J42</f>
        <v>0.40942446359476709</v>
      </c>
      <c r="M35" s="378">
        <f>J35*(1-Recovery_OX!E35)*(1-Recovery_OX!F35)</f>
        <v>0</v>
      </c>
      <c r="N35" s="369">
        <f>K35*(1-Recovery_OX!E35)*(1-Recovery_OX!F35)</f>
        <v>18.498912640826688</v>
      </c>
      <c r="O35" s="368">
        <f>L35*(1-Recovery_OX!E35)*(1-Recovery_OX!F35)</f>
        <v>0.40942446359476709</v>
      </c>
    </row>
    <row r="36" spans="2:15">
      <c r="B36" s="359">
        <f t="shared" si="0"/>
        <v>1974</v>
      </c>
      <c r="C36" s="362">
        <f>Stored_C!E40</f>
        <v>0</v>
      </c>
      <c r="D36" s="319">
        <f>Stored_C!F40+Stored_C!L40</f>
        <v>31.755455999999999</v>
      </c>
      <c r="E36" s="320">
        <f>Stored_C!G40+Stored_C!M40</f>
        <v>3.5141147999999998</v>
      </c>
      <c r="F36" s="356">
        <f>F35+HWP!C36</f>
        <v>0</v>
      </c>
      <c r="G36" s="319">
        <f>G35+HWP!D36</f>
        <v>793.88639999999975</v>
      </c>
      <c r="H36" s="320">
        <f>H35+HWP!E36</f>
        <v>87.852870000000024</v>
      </c>
      <c r="I36" s="457"/>
      <c r="J36" s="367">
        <f>Garden!J43</f>
        <v>0</v>
      </c>
      <c r="K36" s="369">
        <f>Paper!J43</f>
        <v>18.728836128787414</v>
      </c>
      <c r="L36" s="368">
        <f>Wood!J43</f>
        <v>0.41451321137978031</v>
      </c>
      <c r="M36" s="378">
        <f>J36*(1-Recovery_OX!E36)*(1-Recovery_OX!F36)</f>
        <v>0</v>
      </c>
      <c r="N36" s="369">
        <f>K36*(1-Recovery_OX!E36)*(1-Recovery_OX!F36)</f>
        <v>18.728836128787414</v>
      </c>
      <c r="O36" s="368">
        <f>L36*(1-Recovery_OX!E36)*(1-Recovery_OX!F36)</f>
        <v>0.41451321137978031</v>
      </c>
    </row>
    <row r="37" spans="2:15">
      <c r="B37" s="359">
        <f t="shared" si="0"/>
        <v>1975</v>
      </c>
      <c r="C37" s="362">
        <f>Stored_C!E41</f>
        <v>0</v>
      </c>
      <c r="D37" s="319">
        <f>Stored_C!F41+Stored_C!L41</f>
        <v>31.755455999999999</v>
      </c>
      <c r="E37" s="320">
        <f>Stored_C!G41+Stored_C!M41</f>
        <v>3.5141147999999998</v>
      </c>
      <c r="F37" s="356">
        <f>F36+HWP!C37</f>
        <v>0</v>
      </c>
      <c r="G37" s="319">
        <f>G36+HWP!D37</f>
        <v>825.64185599999973</v>
      </c>
      <c r="H37" s="320">
        <f>H36+HWP!E37</f>
        <v>91.366984800000026</v>
      </c>
      <c r="I37" s="457"/>
      <c r="J37" s="367">
        <f>Garden!J44</f>
        <v>0</v>
      </c>
      <c r="K37" s="369">
        <f>Paper!J44</f>
        <v>18.938970374661061</v>
      </c>
      <c r="L37" s="368">
        <f>Wood!J44</f>
        <v>0.4191639766744838</v>
      </c>
      <c r="M37" s="378">
        <f>J37*(1-Recovery_OX!E37)*(1-Recovery_OX!F37)</f>
        <v>0</v>
      </c>
      <c r="N37" s="369">
        <f>K37*(1-Recovery_OX!E37)*(1-Recovery_OX!F37)</f>
        <v>18.938970374661061</v>
      </c>
      <c r="O37" s="368">
        <f>L37*(1-Recovery_OX!E37)*(1-Recovery_OX!F37)</f>
        <v>0.4191639766744838</v>
      </c>
    </row>
    <row r="38" spans="2:15">
      <c r="B38" s="359">
        <f t="shared" si="0"/>
        <v>1976</v>
      </c>
      <c r="C38" s="362">
        <f>Stored_C!E42</f>
        <v>0</v>
      </c>
      <c r="D38" s="319">
        <f>Stored_C!F42+Stored_C!L42</f>
        <v>31.755455999999999</v>
      </c>
      <c r="E38" s="320">
        <f>Stored_C!G42+Stored_C!M42</f>
        <v>3.5141147999999998</v>
      </c>
      <c r="F38" s="356">
        <f>F37+HWP!C38</f>
        <v>0</v>
      </c>
      <c r="G38" s="319">
        <f>G37+HWP!D38</f>
        <v>857.39731199999972</v>
      </c>
      <c r="H38" s="320">
        <f>H37+HWP!E38</f>
        <v>94.881099600000027</v>
      </c>
      <c r="I38" s="457"/>
      <c r="J38" s="367">
        <f>Garden!J45</f>
        <v>0</v>
      </c>
      <c r="K38" s="369">
        <f>Paper!J45</f>
        <v>19.131018615058434</v>
      </c>
      <c r="L38" s="368">
        <f>Wood!J45</f>
        <v>0.42341445611269035</v>
      </c>
      <c r="M38" s="378">
        <f>J38*(1-Recovery_OX!E38)*(1-Recovery_OX!F38)</f>
        <v>0</v>
      </c>
      <c r="N38" s="369">
        <f>K38*(1-Recovery_OX!E38)*(1-Recovery_OX!F38)</f>
        <v>19.131018615058434</v>
      </c>
      <c r="O38" s="368">
        <f>L38*(1-Recovery_OX!E38)*(1-Recovery_OX!F38)</f>
        <v>0.42341445611269035</v>
      </c>
    </row>
    <row r="39" spans="2:15">
      <c r="B39" s="359">
        <f t="shared" si="0"/>
        <v>1977</v>
      </c>
      <c r="C39" s="362">
        <f>Stored_C!E43</f>
        <v>0</v>
      </c>
      <c r="D39" s="319">
        <f>Stored_C!F43+Stored_C!L43</f>
        <v>31.755455999999999</v>
      </c>
      <c r="E39" s="320">
        <f>Stored_C!G43+Stored_C!M43</f>
        <v>3.5141147999999998</v>
      </c>
      <c r="F39" s="356">
        <f>F38+HWP!C39</f>
        <v>0</v>
      </c>
      <c r="G39" s="319">
        <f>G38+HWP!D39</f>
        <v>889.1527679999997</v>
      </c>
      <c r="H39" s="320">
        <f>H38+HWP!E39</f>
        <v>98.395214400000029</v>
      </c>
      <c r="I39" s="457"/>
      <c r="J39" s="367">
        <f>Garden!J46</f>
        <v>0</v>
      </c>
      <c r="K39" s="369">
        <f>Paper!J46</f>
        <v>19.306537491034057</v>
      </c>
      <c r="L39" s="368">
        <f>Wood!J46</f>
        <v>0.42729910182362152</v>
      </c>
      <c r="M39" s="378">
        <f>J39*(1-Recovery_OX!E39)*(1-Recovery_OX!F39)</f>
        <v>0</v>
      </c>
      <c r="N39" s="369">
        <f>K39*(1-Recovery_OX!E39)*(1-Recovery_OX!F39)</f>
        <v>19.306537491034057</v>
      </c>
      <c r="O39" s="368">
        <f>L39*(1-Recovery_OX!E39)*(1-Recovery_OX!F39)</f>
        <v>0.42729910182362152</v>
      </c>
    </row>
    <row r="40" spans="2:15">
      <c r="B40" s="359">
        <f t="shared" si="0"/>
        <v>1978</v>
      </c>
      <c r="C40" s="362">
        <f>Stored_C!E44</f>
        <v>0</v>
      </c>
      <c r="D40" s="319">
        <f>Stored_C!F44+Stored_C!L44</f>
        <v>31.755455999999999</v>
      </c>
      <c r="E40" s="320">
        <f>Stored_C!G44+Stored_C!M44</f>
        <v>3.5141147999999998</v>
      </c>
      <c r="F40" s="356">
        <f>F39+HWP!C40</f>
        <v>0</v>
      </c>
      <c r="G40" s="319">
        <f>G39+HWP!D40</f>
        <v>920.90822399999968</v>
      </c>
      <c r="H40" s="320">
        <f>H39+HWP!E40</f>
        <v>101.90932920000003</v>
      </c>
      <c r="I40" s="457"/>
      <c r="J40" s="367">
        <f>Garden!J47</f>
        <v>0</v>
      </c>
      <c r="K40" s="369">
        <f>Paper!J47</f>
        <v>19.466949665391937</v>
      </c>
      <c r="L40" s="368">
        <f>Wood!J47</f>
        <v>0.4308494006825716</v>
      </c>
      <c r="M40" s="378">
        <f>J40*(1-Recovery_OX!E40)*(1-Recovery_OX!F40)</f>
        <v>0</v>
      </c>
      <c r="N40" s="369">
        <f>K40*(1-Recovery_OX!E40)*(1-Recovery_OX!F40)</f>
        <v>19.466949665391937</v>
      </c>
      <c r="O40" s="368">
        <f>L40*(1-Recovery_OX!E40)*(1-Recovery_OX!F40)</f>
        <v>0.4308494006825716</v>
      </c>
    </row>
    <row r="41" spans="2:15">
      <c r="B41" s="359">
        <f t="shared" si="0"/>
        <v>1979</v>
      </c>
      <c r="C41" s="362">
        <f>Stored_C!E45</f>
        <v>0</v>
      </c>
      <c r="D41" s="319">
        <f>Stored_C!F45+Stored_C!L45</f>
        <v>31.755455999999999</v>
      </c>
      <c r="E41" s="320">
        <f>Stored_C!G45+Stored_C!M45</f>
        <v>3.5141147999999998</v>
      </c>
      <c r="F41" s="356">
        <f>F40+HWP!C41</f>
        <v>0</v>
      </c>
      <c r="G41" s="319">
        <f>G40+HWP!D41</f>
        <v>952.66367999999966</v>
      </c>
      <c r="H41" s="320">
        <f>H40+HWP!E41</f>
        <v>105.42344400000003</v>
      </c>
      <c r="I41" s="457"/>
      <c r="J41" s="367">
        <f>Garden!J48</f>
        <v>0</v>
      </c>
      <c r="K41" s="369">
        <f>Paper!J48</f>
        <v>19.613555354034766</v>
      </c>
      <c r="L41" s="368">
        <f>Wood!J48</f>
        <v>0.43409412952679893</v>
      </c>
      <c r="M41" s="378">
        <f>J41*(1-Recovery_OX!E41)*(1-Recovery_OX!F41)</f>
        <v>0</v>
      </c>
      <c r="N41" s="369">
        <f>K41*(1-Recovery_OX!E41)*(1-Recovery_OX!F41)</f>
        <v>19.613555354034766</v>
      </c>
      <c r="O41" s="368">
        <f>L41*(1-Recovery_OX!E41)*(1-Recovery_OX!F41)</f>
        <v>0.43409412952679893</v>
      </c>
    </row>
    <row r="42" spans="2:15">
      <c r="B42" s="359">
        <f t="shared" si="0"/>
        <v>1980</v>
      </c>
      <c r="C42" s="362">
        <f>Stored_C!E46</f>
        <v>0</v>
      </c>
      <c r="D42" s="319">
        <f>Stored_C!F46+Stored_C!L46</f>
        <v>31.755455999999999</v>
      </c>
      <c r="E42" s="320">
        <f>Stored_C!G46+Stored_C!M46</f>
        <v>3.5141147999999998</v>
      </c>
      <c r="F42" s="356">
        <f>F41+HWP!C42</f>
        <v>0</v>
      </c>
      <c r="G42" s="319">
        <f>G41+HWP!D42</f>
        <v>984.41913599999964</v>
      </c>
      <c r="H42" s="320">
        <f>H41+HWP!E42</f>
        <v>108.93755880000003</v>
      </c>
      <c r="I42" s="457"/>
      <c r="J42" s="367">
        <f>Garden!J49</f>
        <v>0</v>
      </c>
      <c r="K42" s="369">
        <f>Paper!J49</f>
        <v>19.747542864823611</v>
      </c>
      <c r="L42" s="368">
        <f>Wood!J49</f>
        <v>0.43705958840528747</v>
      </c>
      <c r="M42" s="378">
        <f>J42*(1-Recovery_OX!E42)*(1-Recovery_OX!F42)</f>
        <v>0</v>
      </c>
      <c r="N42" s="369">
        <f>K42*(1-Recovery_OX!E42)*(1-Recovery_OX!F42)</f>
        <v>19.747542864823611</v>
      </c>
      <c r="O42" s="368">
        <f>L42*(1-Recovery_OX!E42)*(1-Recovery_OX!F42)</f>
        <v>0.43705958840528747</v>
      </c>
    </row>
    <row r="43" spans="2:15">
      <c r="B43" s="359">
        <f t="shared" si="0"/>
        <v>1981</v>
      </c>
      <c r="C43" s="362">
        <f>Stored_C!E47</f>
        <v>0</v>
      </c>
      <c r="D43" s="319">
        <f>Stored_C!F47+Stored_C!L47</f>
        <v>31.755455999999999</v>
      </c>
      <c r="E43" s="320">
        <f>Stored_C!G47+Stored_C!M47</f>
        <v>3.5141147999999998</v>
      </c>
      <c r="F43" s="356">
        <f>F42+HWP!C43</f>
        <v>0</v>
      </c>
      <c r="G43" s="319">
        <f>G42+HWP!D43</f>
        <v>1016.1745919999996</v>
      </c>
      <c r="H43" s="320">
        <f>H42+HWP!E43</f>
        <v>112.45167360000003</v>
      </c>
      <c r="I43" s="457"/>
      <c r="J43" s="367">
        <f>Garden!J50</f>
        <v>0</v>
      </c>
      <c r="K43" s="369">
        <f>Paper!J50</f>
        <v>19.869998229370402</v>
      </c>
      <c r="L43" s="368">
        <f>Wood!J50</f>
        <v>0.43976981375297741</v>
      </c>
      <c r="M43" s="378">
        <f>J43*(1-Recovery_OX!E43)*(1-Recovery_OX!F43)</f>
        <v>0</v>
      </c>
      <c r="N43" s="369">
        <f>K43*(1-Recovery_OX!E43)*(1-Recovery_OX!F43)</f>
        <v>19.869998229370402</v>
      </c>
      <c r="O43" s="368">
        <f>L43*(1-Recovery_OX!E43)*(1-Recovery_OX!F43)</f>
        <v>0.43976981375297741</v>
      </c>
    </row>
    <row r="44" spans="2:15">
      <c r="B44" s="359">
        <f t="shared" si="0"/>
        <v>1982</v>
      </c>
      <c r="C44" s="362">
        <f>Stored_C!E48</f>
        <v>0</v>
      </c>
      <c r="D44" s="319">
        <f>Stored_C!F48+Stored_C!L48</f>
        <v>31.755455999999999</v>
      </c>
      <c r="E44" s="320">
        <f>Stored_C!G48+Stored_C!M48</f>
        <v>3.5141147999999998</v>
      </c>
      <c r="F44" s="356">
        <f>F43+HWP!C44</f>
        <v>0</v>
      </c>
      <c r="G44" s="319">
        <f>G43+HWP!D44</f>
        <v>1047.9300479999997</v>
      </c>
      <c r="H44" s="320">
        <f>H43+HWP!E44</f>
        <v>115.96578840000004</v>
      </c>
      <c r="I44" s="457"/>
      <c r="J44" s="367">
        <f>Garden!J51</f>
        <v>0</v>
      </c>
      <c r="K44" s="369">
        <f>Paper!J51</f>
        <v>19.981914005833474</v>
      </c>
      <c r="L44" s="368">
        <f>Wood!J51</f>
        <v>0.44224677321734396</v>
      </c>
      <c r="M44" s="378">
        <f>J44*(1-Recovery_OX!E44)*(1-Recovery_OX!F44)</f>
        <v>0</v>
      </c>
      <c r="N44" s="369">
        <f>K44*(1-Recovery_OX!E44)*(1-Recovery_OX!F44)</f>
        <v>19.981914005833474</v>
      </c>
      <c r="O44" s="368">
        <f>L44*(1-Recovery_OX!E44)*(1-Recovery_OX!F44)</f>
        <v>0.44224677321734396</v>
      </c>
    </row>
    <row r="45" spans="2:15">
      <c r="B45" s="359">
        <f t="shared" si="0"/>
        <v>1983</v>
      </c>
      <c r="C45" s="362">
        <f>Stored_C!E49</f>
        <v>0</v>
      </c>
      <c r="D45" s="319">
        <f>Stored_C!F49+Stored_C!L49</f>
        <v>31.755455999999999</v>
      </c>
      <c r="E45" s="320">
        <f>Stored_C!G49+Stored_C!M49</f>
        <v>3.5141147999999998</v>
      </c>
      <c r="F45" s="356">
        <f>F44+HWP!C45</f>
        <v>0</v>
      </c>
      <c r="G45" s="319">
        <f>G44+HWP!D45</f>
        <v>1079.6855039999998</v>
      </c>
      <c r="H45" s="320">
        <f>H44+HWP!E45</f>
        <v>119.47990320000004</v>
      </c>
      <c r="I45" s="457"/>
      <c r="J45" s="367">
        <f>Garden!J52</f>
        <v>0</v>
      </c>
      <c r="K45" s="369">
        <f>Paper!J52</f>
        <v>20.08419732406692</v>
      </c>
      <c r="L45" s="368">
        <f>Wood!J52</f>
        <v>0.44451054371648119</v>
      </c>
      <c r="M45" s="378">
        <f>J45*(1-Recovery_OX!E45)*(1-Recovery_OX!F45)</f>
        <v>0</v>
      </c>
      <c r="N45" s="369">
        <f>K45*(1-Recovery_OX!E45)*(1-Recovery_OX!F45)</f>
        <v>20.08419732406692</v>
      </c>
      <c r="O45" s="368">
        <f>L45*(1-Recovery_OX!E45)*(1-Recovery_OX!F45)</f>
        <v>0.44451054371648119</v>
      </c>
    </row>
    <row r="46" spans="2:15">
      <c r="B46" s="359">
        <f t="shared" si="0"/>
        <v>1984</v>
      </c>
      <c r="C46" s="362">
        <f>Stored_C!E50</f>
        <v>0</v>
      </c>
      <c r="D46" s="319">
        <f>Stored_C!F50+Stored_C!L50</f>
        <v>31.755455999999999</v>
      </c>
      <c r="E46" s="320">
        <f>Stored_C!G50+Stored_C!M50</f>
        <v>3.5141147999999998</v>
      </c>
      <c r="F46" s="356">
        <f>F45+HWP!C46</f>
        <v>0</v>
      </c>
      <c r="G46" s="319">
        <f>G45+HWP!D46</f>
        <v>1111.4409599999999</v>
      </c>
      <c r="H46" s="320">
        <f>H45+HWP!E46</f>
        <v>122.99401800000004</v>
      </c>
      <c r="I46" s="457"/>
      <c r="J46" s="367">
        <f>Garden!J53</f>
        <v>0</v>
      </c>
      <c r="K46" s="369">
        <f>Paper!J53</f>
        <v>20.177677238333487</v>
      </c>
      <c r="L46" s="368">
        <f>Wood!J53</f>
        <v>0.44657947417193977</v>
      </c>
      <c r="M46" s="378">
        <f>J46*(1-Recovery_OX!E46)*(1-Recovery_OX!F46)</f>
        <v>0</v>
      </c>
      <c r="N46" s="369">
        <f>K46*(1-Recovery_OX!E46)*(1-Recovery_OX!F46)</f>
        <v>20.177677238333487</v>
      </c>
      <c r="O46" s="368">
        <f>L46*(1-Recovery_OX!E46)*(1-Recovery_OX!F46)</f>
        <v>0.44657947417193977</v>
      </c>
    </row>
    <row r="47" spans="2:15">
      <c r="B47" s="359">
        <f t="shared" si="0"/>
        <v>1985</v>
      </c>
      <c r="C47" s="362">
        <f>Stored_C!E51</f>
        <v>0</v>
      </c>
      <c r="D47" s="319">
        <f>Stored_C!F51+Stored_C!L51</f>
        <v>31.755455999999999</v>
      </c>
      <c r="E47" s="320">
        <f>Stored_C!G51+Stored_C!M51</f>
        <v>3.5141147999999998</v>
      </c>
      <c r="F47" s="356">
        <f>F46+HWP!C47</f>
        <v>0</v>
      </c>
      <c r="G47" s="319">
        <f>G46+HWP!D47</f>
        <v>1143.196416</v>
      </c>
      <c r="H47" s="320">
        <f>H46+HWP!E47</f>
        <v>126.50813280000004</v>
      </c>
      <c r="I47" s="457"/>
      <c r="J47" s="367">
        <f>Garden!J54</f>
        <v>0</v>
      </c>
      <c r="K47" s="369">
        <f>Paper!J54</f>
        <v>20.263111447178179</v>
      </c>
      <c r="L47" s="368">
        <f>Wood!J54</f>
        <v>0.44847033423534072</v>
      </c>
      <c r="M47" s="378">
        <f>J47*(1-Recovery_OX!E47)*(1-Recovery_OX!F47)</f>
        <v>0</v>
      </c>
      <c r="N47" s="369">
        <f>K47*(1-Recovery_OX!E47)*(1-Recovery_OX!F47)</f>
        <v>20.263111447178179</v>
      </c>
      <c r="O47" s="368">
        <f>L47*(1-Recovery_OX!E47)*(1-Recovery_OX!F47)</f>
        <v>0.44847033423534072</v>
      </c>
    </row>
    <row r="48" spans="2:15">
      <c r="B48" s="359">
        <f t="shared" si="0"/>
        <v>1986</v>
      </c>
      <c r="C48" s="362">
        <f>Stored_C!E52</f>
        <v>0</v>
      </c>
      <c r="D48" s="319">
        <f>Stored_C!F52+Stored_C!L52</f>
        <v>31.755455999999999</v>
      </c>
      <c r="E48" s="320">
        <f>Stored_C!G52+Stored_C!M52</f>
        <v>3.5141147999999998</v>
      </c>
      <c r="F48" s="356">
        <f>F47+HWP!C48</f>
        <v>0</v>
      </c>
      <c r="G48" s="319">
        <f>G47+HWP!D48</f>
        <v>1174.9518720000001</v>
      </c>
      <c r="H48" s="320">
        <f>H47+HWP!E48</f>
        <v>130.02224760000004</v>
      </c>
      <c r="I48" s="457"/>
      <c r="J48" s="367">
        <f>Garden!J55</f>
        <v>0</v>
      </c>
      <c r="K48" s="369">
        <f>Paper!J55</f>
        <v>20.341192434930321</v>
      </c>
      <c r="L48" s="368">
        <f>Wood!J55</f>
        <v>0.45019845021426674</v>
      </c>
      <c r="M48" s="378">
        <f>J48*(1-Recovery_OX!E48)*(1-Recovery_OX!F48)</f>
        <v>0</v>
      </c>
      <c r="N48" s="369">
        <f>K48*(1-Recovery_OX!E48)*(1-Recovery_OX!F48)</f>
        <v>20.341192434930321</v>
      </c>
      <c r="O48" s="368">
        <f>L48*(1-Recovery_OX!E48)*(1-Recovery_OX!F48)</f>
        <v>0.45019845021426674</v>
      </c>
    </row>
    <row r="49" spans="2:15">
      <c r="B49" s="359">
        <f t="shared" si="0"/>
        <v>1987</v>
      </c>
      <c r="C49" s="362">
        <f>Stored_C!E53</f>
        <v>0</v>
      </c>
      <c r="D49" s="319">
        <f>Stored_C!F53+Stored_C!L53</f>
        <v>31.755455999999999</v>
      </c>
      <c r="E49" s="320">
        <f>Stored_C!G53+Stored_C!M53</f>
        <v>3.5141147999999998</v>
      </c>
      <c r="F49" s="356">
        <f>F48+HWP!C49</f>
        <v>0</v>
      </c>
      <c r="G49" s="319">
        <f>G48+HWP!D49</f>
        <v>1206.7073280000002</v>
      </c>
      <c r="H49" s="320">
        <f>H48+HWP!E49</f>
        <v>133.53636240000003</v>
      </c>
      <c r="I49" s="457"/>
      <c r="J49" s="367">
        <f>Garden!J56</f>
        <v>0</v>
      </c>
      <c r="K49" s="369">
        <f>Paper!J56</f>
        <v>20.412553084613787</v>
      </c>
      <c r="L49" s="368">
        <f>Wood!J56</f>
        <v>0.45177782929917282</v>
      </c>
      <c r="M49" s="378">
        <f>J49*(1-Recovery_OX!E49)*(1-Recovery_OX!F49)</f>
        <v>0</v>
      </c>
      <c r="N49" s="369">
        <f>K49*(1-Recovery_OX!E49)*(1-Recovery_OX!F49)</f>
        <v>20.412553084613787</v>
      </c>
      <c r="O49" s="368">
        <f>L49*(1-Recovery_OX!E49)*(1-Recovery_OX!F49)</f>
        <v>0.45177782929917282</v>
      </c>
    </row>
    <row r="50" spans="2:15">
      <c r="B50" s="359">
        <f t="shared" si="0"/>
        <v>1988</v>
      </c>
      <c r="C50" s="362">
        <f>Stored_C!E54</f>
        <v>0</v>
      </c>
      <c r="D50" s="319">
        <f>Stored_C!F54+Stored_C!L54</f>
        <v>31.755455999999999</v>
      </c>
      <c r="E50" s="320">
        <f>Stored_C!G54+Stored_C!M54</f>
        <v>3.5141147999999998</v>
      </c>
      <c r="F50" s="356">
        <f>F49+HWP!C50</f>
        <v>0</v>
      </c>
      <c r="G50" s="319">
        <f>G49+HWP!D50</f>
        <v>1238.4627840000003</v>
      </c>
      <c r="H50" s="320">
        <f>H49+HWP!E50</f>
        <v>137.05047720000002</v>
      </c>
      <c r="I50" s="457"/>
      <c r="J50" s="367">
        <f>Garden!J57</f>
        <v>0</v>
      </c>
      <c r="K50" s="369">
        <f>Paper!J57</f>
        <v>20.477771807760718</v>
      </c>
      <c r="L50" s="368">
        <f>Wood!J57</f>
        <v>0.45322127309823368</v>
      </c>
      <c r="M50" s="378">
        <f>J50*(1-Recovery_OX!E50)*(1-Recovery_OX!F50)</f>
        <v>0</v>
      </c>
      <c r="N50" s="369">
        <f>K50*(1-Recovery_OX!E50)*(1-Recovery_OX!F50)</f>
        <v>20.477771807760718</v>
      </c>
      <c r="O50" s="368">
        <f>L50*(1-Recovery_OX!E50)*(1-Recovery_OX!F50)</f>
        <v>0.45322127309823368</v>
      </c>
    </row>
    <row r="51" spans="2:15">
      <c r="B51" s="359">
        <f t="shared" si="0"/>
        <v>1989</v>
      </c>
      <c r="C51" s="362">
        <f>Stored_C!E55</f>
        <v>0</v>
      </c>
      <c r="D51" s="319">
        <f>Stored_C!F55+Stored_C!L55</f>
        <v>31.755455999999999</v>
      </c>
      <c r="E51" s="320">
        <f>Stored_C!G55+Stored_C!M55</f>
        <v>3.5141147999999998</v>
      </c>
      <c r="F51" s="356">
        <f>F50+HWP!C51</f>
        <v>0</v>
      </c>
      <c r="G51" s="319">
        <f>G50+HWP!D51</f>
        <v>1270.2182400000004</v>
      </c>
      <c r="H51" s="320">
        <f>H50+HWP!E51</f>
        <v>140.564592</v>
      </c>
      <c r="I51" s="457"/>
      <c r="J51" s="367">
        <f>Garden!J58</f>
        <v>0</v>
      </c>
      <c r="K51" s="369">
        <f>Paper!J58</f>
        <v>20.537377232708273</v>
      </c>
      <c r="L51" s="368">
        <f>Wood!J58</f>
        <v>0.45454048140038172</v>
      </c>
      <c r="M51" s="378">
        <f>J51*(1-Recovery_OX!E51)*(1-Recovery_OX!F51)</f>
        <v>0</v>
      </c>
      <c r="N51" s="369">
        <f>K51*(1-Recovery_OX!E51)*(1-Recovery_OX!F51)</f>
        <v>20.537377232708273</v>
      </c>
      <c r="O51" s="368">
        <f>L51*(1-Recovery_OX!E51)*(1-Recovery_OX!F51)</f>
        <v>0.45454048140038172</v>
      </c>
    </row>
    <row r="52" spans="2:15">
      <c r="B52" s="359">
        <f t="shared" si="0"/>
        <v>1990</v>
      </c>
      <c r="C52" s="362">
        <f>Stored_C!E56</f>
        <v>0</v>
      </c>
      <c r="D52" s="319">
        <f>Stored_C!F56+Stored_C!L56</f>
        <v>31.755455999999999</v>
      </c>
      <c r="E52" s="320">
        <f>Stored_C!G56+Stored_C!M56</f>
        <v>3.5141147999999998</v>
      </c>
      <c r="F52" s="356">
        <f>F51+HWP!C52</f>
        <v>0</v>
      </c>
      <c r="G52" s="319">
        <f>G51+HWP!D52</f>
        <v>1301.9736960000005</v>
      </c>
      <c r="H52" s="320">
        <f>H51+HWP!E52</f>
        <v>144.07870679999999</v>
      </c>
      <c r="I52" s="457"/>
      <c r="J52" s="367">
        <f>Garden!J59</f>
        <v>0</v>
      </c>
      <c r="K52" s="369">
        <f>Paper!J59</f>
        <v>20.591852489379182</v>
      </c>
      <c r="L52" s="368">
        <f>Wood!J59</f>
        <v>0.45574614700758348</v>
      </c>
      <c r="M52" s="378">
        <f>J52*(1-Recovery_OX!E52)*(1-Recovery_OX!F52)</f>
        <v>0</v>
      </c>
      <c r="N52" s="369">
        <f>K52*(1-Recovery_OX!E52)*(1-Recovery_OX!F52)</f>
        <v>20.591852489379182</v>
      </c>
      <c r="O52" s="368">
        <f>L52*(1-Recovery_OX!E52)*(1-Recovery_OX!F52)</f>
        <v>0.45574614700758348</v>
      </c>
    </row>
    <row r="53" spans="2:15">
      <c r="B53" s="359">
        <f t="shared" si="0"/>
        <v>1991</v>
      </c>
      <c r="C53" s="362">
        <f>Stored_C!E57</f>
        <v>0</v>
      </c>
      <c r="D53" s="319">
        <f>Stored_C!F57+Stored_C!L57</f>
        <v>31.755455999999999</v>
      </c>
      <c r="E53" s="320">
        <f>Stored_C!G57+Stored_C!M57</f>
        <v>3.5141147999999998</v>
      </c>
      <c r="F53" s="356">
        <f>F52+HWP!C53</f>
        <v>0</v>
      </c>
      <c r="G53" s="319">
        <f>G52+HWP!D53</f>
        <v>1333.7291520000006</v>
      </c>
      <c r="H53" s="320">
        <f>H52+HWP!E53</f>
        <v>147.59282159999998</v>
      </c>
      <c r="I53" s="457"/>
      <c r="J53" s="367">
        <f>Garden!J60</f>
        <v>0</v>
      </c>
      <c r="K53" s="369">
        <f>Paper!J60</f>
        <v>20.641639125276384</v>
      </c>
      <c r="L53" s="368">
        <f>Wood!J60</f>
        <v>0.45684804240501414</v>
      </c>
      <c r="M53" s="378">
        <f>J53*(1-Recovery_OX!E53)*(1-Recovery_OX!F53)</f>
        <v>0</v>
      </c>
      <c r="N53" s="369">
        <f>K53*(1-Recovery_OX!E53)*(1-Recovery_OX!F53)</f>
        <v>20.641639125276384</v>
      </c>
      <c r="O53" s="368">
        <f>L53*(1-Recovery_OX!E53)*(1-Recovery_OX!F53)</f>
        <v>0.45684804240501414</v>
      </c>
    </row>
    <row r="54" spans="2:15">
      <c r="B54" s="359">
        <f t="shared" si="0"/>
        <v>1992</v>
      </c>
      <c r="C54" s="362">
        <f>Stored_C!E58</f>
        <v>0</v>
      </c>
      <c r="D54" s="319">
        <f>Stored_C!F58+Stored_C!L58</f>
        <v>31.755455999999999</v>
      </c>
      <c r="E54" s="320">
        <f>Stored_C!G58+Stored_C!M58</f>
        <v>3.5141147999999998</v>
      </c>
      <c r="F54" s="356">
        <f>F53+HWP!C54</f>
        <v>0</v>
      </c>
      <c r="G54" s="319">
        <f>G53+HWP!D54</f>
        <v>1365.4846080000007</v>
      </c>
      <c r="H54" s="320">
        <f>H53+HWP!E54</f>
        <v>151.10693639999997</v>
      </c>
      <c r="I54" s="457"/>
      <c r="J54" s="367">
        <f>Garden!J61</f>
        <v>0</v>
      </c>
      <c r="K54" s="369">
        <f>Paper!J61</f>
        <v>20.687140684432578</v>
      </c>
      <c r="L54" s="368">
        <f>Wood!J61</f>
        <v>0.45785509897163285</v>
      </c>
      <c r="M54" s="378">
        <f>J54*(1-Recovery_OX!E54)*(1-Recovery_OX!F54)</f>
        <v>0</v>
      </c>
      <c r="N54" s="369">
        <f>K54*(1-Recovery_OX!E54)*(1-Recovery_OX!F54)</f>
        <v>20.687140684432578</v>
      </c>
      <c r="O54" s="368">
        <f>L54*(1-Recovery_OX!E54)*(1-Recovery_OX!F54)</f>
        <v>0.45785509897163285</v>
      </c>
    </row>
    <row r="55" spans="2:15">
      <c r="B55" s="359">
        <f t="shared" si="0"/>
        <v>1993</v>
      </c>
      <c r="C55" s="362">
        <f>Stored_C!E59</f>
        <v>0</v>
      </c>
      <c r="D55" s="319">
        <f>Stored_C!F59+Stored_C!L59</f>
        <v>31.755455999999999</v>
      </c>
      <c r="E55" s="320">
        <f>Stored_C!G59+Stored_C!M59</f>
        <v>3.5141147999999998</v>
      </c>
      <c r="F55" s="356">
        <f>F54+HWP!C55</f>
        <v>0</v>
      </c>
      <c r="G55" s="319">
        <f>G54+HWP!D55</f>
        <v>1397.2400640000008</v>
      </c>
      <c r="H55" s="320">
        <f>H54+HWP!E55</f>
        <v>154.62105119999995</v>
      </c>
      <c r="I55" s="457"/>
      <c r="J55" s="367">
        <f>Garden!J62</f>
        <v>0</v>
      </c>
      <c r="K55" s="369">
        <f>Paper!J62</f>
        <v>20.728725978323887</v>
      </c>
      <c r="L55" s="368">
        <f>Wood!J62</f>
        <v>0.45877547937319785</v>
      </c>
      <c r="M55" s="378">
        <f>J55*(1-Recovery_OX!E55)*(1-Recovery_OX!F55)</f>
        <v>0</v>
      </c>
      <c r="N55" s="369">
        <f>K55*(1-Recovery_OX!E55)*(1-Recovery_OX!F55)</f>
        <v>20.728725978323887</v>
      </c>
      <c r="O55" s="368">
        <f>L55*(1-Recovery_OX!E55)*(1-Recovery_OX!F55)</f>
        <v>0.45877547937319785</v>
      </c>
    </row>
    <row r="56" spans="2:15">
      <c r="B56" s="359">
        <f t="shared" si="0"/>
        <v>1994</v>
      </c>
      <c r="C56" s="362">
        <f>Stored_C!E60</f>
        <v>0</v>
      </c>
      <c r="D56" s="319">
        <f>Stored_C!F60+Stored_C!L60</f>
        <v>31.755455999999999</v>
      </c>
      <c r="E56" s="320">
        <f>Stored_C!G60+Stored_C!M60</f>
        <v>3.5141147999999998</v>
      </c>
      <c r="F56" s="356">
        <f>F55+HWP!C56</f>
        <v>0</v>
      </c>
      <c r="G56" s="319">
        <f>G55+HWP!D56</f>
        <v>1428.9955200000009</v>
      </c>
      <c r="H56" s="320">
        <f>H55+HWP!E56</f>
        <v>158.13516599999994</v>
      </c>
      <c r="I56" s="457"/>
      <c r="J56" s="367">
        <f>Garden!J63</f>
        <v>0</v>
      </c>
      <c r="K56" s="369">
        <f>Paper!J63</f>
        <v>20.766732075259824</v>
      </c>
      <c r="L56" s="368">
        <f>Wood!J63</f>
        <v>0.45961664372450062</v>
      </c>
      <c r="M56" s="378">
        <f>J56*(1-Recovery_OX!E56)*(1-Recovery_OX!F56)</f>
        <v>0</v>
      </c>
      <c r="N56" s="369">
        <f>K56*(1-Recovery_OX!E56)*(1-Recovery_OX!F56)</f>
        <v>20.766732075259824</v>
      </c>
      <c r="O56" s="368">
        <f>L56*(1-Recovery_OX!E56)*(1-Recovery_OX!F56)</f>
        <v>0.45961664372450062</v>
      </c>
    </row>
    <row r="57" spans="2:15">
      <c r="B57" s="359">
        <f t="shared" si="0"/>
        <v>1995</v>
      </c>
      <c r="C57" s="362">
        <f>Stored_C!E61</f>
        <v>0</v>
      </c>
      <c r="D57" s="319">
        <f>Stored_C!F61+Stored_C!L61</f>
        <v>31.755455999999999</v>
      </c>
      <c r="E57" s="320">
        <f>Stored_C!G61+Stored_C!M61</f>
        <v>3.5141147999999998</v>
      </c>
      <c r="F57" s="356">
        <f>F56+HWP!C57</f>
        <v>0</v>
      </c>
      <c r="G57" s="319">
        <f>G56+HWP!D57</f>
        <v>1460.7509760000009</v>
      </c>
      <c r="H57" s="320">
        <f>H56+HWP!E57</f>
        <v>161.64928079999993</v>
      </c>
      <c r="I57" s="457"/>
      <c r="J57" s="367">
        <f>Garden!J64</f>
        <v>0</v>
      </c>
      <c r="K57" s="369">
        <f>Paper!J64</f>
        <v>20.801467032480019</v>
      </c>
      <c r="L57" s="368">
        <f>Wood!J64</f>
        <v>0.46038541005709466</v>
      </c>
      <c r="M57" s="378">
        <f>J57*(1-Recovery_OX!E57)*(1-Recovery_OX!F57)</f>
        <v>0</v>
      </c>
      <c r="N57" s="369">
        <f>K57*(1-Recovery_OX!E57)*(1-Recovery_OX!F57)</f>
        <v>20.801467032480019</v>
      </c>
      <c r="O57" s="368">
        <f>L57*(1-Recovery_OX!E57)*(1-Recovery_OX!F57)</f>
        <v>0.46038541005709466</v>
      </c>
    </row>
    <row r="58" spans="2:15">
      <c r="B58" s="359">
        <f t="shared" si="0"/>
        <v>1996</v>
      </c>
      <c r="C58" s="362">
        <f>Stored_C!E62</f>
        <v>0</v>
      </c>
      <c r="D58" s="319">
        <f>Stored_C!F62+Stored_C!L62</f>
        <v>31.755455999999999</v>
      </c>
      <c r="E58" s="320">
        <f>Stored_C!G62+Stored_C!M62</f>
        <v>3.5141147999999998</v>
      </c>
      <c r="F58" s="356">
        <f>F57+HWP!C58</f>
        <v>0</v>
      </c>
      <c r="G58" s="319">
        <f>G57+HWP!D58</f>
        <v>1492.506432000001</v>
      </c>
      <c r="H58" s="320">
        <f>H57+HWP!E58</f>
        <v>165.16339559999992</v>
      </c>
      <c r="I58" s="457"/>
      <c r="J58" s="367">
        <f>Garden!J65</f>
        <v>0</v>
      </c>
      <c r="K58" s="369">
        <f>Paper!J65</f>
        <v>20.83321239310262</v>
      </c>
      <c r="L58" s="368">
        <f>Wood!J65</f>
        <v>0.46108800958263896</v>
      </c>
      <c r="M58" s="378">
        <f>J58*(1-Recovery_OX!E58)*(1-Recovery_OX!F58)</f>
        <v>0</v>
      </c>
      <c r="N58" s="369">
        <f>K58*(1-Recovery_OX!E58)*(1-Recovery_OX!F58)</f>
        <v>20.83321239310262</v>
      </c>
      <c r="O58" s="368">
        <f>L58*(1-Recovery_OX!E58)*(1-Recovery_OX!F58)</f>
        <v>0.46108800958263896</v>
      </c>
    </row>
    <row r="59" spans="2:15">
      <c r="B59" s="359">
        <f t="shared" si="0"/>
        <v>1997</v>
      </c>
      <c r="C59" s="362">
        <f>Stored_C!E63</f>
        <v>0</v>
      </c>
      <c r="D59" s="319">
        <f>Stored_C!F63+Stored_C!L63</f>
        <v>31.755455999999999</v>
      </c>
      <c r="E59" s="320">
        <f>Stored_C!G63+Stored_C!M63</f>
        <v>3.5141147999999998</v>
      </c>
      <c r="F59" s="356">
        <f>F58+HWP!C59</f>
        <v>0</v>
      </c>
      <c r="G59" s="319">
        <f>G58+HWP!D59</f>
        <v>1524.2618880000011</v>
      </c>
      <c r="H59" s="320">
        <f>H58+HWP!E59</f>
        <v>168.6775103999999</v>
      </c>
      <c r="I59" s="457"/>
      <c r="J59" s="367">
        <f>Garden!J66</f>
        <v>0</v>
      </c>
      <c r="K59" s="369">
        <f>Paper!J66</f>
        <v>20.862225468163292</v>
      </c>
      <c r="L59" s="368">
        <f>Wood!J66</f>
        <v>0.46173013719979067</v>
      </c>
      <c r="M59" s="378">
        <f>J59*(1-Recovery_OX!E59)*(1-Recovery_OX!F59)</f>
        <v>0</v>
      </c>
      <c r="N59" s="369">
        <f>K59*(1-Recovery_OX!E59)*(1-Recovery_OX!F59)</f>
        <v>20.862225468163292</v>
      </c>
      <c r="O59" s="368">
        <f>L59*(1-Recovery_OX!E59)*(1-Recovery_OX!F59)</f>
        <v>0.46173013719979067</v>
      </c>
    </row>
    <row r="60" spans="2:15">
      <c r="B60" s="359">
        <f t="shared" si="0"/>
        <v>1998</v>
      </c>
      <c r="C60" s="362">
        <f>Stored_C!E64</f>
        <v>0</v>
      </c>
      <c r="D60" s="319">
        <f>Stored_C!F64+Stored_C!L64</f>
        <v>31.755455999999999</v>
      </c>
      <c r="E60" s="320">
        <f>Stored_C!G64+Stored_C!M64</f>
        <v>3.5141147999999998</v>
      </c>
      <c r="F60" s="356">
        <f>F59+HWP!C60</f>
        <v>0</v>
      </c>
      <c r="G60" s="319">
        <f>G59+HWP!D60</f>
        <v>1556.0173440000012</v>
      </c>
      <c r="H60" s="320">
        <f>H59+HWP!E60</f>
        <v>172.19162519999989</v>
      </c>
      <c r="I60" s="457"/>
      <c r="J60" s="367">
        <f>Garden!J67</f>
        <v>0</v>
      </c>
      <c r="K60" s="369">
        <f>Paper!J67</f>
        <v>20.888741422241857</v>
      </c>
      <c r="L60" s="368">
        <f>Wood!J67</f>
        <v>0.46231699765402945</v>
      </c>
      <c r="M60" s="378">
        <f>J60*(1-Recovery_OX!E60)*(1-Recovery_OX!F60)</f>
        <v>0</v>
      </c>
      <c r="N60" s="369">
        <f>K60*(1-Recovery_OX!E60)*(1-Recovery_OX!F60)</f>
        <v>20.888741422241857</v>
      </c>
      <c r="O60" s="368">
        <f>L60*(1-Recovery_OX!E60)*(1-Recovery_OX!F60)</f>
        <v>0.46231699765402945</v>
      </c>
    </row>
    <row r="61" spans="2:15">
      <c r="B61" s="359">
        <f t="shared" si="0"/>
        <v>1999</v>
      </c>
      <c r="C61" s="362">
        <f>Stored_C!E65</f>
        <v>0</v>
      </c>
      <c r="D61" s="319">
        <f>Stored_C!F65+Stored_C!L65</f>
        <v>31.755455999999999</v>
      </c>
      <c r="E61" s="320">
        <f>Stored_C!G65+Stored_C!M65</f>
        <v>3.5141147999999998</v>
      </c>
      <c r="F61" s="356">
        <f>F60+HWP!C61</f>
        <v>0</v>
      </c>
      <c r="G61" s="319">
        <f>G60+HWP!D61</f>
        <v>1587.7728000000013</v>
      </c>
      <c r="H61" s="320">
        <f>H60+HWP!E61</f>
        <v>175.70573999999988</v>
      </c>
      <c r="I61" s="457"/>
      <c r="J61" s="367">
        <f>Garden!J68</f>
        <v>0</v>
      </c>
      <c r="K61" s="369">
        <f>Paper!J68</f>
        <v>20.91297517958148</v>
      </c>
      <c r="L61" s="368">
        <f>Wood!J68</f>
        <v>0.46285334772456077</v>
      </c>
      <c r="M61" s="378">
        <f>J61*(1-Recovery_OX!E61)*(1-Recovery_OX!F61)</f>
        <v>0</v>
      </c>
      <c r="N61" s="369">
        <f>K61*(1-Recovery_OX!E61)*(1-Recovery_OX!F61)</f>
        <v>20.91297517958148</v>
      </c>
      <c r="O61" s="368">
        <f>L61*(1-Recovery_OX!E61)*(1-Recovery_OX!F61)</f>
        <v>0.46285334772456077</v>
      </c>
    </row>
    <row r="62" spans="2:15">
      <c r="B62" s="359">
        <f t="shared" si="0"/>
        <v>2000</v>
      </c>
      <c r="C62" s="362">
        <f>Stored_C!E66</f>
        <v>0</v>
      </c>
      <c r="D62" s="319">
        <f>Stored_C!F66+Stored_C!L66</f>
        <v>31.755455999999999</v>
      </c>
      <c r="E62" s="320">
        <f>Stored_C!G66+Stored_C!M66</f>
        <v>3.5141147999999998</v>
      </c>
      <c r="F62" s="356">
        <f>F61+HWP!C62</f>
        <v>0</v>
      </c>
      <c r="G62" s="319">
        <f>G61+HWP!D62</f>
        <v>1619.5282560000014</v>
      </c>
      <c r="H62" s="320">
        <f>H61+HWP!E62</f>
        <v>179.21985479999987</v>
      </c>
      <c r="I62" s="457"/>
      <c r="J62" s="367">
        <f>Garden!J69</f>
        <v>0</v>
      </c>
      <c r="K62" s="369">
        <f>Paper!J69</f>
        <v>20.935123166150454</v>
      </c>
      <c r="L62" s="368">
        <f>Wood!J69</f>
        <v>0.46334353478024182</v>
      </c>
      <c r="M62" s="378">
        <f>J62*(1-Recovery_OX!E62)*(1-Recovery_OX!F62)</f>
        <v>0</v>
      </c>
      <c r="N62" s="369">
        <f>K62*(1-Recovery_OX!E62)*(1-Recovery_OX!F62)</f>
        <v>17.207366303267253</v>
      </c>
      <c r="O62" s="368">
        <f>L62*(1-Recovery_OX!E62)*(1-Recovery_OX!F62)</f>
        <v>0.38083950421201801</v>
      </c>
    </row>
    <row r="63" spans="2:15">
      <c r="B63" s="359">
        <f t="shared" si="0"/>
        <v>2001</v>
      </c>
      <c r="C63" s="362">
        <f>Stored_C!E67</f>
        <v>0</v>
      </c>
      <c r="D63" s="319">
        <f>Stored_C!F67+Stored_C!L67</f>
        <v>31.755455999999999</v>
      </c>
      <c r="E63" s="320">
        <f>Stored_C!G67+Stored_C!M67</f>
        <v>3.5141147999999998</v>
      </c>
      <c r="F63" s="356">
        <f>F62+HWP!C63</f>
        <v>0</v>
      </c>
      <c r="G63" s="319">
        <f>G62+HWP!D63</f>
        <v>1651.2837120000015</v>
      </c>
      <c r="H63" s="320">
        <f>H62+HWP!E63</f>
        <v>182.73396959999985</v>
      </c>
      <c r="I63" s="457"/>
      <c r="J63" s="367">
        <f>Garden!J70</f>
        <v>0</v>
      </c>
      <c r="K63" s="369">
        <f>Paper!J70</f>
        <v>20.955364901766806</v>
      </c>
      <c r="L63" s="368">
        <f>Wood!J70</f>
        <v>0.46379153201704498</v>
      </c>
      <c r="M63" s="378">
        <f>J63*(1-Recovery_OX!E63)*(1-Recovery_OX!F63)</f>
        <v>0</v>
      </c>
      <c r="N63" s="369">
        <f>K63*(1-Recovery_OX!E63)*(1-Recovery_OX!F63)</f>
        <v>17.227608038883606</v>
      </c>
      <c r="O63" s="368">
        <f>L63*(1-Recovery_OX!E63)*(1-Recovery_OX!F63)</f>
        <v>0.38128750144882112</v>
      </c>
    </row>
    <row r="64" spans="2:15">
      <c r="B64" s="359">
        <f t="shared" si="0"/>
        <v>2002</v>
      </c>
      <c r="C64" s="362">
        <f>Stored_C!E68</f>
        <v>0</v>
      </c>
      <c r="D64" s="319">
        <f>Stored_C!F68+Stored_C!L68</f>
        <v>31.755455999999999</v>
      </c>
      <c r="E64" s="320">
        <f>Stored_C!G68+Stored_C!M68</f>
        <v>3.5141147999999998</v>
      </c>
      <c r="F64" s="356">
        <f>F63+HWP!C64</f>
        <v>0</v>
      </c>
      <c r="G64" s="319">
        <f>G63+HWP!D64</f>
        <v>1683.0391680000016</v>
      </c>
      <c r="H64" s="320">
        <f>H63+HWP!E64</f>
        <v>186.24808439999984</v>
      </c>
      <c r="I64" s="457"/>
      <c r="J64" s="367">
        <f>Garden!J71</f>
        <v>0</v>
      </c>
      <c r="K64" s="369">
        <f>Paper!J71</f>
        <v>20.973864455190608</v>
      </c>
      <c r="L64" s="368">
        <f>Wood!J71</f>
        <v>0.46420097066267468</v>
      </c>
      <c r="M64" s="378">
        <f>J64*(1-Recovery_OX!E64)*(1-Recovery_OX!F64)</f>
        <v>0</v>
      </c>
      <c r="N64" s="369">
        <f>K64*(1-Recovery_OX!E64)*(1-Recovery_OX!F64)</f>
        <v>17.246107592307407</v>
      </c>
      <c r="O64" s="368">
        <f>L64*(1-Recovery_OX!E64)*(1-Recovery_OX!F64)</f>
        <v>0.38169694009445088</v>
      </c>
    </row>
    <row r="65" spans="2:15">
      <c r="B65" s="359">
        <f t="shared" si="0"/>
        <v>2003</v>
      </c>
      <c r="C65" s="362">
        <f>Stored_C!E69</f>
        <v>0</v>
      </c>
      <c r="D65" s="319">
        <f>Stored_C!F69+Stored_C!L69</f>
        <v>31.755455999999999</v>
      </c>
      <c r="E65" s="320">
        <f>Stored_C!G69+Stored_C!M69</f>
        <v>3.5141147999999998</v>
      </c>
      <c r="F65" s="356">
        <f>F64+HWP!C65</f>
        <v>0</v>
      </c>
      <c r="G65" s="319">
        <f>G64+HWP!D65</f>
        <v>1714.7946240000017</v>
      </c>
      <c r="H65" s="320">
        <f>H64+HWP!E65</f>
        <v>189.76219919999983</v>
      </c>
      <c r="I65" s="457"/>
      <c r="J65" s="367">
        <f>Garden!J72</f>
        <v>0</v>
      </c>
      <c r="K65" s="369">
        <f>Paper!J72</f>
        <v>20.99077177397821</v>
      </c>
      <c r="L65" s="368">
        <f>Wood!J72</f>
        <v>0.46457516940937094</v>
      </c>
      <c r="M65" s="378">
        <f>J65*(1-Recovery_OX!E65)*(1-Recovery_OX!F65)</f>
        <v>0</v>
      </c>
      <c r="N65" s="369">
        <f>K65*(1-Recovery_OX!E65)*(1-Recovery_OX!F65)</f>
        <v>17.263014911095009</v>
      </c>
      <c r="O65" s="368">
        <f>L65*(1-Recovery_OX!E65)*(1-Recovery_OX!F65)</f>
        <v>0.38207113884114713</v>
      </c>
    </row>
    <row r="66" spans="2:15">
      <c r="B66" s="359">
        <f t="shared" si="0"/>
        <v>2004</v>
      </c>
      <c r="C66" s="362">
        <f>Stored_C!E70</f>
        <v>0</v>
      </c>
      <c r="D66" s="319">
        <f>Stored_C!F70+Stored_C!L70</f>
        <v>31.755455999999999</v>
      </c>
      <c r="E66" s="320">
        <f>Stored_C!G70+Stored_C!M70</f>
        <v>3.5141147999999998</v>
      </c>
      <c r="F66" s="356">
        <f>F65+HWP!C66</f>
        <v>0</v>
      </c>
      <c r="G66" s="319">
        <f>G65+HWP!D66</f>
        <v>1746.5500800000018</v>
      </c>
      <c r="H66" s="320">
        <f>H65+HWP!E66</f>
        <v>193.27631399999981</v>
      </c>
      <c r="I66" s="457"/>
      <c r="J66" s="367">
        <f>Garden!J73</f>
        <v>0</v>
      </c>
      <c r="K66" s="369">
        <f>Paper!J73</f>
        <v>21.006223899877522</v>
      </c>
      <c r="L66" s="368">
        <f>Wood!J73</f>
        <v>0.46491716131346605</v>
      </c>
      <c r="M66" s="378">
        <f>J66*(1-Recovery_OX!E66)*(1-Recovery_OX!F66)</f>
        <v>0</v>
      </c>
      <c r="N66" s="369">
        <f>K66*(1-Recovery_OX!E66)*(1-Recovery_OX!F66)</f>
        <v>17.278467036994321</v>
      </c>
      <c r="O66" s="368">
        <f>L66*(1-Recovery_OX!E66)*(1-Recovery_OX!F66)</f>
        <v>0.38241313074524225</v>
      </c>
    </row>
    <row r="67" spans="2:15">
      <c r="B67" s="359">
        <f t="shared" si="0"/>
        <v>2005</v>
      </c>
      <c r="C67" s="362">
        <f>Stored_C!E71</f>
        <v>0</v>
      </c>
      <c r="D67" s="319">
        <f>Stored_C!F71+Stored_C!L71</f>
        <v>31.755455999999999</v>
      </c>
      <c r="E67" s="320">
        <f>Stored_C!G71+Stored_C!M71</f>
        <v>3.5141147999999998</v>
      </c>
      <c r="F67" s="356">
        <f>F66+HWP!C67</f>
        <v>0</v>
      </c>
      <c r="G67" s="319">
        <f>G66+HWP!D67</f>
        <v>1778.3055360000019</v>
      </c>
      <c r="H67" s="320">
        <f>H66+HWP!E67</f>
        <v>196.7904287999998</v>
      </c>
      <c r="I67" s="457"/>
      <c r="J67" s="367">
        <f>Garden!J74</f>
        <v>0</v>
      </c>
      <c r="K67" s="369">
        <f>Paper!J74</f>
        <v>21.020346079615642</v>
      </c>
      <c r="L67" s="368">
        <f>Wood!J74</f>
        <v>0.46522971837972882</v>
      </c>
      <c r="M67" s="378">
        <f>J67*(1-Recovery_OX!E67)*(1-Recovery_OX!F67)</f>
        <v>0</v>
      </c>
      <c r="N67" s="369">
        <f>K67*(1-Recovery_OX!E67)*(1-Recovery_OX!F67)</f>
        <v>17.292589216732441</v>
      </c>
      <c r="O67" s="368">
        <f>L67*(1-Recovery_OX!E67)*(1-Recovery_OX!F67)</f>
        <v>0.38272568781150501</v>
      </c>
    </row>
    <row r="68" spans="2:15">
      <c r="B68" s="359">
        <f t="shared" si="0"/>
        <v>2006</v>
      </c>
      <c r="C68" s="362">
        <f>Stored_C!E72</f>
        <v>0</v>
      </c>
      <c r="D68" s="319">
        <f>Stored_C!F72+Stored_C!L72</f>
        <v>31.755455999999999</v>
      </c>
      <c r="E68" s="320">
        <f>Stored_C!G72+Stored_C!M72</f>
        <v>3.5141147999999998</v>
      </c>
      <c r="F68" s="356">
        <f>F67+HWP!C68</f>
        <v>0</v>
      </c>
      <c r="G68" s="319">
        <f>G67+HWP!D68</f>
        <v>1810.060992000002</v>
      </c>
      <c r="H68" s="320">
        <f>H67+HWP!E68</f>
        <v>200.30454359999979</v>
      </c>
      <c r="I68" s="457"/>
      <c r="J68" s="367">
        <f>Garden!J75</f>
        <v>0</v>
      </c>
      <c r="K68" s="369">
        <f>Paper!J75</f>
        <v>21.033252780082314</v>
      </c>
      <c r="L68" s="368">
        <f>Wood!J75</f>
        <v>0.46551537402976328</v>
      </c>
      <c r="M68" s="378">
        <f>J68*(1-Recovery_OX!E68)*(1-Recovery_OX!F68)</f>
        <v>0</v>
      </c>
      <c r="N68" s="369">
        <f>K68*(1-Recovery_OX!E68)*(1-Recovery_OX!F68)</f>
        <v>17.305495917199114</v>
      </c>
      <c r="O68" s="368">
        <f>L68*(1-Recovery_OX!E68)*(1-Recovery_OX!F68)</f>
        <v>0.38301134346153948</v>
      </c>
    </row>
    <row r="69" spans="2:15">
      <c r="B69" s="359">
        <f t="shared" si="0"/>
        <v>2007</v>
      </c>
      <c r="C69" s="362">
        <f>Stored_C!E73</f>
        <v>0</v>
      </c>
      <c r="D69" s="319">
        <f>Stored_C!F73+Stored_C!L73</f>
        <v>31.755455999999999</v>
      </c>
      <c r="E69" s="320">
        <f>Stored_C!G73+Stored_C!M73</f>
        <v>3.5141147999999998</v>
      </c>
      <c r="F69" s="356">
        <f>F68+HWP!C69</f>
        <v>0</v>
      </c>
      <c r="G69" s="319">
        <f>G68+HWP!D69</f>
        <v>1841.8164480000021</v>
      </c>
      <c r="H69" s="320">
        <f>H68+HWP!E69</f>
        <v>203.81865839999978</v>
      </c>
      <c r="I69" s="457"/>
      <c r="J69" s="367">
        <f>Garden!J76</f>
        <v>0</v>
      </c>
      <c r="K69" s="369">
        <f>Paper!J76</f>
        <v>21.045048616137763</v>
      </c>
      <c r="L69" s="368">
        <f>Wood!J76</f>
        <v>0.46577644363657866</v>
      </c>
      <c r="M69" s="378">
        <f>J69*(1-Recovery_OX!E69)*(1-Recovery_OX!F69)</f>
        <v>0</v>
      </c>
      <c r="N69" s="369">
        <f>K69*(1-Recovery_OX!E69)*(1-Recovery_OX!F69)</f>
        <v>17.317291753254562</v>
      </c>
      <c r="O69" s="368">
        <f>L69*(1-Recovery_OX!E69)*(1-Recovery_OX!F69)</f>
        <v>0.38327241306835486</v>
      </c>
    </row>
    <row r="70" spans="2:15">
      <c r="B70" s="359">
        <f t="shared" si="0"/>
        <v>2008</v>
      </c>
      <c r="C70" s="362">
        <f>Stored_C!E74</f>
        <v>0</v>
      </c>
      <c r="D70" s="319">
        <f>Stored_C!F74+Stored_C!L74</f>
        <v>31.755455999999999</v>
      </c>
      <c r="E70" s="320">
        <f>Stored_C!G74+Stored_C!M74</f>
        <v>3.5141147999999998</v>
      </c>
      <c r="F70" s="356">
        <f>F69+HWP!C70</f>
        <v>0</v>
      </c>
      <c r="G70" s="319">
        <f>G69+HWP!D70</f>
        <v>1873.5719040000022</v>
      </c>
      <c r="H70" s="320">
        <f>H69+HWP!E70</f>
        <v>207.33277319999976</v>
      </c>
      <c r="I70" s="457"/>
      <c r="J70" s="367">
        <f>Garden!J77</f>
        <v>0</v>
      </c>
      <c r="K70" s="369">
        <f>Paper!J77</f>
        <v>21.055829198565181</v>
      </c>
      <c r="L70" s="368">
        <f>Wood!J77</f>
        <v>0.46601504329177368</v>
      </c>
      <c r="M70" s="378">
        <f>J70*(1-Recovery_OX!E70)*(1-Recovery_OX!F70)</f>
        <v>0</v>
      </c>
      <c r="N70" s="369">
        <f>K70*(1-Recovery_OX!E70)*(1-Recovery_OX!F70)</f>
        <v>17.328072335681981</v>
      </c>
      <c r="O70" s="368">
        <f>L70*(1-Recovery_OX!E70)*(1-Recovery_OX!F70)</f>
        <v>0.38351101272354987</v>
      </c>
    </row>
    <row r="71" spans="2:15">
      <c r="B71" s="359">
        <f t="shared" si="0"/>
        <v>2009</v>
      </c>
      <c r="C71" s="362">
        <f>Stored_C!E75</f>
        <v>0</v>
      </c>
      <c r="D71" s="319">
        <f>Stored_C!F75+Stored_C!L75</f>
        <v>31.755455999999999</v>
      </c>
      <c r="E71" s="320">
        <f>Stored_C!G75+Stored_C!M75</f>
        <v>3.5141147999999998</v>
      </c>
      <c r="F71" s="356">
        <f>F70+HWP!C71</f>
        <v>0</v>
      </c>
      <c r="G71" s="319">
        <f>G70+HWP!D71</f>
        <v>1905.3273600000023</v>
      </c>
      <c r="H71" s="320">
        <f>H70+HWP!E71</f>
        <v>210.84688799999975</v>
      </c>
      <c r="I71" s="457"/>
      <c r="J71" s="367">
        <f>Garden!J78</f>
        <v>0</v>
      </c>
      <c r="K71" s="369">
        <f>Paper!J78</f>
        <v>21.065681909040986</v>
      </c>
      <c r="L71" s="368">
        <f>Wood!J78</f>
        <v>0.46623310695745152</v>
      </c>
      <c r="M71" s="378">
        <f>J71*(1-Recovery_OX!E71)*(1-Recovery_OX!F71)</f>
        <v>0</v>
      </c>
      <c r="N71" s="369">
        <f>K71*(1-Recovery_OX!E71)*(1-Recovery_OX!F71)</f>
        <v>17.337925046157789</v>
      </c>
      <c r="O71" s="368">
        <f>L71*(1-Recovery_OX!E71)*(1-Recovery_OX!F71)</f>
        <v>0.38372907638922771</v>
      </c>
    </row>
    <row r="72" spans="2:15">
      <c r="B72" s="359">
        <f t="shared" si="0"/>
        <v>2010</v>
      </c>
      <c r="C72" s="362">
        <f>Stored_C!E76</f>
        <v>0</v>
      </c>
      <c r="D72" s="319">
        <f>Stored_C!F76+Stored_C!L76</f>
        <v>31.755455999999999</v>
      </c>
      <c r="E72" s="320">
        <f>Stored_C!G76+Stored_C!M76</f>
        <v>3.5141147999999998</v>
      </c>
      <c r="F72" s="356">
        <f>F71+HWP!C72</f>
        <v>0</v>
      </c>
      <c r="G72" s="319">
        <f>G71+HWP!D72</f>
        <v>1937.0828160000024</v>
      </c>
      <c r="H72" s="320">
        <f>H71+HWP!E72</f>
        <v>214.36100279999974</v>
      </c>
      <c r="I72" s="457"/>
      <c r="J72" s="367">
        <f>Garden!J79</f>
        <v>0</v>
      </c>
      <c r="K72" s="369">
        <f>Paper!J79</f>
        <v>21.074686608404274</v>
      </c>
      <c r="L72" s="368">
        <f>Wood!J79</f>
        <v>0.46643240214188897</v>
      </c>
      <c r="M72" s="378">
        <f>J72*(1-Recovery_OX!E72)*(1-Recovery_OX!F72)</f>
        <v>0</v>
      </c>
      <c r="N72" s="369">
        <f>K72*(1-Recovery_OX!E72)*(1-Recovery_OX!F72)</f>
        <v>17.346929745521074</v>
      </c>
      <c r="O72" s="368">
        <f>L72*(1-Recovery_OX!E72)*(1-Recovery_OX!F72)</f>
        <v>0.38392837157366511</v>
      </c>
    </row>
    <row r="73" spans="2:15">
      <c r="B73" s="359">
        <f t="shared" si="0"/>
        <v>2011</v>
      </c>
      <c r="C73" s="362">
        <f>Stored_C!E77</f>
        <v>0</v>
      </c>
      <c r="D73" s="319">
        <f>Stored_C!F77+Stored_C!L77</f>
        <v>31.755455999999999</v>
      </c>
      <c r="E73" s="320">
        <f>Stored_C!G77+Stored_C!M77</f>
        <v>3.5141147999999998</v>
      </c>
      <c r="F73" s="356">
        <f>F72+HWP!C73</f>
        <v>0</v>
      </c>
      <c r="G73" s="319">
        <f>G72+HWP!D73</f>
        <v>1968.8382720000025</v>
      </c>
      <c r="H73" s="320">
        <f>H72+HWP!E73</f>
        <v>217.87511759999973</v>
      </c>
      <c r="I73" s="457"/>
      <c r="J73" s="367">
        <f>Garden!J80</f>
        <v>0</v>
      </c>
      <c r="K73" s="369">
        <f>Paper!J80</f>
        <v>21.082916283966373</v>
      </c>
      <c r="L73" s="368">
        <f>Wood!J80</f>
        <v>0.46661454422602067</v>
      </c>
      <c r="M73" s="378">
        <f>J73*(1-Recovery_OX!E73)*(1-Recovery_OX!F73)</f>
        <v>0</v>
      </c>
      <c r="N73" s="369">
        <f>K73*(1-Recovery_OX!E73)*(1-Recovery_OX!F73)</f>
        <v>17.355159421083172</v>
      </c>
      <c r="O73" s="368">
        <f>L73*(1-Recovery_OX!E73)*(1-Recovery_OX!F73)</f>
        <v>0.38411051365779686</v>
      </c>
    </row>
    <row r="74" spans="2:15">
      <c r="B74" s="359">
        <f t="shared" si="0"/>
        <v>2012</v>
      </c>
      <c r="C74" s="362">
        <f>Stored_C!E78</f>
        <v>0</v>
      </c>
      <c r="D74" s="319">
        <f>Stored_C!F78+Stored_C!L78</f>
        <v>31.755455999999999</v>
      </c>
      <c r="E74" s="320">
        <f>Stored_C!G78+Stored_C!M78</f>
        <v>3.5141147999999998</v>
      </c>
      <c r="F74" s="356">
        <f>F73+HWP!C74</f>
        <v>0</v>
      </c>
      <c r="G74" s="319">
        <f>G73+HWP!D74</f>
        <v>2000.5937280000026</v>
      </c>
      <c r="H74" s="320">
        <f>H73+HWP!E74</f>
        <v>221.38923239999971</v>
      </c>
      <c r="I74" s="457"/>
      <c r="J74" s="367">
        <f>Garden!J81</f>
        <v>0</v>
      </c>
      <c r="K74" s="369">
        <f>Paper!J81</f>
        <v>21.090437641107243</v>
      </c>
      <c r="L74" s="368">
        <f>Wood!J81</f>
        <v>0.46678100955685903</v>
      </c>
      <c r="M74" s="378">
        <f>J74*(1-Recovery_OX!E74)*(1-Recovery_OX!F74)</f>
        <v>0</v>
      </c>
      <c r="N74" s="369">
        <f>K74*(1-Recovery_OX!E74)*(1-Recovery_OX!F74)</f>
        <v>17.362680778224043</v>
      </c>
      <c r="O74" s="368">
        <f>L74*(1-Recovery_OX!E74)*(1-Recovery_OX!F74)</f>
        <v>0.38427697898863517</v>
      </c>
    </row>
    <row r="75" spans="2:15">
      <c r="B75" s="359">
        <f t="shared" si="0"/>
        <v>2013</v>
      </c>
      <c r="C75" s="362">
        <f>Stored_C!E79</f>
        <v>0</v>
      </c>
      <c r="D75" s="319">
        <f>Stored_C!F79+Stored_C!L79</f>
        <v>31.755455999999999</v>
      </c>
      <c r="E75" s="320">
        <f>Stored_C!G79+Stored_C!M79</f>
        <v>3.5141147999999998</v>
      </c>
      <c r="F75" s="356">
        <f>F74+HWP!C75</f>
        <v>0</v>
      </c>
      <c r="G75" s="319">
        <f>G74+HWP!D75</f>
        <v>2032.3491840000027</v>
      </c>
      <c r="H75" s="320">
        <f>H74+HWP!E75</f>
        <v>224.9033471999997</v>
      </c>
      <c r="I75" s="457"/>
      <c r="J75" s="367">
        <f>Garden!J82</f>
        <v>0</v>
      </c>
      <c r="K75" s="369">
        <f>Paper!J82</f>
        <v>21.097311643953844</v>
      </c>
      <c r="L75" s="368">
        <f>Wood!J82</f>
        <v>0.46693314741397873</v>
      </c>
      <c r="M75" s="378">
        <f>J75*(1-Recovery_OX!E75)*(1-Recovery_OX!F75)</f>
        <v>0</v>
      </c>
      <c r="N75" s="369">
        <f>K75*(1-Recovery_OX!E75)*(1-Recovery_OX!F75)</f>
        <v>17.369554781070644</v>
      </c>
      <c r="O75" s="368">
        <f>L75*(1-Recovery_OX!E75)*(1-Recovery_OX!F75)</f>
        <v>0.38442911684575493</v>
      </c>
    </row>
    <row r="76" spans="2:15">
      <c r="B76" s="359">
        <f t="shared" si="0"/>
        <v>2014</v>
      </c>
      <c r="C76" s="362">
        <f>Stored_C!E80</f>
        <v>0</v>
      </c>
      <c r="D76" s="319">
        <f>Stored_C!F80+Stored_C!L80</f>
        <v>31.755455999999999</v>
      </c>
      <c r="E76" s="320">
        <f>Stored_C!G80+Stored_C!M80</f>
        <v>3.5141147999999998</v>
      </c>
      <c r="F76" s="356">
        <f>F75+HWP!C76</f>
        <v>0</v>
      </c>
      <c r="G76" s="319">
        <f>G75+HWP!D76</f>
        <v>2064.1046400000027</v>
      </c>
      <c r="H76" s="320">
        <f>H75+HWP!E76</f>
        <v>228.41746199999969</v>
      </c>
      <c r="I76" s="457"/>
      <c r="J76" s="367">
        <f>Garden!J83</f>
        <v>0</v>
      </c>
      <c r="K76" s="369">
        <f>Paper!J83</f>
        <v>21.103594009522993</v>
      </c>
      <c r="L76" s="368">
        <f>Wood!J83</f>
        <v>0.46707219094606073</v>
      </c>
      <c r="M76" s="378">
        <f>J76*(1-Recovery_OX!E76)*(1-Recovery_OX!F76)</f>
        <v>0</v>
      </c>
      <c r="N76" s="369">
        <f>K76*(1-Recovery_OX!E76)*(1-Recovery_OX!F76)</f>
        <v>17.375837146639793</v>
      </c>
      <c r="O76" s="368">
        <f>L76*(1-Recovery_OX!E76)*(1-Recovery_OX!F76)</f>
        <v>0.38456816037783692</v>
      </c>
    </row>
    <row r="77" spans="2:15">
      <c r="B77" s="359">
        <f t="shared" si="0"/>
        <v>2015</v>
      </c>
      <c r="C77" s="362">
        <f>Stored_C!E81</f>
        <v>0</v>
      </c>
      <c r="D77" s="319">
        <f>Stored_C!F81+Stored_C!L81</f>
        <v>31.755455999999999</v>
      </c>
      <c r="E77" s="320">
        <f>Stored_C!G81+Stored_C!M81</f>
        <v>3.5141147999999998</v>
      </c>
      <c r="F77" s="356">
        <f>F76+HWP!C77</f>
        <v>0</v>
      </c>
      <c r="G77" s="319">
        <f>G76+HWP!D77</f>
        <v>2095.8600960000026</v>
      </c>
      <c r="H77" s="320">
        <f>H76+HWP!E77</f>
        <v>231.93157679999968</v>
      </c>
      <c r="I77" s="457"/>
      <c r="J77" s="367">
        <f>Garden!J84</f>
        <v>0</v>
      </c>
      <c r="K77" s="369">
        <f>Paper!J84</f>
        <v>21.109335659333919</v>
      </c>
      <c r="L77" s="368">
        <f>Wood!J84</f>
        <v>0.46719926716614069</v>
      </c>
      <c r="M77" s="378">
        <f>J77*(1-Recovery_OX!E77)*(1-Recovery_OX!F77)</f>
        <v>0</v>
      </c>
      <c r="N77" s="369">
        <f>K77*(1-Recovery_OX!E77)*(1-Recovery_OX!F77)</f>
        <v>17.381578796450718</v>
      </c>
      <c r="O77" s="368">
        <f>L77*(1-Recovery_OX!E77)*(1-Recovery_OX!F77)</f>
        <v>0.38469523659791682</v>
      </c>
    </row>
    <row r="78" spans="2:15">
      <c r="B78" s="359">
        <f t="shared" ref="B78:B92" si="1">B77+1</f>
        <v>2016</v>
      </c>
      <c r="C78" s="362">
        <f>Stored_C!E82</f>
        <v>0</v>
      </c>
      <c r="D78" s="319">
        <f>Stored_C!F82+Stored_C!L82</f>
        <v>31.755455999999999</v>
      </c>
      <c r="E78" s="320">
        <f>Stored_C!G82+Stored_C!M82</f>
        <v>3.5141147999999998</v>
      </c>
      <c r="F78" s="356">
        <f>F77+HWP!C78</f>
        <v>0</v>
      </c>
      <c r="G78" s="319">
        <f>G77+HWP!D78</f>
        <v>2127.6155520000025</v>
      </c>
      <c r="H78" s="320">
        <f>H77+HWP!E78</f>
        <v>235.44569159999966</v>
      </c>
      <c r="I78" s="457"/>
      <c r="J78" s="367">
        <f>Garden!J85</f>
        <v>0</v>
      </c>
      <c r="K78" s="369">
        <f>Paper!J85</f>
        <v>21.114583132151026</v>
      </c>
      <c r="L78" s="368">
        <f>Wood!J85</f>
        <v>0.46731540608657818</v>
      </c>
      <c r="M78" s="378">
        <f>J78*(1-Recovery_OX!E78)*(1-Recovery_OX!F78)</f>
        <v>0</v>
      </c>
      <c r="N78" s="369">
        <f>K78*(1-Recovery_OX!E78)*(1-Recovery_OX!F78)</f>
        <v>17.386826269267825</v>
      </c>
      <c r="O78" s="368">
        <f>L78*(1-Recovery_OX!E78)*(1-Recovery_OX!F78)</f>
        <v>0.38481137551835437</v>
      </c>
    </row>
    <row r="79" spans="2:15">
      <c r="B79" s="359">
        <f t="shared" si="1"/>
        <v>2017</v>
      </c>
      <c r="C79" s="362">
        <f>Stored_C!E83</f>
        <v>0</v>
      </c>
      <c r="D79" s="319">
        <f>Stored_C!F83+Stored_C!L83</f>
        <v>31.755455999999999</v>
      </c>
      <c r="E79" s="320">
        <f>Stored_C!G83+Stored_C!M83</f>
        <v>3.5141147999999998</v>
      </c>
      <c r="F79" s="356">
        <f>F78+HWP!C79</f>
        <v>0</v>
      </c>
      <c r="G79" s="319">
        <f>G78+HWP!D79</f>
        <v>2159.3710080000023</v>
      </c>
      <c r="H79" s="320">
        <f>H78+HWP!E79</f>
        <v>238.95980639999965</v>
      </c>
      <c r="I79" s="457"/>
      <c r="J79" s="367">
        <f>Garden!J86</f>
        <v>0</v>
      </c>
      <c r="K79" s="369">
        <f>Paper!J86</f>
        <v>21.119378961202443</v>
      </c>
      <c r="L79" s="368">
        <f>Wood!J86</f>
        <v>0.46742154906778982</v>
      </c>
      <c r="M79" s="378">
        <f>J79*(1-Recovery_OX!E79)*(1-Recovery_OX!F79)</f>
        <v>0</v>
      </c>
      <c r="N79" s="369">
        <f>K79*(1-Recovery_OX!E79)*(1-Recovery_OX!F79)</f>
        <v>17.391622098319242</v>
      </c>
      <c r="O79" s="368">
        <f>L79*(1-Recovery_OX!E79)*(1-Recovery_OX!F79)</f>
        <v>0.38491751849956601</v>
      </c>
    </row>
    <row r="80" spans="2:15">
      <c r="B80" s="359">
        <f t="shared" si="1"/>
        <v>2018</v>
      </c>
      <c r="C80" s="362">
        <f>Stored_C!E84</f>
        <v>0</v>
      </c>
      <c r="D80" s="319">
        <f>Stored_C!F84+Stored_C!L84</f>
        <v>31.755455999999999</v>
      </c>
      <c r="E80" s="320">
        <f>Stored_C!G84+Stored_C!M84</f>
        <v>3.5141147999999998</v>
      </c>
      <c r="F80" s="356">
        <f>F79+HWP!C80</f>
        <v>0</v>
      </c>
      <c r="G80" s="319">
        <f>G79+HWP!D80</f>
        <v>2191.1264640000022</v>
      </c>
      <c r="H80" s="320">
        <f>H79+HWP!E80</f>
        <v>242.47392119999964</v>
      </c>
      <c r="I80" s="457"/>
      <c r="J80" s="367">
        <f>Garden!J87</f>
        <v>0</v>
      </c>
      <c r="K80" s="369">
        <f>Paper!J87</f>
        <v>21.123762018931764</v>
      </c>
      <c r="L80" s="368">
        <f>Wood!J87</f>
        <v>0.46751855644841667</v>
      </c>
      <c r="M80" s="378">
        <f>J80*(1-Recovery_OX!E80)*(1-Recovery_OX!F80)</f>
        <v>0</v>
      </c>
      <c r="N80" s="369">
        <f>K80*(1-Recovery_OX!E80)*(1-Recovery_OX!F80)</f>
        <v>17.396005156048563</v>
      </c>
      <c r="O80" s="368">
        <f>L80*(1-Recovery_OX!E80)*(1-Recovery_OX!F80)</f>
        <v>0.3850145258801928</v>
      </c>
    </row>
    <row r="81" spans="2:15">
      <c r="B81" s="359">
        <f t="shared" si="1"/>
        <v>2019</v>
      </c>
      <c r="C81" s="362">
        <f>Stored_C!E85</f>
        <v>0</v>
      </c>
      <c r="D81" s="319">
        <f>Stored_C!F85+Stored_C!L85</f>
        <v>31.755455999999999</v>
      </c>
      <c r="E81" s="320">
        <f>Stored_C!G85+Stored_C!M85</f>
        <v>3.5141147999999998</v>
      </c>
      <c r="F81" s="356">
        <f>F80+HWP!C81</f>
        <v>0</v>
      </c>
      <c r="G81" s="319">
        <f>G80+HWP!D81</f>
        <v>2222.8819200000021</v>
      </c>
      <c r="H81" s="320">
        <f>H80+HWP!E81</f>
        <v>245.98803599999962</v>
      </c>
      <c r="I81" s="457"/>
      <c r="J81" s="367">
        <f>Garden!J88</f>
        <v>0</v>
      </c>
      <c r="K81" s="369">
        <f>Paper!J88</f>
        <v>21.127767832077438</v>
      </c>
      <c r="L81" s="368">
        <f>Wood!J88</f>
        <v>0.46760721451877307</v>
      </c>
      <c r="M81" s="378">
        <f>J81*(1-Recovery_OX!E81)*(1-Recovery_OX!F81)</f>
        <v>0</v>
      </c>
      <c r="N81" s="369">
        <f>K81*(1-Recovery_OX!E81)*(1-Recovery_OX!F81)</f>
        <v>17.400010969194238</v>
      </c>
      <c r="O81" s="368">
        <f>L81*(1-Recovery_OX!E81)*(1-Recovery_OX!F81)</f>
        <v>0.38510318395054927</v>
      </c>
    </row>
    <row r="82" spans="2:15">
      <c r="B82" s="359">
        <f t="shared" si="1"/>
        <v>2020</v>
      </c>
      <c r="C82" s="362">
        <f>Stored_C!E86</f>
        <v>0</v>
      </c>
      <c r="D82" s="319">
        <f>Stored_C!F86+Stored_C!L86</f>
        <v>31.755455999999999</v>
      </c>
      <c r="E82" s="320">
        <f>Stored_C!G86+Stored_C!M86</f>
        <v>3.5141147999999998</v>
      </c>
      <c r="F82" s="356">
        <f>F81+HWP!C82</f>
        <v>0</v>
      </c>
      <c r="G82" s="319">
        <f>G81+HWP!D82</f>
        <v>2254.637376000002</v>
      </c>
      <c r="H82" s="320">
        <f>H81+HWP!E82</f>
        <v>249.50215079999961</v>
      </c>
      <c r="I82" s="457"/>
      <c r="J82" s="367">
        <f>Garden!J89</f>
        <v>0</v>
      </c>
      <c r="K82" s="369">
        <f>Paper!J89</f>
        <v>21.131428869633634</v>
      </c>
      <c r="L82" s="368">
        <f>Wood!J89</f>
        <v>0.4676882418940978</v>
      </c>
      <c r="M82" s="378">
        <f>J82*(1-Recovery_OX!E82)*(1-Recovery_OX!F82)</f>
        <v>0</v>
      </c>
      <c r="N82" s="369">
        <f>K82*(1-Recovery_OX!E82)*(1-Recovery_OX!F82)</f>
        <v>17.403672006750433</v>
      </c>
      <c r="O82" s="368">
        <f>L82*(1-Recovery_OX!E82)*(1-Recovery_OX!F82)</f>
        <v>0.38518421132587394</v>
      </c>
    </row>
    <row r="83" spans="2:15">
      <c r="B83" s="359">
        <f t="shared" si="1"/>
        <v>2021</v>
      </c>
      <c r="C83" s="362">
        <f>Stored_C!E87</f>
        <v>0</v>
      </c>
      <c r="D83" s="319">
        <f>Stored_C!F87+Stored_C!L87</f>
        <v>31.755455999999999</v>
      </c>
      <c r="E83" s="320">
        <f>Stored_C!G87+Stored_C!M87</f>
        <v>3.5141147999999998</v>
      </c>
      <c r="F83" s="356">
        <f>F82+HWP!C83</f>
        <v>0</v>
      </c>
      <c r="G83" s="319">
        <f>G82+HWP!D83</f>
        <v>2286.3928320000018</v>
      </c>
      <c r="H83" s="320">
        <f>H82+HWP!E83</f>
        <v>253.0162655999996</v>
      </c>
      <c r="I83" s="457"/>
      <c r="J83" s="367">
        <f>Garden!J90</f>
        <v>0</v>
      </c>
      <c r="K83" s="369">
        <f>Paper!J90</f>
        <v>21.134774806026694</v>
      </c>
      <c r="L83" s="368">
        <f>Wood!J90</f>
        <v>0.46776229533926761</v>
      </c>
      <c r="M83" s="378">
        <f>J83*(1-Recovery_OX!E83)*(1-Recovery_OX!F83)</f>
        <v>0</v>
      </c>
      <c r="N83" s="369">
        <f>K83*(1-Recovery_OX!E83)*(1-Recovery_OX!F83)</f>
        <v>17.407017943143494</v>
      </c>
      <c r="O83" s="368">
        <f>L83*(1-Recovery_OX!E83)*(1-Recovery_OX!F83)</f>
        <v>0.38525826477104375</v>
      </c>
    </row>
    <row r="84" spans="2:15">
      <c r="B84" s="359">
        <f t="shared" si="1"/>
        <v>2022</v>
      </c>
      <c r="C84" s="362">
        <f>Stored_C!E88</f>
        <v>0</v>
      </c>
      <c r="D84" s="319">
        <f>Stored_C!F88+Stored_C!L88</f>
        <v>31.755455999999999</v>
      </c>
      <c r="E84" s="320">
        <f>Stored_C!G88+Stored_C!M88</f>
        <v>3.5141147999999998</v>
      </c>
      <c r="F84" s="356">
        <f>F83+HWP!C84</f>
        <v>0</v>
      </c>
      <c r="G84" s="319">
        <f>G83+HWP!D84</f>
        <v>2318.1482880000017</v>
      </c>
      <c r="H84" s="320">
        <f>H83+HWP!E84</f>
        <v>256.53038039999961</v>
      </c>
      <c r="I84" s="457"/>
      <c r="J84" s="367">
        <f>Garden!J91</f>
        <v>0</v>
      </c>
      <c r="K84" s="369">
        <f>Paper!J91</f>
        <v>21.137832761640244</v>
      </c>
      <c r="L84" s="368">
        <f>Wood!J91</f>
        <v>0.46782997509218527</v>
      </c>
      <c r="M84" s="378">
        <f>J84*(1-Recovery_OX!E84)*(1-Recovery_OX!F84)</f>
        <v>0</v>
      </c>
      <c r="N84" s="369">
        <f>K84*(1-Recovery_OX!E84)*(1-Recovery_OX!F84)</f>
        <v>17.410075898757043</v>
      </c>
      <c r="O84" s="368">
        <f>L84*(1-Recovery_OX!E84)*(1-Recovery_OX!F84)</f>
        <v>0.38532594452396141</v>
      </c>
    </row>
    <row r="85" spans="2:15">
      <c r="B85" s="359">
        <f t="shared" si="1"/>
        <v>2023</v>
      </c>
      <c r="C85" s="362">
        <f>Stored_C!E89</f>
        <v>0</v>
      </c>
      <c r="D85" s="319">
        <f>Stored_C!F89+Stored_C!L89</f>
        <v>31.755455999999999</v>
      </c>
      <c r="E85" s="320">
        <f>Stored_C!G89+Stored_C!M89</f>
        <v>3.5141147999999998</v>
      </c>
      <c r="F85" s="356">
        <f>F84+HWP!C85</f>
        <v>0</v>
      </c>
      <c r="G85" s="319">
        <f>G84+HWP!D85</f>
        <v>2349.9037440000016</v>
      </c>
      <c r="H85" s="320">
        <f>H84+HWP!E85</f>
        <v>260.04449519999963</v>
      </c>
      <c r="I85" s="457"/>
      <c r="J85" s="367">
        <f>Garden!J92</f>
        <v>0</v>
      </c>
      <c r="K85" s="369">
        <f>Paper!J92</f>
        <v>21.140627522638642</v>
      </c>
      <c r="L85" s="368">
        <f>Wood!J92</f>
        <v>0.46789182972898802</v>
      </c>
      <c r="M85" s="378">
        <f>J85*(1-Recovery_OX!E85)*(1-Recovery_OX!F85)</f>
        <v>0</v>
      </c>
      <c r="N85" s="369">
        <f>K85*(1-Recovery_OX!E85)*(1-Recovery_OX!F85)</f>
        <v>17.412870659755441</v>
      </c>
      <c r="O85" s="368">
        <f>L85*(1-Recovery_OX!E85)*(1-Recovery_OX!F85)</f>
        <v>0.38538779916076416</v>
      </c>
    </row>
    <row r="86" spans="2:15">
      <c r="B86" s="359">
        <f t="shared" si="1"/>
        <v>2024</v>
      </c>
      <c r="C86" s="362">
        <f>Stored_C!E90</f>
        <v>0</v>
      </c>
      <c r="D86" s="319">
        <f>Stored_C!F90+Stored_C!L90</f>
        <v>31.755455999999999</v>
      </c>
      <c r="E86" s="320">
        <f>Stored_C!G90+Stored_C!M90</f>
        <v>3.5141147999999998</v>
      </c>
      <c r="F86" s="356">
        <f>F85+HWP!C86</f>
        <v>0</v>
      </c>
      <c r="G86" s="319">
        <f>G85+HWP!D86</f>
        <v>2381.6592000000014</v>
      </c>
      <c r="H86" s="320">
        <f>H85+HWP!E86</f>
        <v>263.55860999999965</v>
      </c>
      <c r="I86" s="457"/>
      <c r="J86" s="367">
        <f>Garden!J93</f>
        <v>0</v>
      </c>
      <c r="K86" s="369">
        <f>Paper!J93</f>
        <v>21.14318174187046</v>
      </c>
      <c r="L86" s="368">
        <f>Wood!J93</f>
        <v>0.4679483606105157</v>
      </c>
      <c r="M86" s="378">
        <f>J86*(1-Recovery_OX!E86)*(1-Recovery_OX!F86)</f>
        <v>0</v>
      </c>
      <c r="N86" s="369">
        <f>K86*(1-Recovery_OX!E86)*(1-Recovery_OX!F86)</f>
        <v>17.41542487898726</v>
      </c>
      <c r="O86" s="368">
        <f>L86*(1-Recovery_OX!E86)*(1-Recovery_OX!F86)</f>
        <v>0.38544433004229184</v>
      </c>
    </row>
    <row r="87" spans="2:15">
      <c r="B87" s="359">
        <f t="shared" si="1"/>
        <v>2025</v>
      </c>
      <c r="C87" s="362">
        <f>Stored_C!E91</f>
        <v>0</v>
      </c>
      <c r="D87" s="319">
        <f>Stored_C!F91+Stored_C!L91</f>
        <v>31.755455999999999</v>
      </c>
      <c r="E87" s="320">
        <f>Stored_C!G91+Stored_C!M91</f>
        <v>3.5141147999999998</v>
      </c>
      <c r="F87" s="356">
        <f>F86+HWP!C87</f>
        <v>0</v>
      </c>
      <c r="G87" s="319">
        <f>G86+HWP!D87</f>
        <v>2413.4146560000013</v>
      </c>
      <c r="H87" s="320">
        <f>H86+HWP!E87</f>
        <v>267.07272479999966</v>
      </c>
      <c r="I87" s="457"/>
      <c r="J87" s="367">
        <f>Garden!J94</f>
        <v>0</v>
      </c>
      <c r="K87" s="369">
        <f>Paper!J94</f>
        <v>21.145516122480437</v>
      </c>
      <c r="L87" s="368">
        <f>Wood!J94</f>
        <v>0.4680000259460747</v>
      </c>
      <c r="M87" s="378">
        <f>J87*(1-Recovery_OX!E87)*(1-Recovery_OX!F87)</f>
        <v>0</v>
      </c>
      <c r="N87" s="369">
        <f>K87*(1-Recovery_OX!E87)*(1-Recovery_OX!F87)</f>
        <v>17.417759259597236</v>
      </c>
      <c r="O87" s="368">
        <f>L87*(1-Recovery_OX!E87)*(1-Recovery_OX!F87)</f>
        <v>0.38549599537785084</v>
      </c>
    </row>
    <row r="88" spans="2:15">
      <c r="B88" s="359">
        <f t="shared" si="1"/>
        <v>2026</v>
      </c>
      <c r="C88" s="362">
        <f>Stored_C!E92</f>
        <v>0</v>
      </c>
      <c r="D88" s="319">
        <f>Stored_C!F92+Stored_C!L92</f>
        <v>31.755455999999999</v>
      </c>
      <c r="E88" s="320">
        <f>Stored_C!G92+Stored_C!M92</f>
        <v>3.5141147999999998</v>
      </c>
      <c r="F88" s="356">
        <f>F87+HWP!C88</f>
        <v>0</v>
      </c>
      <c r="G88" s="319">
        <f>G87+HWP!D88</f>
        <v>2445.1701120000012</v>
      </c>
      <c r="H88" s="320">
        <f>H87+HWP!E88</f>
        <v>270.58683959999968</v>
      </c>
      <c r="I88" s="457"/>
      <c r="J88" s="367">
        <f>Garden!J95</f>
        <v>0</v>
      </c>
      <c r="K88" s="369">
        <f>Paper!J95</f>
        <v>21.147649585718185</v>
      </c>
      <c r="L88" s="368">
        <f>Wood!J95</f>
        <v>0.46804724450743956</v>
      </c>
      <c r="M88" s="378">
        <f>J88*(1-Recovery_OX!E88)*(1-Recovery_OX!F88)</f>
        <v>0</v>
      </c>
      <c r="N88" s="369">
        <f>K88*(1-Recovery_OX!E88)*(1-Recovery_OX!F88)</f>
        <v>17.419892722834984</v>
      </c>
      <c r="O88" s="368">
        <f>L88*(1-Recovery_OX!E88)*(1-Recovery_OX!F88)</f>
        <v>0.3855432139392157</v>
      </c>
    </row>
    <row r="89" spans="2:15">
      <c r="B89" s="359">
        <f t="shared" si="1"/>
        <v>2027</v>
      </c>
      <c r="C89" s="362">
        <f>Stored_C!E93</f>
        <v>0</v>
      </c>
      <c r="D89" s="319">
        <f>Stored_C!F93+Stored_C!L93</f>
        <v>31.755455999999999</v>
      </c>
      <c r="E89" s="320">
        <f>Stored_C!G93+Stored_C!M93</f>
        <v>3.5141147999999998</v>
      </c>
      <c r="F89" s="356">
        <f>F88+HWP!C89</f>
        <v>0</v>
      </c>
      <c r="G89" s="319">
        <f>G88+HWP!D89</f>
        <v>2476.925568000001</v>
      </c>
      <c r="H89" s="320">
        <f>H88+HWP!E89</f>
        <v>274.10095439999969</v>
      </c>
      <c r="I89" s="457"/>
      <c r="J89" s="367">
        <f>Garden!J96</f>
        <v>0</v>
      </c>
      <c r="K89" s="369">
        <f>Paper!J96</f>
        <v>21.149599424303794</v>
      </c>
      <c r="L89" s="368">
        <f>Wood!J96</f>
        <v>0.46809039902319466</v>
      </c>
      <c r="M89" s="378">
        <f>J89*(1-Recovery_OX!E89)*(1-Recovery_OX!F89)</f>
        <v>0</v>
      </c>
      <c r="N89" s="369">
        <f>K89*(1-Recovery_OX!E89)*(1-Recovery_OX!F89)</f>
        <v>17.421842561420593</v>
      </c>
      <c r="O89" s="368">
        <f>L89*(1-Recovery_OX!E89)*(1-Recovery_OX!F89)</f>
        <v>0.38558636845497085</v>
      </c>
    </row>
    <row r="90" spans="2:15">
      <c r="B90" s="359">
        <f t="shared" si="1"/>
        <v>2028</v>
      </c>
      <c r="C90" s="362">
        <f>Stored_C!E94</f>
        <v>0</v>
      </c>
      <c r="D90" s="319">
        <f>Stored_C!F94+Stored_C!L94</f>
        <v>31.755455999999999</v>
      </c>
      <c r="E90" s="320">
        <f>Stored_C!G94+Stored_C!M94</f>
        <v>3.5141147999999998</v>
      </c>
      <c r="F90" s="356">
        <f>F89+HWP!C90</f>
        <v>0</v>
      </c>
      <c r="G90" s="319">
        <f>G89+HWP!D90</f>
        <v>2508.6810240000009</v>
      </c>
      <c r="H90" s="320">
        <f>H89+HWP!E90</f>
        <v>277.61506919999971</v>
      </c>
      <c r="I90" s="457"/>
      <c r="J90" s="367">
        <f>Garden!J97</f>
        <v>0</v>
      </c>
      <c r="K90" s="369">
        <f>Paper!J97</f>
        <v>21.151381442593426</v>
      </c>
      <c r="L90" s="368">
        <f>Wood!J97</f>
        <v>0.46812983928092844</v>
      </c>
      <c r="M90" s="378">
        <f>J90*(1-Recovery_OX!E90)*(1-Recovery_OX!F90)</f>
        <v>0</v>
      </c>
      <c r="N90" s="369">
        <f>K90*(1-Recovery_OX!E90)*(1-Recovery_OX!F90)</f>
        <v>17.423624579710228</v>
      </c>
      <c r="O90" s="368">
        <f>L90*(1-Recovery_OX!E90)*(1-Recovery_OX!F90)</f>
        <v>0.38562580871270463</v>
      </c>
    </row>
    <row r="91" spans="2:15">
      <c r="B91" s="359">
        <f t="shared" si="1"/>
        <v>2029</v>
      </c>
      <c r="C91" s="362">
        <f>Stored_C!E95</f>
        <v>0</v>
      </c>
      <c r="D91" s="319">
        <f>Stored_C!F95+Stored_C!L95</f>
        <v>31.755455999999999</v>
      </c>
      <c r="E91" s="320">
        <f>Stored_C!G95+Stored_C!M95</f>
        <v>3.5141147999999998</v>
      </c>
      <c r="F91" s="356">
        <f>F90+HWP!C91</f>
        <v>0</v>
      </c>
      <c r="G91" s="319">
        <f>G90+HWP!D91</f>
        <v>2540.4364800000008</v>
      </c>
      <c r="H91" s="320">
        <f>H90+HWP!E91</f>
        <v>281.12918399999973</v>
      </c>
      <c r="I91" s="457"/>
      <c r="J91" s="367">
        <f>Garden!J98</f>
        <v>0</v>
      </c>
      <c r="K91" s="369">
        <f>Paper!J98</f>
        <v>21.15301008468105</v>
      </c>
      <c r="L91" s="368">
        <f>Wood!J98</f>
        <v>0.4681658849624265</v>
      </c>
      <c r="M91" s="378">
        <f>J91*(1-Recovery_OX!E91)*(1-Recovery_OX!F91)</f>
        <v>0</v>
      </c>
      <c r="N91" s="369">
        <f>K91*(1-Recovery_OX!E91)*(1-Recovery_OX!F91)</f>
        <v>17.425253221797849</v>
      </c>
      <c r="O91" s="368">
        <f>L91*(1-Recovery_OX!E91)*(1-Recovery_OX!F91)</f>
        <v>0.3856618543942027</v>
      </c>
    </row>
    <row r="92" spans="2:15" ht="13.8" thickBot="1">
      <c r="B92" s="360">
        <f t="shared" si="1"/>
        <v>2030</v>
      </c>
      <c r="C92" s="363">
        <f>Stored_C!E96</f>
        <v>0</v>
      </c>
      <c r="D92" s="321">
        <f>Stored_C!F96+Stored_C!L96</f>
        <v>31.755455999999999</v>
      </c>
      <c r="E92" s="322">
        <f>Stored_C!G96+Stored_C!M96</f>
        <v>3.5141147999999998</v>
      </c>
      <c r="F92" s="357">
        <f>F91+HWP!C92</f>
        <v>0</v>
      </c>
      <c r="G92" s="321">
        <f>G91+HWP!D92</f>
        <v>2572.1919360000006</v>
      </c>
      <c r="H92" s="322">
        <f>H91+HWP!E92</f>
        <v>284.64329879999974</v>
      </c>
      <c r="I92" s="457"/>
      <c r="J92" s="370">
        <f>Garden!J99</f>
        <v>0</v>
      </c>
      <c r="K92" s="372">
        <f>Paper!J99</f>
        <v>21.154498551474568</v>
      </c>
      <c r="L92" s="371">
        <f>Wood!J99</f>
        <v>0.46819882823484194</v>
      </c>
      <c r="M92" s="379">
        <f>J92*(1-Recovery_OX!E92)*(1-Recovery_OX!F92)</f>
        <v>0</v>
      </c>
      <c r="N92" s="372">
        <f>K92*(1-Recovery_OX!E92)*(1-Recovery_OX!F92)</f>
        <v>17.426741688591367</v>
      </c>
      <c r="O92" s="371">
        <f>L92*(1-Recovery_OX!E92)*(1-Recovery_OX!F92)</f>
        <v>0.38569479766661807</v>
      </c>
    </row>
  </sheetData>
  <sheetProtection password="CF65" sheet="1" objects="1" scenarios="1"/>
  <mergeCells count="4">
    <mergeCell ref="C8:E8"/>
    <mergeCell ref="F8:H8"/>
    <mergeCell ref="J8:L8"/>
    <mergeCell ref="M8:O8"/>
  </mergeCells>
  <phoneticPr fontId="17" type="noConversion"/>
  <pageMargins left="0.75" right="0.75" top="1" bottom="1" header="0.5" footer="0.5"/>
  <pageSetup orientation="portrait"/>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indexed="61"/>
  </sheetPr>
  <dimension ref="B1:O96"/>
  <sheetViews>
    <sheetView showGridLines="0" workbookViewId="0">
      <selection activeCell="D16" sqref="D16"/>
    </sheetView>
  </sheetViews>
  <sheetFormatPr defaultColWidth="11.44140625" defaultRowHeight="13.2"/>
  <cols>
    <col min="1" max="1" width="4" style="6" customWidth="1"/>
    <col min="2" max="2" width="7.44140625" style="14" customWidth="1"/>
    <col min="3" max="3" width="8.6640625" style="81" customWidth="1"/>
    <col min="4" max="4" width="8.33203125" style="81" customWidth="1"/>
    <col min="5" max="5" width="9.6640625" style="81" customWidth="1"/>
    <col min="6" max="6" width="9.109375" style="81" customWidth="1"/>
    <col min="7" max="9" width="8.44140625" style="81" customWidth="1"/>
    <col min="10" max="10" width="7.44140625" style="81" customWidth="1"/>
    <col min="11" max="11" width="7.6640625" style="81" customWidth="1"/>
    <col min="12" max="13" width="8.6640625" style="6" customWidth="1"/>
    <col min="14" max="14" width="12.33203125" style="81" customWidth="1"/>
    <col min="15" max="15" width="13.6640625" style="6" customWidth="1"/>
    <col min="16" max="16384" width="11.44140625" style="6"/>
  </cols>
  <sheetData>
    <row r="1" spans="2:15" ht="13.8" thickBot="1"/>
    <row r="2" spans="2:15" ht="13.8" thickBot="1">
      <c r="B2" s="330"/>
      <c r="C2" s="336" t="s">
        <v>33</v>
      </c>
      <c r="D2" s="699">
        <f>country</f>
        <v>0</v>
      </c>
      <c r="E2" s="700"/>
      <c r="F2" s="701"/>
      <c r="H2" s="702"/>
      <c r="I2" s="702"/>
      <c r="J2" s="702"/>
      <c r="K2" s="702"/>
    </row>
    <row r="3" spans="2:15">
      <c r="B3" s="330"/>
      <c r="H3" s="703"/>
      <c r="I3" s="703"/>
      <c r="J3" s="703"/>
      <c r="K3" s="703"/>
    </row>
    <row r="4" spans="2:15" s="67" customFormat="1" ht="15.6">
      <c r="C4" s="331" t="s">
        <v>240</v>
      </c>
      <c r="D4" s="331"/>
      <c r="E4" s="331"/>
      <c r="F4" s="332"/>
      <c r="G4" s="332"/>
      <c r="H4" s="332"/>
      <c r="I4" s="332"/>
      <c r="J4" s="332"/>
      <c r="K4" s="332"/>
      <c r="N4" s="332"/>
    </row>
    <row r="5" spans="2:15">
      <c r="C5" s="333" t="s">
        <v>244</v>
      </c>
      <c r="D5" s="333"/>
      <c r="E5" s="333"/>
    </row>
    <row r="6" spans="2:15" ht="13.8" thickBot="1">
      <c r="B6" s="333"/>
    </row>
    <row r="7" spans="2:15" ht="13.8" thickBot="1">
      <c r="B7" s="333"/>
      <c r="C7" s="338" t="s">
        <v>230</v>
      </c>
      <c r="D7" s="333"/>
    </row>
    <row r="8" spans="2:15">
      <c r="B8" s="333"/>
      <c r="C8" s="437" t="s">
        <v>115</v>
      </c>
      <c r="D8" s="339">
        <f>Parameters!M20</f>
        <v>0.15</v>
      </c>
      <c r="E8" s="440" t="s">
        <v>7</v>
      </c>
      <c r="F8" s="339">
        <f>Parameters!M13</f>
        <v>0</v>
      </c>
      <c r="G8" s="443" t="s">
        <v>175</v>
      </c>
      <c r="H8" s="326">
        <f>Parameters!M18</f>
        <v>0</v>
      </c>
      <c r="L8" s="330"/>
    </row>
    <row r="9" spans="2:15">
      <c r="B9" s="333"/>
      <c r="C9" s="438" t="s">
        <v>2</v>
      </c>
      <c r="D9" s="337">
        <f>Parameters!M15</f>
        <v>0.4</v>
      </c>
      <c r="E9" s="441" t="s">
        <v>54</v>
      </c>
      <c r="F9" s="337">
        <f>Parameters!M14</f>
        <v>0.2</v>
      </c>
      <c r="G9" s="444" t="s">
        <v>176</v>
      </c>
      <c r="H9" s="327">
        <f>Parameters!M19</f>
        <v>0.05</v>
      </c>
      <c r="L9" s="330"/>
    </row>
    <row r="10" spans="2:15" ht="13.8" thickBot="1">
      <c r="B10" s="333"/>
      <c r="C10" s="439" t="s">
        <v>3</v>
      </c>
      <c r="D10" s="340">
        <f>Parameters!M16</f>
        <v>0.43</v>
      </c>
      <c r="E10" s="442" t="s">
        <v>18</v>
      </c>
      <c r="F10" s="340">
        <f>Parameters!M17</f>
        <v>0</v>
      </c>
      <c r="G10" s="442" t="s">
        <v>241</v>
      </c>
      <c r="H10" s="328">
        <f>Parameters!$M$21</f>
        <v>0.15</v>
      </c>
    </row>
    <row r="11" spans="2:15">
      <c r="B11" s="333"/>
    </row>
    <row r="12" spans="2:15" ht="13.8" thickBot="1">
      <c r="B12" s="334"/>
    </row>
    <row r="13" spans="2:15" s="335" customFormat="1" ht="40.200000000000003" thickBot="1">
      <c r="B13" s="445" t="s">
        <v>1</v>
      </c>
      <c r="C13" s="445" t="s">
        <v>115</v>
      </c>
      <c r="D13" s="431" t="s">
        <v>13</v>
      </c>
      <c r="E13" s="430" t="s">
        <v>54</v>
      </c>
      <c r="F13" s="430" t="s">
        <v>2</v>
      </c>
      <c r="G13" s="430" t="s">
        <v>3</v>
      </c>
      <c r="H13" s="430" t="s">
        <v>18</v>
      </c>
      <c r="I13" s="485" t="s">
        <v>175</v>
      </c>
      <c r="J13" s="487" t="s">
        <v>176</v>
      </c>
      <c r="K13" s="429" t="s">
        <v>235</v>
      </c>
      <c r="L13" s="430" t="s">
        <v>259</v>
      </c>
      <c r="M13" s="432" t="s">
        <v>260</v>
      </c>
      <c r="N13" s="433" t="s">
        <v>242</v>
      </c>
      <c r="O13" s="434" t="s">
        <v>248</v>
      </c>
    </row>
    <row r="14" spans="2:15" s="335" customFormat="1" ht="13.8" thickBot="1">
      <c r="B14" s="446"/>
      <c r="C14" s="53" t="s">
        <v>17</v>
      </c>
      <c r="D14" s="351" t="s">
        <v>17</v>
      </c>
      <c r="E14" s="324" t="s">
        <v>17</v>
      </c>
      <c r="F14" s="324" t="s">
        <v>17</v>
      </c>
      <c r="G14" s="324" t="s">
        <v>17</v>
      </c>
      <c r="H14" s="324" t="s">
        <v>17</v>
      </c>
      <c r="I14" s="486" t="s">
        <v>17</v>
      </c>
      <c r="J14" s="201" t="s">
        <v>17</v>
      </c>
      <c r="K14" s="323" t="s">
        <v>17</v>
      </c>
      <c r="L14" s="324" t="s">
        <v>17</v>
      </c>
      <c r="M14" s="38" t="s">
        <v>17</v>
      </c>
      <c r="N14" s="325" t="s">
        <v>17</v>
      </c>
      <c r="O14" s="38" t="s">
        <v>17</v>
      </c>
    </row>
    <row r="15" spans="2:15">
      <c r="B15" s="358"/>
      <c r="C15" s="349"/>
      <c r="D15" s="435"/>
      <c r="E15" s="167"/>
      <c r="F15" s="167"/>
      <c r="G15" s="167"/>
      <c r="H15" s="167"/>
      <c r="I15" s="483"/>
      <c r="J15" s="414"/>
      <c r="K15" s="426"/>
      <c r="L15" s="315"/>
      <c r="M15" s="343"/>
      <c r="N15" s="435"/>
      <c r="O15" s="436"/>
    </row>
    <row r="16" spans="2:15">
      <c r="B16" s="359">
        <f>year</f>
        <v>1950</v>
      </c>
      <c r="C16" s="448">
        <f>Amnt_Deposited!J11*$D$8*(1-DOCF)*MSW!C19</f>
        <v>58.373999999999995</v>
      </c>
      <c r="D16" s="134">
        <f>Amnt_Deposited!C11*$F$8*(1-DOCF)*Food!D19</f>
        <v>0</v>
      </c>
      <c r="E16" s="100">
        <f>Amnt_Deposited!D11*$F$9*(1-DOCF)*Garden!D19</f>
        <v>0</v>
      </c>
      <c r="F16" s="100">
        <f>Amnt_Deposited!E11*$D$9*(1-DOCF)*Paper!D19</f>
        <v>31.755455999999999</v>
      </c>
      <c r="G16" s="100">
        <f>Amnt_Deposited!F11*$D$10*(1-DOCF)*Wood!D19</f>
        <v>3.5141147999999998</v>
      </c>
      <c r="H16" s="100">
        <f>Amnt_Deposited!G11*$F$10*(1-DOCF)*Textiles!D19</f>
        <v>0</v>
      </c>
      <c r="I16" s="341">
        <f>Amnt_Deposited!H11*$H$8*(1-DOCF)*Nappies!D19</f>
        <v>0</v>
      </c>
      <c r="J16" s="416">
        <f>Amnt_Deposited!I11*$H$9*(1-DOCF)*Sludge!D19</f>
        <v>0</v>
      </c>
      <c r="K16" s="422">
        <f>Amnt_Deposited!L11*$H$10*(1-DOCF)*Industry!D19</f>
        <v>26.812500000000004</v>
      </c>
      <c r="L16" s="100">
        <f>Amnt_Deposited!L11*Parameters!$E$49*$D$9*(1-DOCF)*Industry!D19</f>
        <v>0</v>
      </c>
      <c r="M16" s="341">
        <f>Amnt_Deposited!L11*Parameters!$E$50*$D$10*(1-DOCF)*Industry!D19</f>
        <v>0</v>
      </c>
      <c r="N16" s="362">
        <f t="shared" ref="N16:N47" si="0">IF(Select2=2,C16+J16+K16, D16+E16+F16+G16+H16+I16+J16+K16)</f>
        <v>85.186499999999995</v>
      </c>
      <c r="O16" s="320">
        <f t="shared" ref="O16:O47" si="1">O15+N16</f>
        <v>85.186499999999995</v>
      </c>
    </row>
    <row r="17" spans="2:15">
      <c r="B17" s="359">
        <f>B16+1</f>
        <v>1951</v>
      </c>
      <c r="C17" s="448">
        <f>Amnt_Deposited!J12*$D$8*(1-DOCF)*MSW!C20</f>
        <v>58.373999999999995</v>
      </c>
      <c r="D17" s="134">
        <f>Amnt_Deposited!C12*$F$8*(1-DOCF)*Food!D20</f>
        <v>0</v>
      </c>
      <c r="E17" s="100">
        <f>Amnt_Deposited!D12*$F$9*(1-DOCF)*Garden!D20</f>
        <v>0</v>
      </c>
      <c r="F17" s="100">
        <f>Amnt_Deposited!E12*$D$9*(1-DOCF)*Paper!D20</f>
        <v>31.755455999999999</v>
      </c>
      <c r="G17" s="100">
        <f>Amnt_Deposited!F12*$D$10*(1-DOCF)*Wood!D20</f>
        <v>3.5141147999999998</v>
      </c>
      <c r="H17" s="100">
        <f>Amnt_Deposited!G12*$F$10*(1-DOCF)*Textiles!D20</f>
        <v>0</v>
      </c>
      <c r="I17" s="341">
        <f>Amnt_Deposited!H12*$H$8*(1-DOCF)*Nappies!D20</f>
        <v>0</v>
      </c>
      <c r="J17" s="416">
        <f>Amnt_Deposited!I12*$H$9*(1-DOCF)*Sludge!D20</f>
        <v>0</v>
      </c>
      <c r="K17" s="422">
        <f>Amnt_Deposited!L12*$H$10*(1-DOCF)*Industry!D20</f>
        <v>26.812500000000004</v>
      </c>
      <c r="L17" s="100">
        <f>Amnt_Deposited!L12*Parameters!$E$49*$D$9*(1-DOCF)*Industry!D20</f>
        <v>0</v>
      </c>
      <c r="M17" s="341">
        <f>Amnt_Deposited!L12*Parameters!$E$50*$D$10*(1-DOCF)*Industry!D20</f>
        <v>0</v>
      </c>
      <c r="N17" s="362">
        <f t="shared" si="0"/>
        <v>85.186499999999995</v>
      </c>
      <c r="O17" s="320">
        <f t="shared" si="1"/>
        <v>170.37299999999999</v>
      </c>
    </row>
    <row r="18" spans="2:15">
      <c r="B18" s="359">
        <f t="shared" ref="B18:B81" si="2">B17+1</f>
        <v>1952</v>
      </c>
      <c r="C18" s="448">
        <f>Amnt_Deposited!J13*$D$8*(1-DOCF)*MSW!C21</f>
        <v>58.373999999999995</v>
      </c>
      <c r="D18" s="134">
        <f>Amnt_Deposited!C13*$F$8*(1-DOCF)*Food!D21</f>
        <v>0</v>
      </c>
      <c r="E18" s="100">
        <f>Amnt_Deposited!D13*$F$9*(1-DOCF)*Garden!D21</f>
        <v>0</v>
      </c>
      <c r="F18" s="100">
        <f>Amnt_Deposited!E13*$D$9*(1-DOCF)*Paper!D21</f>
        <v>31.755455999999999</v>
      </c>
      <c r="G18" s="100">
        <f>Amnt_Deposited!F13*$D$10*(1-DOCF)*Wood!D21</f>
        <v>3.5141147999999998</v>
      </c>
      <c r="H18" s="100">
        <f>Amnt_Deposited!G13*$F$10*(1-DOCF)*Textiles!D21</f>
        <v>0</v>
      </c>
      <c r="I18" s="341">
        <f>Amnt_Deposited!H13*$H$8*(1-DOCF)*Nappies!D21</f>
        <v>0</v>
      </c>
      <c r="J18" s="416">
        <f>Amnt_Deposited!I13*$H$9*(1-DOCF)*Sludge!D21</f>
        <v>0</v>
      </c>
      <c r="K18" s="422">
        <f>Amnt_Deposited!L13*$H$10*(1-DOCF)*Industry!D21</f>
        <v>26.812500000000004</v>
      </c>
      <c r="L18" s="100">
        <f>Amnt_Deposited!L13*Parameters!$E$49*$D$9*(1-DOCF)*Industry!D21</f>
        <v>0</v>
      </c>
      <c r="M18" s="341">
        <f>Amnt_Deposited!L13*Parameters!$E$50*$D$10*(1-DOCF)*Industry!D21</f>
        <v>0</v>
      </c>
      <c r="N18" s="362">
        <f t="shared" si="0"/>
        <v>85.186499999999995</v>
      </c>
      <c r="O18" s="320">
        <f t="shared" si="1"/>
        <v>255.55949999999999</v>
      </c>
    </row>
    <row r="19" spans="2:15">
      <c r="B19" s="359">
        <f t="shared" si="2"/>
        <v>1953</v>
      </c>
      <c r="C19" s="448">
        <f>Amnt_Deposited!J14*$D$8*(1-DOCF)*MSW!C22</f>
        <v>58.373999999999995</v>
      </c>
      <c r="D19" s="134">
        <f>Amnt_Deposited!C14*$F$8*(1-DOCF)*Food!D22</f>
        <v>0</v>
      </c>
      <c r="E19" s="100">
        <f>Amnt_Deposited!D14*$F$9*(1-DOCF)*Garden!D22</f>
        <v>0</v>
      </c>
      <c r="F19" s="100">
        <f>Amnt_Deposited!E14*$D$9*(1-DOCF)*Paper!D22</f>
        <v>31.755455999999999</v>
      </c>
      <c r="G19" s="100">
        <f>Amnt_Deposited!F14*$D$10*(1-DOCF)*Wood!D22</f>
        <v>3.5141147999999998</v>
      </c>
      <c r="H19" s="100">
        <f>Amnt_Deposited!G14*$F$10*(1-DOCF)*Textiles!D22</f>
        <v>0</v>
      </c>
      <c r="I19" s="341">
        <f>Amnt_Deposited!H14*$H$8*(1-DOCF)*Nappies!D22</f>
        <v>0</v>
      </c>
      <c r="J19" s="416">
        <f>Amnt_Deposited!I14*$H$9*(1-DOCF)*Sludge!D22</f>
        <v>0</v>
      </c>
      <c r="K19" s="422">
        <f>Amnt_Deposited!L14*$H$10*(1-DOCF)*Industry!D22</f>
        <v>26.812500000000004</v>
      </c>
      <c r="L19" s="100">
        <f>Amnt_Deposited!L14*Parameters!$E$49*$D$9*(1-DOCF)*Industry!D22</f>
        <v>0</v>
      </c>
      <c r="M19" s="341">
        <f>Amnt_Deposited!L14*Parameters!$E$50*$D$10*(1-DOCF)*Industry!D22</f>
        <v>0</v>
      </c>
      <c r="N19" s="362">
        <f t="shared" si="0"/>
        <v>85.186499999999995</v>
      </c>
      <c r="O19" s="320">
        <f t="shared" si="1"/>
        <v>340.74599999999998</v>
      </c>
    </row>
    <row r="20" spans="2:15">
      <c r="B20" s="359">
        <f t="shared" si="2"/>
        <v>1954</v>
      </c>
      <c r="C20" s="448">
        <f>Amnt_Deposited!J15*$D$8*(1-DOCF)*MSW!C23</f>
        <v>58.373999999999995</v>
      </c>
      <c r="D20" s="134">
        <f>Amnt_Deposited!C15*$F$8*(1-DOCF)*Food!D23</f>
        <v>0</v>
      </c>
      <c r="E20" s="100">
        <f>Amnt_Deposited!D15*$F$9*(1-DOCF)*Garden!D23</f>
        <v>0</v>
      </c>
      <c r="F20" s="100">
        <f>Amnt_Deposited!E15*$D$9*(1-DOCF)*Paper!D23</f>
        <v>31.755455999999999</v>
      </c>
      <c r="G20" s="100">
        <f>Amnt_Deposited!F15*$D$10*(1-DOCF)*Wood!D23</f>
        <v>3.5141147999999998</v>
      </c>
      <c r="H20" s="100">
        <f>Amnt_Deposited!G15*$F$10*(1-DOCF)*Textiles!D23</f>
        <v>0</v>
      </c>
      <c r="I20" s="341">
        <f>Amnt_Deposited!H15*$H$8*(1-DOCF)*Nappies!D23</f>
        <v>0</v>
      </c>
      <c r="J20" s="416">
        <f>Amnt_Deposited!I15*$H$9*(1-DOCF)*Sludge!D23</f>
        <v>0</v>
      </c>
      <c r="K20" s="422">
        <f>Amnt_Deposited!L15*$H$10*(1-DOCF)*Industry!D23</f>
        <v>26.812500000000004</v>
      </c>
      <c r="L20" s="100">
        <f>Amnt_Deposited!L15*Parameters!$E$49*$D$9*(1-DOCF)*Industry!D23</f>
        <v>0</v>
      </c>
      <c r="M20" s="341">
        <f>Amnt_Deposited!L15*Parameters!$E$50*$D$10*(1-DOCF)*Industry!D23</f>
        <v>0</v>
      </c>
      <c r="N20" s="362">
        <f t="shared" si="0"/>
        <v>85.186499999999995</v>
      </c>
      <c r="O20" s="320">
        <f t="shared" si="1"/>
        <v>425.9325</v>
      </c>
    </row>
    <row r="21" spans="2:15">
      <c r="B21" s="359">
        <f t="shared" si="2"/>
        <v>1955</v>
      </c>
      <c r="C21" s="448">
        <f>Amnt_Deposited!J16*$D$8*(1-DOCF)*MSW!C24</f>
        <v>58.373999999999995</v>
      </c>
      <c r="D21" s="134">
        <f>Amnt_Deposited!C16*$F$8*(1-DOCF)*Food!D24</f>
        <v>0</v>
      </c>
      <c r="E21" s="100">
        <f>Amnt_Deposited!D16*$F$9*(1-DOCF)*Garden!D24</f>
        <v>0</v>
      </c>
      <c r="F21" s="100">
        <f>Amnt_Deposited!E16*$D$9*(1-DOCF)*Paper!D24</f>
        <v>31.755455999999999</v>
      </c>
      <c r="G21" s="100">
        <f>Amnt_Deposited!F16*$D$10*(1-DOCF)*Wood!D24</f>
        <v>3.5141147999999998</v>
      </c>
      <c r="H21" s="100">
        <f>Amnt_Deposited!G16*$F$10*(1-DOCF)*Textiles!D24</f>
        <v>0</v>
      </c>
      <c r="I21" s="341">
        <f>Amnt_Deposited!H16*$H$8*(1-DOCF)*Nappies!D24</f>
        <v>0</v>
      </c>
      <c r="J21" s="416">
        <f>Amnt_Deposited!I16*$H$9*(1-DOCF)*Sludge!D24</f>
        <v>0</v>
      </c>
      <c r="K21" s="422">
        <f>Amnt_Deposited!L16*$H$10*(1-DOCF)*Industry!D24</f>
        <v>26.812500000000004</v>
      </c>
      <c r="L21" s="100">
        <f>Amnt_Deposited!L16*Parameters!$E$49*$D$9*(1-DOCF)*Industry!D24</f>
        <v>0</v>
      </c>
      <c r="M21" s="341">
        <f>Amnt_Deposited!L16*Parameters!$E$50*$D$10*(1-DOCF)*Industry!D24</f>
        <v>0</v>
      </c>
      <c r="N21" s="362">
        <f t="shared" si="0"/>
        <v>85.186499999999995</v>
      </c>
      <c r="O21" s="320">
        <f t="shared" si="1"/>
        <v>511.11900000000003</v>
      </c>
    </row>
    <row r="22" spans="2:15">
      <c r="B22" s="359">
        <f t="shared" si="2"/>
        <v>1956</v>
      </c>
      <c r="C22" s="448">
        <f>Amnt_Deposited!J17*$D$8*(1-DOCF)*MSW!C25</f>
        <v>58.373999999999995</v>
      </c>
      <c r="D22" s="134">
        <f>Amnt_Deposited!C17*$F$8*(1-DOCF)*Food!D25</f>
        <v>0</v>
      </c>
      <c r="E22" s="100">
        <f>Amnt_Deposited!D17*$F$9*(1-DOCF)*Garden!D25</f>
        <v>0</v>
      </c>
      <c r="F22" s="100">
        <f>Amnt_Deposited!E17*$D$9*(1-DOCF)*Paper!D25</f>
        <v>31.755455999999999</v>
      </c>
      <c r="G22" s="100">
        <f>Amnt_Deposited!F17*$D$10*(1-DOCF)*Wood!D25</f>
        <v>3.5141147999999998</v>
      </c>
      <c r="H22" s="100">
        <f>Amnt_Deposited!G17*$F$10*(1-DOCF)*Textiles!D25</f>
        <v>0</v>
      </c>
      <c r="I22" s="341">
        <f>Amnt_Deposited!H17*$H$8*(1-DOCF)*Nappies!D25</f>
        <v>0</v>
      </c>
      <c r="J22" s="416">
        <f>Amnt_Deposited!I17*$H$9*(1-DOCF)*Sludge!D25</f>
        <v>0</v>
      </c>
      <c r="K22" s="422">
        <f>Amnt_Deposited!L17*$H$10*(1-DOCF)*Industry!D25</f>
        <v>26.812500000000004</v>
      </c>
      <c r="L22" s="100">
        <f>Amnt_Deposited!L17*Parameters!$E$49*$D$9*(1-DOCF)*Industry!D25</f>
        <v>0</v>
      </c>
      <c r="M22" s="341">
        <f>Amnt_Deposited!L17*Parameters!$E$50*$D$10*(1-DOCF)*Industry!D25</f>
        <v>0</v>
      </c>
      <c r="N22" s="362">
        <f t="shared" si="0"/>
        <v>85.186499999999995</v>
      </c>
      <c r="O22" s="320">
        <f t="shared" si="1"/>
        <v>596.30550000000005</v>
      </c>
    </row>
    <row r="23" spans="2:15">
      <c r="B23" s="359">
        <f t="shared" si="2"/>
        <v>1957</v>
      </c>
      <c r="C23" s="448">
        <f>Amnt_Deposited!J18*$D$8*(1-DOCF)*MSW!C26</f>
        <v>58.373999999999995</v>
      </c>
      <c r="D23" s="134">
        <f>Amnt_Deposited!C18*$F$8*(1-DOCF)*Food!D26</f>
        <v>0</v>
      </c>
      <c r="E23" s="100">
        <f>Amnt_Deposited!D18*$F$9*(1-DOCF)*Garden!D26</f>
        <v>0</v>
      </c>
      <c r="F23" s="100">
        <f>Amnt_Deposited!E18*$D$9*(1-DOCF)*Paper!D26</f>
        <v>31.755455999999999</v>
      </c>
      <c r="G23" s="100">
        <f>Amnt_Deposited!F18*$D$10*(1-DOCF)*Wood!D26</f>
        <v>3.5141147999999998</v>
      </c>
      <c r="H23" s="100">
        <f>Amnt_Deposited!G18*$F$10*(1-DOCF)*Textiles!D26</f>
        <v>0</v>
      </c>
      <c r="I23" s="341">
        <f>Amnt_Deposited!H18*$H$8*(1-DOCF)*Nappies!D26</f>
        <v>0</v>
      </c>
      <c r="J23" s="416">
        <f>Amnt_Deposited!I18*$H$9*(1-DOCF)*Sludge!D26</f>
        <v>0</v>
      </c>
      <c r="K23" s="422">
        <f>Amnt_Deposited!L18*$H$10*(1-DOCF)*Industry!D26</f>
        <v>26.812500000000004</v>
      </c>
      <c r="L23" s="100">
        <f>Amnt_Deposited!L18*Parameters!$E$49*$D$9*(1-DOCF)*Industry!D26</f>
        <v>0</v>
      </c>
      <c r="M23" s="341">
        <f>Amnt_Deposited!L18*Parameters!$E$50*$D$10*(1-DOCF)*Industry!D26</f>
        <v>0</v>
      </c>
      <c r="N23" s="362">
        <f t="shared" si="0"/>
        <v>85.186499999999995</v>
      </c>
      <c r="O23" s="320">
        <f t="shared" si="1"/>
        <v>681.49200000000008</v>
      </c>
    </row>
    <row r="24" spans="2:15">
      <c r="B24" s="359">
        <f t="shared" si="2"/>
        <v>1958</v>
      </c>
      <c r="C24" s="448">
        <f>Amnt_Deposited!J19*$D$8*(1-DOCF)*MSW!C27</f>
        <v>58.373999999999995</v>
      </c>
      <c r="D24" s="134">
        <f>Amnt_Deposited!C19*$F$8*(1-DOCF)*Food!D27</f>
        <v>0</v>
      </c>
      <c r="E24" s="100">
        <f>Amnt_Deposited!D19*$F$9*(1-DOCF)*Garden!D27</f>
        <v>0</v>
      </c>
      <c r="F24" s="100">
        <f>Amnt_Deposited!E19*$D$9*(1-DOCF)*Paper!D27</f>
        <v>31.755455999999999</v>
      </c>
      <c r="G24" s="100">
        <f>Amnt_Deposited!F19*$D$10*(1-DOCF)*Wood!D27</f>
        <v>3.5141147999999998</v>
      </c>
      <c r="H24" s="100">
        <f>Amnt_Deposited!G19*$F$10*(1-DOCF)*Textiles!D27</f>
        <v>0</v>
      </c>
      <c r="I24" s="341">
        <f>Amnt_Deposited!H19*$H$8*(1-DOCF)*Nappies!D27</f>
        <v>0</v>
      </c>
      <c r="J24" s="416">
        <f>Amnt_Deposited!I19*$H$9*(1-DOCF)*Sludge!D27</f>
        <v>0</v>
      </c>
      <c r="K24" s="422">
        <f>Amnt_Deposited!L19*$H$10*(1-DOCF)*Industry!D27</f>
        <v>26.812500000000004</v>
      </c>
      <c r="L24" s="100">
        <f>Amnt_Deposited!L19*Parameters!$E$49*$D$9*(1-DOCF)*Industry!D27</f>
        <v>0</v>
      </c>
      <c r="M24" s="341">
        <f>Amnt_Deposited!L19*Parameters!$E$50*$D$10*(1-DOCF)*Industry!D27</f>
        <v>0</v>
      </c>
      <c r="N24" s="362">
        <f t="shared" si="0"/>
        <v>85.186499999999995</v>
      </c>
      <c r="O24" s="320">
        <f t="shared" si="1"/>
        <v>766.6785000000001</v>
      </c>
    </row>
    <row r="25" spans="2:15">
      <c r="B25" s="359">
        <f t="shared" si="2"/>
        <v>1959</v>
      </c>
      <c r="C25" s="448">
        <f>Amnt_Deposited!J20*$D$8*(1-DOCF)*MSW!C28</f>
        <v>58.373999999999995</v>
      </c>
      <c r="D25" s="134">
        <f>Amnt_Deposited!C20*$F$8*(1-DOCF)*Food!D28</f>
        <v>0</v>
      </c>
      <c r="E25" s="100">
        <f>Amnt_Deposited!D20*$F$9*(1-DOCF)*Garden!D28</f>
        <v>0</v>
      </c>
      <c r="F25" s="100">
        <f>Amnt_Deposited!E20*$D$9*(1-DOCF)*Paper!D28</f>
        <v>31.755455999999999</v>
      </c>
      <c r="G25" s="100">
        <f>Amnt_Deposited!F20*$D$10*(1-DOCF)*Wood!D28</f>
        <v>3.5141147999999998</v>
      </c>
      <c r="H25" s="100">
        <f>Amnt_Deposited!G20*$F$10*(1-DOCF)*Textiles!D28</f>
        <v>0</v>
      </c>
      <c r="I25" s="341">
        <f>Amnt_Deposited!H20*$H$8*(1-DOCF)*Nappies!D28</f>
        <v>0</v>
      </c>
      <c r="J25" s="416">
        <f>Amnt_Deposited!I20*$H$9*(1-DOCF)*Sludge!D28</f>
        <v>0</v>
      </c>
      <c r="K25" s="422">
        <f>Amnt_Deposited!L20*$H$10*(1-DOCF)*Industry!D28</f>
        <v>26.812500000000004</v>
      </c>
      <c r="L25" s="100">
        <f>Amnt_Deposited!L20*Parameters!$E$49*$D$9*(1-DOCF)*Industry!D28</f>
        <v>0</v>
      </c>
      <c r="M25" s="341">
        <f>Amnt_Deposited!L20*Parameters!$E$50*$D$10*(1-DOCF)*Industry!D28</f>
        <v>0</v>
      </c>
      <c r="N25" s="362">
        <f t="shared" si="0"/>
        <v>85.186499999999995</v>
      </c>
      <c r="O25" s="320">
        <f t="shared" si="1"/>
        <v>851.86500000000012</v>
      </c>
    </row>
    <row r="26" spans="2:15">
      <c r="B26" s="359">
        <f t="shared" si="2"/>
        <v>1960</v>
      </c>
      <c r="C26" s="448">
        <f>Amnt_Deposited!J21*$D$8*(1-DOCF)*MSW!C29</f>
        <v>58.373999999999995</v>
      </c>
      <c r="D26" s="134">
        <f>Amnt_Deposited!C21*$F$8*(1-DOCF)*Food!D29</f>
        <v>0</v>
      </c>
      <c r="E26" s="100">
        <f>Amnt_Deposited!D21*$F$9*(1-DOCF)*Garden!D29</f>
        <v>0</v>
      </c>
      <c r="F26" s="100">
        <f>Amnt_Deposited!E21*$D$9*(1-DOCF)*Paper!D29</f>
        <v>31.755455999999999</v>
      </c>
      <c r="G26" s="100">
        <f>Amnt_Deposited!F21*$D$10*(1-DOCF)*Wood!D29</f>
        <v>3.5141147999999998</v>
      </c>
      <c r="H26" s="100">
        <f>Amnt_Deposited!G21*$F$10*(1-DOCF)*Textiles!D29</f>
        <v>0</v>
      </c>
      <c r="I26" s="341">
        <f>Amnt_Deposited!H21*$H$8*(1-DOCF)*Nappies!D29</f>
        <v>0</v>
      </c>
      <c r="J26" s="416">
        <f>Amnt_Deposited!I21*$H$9*(1-DOCF)*Sludge!D29</f>
        <v>0</v>
      </c>
      <c r="K26" s="422">
        <f>Amnt_Deposited!L21*$H$10*(1-DOCF)*Industry!D29</f>
        <v>26.812500000000004</v>
      </c>
      <c r="L26" s="100">
        <f>Amnt_Deposited!L21*Parameters!$E$49*$D$9*(1-DOCF)*Industry!D29</f>
        <v>0</v>
      </c>
      <c r="M26" s="341">
        <f>Amnt_Deposited!L21*Parameters!$E$50*$D$10*(1-DOCF)*Industry!D29</f>
        <v>0</v>
      </c>
      <c r="N26" s="362">
        <f t="shared" si="0"/>
        <v>85.186499999999995</v>
      </c>
      <c r="O26" s="320">
        <f t="shared" si="1"/>
        <v>937.05150000000015</v>
      </c>
    </row>
    <row r="27" spans="2:15">
      <c r="B27" s="359">
        <f t="shared" si="2"/>
        <v>1961</v>
      </c>
      <c r="C27" s="448">
        <f>Amnt_Deposited!J22*$D$8*(1-DOCF)*MSW!C30</f>
        <v>58.373999999999995</v>
      </c>
      <c r="D27" s="134">
        <f>Amnt_Deposited!C22*$F$8*(1-DOCF)*Food!D30</f>
        <v>0</v>
      </c>
      <c r="E27" s="100">
        <f>Amnt_Deposited!D22*$F$9*(1-DOCF)*Garden!D30</f>
        <v>0</v>
      </c>
      <c r="F27" s="100">
        <f>Amnt_Deposited!E22*$D$9*(1-DOCF)*Paper!D30</f>
        <v>31.755455999999999</v>
      </c>
      <c r="G27" s="100">
        <f>Amnt_Deposited!F22*$D$10*(1-DOCF)*Wood!D30</f>
        <v>3.5141147999999998</v>
      </c>
      <c r="H27" s="100">
        <f>Amnt_Deposited!G22*$F$10*(1-DOCF)*Textiles!D30</f>
        <v>0</v>
      </c>
      <c r="I27" s="341">
        <f>Amnt_Deposited!H22*$H$8*(1-DOCF)*Nappies!D30</f>
        <v>0</v>
      </c>
      <c r="J27" s="416">
        <f>Amnt_Deposited!I22*$H$9*(1-DOCF)*Sludge!D30</f>
        <v>0</v>
      </c>
      <c r="K27" s="422">
        <f>Amnt_Deposited!L22*$H$10*(1-DOCF)*Industry!D30</f>
        <v>26.812500000000004</v>
      </c>
      <c r="L27" s="100">
        <f>Amnt_Deposited!L22*Parameters!$E$49*$D$9*(1-DOCF)*Industry!D30</f>
        <v>0</v>
      </c>
      <c r="M27" s="341">
        <f>Amnt_Deposited!L22*Parameters!$E$50*$D$10*(1-DOCF)*Industry!D30</f>
        <v>0</v>
      </c>
      <c r="N27" s="362">
        <f t="shared" si="0"/>
        <v>85.186499999999995</v>
      </c>
      <c r="O27" s="320">
        <f t="shared" si="1"/>
        <v>1022.2380000000002</v>
      </c>
    </row>
    <row r="28" spans="2:15">
      <c r="B28" s="359">
        <f t="shared" si="2"/>
        <v>1962</v>
      </c>
      <c r="C28" s="448">
        <f>Amnt_Deposited!J23*$D$8*(1-DOCF)*MSW!C31</f>
        <v>58.373999999999995</v>
      </c>
      <c r="D28" s="134">
        <f>Amnt_Deposited!C23*$F$8*(1-DOCF)*Food!D31</f>
        <v>0</v>
      </c>
      <c r="E28" s="100">
        <f>Amnt_Deposited!D23*$F$9*(1-DOCF)*Garden!D31</f>
        <v>0</v>
      </c>
      <c r="F28" s="100">
        <f>Amnt_Deposited!E23*$D$9*(1-DOCF)*Paper!D31</f>
        <v>31.755455999999999</v>
      </c>
      <c r="G28" s="100">
        <f>Amnt_Deposited!F23*$D$10*(1-DOCF)*Wood!D31</f>
        <v>3.5141147999999998</v>
      </c>
      <c r="H28" s="100">
        <f>Amnt_Deposited!G23*$F$10*(1-DOCF)*Textiles!D31</f>
        <v>0</v>
      </c>
      <c r="I28" s="341">
        <f>Amnt_Deposited!H23*$H$8*(1-DOCF)*Nappies!D31</f>
        <v>0</v>
      </c>
      <c r="J28" s="416">
        <f>Amnt_Deposited!I23*$H$9*(1-DOCF)*Sludge!D31</f>
        <v>0</v>
      </c>
      <c r="K28" s="422">
        <f>Amnt_Deposited!L23*$H$10*(1-DOCF)*Industry!D31</f>
        <v>26.812500000000004</v>
      </c>
      <c r="L28" s="100">
        <f>Amnt_Deposited!L23*Parameters!$E$49*$D$9*(1-DOCF)*Industry!D31</f>
        <v>0</v>
      </c>
      <c r="M28" s="341">
        <f>Amnt_Deposited!L23*Parameters!$E$50*$D$10*(1-DOCF)*Industry!D31</f>
        <v>0</v>
      </c>
      <c r="N28" s="362">
        <f t="shared" si="0"/>
        <v>85.186499999999995</v>
      </c>
      <c r="O28" s="320">
        <f t="shared" si="1"/>
        <v>1107.4245000000001</v>
      </c>
    </row>
    <row r="29" spans="2:15">
      <c r="B29" s="359">
        <f t="shared" si="2"/>
        <v>1963</v>
      </c>
      <c r="C29" s="448">
        <f>Amnt_Deposited!J24*$D$8*(1-DOCF)*MSW!C32</f>
        <v>58.373999999999995</v>
      </c>
      <c r="D29" s="134">
        <f>Amnt_Deposited!C24*$F$8*(1-DOCF)*Food!D32</f>
        <v>0</v>
      </c>
      <c r="E29" s="100">
        <f>Amnt_Deposited!D24*$F$9*(1-DOCF)*Garden!D32</f>
        <v>0</v>
      </c>
      <c r="F29" s="100">
        <f>Amnt_Deposited!E24*$D$9*(1-DOCF)*Paper!D32</f>
        <v>31.755455999999999</v>
      </c>
      <c r="G29" s="100">
        <f>Amnt_Deposited!F24*$D$10*(1-DOCF)*Wood!D32</f>
        <v>3.5141147999999998</v>
      </c>
      <c r="H29" s="100">
        <f>Amnt_Deposited!G24*$F$10*(1-DOCF)*Textiles!D32</f>
        <v>0</v>
      </c>
      <c r="I29" s="341">
        <f>Amnt_Deposited!H24*$H$8*(1-DOCF)*Nappies!D32</f>
        <v>0</v>
      </c>
      <c r="J29" s="416">
        <f>Amnt_Deposited!I24*$H$9*(1-DOCF)*Sludge!D32</f>
        <v>0</v>
      </c>
      <c r="K29" s="422">
        <f>Amnt_Deposited!L24*$H$10*(1-DOCF)*Industry!D32</f>
        <v>26.812500000000004</v>
      </c>
      <c r="L29" s="100">
        <f>Amnt_Deposited!L24*Parameters!$E$49*$D$9*(1-DOCF)*Industry!D32</f>
        <v>0</v>
      </c>
      <c r="M29" s="341">
        <f>Amnt_Deposited!L24*Parameters!$E$50*$D$10*(1-DOCF)*Industry!D32</f>
        <v>0</v>
      </c>
      <c r="N29" s="362">
        <f t="shared" si="0"/>
        <v>85.186499999999995</v>
      </c>
      <c r="O29" s="320">
        <f t="shared" si="1"/>
        <v>1192.6110000000001</v>
      </c>
    </row>
    <row r="30" spans="2:15">
      <c r="B30" s="359">
        <f t="shared" si="2"/>
        <v>1964</v>
      </c>
      <c r="C30" s="448">
        <f>Amnt_Deposited!J25*$D$8*(1-DOCF)*MSW!C33</f>
        <v>58.373999999999995</v>
      </c>
      <c r="D30" s="134">
        <f>Amnt_Deposited!C25*$F$8*(1-DOCF)*Food!D33</f>
        <v>0</v>
      </c>
      <c r="E30" s="100">
        <f>Amnt_Deposited!D25*$F$9*(1-DOCF)*Garden!D33</f>
        <v>0</v>
      </c>
      <c r="F30" s="100">
        <f>Amnt_Deposited!E25*$D$9*(1-DOCF)*Paper!D33</f>
        <v>31.755455999999999</v>
      </c>
      <c r="G30" s="100">
        <f>Amnt_Deposited!F25*$D$10*(1-DOCF)*Wood!D33</f>
        <v>3.5141147999999998</v>
      </c>
      <c r="H30" s="100">
        <f>Amnt_Deposited!G25*$F$10*(1-DOCF)*Textiles!D33</f>
        <v>0</v>
      </c>
      <c r="I30" s="341">
        <f>Amnt_Deposited!H25*$H$8*(1-DOCF)*Nappies!D33</f>
        <v>0</v>
      </c>
      <c r="J30" s="416">
        <f>Amnt_Deposited!I25*$H$9*(1-DOCF)*Sludge!D33</f>
        <v>0</v>
      </c>
      <c r="K30" s="422">
        <f>Amnt_Deposited!L25*$H$10*(1-DOCF)*Industry!D33</f>
        <v>26.812500000000004</v>
      </c>
      <c r="L30" s="100">
        <f>Amnt_Deposited!L25*Parameters!$E$49*$D$9*(1-DOCF)*Industry!D33</f>
        <v>0</v>
      </c>
      <c r="M30" s="341">
        <f>Amnt_Deposited!L25*Parameters!$E$50*$D$10*(1-DOCF)*Industry!D33</f>
        <v>0</v>
      </c>
      <c r="N30" s="362">
        <f t="shared" si="0"/>
        <v>85.186499999999995</v>
      </c>
      <c r="O30" s="320">
        <f t="shared" si="1"/>
        <v>1277.7975000000001</v>
      </c>
    </row>
    <row r="31" spans="2:15">
      <c r="B31" s="359">
        <f t="shared" si="2"/>
        <v>1965</v>
      </c>
      <c r="C31" s="448">
        <f>Amnt_Deposited!J26*$D$8*(1-DOCF)*MSW!C34</f>
        <v>58.373999999999995</v>
      </c>
      <c r="D31" s="134">
        <f>Amnt_Deposited!C26*$F$8*(1-DOCF)*Food!D34</f>
        <v>0</v>
      </c>
      <c r="E31" s="100">
        <f>Amnt_Deposited!D26*$F$9*(1-DOCF)*Garden!D34</f>
        <v>0</v>
      </c>
      <c r="F31" s="100">
        <f>Amnt_Deposited!E26*$D$9*(1-DOCF)*Paper!D34</f>
        <v>31.755455999999999</v>
      </c>
      <c r="G31" s="100">
        <f>Amnt_Deposited!F26*$D$10*(1-DOCF)*Wood!D34</f>
        <v>3.5141147999999998</v>
      </c>
      <c r="H31" s="100">
        <f>Amnt_Deposited!G26*$F$10*(1-DOCF)*Textiles!D34</f>
        <v>0</v>
      </c>
      <c r="I31" s="341">
        <f>Amnt_Deposited!H26*$H$8*(1-DOCF)*Nappies!D34</f>
        <v>0</v>
      </c>
      <c r="J31" s="416">
        <f>Amnt_Deposited!I26*$H$9*(1-DOCF)*Sludge!D34</f>
        <v>0</v>
      </c>
      <c r="K31" s="422">
        <f>Amnt_Deposited!L26*$H$10*(1-DOCF)*Industry!D34</f>
        <v>26.812500000000004</v>
      </c>
      <c r="L31" s="100">
        <f>Amnt_Deposited!L26*Parameters!$E$49*$D$9*(1-DOCF)*Industry!D34</f>
        <v>0</v>
      </c>
      <c r="M31" s="341">
        <f>Amnt_Deposited!L26*Parameters!$E$50*$D$10*(1-DOCF)*Industry!D34</f>
        <v>0</v>
      </c>
      <c r="N31" s="362">
        <f t="shared" si="0"/>
        <v>85.186499999999995</v>
      </c>
      <c r="O31" s="320">
        <f t="shared" si="1"/>
        <v>1362.9840000000002</v>
      </c>
    </row>
    <row r="32" spans="2:15">
      <c r="B32" s="359">
        <f t="shared" si="2"/>
        <v>1966</v>
      </c>
      <c r="C32" s="448">
        <f>Amnt_Deposited!J27*$D$8*(1-DOCF)*MSW!C35</f>
        <v>58.373999999999995</v>
      </c>
      <c r="D32" s="134">
        <f>Amnt_Deposited!C27*$F$8*(1-DOCF)*Food!D35</f>
        <v>0</v>
      </c>
      <c r="E32" s="100">
        <f>Amnt_Deposited!D27*$F$9*(1-DOCF)*Garden!D35</f>
        <v>0</v>
      </c>
      <c r="F32" s="100">
        <f>Amnt_Deposited!E27*$D$9*(1-DOCF)*Paper!D35</f>
        <v>31.755455999999999</v>
      </c>
      <c r="G32" s="100">
        <f>Amnt_Deposited!F27*$D$10*(1-DOCF)*Wood!D35</f>
        <v>3.5141147999999998</v>
      </c>
      <c r="H32" s="100">
        <f>Amnt_Deposited!G27*$F$10*(1-DOCF)*Textiles!D35</f>
        <v>0</v>
      </c>
      <c r="I32" s="341">
        <f>Amnt_Deposited!H27*$H$8*(1-DOCF)*Nappies!D35</f>
        <v>0</v>
      </c>
      <c r="J32" s="416">
        <f>Amnt_Deposited!I27*$H$9*(1-DOCF)*Sludge!D35</f>
        <v>0</v>
      </c>
      <c r="K32" s="422">
        <f>Amnt_Deposited!L27*$H$10*(1-DOCF)*Industry!D35</f>
        <v>26.812500000000004</v>
      </c>
      <c r="L32" s="100">
        <f>Amnt_Deposited!L27*Parameters!$E$49*$D$9*(1-DOCF)*Industry!D35</f>
        <v>0</v>
      </c>
      <c r="M32" s="341">
        <f>Amnt_Deposited!L27*Parameters!$E$50*$D$10*(1-DOCF)*Industry!D35</f>
        <v>0</v>
      </c>
      <c r="N32" s="362">
        <f t="shared" si="0"/>
        <v>85.186499999999995</v>
      </c>
      <c r="O32" s="320">
        <f t="shared" si="1"/>
        <v>1448.1705000000002</v>
      </c>
    </row>
    <row r="33" spans="2:15">
      <c r="B33" s="359">
        <f t="shared" si="2"/>
        <v>1967</v>
      </c>
      <c r="C33" s="448">
        <f>Amnt_Deposited!J28*$D$8*(1-DOCF)*MSW!C36</f>
        <v>58.373999999999995</v>
      </c>
      <c r="D33" s="134">
        <f>Amnt_Deposited!C28*$F$8*(1-DOCF)*Food!D36</f>
        <v>0</v>
      </c>
      <c r="E33" s="100">
        <f>Amnt_Deposited!D28*$F$9*(1-DOCF)*Garden!D36</f>
        <v>0</v>
      </c>
      <c r="F33" s="100">
        <f>Amnt_Deposited!E28*$D$9*(1-DOCF)*Paper!D36</f>
        <v>31.755455999999999</v>
      </c>
      <c r="G33" s="100">
        <f>Amnt_Deposited!F28*$D$10*(1-DOCF)*Wood!D36</f>
        <v>3.5141147999999998</v>
      </c>
      <c r="H33" s="100">
        <f>Amnt_Deposited!G28*$F$10*(1-DOCF)*Textiles!D36</f>
        <v>0</v>
      </c>
      <c r="I33" s="341">
        <f>Amnt_Deposited!H28*$H$8*(1-DOCF)*Nappies!D36</f>
        <v>0</v>
      </c>
      <c r="J33" s="416">
        <f>Amnt_Deposited!I28*$H$9*(1-DOCF)*Sludge!D36</f>
        <v>0</v>
      </c>
      <c r="K33" s="422">
        <f>Amnt_Deposited!L28*$H$10*(1-DOCF)*Industry!D36</f>
        <v>26.812500000000004</v>
      </c>
      <c r="L33" s="100">
        <f>Amnt_Deposited!L28*Parameters!$E$49*$D$9*(1-DOCF)*Industry!D36</f>
        <v>0</v>
      </c>
      <c r="M33" s="341">
        <f>Amnt_Deposited!L28*Parameters!$E$50*$D$10*(1-DOCF)*Industry!D36</f>
        <v>0</v>
      </c>
      <c r="N33" s="362">
        <f t="shared" si="0"/>
        <v>85.186499999999995</v>
      </c>
      <c r="O33" s="320">
        <f t="shared" si="1"/>
        <v>1533.3570000000002</v>
      </c>
    </row>
    <row r="34" spans="2:15">
      <c r="B34" s="359">
        <f t="shared" si="2"/>
        <v>1968</v>
      </c>
      <c r="C34" s="448">
        <f>Amnt_Deposited!J29*$D$8*(1-DOCF)*MSW!C37</f>
        <v>58.373999999999995</v>
      </c>
      <c r="D34" s="134">
        <f>Amnt_Deposited!C29*$F$8*(1-DOCF)*Food!D37</f>
        <v>0</v>
      </c>
      <c r="E34" s="100">
        <f>Amnt_Deposited!D29*$F$9*(1-DOCF)*Garden!D37</f>
        <v>0</v>
      </c>
      <c r="F34" s="100">
        <f>Amnt_Deposited!E29*$D$9*(1-DOCF)*Paper!D37</f>
        <v>31.755455999999999</v>
      </c>
      <c r="G34" s="100">
        <f>Amnt_Deposited!F29*$D$10*(1-DOCF)*Wood!D37</f>
        <v>3.5141147999999998</v>
      </c>
      <c r="H34" s="100">
        <f>Amnt_Deposited!G29*$F$10*(1-DOCF)*Textiles!D37</f>
        <v>0</v>
      </c>
      <c r="I34" s="341">
        <f>Amnt_Deposited!H29*$H$8*(1-DOCF)*Nappies!D37</f>
        <v>0</v>
      </c>
      <c r="J34" s="416">
        <f>Amnt_Deposited!I29*$H$9*(1-DOCF)*Sludge!D37</f>
        <v>0</v>
      </c>
      <c r="K34" s="422">
        <f>Amnt_Deposited!L29*$H$10*(1-DOCF)*Industry!D37</f>
        <v>26.812500000000004</v>
      </c>
      <c r="L34" s="100">
        <f>Amnt_Deposited!L29*Parameters!$E$49*$D$9*(1-DOCF)*Industry!D37</f>
        <v>0</v>
      </c>
      <c r="M34" s="341">
        <f>Amnt_Deposited!L29*Parameters!$E$50*$D$10*(1-DOCF)*Industry!D37</f>
        <v>0</v>
      </c>
      <c r="N34" s="362">
        <f t="shared" si="0"/>
        <v>85.186499999999995</v>
      </c>
      <c r="O34" s="320">
        <f t="shared" si="1"/>
        <v>1618.5435000000002</v>
      </c>
    </row>
    <row r="35" spans="2:15">
      <c r="B35" s="359">
        <f t="shared" si="2"/>
        <v>1969</v>
      </c>
      <c r="C35" s="448">
        <f>Amnt_Deposited!J30*$D$8*(1-DOCF)*MSW!C38</f>
        <v>58.373999999999995</v>
      </c>
      <c r="D35" s="134">
        <f>Amnt_Deposited!C30*$F$8*(1-DOCF)*Food!D38</f>
        <v>0</v>
      </c>
      <c r="E35" s="100">
        <f>Amnt_Deposited!D30*$F$9*(1-DOCF)*Garden!D38</f>
        <v>0</v>
      </c>
      <c r="F35" s="100">
        <f>Amnt_Deposited!E30*$D$9*(1-DOCF)*Paper!D38</f>
        <v>31.755455999999999</v>
      </c>
      <c r="G35" s="100">
        <f>Amnt_Deposited!F30*$D$10*(1-DOCF)*Wood!D38</f>
        <v>3.5141147999999998</v>
      </c>
      <c r="H35" s="100">
        <f>Amnt_Deposited!G30*$F$10*(1-DOCF)*Textiles!D38</f>
        <v>0</v>
      </c>
      <c r="I35" s="341">
        <f>Amnt_Deposited!H30*$H$8*(1-DOCF)*Nappies!D38</f>
        <v>0</v>
      </c>
      <c r="J35" s="416">
        <f>Amnt_Deposited!I30*$H$9*(1-DOCF)*Sludge!D38</f>
        <v>0</v>
      </c>
      <c r="K35" s="422">
        <f>Amnt_Deposited!L30*$H$10*(1-DOCF)*Industry!D38</f>
        <v>26.812500000000004</v>
      </c>
      <c r="L35" s="100">
        <f>Amnt_Deposited!L30*Parameters!$E$49*$D$9*(1-DOCF)*Industry!D38</f>
        <v>0</v>
      </c>
      <c r="M35" s="341">
        <f>Amnt_Deposited!L30*Parameters!$E$50*$D$10*(1-DOCF)*Industry!D38</f>
        <v>0</v>
      </c>
      <c r="N35" s="362">
        <f t="shared" si="0"/>
        <v>85.186499999999995</v>
      </c>
      <c r="O35" s="320">
        <f t="shared" si="1"/>
        <v>1703.7300000000002</v>
      </c>
    </row>
    <row r="36" spans="2:15">
      <c r="B36" s="359">
        <f t="shared" si="2"/>
        <v>1970</v>
      </c>
      <c r="C36" s="448">
        <f>Amnt_Deposited!J31*$D$8*(1-DOCF)*MSW!C39</f>
        <v>58.373999999999995</v>
      </c>
      <c r="D36" s="134">
        <f>Amnt_Deposited!C31*$F$8*(1-DOCF)*Food!D39</f>
        <v>0</v>
      </c>
      <c r="E36" s="100">
        <f>Amnt_Deposited!D31*$F$9*(1-DOCF)*Garden!D39</f>
        <v>0</v>
      </c>
      <c r="F36" s="100">
        <f>Amnt_Deposited!E31*$D$9*(1-DOCF)*Paper!D39</f>
        <v>31.755455999999999</v>
      </c>
      <c r="G36" s="100">
        <f>Amnt_Deposited!F31*$D$10*(1-DOCF)*Wood!D39</f>
        <v>3.5141147999999998</v>
      </c>
      <c r="H36" s="100">
        <f>Amnt_Deposited!G31*$F$10*(1-DOCF)*Textiles!D39</f>
        <v>0</v>
      </c>
      <c r="I36" s="341">
        <f>Amnt_Deposited!H31*$H$8*(1-DOCF)*Nappies!D39</f>
        <v>0</v>
      </c>
      <c r="J36" s="416">
        <f>Amnt_Deposited!I31*$H$9*(1-DOCF)*Sludge!D39</f>
        <v>0</v>
      </c>
      <c r="K36" s="422">
        <f>Amnt_Deposited!L31*$H$10*(1-DOCF)*Industry!D39</f>
        <v>26.812500000000004</v>
      </c>
      <c r="L36" s="100">
        <f>Amnt_Deposited!L31*Parameters!$E$49*$D$9*(1-DOCF)*Industry!D39</f>
        <v>0</v>
      </c>
      <c r="M36" s="341">
        <f>Amnt_Deposited!L31*Parameters!$E$50*$D$10*(1-DOCF)*Industry!D39</f>
        <v>0</v>
      </c>
      <c r="N36" s="362">
        <f t="shared" si="0"/>
        <v>85.186499999999995</v>
      </c>
      <c r="O36" s="320">
        <f t="shared" si="1"/>
        <v>1788.9165000000003</v>
      </c>
    </row>
    <row r="37" spans="2:15">
      <c r="B37" s="359">
        <f t="shared" si="2"/>
        <v>1971</v>
      </c>
      <c r="C37" s="448">
        <f>Amnt_Deposited!J32*$D$8*(1-DOCF)*MSW!C40</f>
        <v>58.373999999999995</v>
      </c>
      <c r="D37" s="134">
        <f>Amnt_Deposited!C32*$F$8*(1-DOCF)*Food!D40</f>
        <v>0</v>
      </c>
      <c r="E37" s="100">
        <f>Amnt_Deposited!D32*$F$9*(1-DOCF)*Garden!D40</f>
        <v>0</v>
      </c>
      <c r="F37" s="100">
        <f>Amnt_Deposited!E32*$D$9*(1-DOCF)*Paper!D40</f>
        <v>31.755455999999999</v>
      </c>
      <c r="G37" s="100">
        <f>Amnt_Deposited!F32*$D$10*(1-DOCF)*Wood!D40</f>
        <v>3.5141147999999998</v>
      </c>
      <c r="H37" s="100">
        <f>Amnt_Deposited!G32*$F$10*(1-DOCF)*Textiles!D40</f>
        <v>0</v>
      </c>
      <c r="I37" s="341">
        <f>Amnt_Deposited!H32*$H$8*(1-DOCF)*Nappies!D40</f>
        <v>0</v>
      </c>
      <c r="J37" s="416">
        <f>Amnt_Deposited!I32*$H$9*(1-DOCF)*Sludge!D40</f>
        <v>0</v>
      </c>
      <c r="K37" s="422">
        <f>Amnt_Deposited!L32*$H$10*(1-DOCF)*Industry!D40</f>
        <v>26.812500000000004</v>
      </c>
      <c r="L37" s="100">
        <f>Amnt_Deposited!L32*Parameters!$E$49*$D$9*(1-DOCF)*Industry!D40</f>
        <v>0</v>
      </c>
      <c r="M37" s="341">
        <f>Amnt_Deposited!L32*Parameters!$E$50*$D$10*(1-DOCF)*Industry!D40</f>
        <v>0</v>
      </c>
      <c r="N37" s="362">
        <f t="shared" si="0"/>
        <v>85.186499999999995</v>
      </c>
      <c r="O37" s="320">
        <f t="shared" si="1"/>
        <v>1874.1030000000003</v>
      </c>
    </row>
    <row r="38" spans="2:15">
      <c r="B38" s="359">
        <f t="shared" si="2"/>
        <v>1972</v>
      </c>
      <c r="C38" s="448">
        <f>Amnt_Deposited!J33*$D$8*(1-DOCF)*MSW!C41</f>
        <v>58.373999999999995</v>
      </c>
      <c r="D38" s="134">
        <f>Amnt_Deposited!C33*$F$8*(1-DOCF)*Food!D41</f>
        <v>0</v>
      </c>
      <c r="E38" s="100">
        <f>Amnt_Deposited!D33*$F$9*(1-DOCF)*Garden!D41</f>
        <v>0</v>
      </c>
      <c r="F38" s="100">
        <f>Amnt_Deposited!E33*$D$9*(1-DOCF)*Paper!D41</f>
        <v>31.755455999999999</v>
      </c>
      <c r="G38" s="100">
        <f>Amnt_Deposited!F33*$D$10*(1-DOCF)*Wood!D41</f>
        <v>3.5141147999999998</v>
      </c>
      <c r="H38" s="100">
        <f>Amnt_Deposited!G33*$F$10*(1-DOCF)*Textiles!D41</f>
        <v>0</v>
      </c>
      <c r="I38" s="341">
        <f>Amnt_Deposited!H33*$H$8*(1-DOCF)*Nappies!D41</f>
        <v>0</v>
      </c>
      <c r="J38" s="416">
        <f>Amnt_Deposited!I33*$H$9*(1-DOCF)*Sludge!D41</f>
        <v>0</v>
      </c>
      <c r="K38" s="422">
        <f>Amnt_Deposited!L33*$H$10*(1-DOCF)*Industry!D41</f>
        <v>26.812500000000004</v>
      </c>
      <c r="L38" s="100">
        <f>Amnt_Deposited!L33*Parameters!$E$49*$D$9*(1-DOCF)*Industry!D41</f>
        <v>0</v>
      </c>
      <c r="M38" s="341">
        <f>Amnt_Deposited!L33*Parameters!$E$50*$D$10*(1-DOCF)*Industry!D41</f>
        <v>0</v>
      </c>
      <c r="N38" s="362">
        <f t="shared" si="0"/>
        <v>85.186499999999995</v>
      </c>
      <c r="O38" s="320">
        <f t="shared" si="1"/>
        <v>1959.2895000000003</v>
      </c>
    </row>
    <row r="39" spans="2:15">
      <c r="B39" s="359">
        <f t="shared" si="2"/>
        <v>1973</v>
      </c>
      <c r="C39" s="448">
        <f>Amnt_Deposited!J34*$D$8*(1-DOCF)*MSW!C42</f>
        <v>58.373999999999995</v>
      </c>
      <c r="D39" s="134">
        <f>Amnt_Deposited!C34*$F$8*(1-DOCF)*Food!D42</f>
        <v>0</v>
      </c>
      <c r="E39" s="100">
        <f>Amnt_Deposited!D34*$F$9*(1-DOCF)*Garden!D42</f>
        <v>0</v>
      </c>
      <c r="F39" s="100">
        <f>Amnt_Deposited!E34*$D$9*(1-DOCF)*Paper!D42</f>
        <v>31.755455999999999</v>
      </c>
      <c r="G39" s="100">
        <f>Amnt_Deposited!F34*$D$10*(1-DOCF)*Wood!D42</f>
        <v>3.5141147999999998</v>
      </c>
      <c r="H39" s="100">
        <f>Amnt_Deposited!G34*$F$10*(1-DOCF)*Textiles!D42</f>
        <v>0</v>
      </c>
      <c r="I39" s="341">
        <f>Amnt_Deposited!H34*$H$8*(1-DOCF)*Nappies!D42</f>
        <v>0</v>
      </c>
      <c r="J39" s="416">
        <f>Amnt_Deposited!I34*$H$9*(1-DOCF)*Sludge!D42</f>
        <v>0</v>
      </c>
      <c r="K39" s="422">
        <f>Amnt_Deposited!L34*$H$10*(1-DOCF)*Industry!D42</f>
        <v>26.812500000000004</v>
      </c>
      <c r="L39" s="100">
        <f>Amnt_Deposited!L34*Parameters!$E$49*$D$9*(1-DOCF)*Industry!D42</f>
        <v>0</v>
      </c>
      <c r="M39" s="341">
        <f>Amnt_Deposited!L34*Parameters!$E$50*$D$10*(1-DOCF)*Industry!D42</f>
        <v>0</v>
      </c>
      <c r="N39" s="362">
        <f t="shared" si="0"/>
        <v>85.186499999999995</v>
      </c>
      <c r="O39" s="320">
        <f t="shared" si="1"/>
        <v>2044.4760000000003</v>
      </c>
    </row>
    <row r="40" spans="2:15">
      <c r="B40" s="359">
        <f t="shared" si="2"/>
        <v>1974</v>
      </c>
      <c r="C40" s="448">
        <f>Amnt_Deposited!J35*$D$8*(1-DOCF)*MSW!C43</f>
        <v>58.373999999999995</v>
      </c>
      <c r="D40" s="134">
        <f>Amnt_Deposited!C35*$F$8*(1-DOCF)*Food!D43</f>
        <v>0</v>
      </c>
      <c r="E40" s="100">
        <f>Amnt_Deposited!D35*$F$9*(1-DOCF)*Garden!D43</f>
        <v>0</v>
      </c>
      <c r="F40" s="100">
        <f>Amnt_Deposited!E35*$D$9*(1-DOCF)*Paper!D43</f>
        <v>31.755455999999999</v>
      </c>
      <c r="G40" s="100">
        <f>Amnt_Deposited!F35*$D$10*(1-DOCF)*Wood!D43</f>
        <v>3.5141147999999998</v>
      </c>
      <c r="H40" s="100">
        <f>Amnt_Deposited!G35*$F$10*(1-DOCF)*Textiles!D43</f>
        <v>0</v>
      </c>
      <c r="I40" s="341">
        <f>Amnt_Deposited!H35*$H$8*(1-DOCF)*Nappies!D43</f>
        <v>0</v>
      </c>
      <c r="J40" s="416">
        <f>Amnt_Deposited!I35*$H$9*(1-DOCF)*Sludge!D43</f>
        <v>0</v>
      </c>
      <c r="K40" s="422">
        <f>Amnt_Deposited!L35*$H$10*(1-DOCF)*Industry!D43</f>
        <v>26.812500000000004</v>
      </c>
      <c r="L40" s="100">
        <f>Amnt_Deposited!L35*Parameters!$E$49*$D$9*(1-DOCF)*Industry!D43</f>
        <v>0</v>
      </c>
      <c r="M40" s="341">
        <f>Amnt_Deposited!L35*Parameters!$E$50*$D$10*(1-DOCF)*Industry!D43</f>
        <v>0</v>
      </c>
      <c r="N40" s="362">
        <f t="shared" si="0"/>
        <v>85.186499999999995</v>
      </c>
      <c r="O40" s="320">
        <f t="shared" si="1"/>
        <v>2129.6625000000004</v>
      </c>
    </row>
    <row r="41" spans="2:15">
      <c r="B41" s="359">
        <f t="shared" si="2"/>
        <v>1975</v>
      </c>
      <c r="C41" s="448">
        <f>Amnt_Deposited!J36*$D$8*(1-DOCF)*MSW!C44</f>
        <v>58.373999999999995</v>
      </c>
      <c r="D41" s="134">
        <f>Amnt_Deposited!C36*$F$8*(1-DOCF)*Food!D44</f>
        <v>0</v>
      </c>
      <c r="E41" s="100">
        <f>Amnt_Deposited!D36*$F$9*(1-DOCF)*Garden!D44</f>
        <v>0</v>
      </c>
      <c r="F41" s="100">
        <f>Amnt_Deposited!E36*$D$9*(1-DOCF)*Paper!D44</f>
        <v>31.755455999999999</v>
      </c>
      <c r="G41" s="100">
        <f>Amnt_Deposited!F36*$D$10*(1-DOCF)*Wood!D44</f>
        <v>3.5141147999999998</v>
      </c>
      <c r="H41" s="100">
        <f>Amnt_Deposited!G36*$F$10*(1-DOCF)*Textiles!D44</f>
        <v>0</v>
      </c>
      <c r="I41" s="341">
        <f>Amnt_Deposited!H36*$H$8*(1-DOCF)*Nappies!D44</f>
        <v>0</v>
      </c>
      <c r="J41" s="416">
        <f>Amnt_Deposited!I36*$H$9*(1-DOCF)*Sludge!D44</f>
        <v>0</v>
      </c>
      <c r="K41" s="422">
        <f>Amnt_Deposited!L36*$H$10*(1-DOCF)*Industry!D44</f>
        <v>26.812500000000004</v>
      </c>
      <c r="L41" s="100">
        <f>Amnt_Deposited!L36*Parameters!$E$49*$D$9*(1-DOCF)*Industry!D44</f>
        <v>0</v>
      </c>
      <c r="M41" s="341">
        <f>Amnt_Deposited!L36*Parameters!$E$50*$D$10*(1-DOCF)*Industry!D44</f>
        <v>0</v>
      </c>
      <c r="N41" s="362">
        <f t="shared" si="0"/>
        <v>85.186499999999995</v>
      </c>
      <c r="O41" s="320">
        <f t="shared" si="1"/>
        <v>2214.8490000000002</v>
      </c>
    </row>
    <row r="42" spans="2:15">
      <c r="B42" s="359">
        <f t="shared" si="2"/>
        <v>1976</v>
      </c>
      <c r="C42" s="448">
        <f>Amnt_Deposited!J37*$D$8*(1-DOCF)*MSW!C45</f>
        <v>58.373999999999995</v>
      </c>
      <c r="D42" s="134">
        <f>Amnt_Deposited!C37*$F$8*(1-DOCF)*Food!D45</f>
        <v>0</v>
      </c>
      <c r="E42" s="100">
        <f>Amnt_Deposited!D37*$F$9*(1-DOCF)*Garden!D45</f>
        <v>0</v>
      </c>
      <c r="F42" s="100">
        <f>Amnt_Deposited!E37*$D$9*(1-DOCF)*Paper!D45</f>
        <v>31.755455999999999</v>
      </c>
      <c r="G42" s="100">
        <f>Amnt_Deposited!F37*$D$10*(1-DOCF)*Wood!D45</f>
        <v>3.5141147999999998</v>
      </c>
      <c r="H42" s="100">
        <f>Amnt_Deposited!G37*$F$10*(1-DOCF)*Textiles!D45</f>
        <v>0</v>
      </c>
      <c r="I42" s="341">
        <f>Amnt_Deposited!H37*$H$8*(1-DOCF)*Nappies!D45</f>
        <v>0</v>
      </c>
      <c r="J42" s="416">
        <f>Amnt_Deposited!I37*$H$9*(1-DOCF)*Sludge!D45</f>
        <v>0</v>
      </c>
      <c r="K42" s="422">
        <f>Amnt_Deposited!L37*$H$10*(1-DOCF)*Industry!D45</f>
        <v>26.812500000000004</v>
      </c>
      <c r="L42" s="100">
        <f>Amnt_Deposited!L37*Parameters!$E$49*$D$9*(1-DOCF)*Industry!D45</f>
        <v>0</v>
      </c>
      <c r="M42" s="341">
        <f>Amnt_Deposited!L37*Parameters!$E$50*$D$10*(1-DOCF)*Industry!D45</f>
        <v>0</v>
      </c>
      <c r="N42" s="362">
        <f t="shared" si="0"/>
        <v>85.186499999999995</v>
      </c>
      <c r="O42" s="320">
        <f t="shared" si="1"/>
        <v>2300.0355</v>
      </c>
    </row>
    <row r="43" spans="2:15">
      <c r="B43" s="359">
        <f t="shared" si="2"/>
        <v>1977</v>
      </c>
      <c r="C43" s="448">
        <f>Amnt_Deposited!J38*$D$8*(1-DOCF)*MSW!C46</f>
        <v>58.373999999999995</v>
      </c>
      <c r="D43" s="134">
        <f>Amnt_Deposited!C38*$F$8*(1-DOCF)*Food!D46</f>
        <v>0</v>
      </c>
      <c r="E43" s="100">
        <f>Amnt_Deposited!D38*$F$9*(1-DOCF)*Garden!D46</f>
        <v>0</v>
      </c>
      <c r="F43" s="100">
        <f>Amnt_Deposited!E38*$D$9*(1-DOCF)*Paper!D46</f>
        <v>31.755455999999999</v>
      </c>
      <c r="G43" s="100">
        <f>Amnt_Deposited!F38*$D$10*(1-DOCF)*Wood!D46</f>
        <v>3.5141147999999998</v>
      </c>
      <c r="H43" s="100">
        <f>Amnt_Deposited!G38*$F$10*(1-DOCF)*Textiles!D46</f>
        <v>0</v>
      </c>
      <c r="I43" s="341">
        <f>Amnt_Deposited!H38*$H$8*(1-DOCF)*Nappies!D46</f>
        <v>0</v>
      </c>
      <c r="J43" s="416">
        <f>Amnt_Deposited!I38*$H$9*(1-DOCF)*Sludge!D46</f>
        <v>0</v>
      </c>
      <c r="K43" s="422">
        <f>Amnt_Deposited!L38*$H$10*(1-DOCF)*Industry!D46</f>
        <v>26.812500000000004</v>
      </c>
      <c r="L43" s="100">
        <f>Amnt_Deposited!L38*Parameters!$E$49*$D$9*(1-DOCF)*Industry!D46</f>
        <v>0</v>
      </c>
      <c r="M43" s="341">
        <f>Amnt_Deposited!L38*Parameters!$E$50*$D$10*(1-DOCF)*Industry!D46</f>
        <v>0</v>
      </c>
      <c r="N43" s="362">
        <f t="shared" si="0"/>
        <v>85.186499999999995</v>
      </c>
      <c r="O43" s="320">
        <f t="shared" si="1"/>
        <v>2385.2219999999998</v>
      </c>
    </row>
    <row r="44" spans="2:15">
      <c r="B44" s="359">
        <f t="shared" si="2"/>
        <v>1978</v>
      </c>
      <c r="C44" s="448">
        <f>Amnt_Deposited!J39*$D$8*(1-DOCF)*MSW!C47</f>
        <v>58.373999999999995</v>
      </c>
      <c r="D44" s="134">
        <f>Amnt_Deposited!C39*$F$8*(1-DOCF)*Food!D47</f>
        <v>0</v>
      </c>
      <c r="E44" s="100">
        <f>Amnt_Deposited!D39*$F$9*(1-DOCF)*Garden!D47</f>
        <v>0</v>
      </c>
      <c r="F44" s="100">
        <f>Amnt_Deposited!E39*$D$9*(1-DOCF)*Paper!D47</f>
        <v>31.755455999999999</v>
      </c>
      <c r="G44" s="100">
        <f>Amnt_Deposited!F39*$D$10*(1-DOCF)*Wood!D47</f>
        <v>3.5141147999999998</v>
      </c>
      <c r="H44" s="100">
        <f>Amnt_Deposited!G39*$F$10*(1-DOCF)*Textiles!D47</f>
        <v>0</v>
      </c>
      <c r="I44" s="341">
        <f>Amnt_Deposited!H39*$H$8*(1-DOCF)*Nappies!D47</f>
        <v>0</v>
      </c>
      <c r="J44" s="416">
        <f>Amnt_Deposited!I39*$H$9*(1-DOCF)*Sludge!D47</f>
        <v>0</v>
      </c>
      <c r="K44" s="422">
        <f>Amnt_Deposited!L39*$H$10*(1-DOCF)*Industry!D47</f>
        <v>26.812500000000004</v>
      </c>
      <c r="L44" s="100">
        <f>Amnt_Deposited!L39*Parameters!$E$49*$D$9*(1-DOCF)*Industry!D47</f>
        <v>0</v>
      </c>
      <c r="M44" s="341">
        <f>Amnt_Deposited!L39*Parameters!$E$50*$D$10*(1-DOCF)*Industry!D47</f>
        <v>0</v>
      </c>
      <c r="N44" s="362">
        <f t="shared" si="0"/>
        <v>85.186499999999995</v>
      </c>
      <c r="O44" s="320">
        <f t="shared" si="1"/>
        <v>2470.4084999999995</v>
      </c>
    </row>
    <row r="45" spans="2:15">
      <c r="B45" s="359">
        <f t="shared" si="2"/>
        <v>1979</v>
      </c>
      <c r="C45" s="448">
        <f>Amnt_Deposited!J40*$D$8*(1-DOCF)*MSW!C48</f>
        <v>58.373999999999995</v>
      </c>
      <c r="D45" s="134">
        <f>Amnt_Deposited!C40*$F$8*(1-DOCF)*Food!D48</f>
        <v>0</v>
      </c>
      <c r="E45" s="100">
        <f>Amnt_Deposited!D40*$F$9*(1-DOCF)*Garden!D48</f>
        <v>0</v>
      </c>
      <c r="F45" s="100">
        <f>Amnt_Deposited!E40*$D$9*(1-DOCF)*Paper!D48</f>
        <v>31.755455999999999</v>
      </c>
      <c r="G45" s="100">
        <f>Amnt_Deposited!F40*$D$10*(1-DOCF)*Wood!D48</f>
        <v>3.5141147999999998</v>
      </c>
      <c r="H45" s="100">
        <f>Amnt_Deposited!G40*$F$10*(1-DOCF)*Textiles!D48</f>
        <v>0</v>
      </c>
      <c r="I45" s="341">
        <f>Amnt_Deposited!H40*$H$8*(1-DOCF)*Nappies!D48</f>
        <v>0</v>
      </c>
      <c r="J45" s="416">
        <f>Amnt_Deposited!I40*$H$9*(1-DOCF)*Sludge!D48</f>
        <v>0</v>
      </c>
      <c r="K45" s="422">
        <f>Amnt_Deposited!L40*$H$10*(1-DOCF)*Industry!D48</f>
        <v>26.812500000000004</v>
      </c>
      <c r="L45" s="100">
        <f>Amnt_Deposited!L40*Parameters!$E$49*$D$9*(1-DOCF)*Industry!D48</f>
        <v>0</v>
      </c>
      <c r="M45" s="341">
        <f>Amnt_Deposited!L40*Parameters!$E$50*$D$10*(1-DOCF)*Industry!D48</f>
        <v>0</v>
      </c>
      <c r="N45" s="362">
        <f t="shared" si="0"/>
        <v>85.186499999999995</v>
      </c>
      <c r="O45" s="320">
        <f t="shared" si="1"/>
        <v>2555.5949999999993</v>
      </c>
    </row>
    <row r="46" spans="2:15">
      <c r="B46" s="359">
        <f t="shared" si="2"/>
        <v>1980</v>
      </c>
      <c r="C46" s="448">
        <f>Amnt_Deposited!J41*$D$8*(1-DOCF)*MSW!C49</f>
        <v>58.373999999999995</v>
      </c>
      <c r="D46" s="134">
        <f>Amnt_Deposited!C41*$F$8*(1-DOCF)*Food!D49</f>
        <v>0</v>
      </c>
      <c r="E46" s="100">
        <f>Amnt_Deposited!D41*$F$9*(1-DOCF)*Garden!D49</f>
        <v>0</v>
      </c>
      <c r="F46" s="100">
        <f>Amnt_Deposited!E41*$D$9*(1-DOCF)*Paper!D49</f>
        <v>31.755455999999999</v>
      </c>
      <c r="G46" s="100">
        <f>Amnt_Deposited!F41*$D$10*(1-DOCF)*Wood!D49</f>
        <v>3.5141147999999998</v>
      </c>
      <c r="H46" s="100">
        <f>Amnt_Deposited!G41*$F$10*(1-DOCF)*Textiles!D49</f>
        <v>0</v>
      </c>
      <c r="I46" s="341">
        <f>Amnt_Deposited!H41*$H$8*(1-DOCF)*Nappies!D49</f>
        <v>0</v>
      </c>
      <c r="J46" s="416">
        <f>Amnt_Deposited!I41*$H$9*(1-DOCF)*Sludge!D49</f>
        <v>0</v>
      </c>
      <c r="K46" s="422">
        <f>Amnt_Deposited!L41*$H$10*(1-DOCF)*Industry!D49</f>
        <v>26.812500000000004</v>
      </c>
      <c r="L46" s="100">
        <f>Amnt_Deposited!L41*Parameters!$E$49*$D$9*(1-DOCF)*Industry!D49</f>
        <v>0</v>
      </c>
      <c r="M46" s="341">
        <f>Amnt_Deposited!L41*Parameters!$E$50*$D$10*(1-DOCF)*Industry!D49</f>
        <v>0</v>
      </c>
      <c r="N46" s="362">
        <f t="shared" si="0"/>
        <v>85.186499999999995</v>
      </c>
      <c r="O46" s="320">
        <f t="shared" si="1"/>
        <v>2640.7814999999991</v>
      </c>
    </row>
    <row r="47" spans="2:15">
      <c r="B47" s="359">
        <f t="shared" si="2"/>
        <v>1981</v>
      </c>
      <c r="C47" s="448">
        <f>Amnt_Deposited!J42*$D$8*(1-DOCF)*MSW!C50</f>
        <v>58.373999999999995</v>
      </c>
      <c r="D47" s="134">
        <f>Amnt_Deposited!C42*$F$8*(1-DOCF)*Food!D50</f>
        <v>0</v>
      </c>
      <c r="E47" s="100">
        <f>Amnt_Deposited!D42*$F$9*(1-DOCF)*Garden!D50</f>
        <v>0</v>
      </c>
      <c r="F47" s="100">
        <f>Amnt_Deposited!E42*$D$9*(1-DOCF)*Paper!D50</f>
        <v>31.755455999999999</v>
      </c>
      <c r="G47" s="100">
        <f>Amnt_Deposited!F42*$D$10*(1-DOCF)*Wood!D50</f>
        <v>3.5141147999999998</v>
      </c>
      <c r="H47" s="100">
        <f>Amnt_Deposited!G42*$F$10*(1-DOCF)*Textiles!D50</f>
        <v>0</v>
      </c>
      <c r="I47" s="341">
        <f>Amnt_Deposited!H42*$H$8*(1-DOCF)*Nappies!D50</f>
        <v>0</v>
      </c>
      <c r="J47" s="416">
        <f>Amnt_Deposited!I42*$H$9*(1-DOCF)*Sludge!D50</f>
        <v>0</v>
      </c>
      <c r="K47" s="422">
        <f>Amnt_Deposited!L42*$H$10*(1-DOCF)*Industry!D50</f>
        <v>26.812500000000004</v>
      </c>
      <c r="L47" s="100">
        <f>Amnt_Deposited!L42*Parameters!$E$49*$D$9*(1-DOCF)*Industry!D50</f>
        <v>0</v>
      </c>
      <c r="M47" s="341">
        <f>Amnt_Deposited!L42*Parameters!$E$50*$D$10*(1-DOCF)*Industry!D50</f>
        <v>0</v>
      </c>
      <c r="N47" s="362">
        <f t="shared" si="0"/>
        <v>85.186499999999995</v>
      </c>
      <c r="O47" s="320">
        <f t="shared" si="1"/>
        <v>2725.9679999999989</v>
      </c>
    </row>
    <row r="48" spans="2:15">
      <c r="B48" s="359">
        <f t="shared" si="2"/>
        <v>1982</v>
      </c>
      <c r="C48" s="448">
        <f>Amnt_Deposited!J43*$D$8*(1-DOCF)*MSW!C51</f>
        <v>58.373999999999995</v>
      </c>
      <c r="D48" s="134">
        <f>Amnt_Deposited!C43*$F$8*(1-DOCF)*Food!D51</f>
        <v>0</v>
      </c>
      <c r="E48" s="100">
        <f>Amnt_Deposited!D43*$F$9*(1-DOCF)*Garden!D51</f>
        <v>0</v>
      </c>
      <c r="F48" s="100">
        <f>Amnt_Deposited!E43*$D$9*(1-DOCF)*Paper!D51</f>
        <v>31.755455999999999</v>
      </c>
      <c r="G48" s="100">
        <f>Amnt_Deposited!F43*$D$10*(1-DOCF)*Wood!D51</f>
        <v>3.5141147999999998</v>
      </c>
      <c r="H48" s="100">
        <f>Amnt_Deposited!G43*$F$10*(1-DOCF)*Textiles!D51</f>
        <v>0</v>
      </c>
      <c r="I48" s="341">
        <f>Amnt_Deposited!H43*$H$8*(1-DOCF)*Nappies!D51</f>
        <v>0</v>
      </c>
      <c r="J48" s="416">
        <f>Amnt_Deposited!I43*$H$9*(1-DOCF)*Sludge!D51</f>
        <v>0</v>
      </c>
      <c r="K48" s="422">
        <f>Amnt_Deposited!L43*$H$10*(1-DOCF)*Industry!D51</f>
        <v>26.812500000000004</v>
      </c>
      <c r="L48" s="100">
        <f>Amnt_Deposited!L43*Parameters!$E$49*$D$9*(1-DOCF)*Industry!D51</f>
        <v>0</v>
      </c>
      <c r="M48" s="341">
        <f>Amnt_Deposited!L43*Parameters!$E$50*$D$10*(1-DOCF)*Industry!D51</f>
        <v>0</v>
      </c>
      <c r="N48" s="362">
        <f t="shared" ref="N48:N79" si="3">IF(Select2=2,C48+J48+K48, D48+E48+F48+G48+H48+I48+J48+K48)</f>
        <v>85.186499999999995</v>
      </c>
      <c r="O48" s="320">
        <f t="shared" ref="O48:O79" si="4">O47+N48</f>
        <v>2811.1544999999987</v>
      </c>
    </row>
    <row r="49" spans="2:15">
      <c r="B49" s="359">
        <f t="shared" si="2"/>
        <v>1983</v>
      </c>
      <c r="C49" s="448">
        <f>Amnt_Deposited!J44*$D$8*(1-DOCF)*MSW!C52</f>
        <v>58.373999999999995</v>
      </c>
      <c r="D49" s="134">
        <f>Amnt_Deposited!C44*$F$8*(1-DOCF)*Food!D52</f>
        <v>0</v>
      </c>
      <c r="E49" s="100">
        <f>Amnt_Deposited!D44*$F$9*(1-DOCF)*Garden!D52</f>
        <v>0</v>
      </c>
      <c r="F49" s="100">
        <f>Amnt_Deposited!E44*$D$9*(1-DOCF)*Paper!D52</f>
        <v>31.755455999999999</v>
      </c>
      <c r="G49" s="100">
        <f>Amnt_Deposited!F44*$D$10*(1-DOCF)*Wood!D52</f>
        <v>3.5141147999999998</v>
      </c>
      <c r="H49" s="100">
        <f>Amnt_Deposited!G44*$F$10*(1-DOCF)*Textiles!D52</f>
        <v>0</v>
      </c>
      <c r="I49" s="341">
        <f>Amnt_Deposited!H44*$H$8*(1-DOCF)*Nappies!D52</f>
        <v>0</v>
      </c>
      <c r="J49" s="416">
        <f>Amnt_Deposited!I44*$H$9*(1-DOCF)*Sludge!D52</f>
        <v>0</v>
      </c>
      <c r="K49" s="422">
        <f>Amnt_Deposited!L44*$H$10*(1-DOCF)*Industry!D52</f>
        <v>26.812500000000004</v>
      </c>
      <c r="L49" s="100">
        <f>Amnt_Deposited!L44*Parameters!$E$49*$D$9*(1-DOCF)*Industry!D52</f>
        <v>0</v>
      </c>
      <c r="M49" s="341">
        <f>Amnt_Deposited!L44*Parameters!$E$50*$D$10*(1-DOCF)*Industry!D52</f>
        <v>0</v>
      </c>
      <c r="N49" s="362">
        <f t="shared" si="3"/>
        <v>85.186499999999995</v>
      </c>
      <c r="O49" s="320">
        <f t="shared" si="4"/>
        <v>2896.3409999999985</v>
      </c>
    </row>
    <row r="50" spans="2:15">
      <c r="B50" s="359">
        <f t="shared" si="2"/>
        <v>1984</v>
      </c>
      <c r="C50" s="448">
        <f>Amnt_Deposited!J45*$D$8*(1-DOCF)*MSW!C53</f>
        <v>58.373999999999995</v>
      </c>
      <c r="D50" s="134">
        <f>Amnt_Deposited!C45*$F$8*(1-DOCF)*Food!D53</f>
        <v>0</v>
      </c>
      <c r="E50" s="100">
        <f>Amnt_Deposited!D45*$F$9*(1-DOCF)*Garden!D53</f>
        <v>0</v>
      </c>
      <c r="F50" s="100">
        <f>Amnt_Deposited!E45*$D$9*(1-DOCF)*Paper!D53</f>
        <v>31.755455999999999</v>
      </c>
      <c r="G50" s="100">
        <f>Amnt_Deposited!F45*$D$10*(1-DOCF)*Wood!D53</f>
        <v>3.5141147999999998</v>
      </c>
      <c r="H50" s="100">
        <f>Amnt_Deposited!G45*$F$10*(1-DOCF)*Textiles!D53</f>
        <v>0</v>
      </c>
      <c r="I50" s="341">
        <f>Amnt_Deposited!H45*$H$8*(1-DOCF)*Nappies!D53</f>
        <v>0</v>
      </c>
      <c r="J50" s="416">
        <f>Amnt_Deposited!I45*$H$9*(1-DOCF)*Sludge!D53</f>
        <v>0</v>
      </c>
      <c r="K50" s="422">
        <f>Amnt_Deposited!L45*$H$10*(1-DOCF)*Industry!D53</f>
        <v>26.812500000000004</v>
      </c>
      <c r="L50" s="100">
        <f>Amnt_Deposited!L45*Parameters!$E$49*$D$9*(1-DOCF)*Industry!D53</f>
        <v>0</v>
      </c>
      <c r="M50" s="341">
        <f>Amnt_Deposited!L45*Parameters!$E$50*$D$10*(1-DOCF)*Industry!D53</f>
        <v>0</v>
      </c>
      <c r="N50" s="362">
        <f t="shared" si="3"/>
        <v>85.186499999999995</v>
      </c>
      <c r="O50" s="320">
        <f t="shared" si="4"/>
        <v>2981.5274999999983</v>
      </c>
    </row>
    <row r="51" spans="2:15">
      <c r="B51" s="359">
        <f t="shared" si="2"/>
        <v>1985</v>
      </c>
      <c r="C51" s="448">
        <f>Amnt_Deposited!J46*$D$8*(1-DOCF)*MSW!C54</f>
        <v>58.373999999999995</v>
      </c>
      <c r="D51" s="134">
        <f>Amnt_Deposited!C46*$F$8*(1-DOCF)*Food!D54</f>
        <v>0</v>
      </c>
      <c r="E51" s="100">
        <f>Amnt_Deposited!D46*$F$9*(1-DOCF)*Garden!D54</f>
        <v>0</v>
      </c>
      <c r="F51" s="100">
        <f>Amnt_Deposited!E46*$D$9*(1-DOCF)*Paper!D54</f>
        <v>31.755455999999999</v>
      </c>
      <c r="G51" s="100">
        <f>Amnt_Deposited!F46*$D$10*(1-DOCF)*Wood!D54</f>
        <v>3.5141147999999998</v>
      </c>
      <c r="H51" s="100">
        <f>Amnt_Deposited!G46*$F$10*(1-DOCF)*Textiles!D54</f>
        <v>0</v>
      </c>
      <c r="I51" s="341">
        <f>Amnt_Deposited!H46*$H$8*(1-DOCF)*Nappies!D54</f>
        <v>0</v>
      </c>
      <c r="J51" s="416">
        <f>Amnt_Deposited!I46*$H$9*(1-DOCF)*Sludge!D54</f>
        <v>0</v>
      </c>
      <c r="K51" s="422">
        <f>Amnt_Deposited!L46*$H$10*(1-DOCF)*Industry!D54</f>
        <v>26.812500000000004</v>
      </c>
      <c r="L51" s="100">
        <f>Amnt_Deposited!L46*Parameters!$E$49*$D$9*(1-DOCF)*Industry!D54</f>
        <v>0</v>
      </c>
      <c r="M51" s="341">
        <f>Amnt_Deposited!L46*Parameters!$E$50*$D$10*(1-DOCF)*Industry!D54</f>
        <v>0</v>
      </c>
      <c r="N51" s="362">
        <f t="shared" si="3"/>
        <v>85.186499999999995</v>
      </c>
      <c r="O51" s="320">
        <f t="shared" si="4"/>
        <v>3066.7139999999981</v>
      </c>
    </row>
    <row r="52" spans="2:15">
      <c r="B52" s="359">
        <f t="shared" si="2"/>
        <v>1986</v>
      </c>
      <c r="C52" s="448">
        <f>Amnt_Deposited!J47*$D$8*(1-DOCF)*MSW!C55</f>
        <v>58.373999999999995</v>
      </c>
      <c r="D52" s="134">
        <f>Amnt_Deposited!C47*$F$8*(1-DOCF)*Food!D55</f>
        <v>0</v>
      </c>
      <c r="E52" s="100">
        <f>Amnt_Deposited!D47*$F$9*(1-DOCF)*Garden!D55</f>
        <v>0</v>
      </c>
      <c r="F52" s="100">
        <f>Amnt_Deposited!E47*$D$9*(1-DOCF)*Paper!D55</f>
        <v>31.755455999999999</v>
      </c>
      <c r="G52" s="100">
        <f>Amnt_Deposited!F47*$D$10*(1-DOCF)*Wood!D55</f>
        <v>3.5141147999999998</v>
      </c>
      <c r="H52" s="100">
        <f>Amnt_Deposited!G47*$F$10*(1-DOCF)*Textiles!D55</f>
        <v>0</v>
      </c>
      <c r="I52" s="341">
        <f>Amnt_Deposited!H47*$H$8*(1-DOCF)*Nappies!D55</f>
        <v>0</v>
      </c>
      <c r="J52" s="416">
        <f>Amnt_Deposited!I47*$H$9*(1-DOCF)*Sludge!D55</f>
        <v>0</v>
      </c>
      <c r="K52" s="422">
        <f>Amnt_Deposited!L47*$H$10*(1-DOCF)*Industry!D55</f>
        <v>26.812500000000004</v>
      </c>
      <c r="L52" s="100">
        <f>Amnt_Deposited!L47*Parameters!$E$49*$D$9*(1-DOCF)*Industry!D55</f>
        <v>0</v>
      </c>
      <c r="M52" s="341">
        <f>Amnt_Deposited!L47*Parameters!$E$50*$D$10*(1-DOCF)*Industry!D55</f>
        <v>0</v>
      </c>
      <c r="N52" s="362">
        <f t="shared" si="3"/>
        <v>85.186499999999995</v>
      </c>
      <c r="O52" s="320">
        <f t="shared" si="4"/>
        <v>3151.9004999999979</v>
      </c>
    </row>
    <row r="53" spans="2:15">
      <c r="B53" s="359">
        <f t="shared" si="2"/>
        <v>1987</v>
      </c>
      <c r="C53" s="448">
        <f>Amnt_Deposited!J48*$D$8*(1-DOCF)*MSW!C56</f>
        <v>58.373999999999995</v>
      </c>
      <c r="D53" s="134">
        <f>Amnt_Deposited!C48*$F$8*(1-DOCF)*Food!D56</f>
        <v>0</v>
      </c>
      <c r="E53" s="100">
        <f>Amnt_Deposited!D48*$F$9*(1-DOCF)*Garden!D56</f>
        <v>0</v>
      </c>
      <c r="F53" s="100">
        <f>Amnt_Deposited!E48*$D$9*(1-DOCF)*Paper!D56</f>
        <v>31.755455999999999</v>
      </c>
      <c r="G53" s="100">
        <f>Amnt_Deposited!F48*$D$10*(1-DOCF)*Wood!D56</f>
        <v>3.5141147999999998</v>
      </c>
      <c r="H53" s="100">
        <f>Amnt_Deposited!G48*$F$10*(1-DOCF)*Textiles!D56</f>
        <v>0</v>
      </c>
      <c r="I53" s="341">
        <f>Amnt_Deposited!H48*$H$8*(1-DOCF)*Nappies!D56</f>
        <v>0</v>
      </c>
      <c r="J53" s="416">
        <f>Amnt_Deposited!I48*$H$9*(1-DOCF)*Sludge!D56</f>
        <v>0</v>
      </c>
      <c r="K53" s="422">
        <f>Amnt_Deposited!L48*$H$10*(1-DOCF)*Industry!D56</f>
        <v>26.812500000000004</v>
      </c>
      <c r="L53" s="100">
        <f>Amnt_Deposited!L48*Parameters!$E$49*$D$9*(1-DOCF)*Industry!D56</f>
        <v>0</v>
      </c>
      <c r="M53" s="341">
        <f>Amnt_Deposited!L48*Parameters!$E$50*$D$10*(1-DOCF)*Industry!D56</f>
        <v>0</v>
      </c>
      <c r="N53" s="362">
        <f t="shared" si="3"/>
        <v>85.186499999999995</v>
      </c>
      <c r="O53" s="320">
        <f t="shared" si="4"/>
        <v>3237.0869999999977</v>
      </c>
    </row>
    <row r="54" spans="2:15">
      <c r="B54" s="359">
        <f t="shared" si="2"/>
        <v>1988</v>
      </c>
      <c r="C54" s="448">
        <f>Amnt_Deposited!J49*$D$8*(1-DOCF)*MSW!C57</f>
        <v>58.373999999999995</v>
      </c>
      <c r="D54" s="134">
        <f>Amnt_Deposited!C49*$F$8*(1-DOCF)*Food!D57</f>
        <v>0</v>
      </c>
      <c r="E54" s="100">
        <f>Amnt_Deposited!D49*$F$9*(1-DOCF)*Garden!D57</f>
        <v>0</v>
      </c>
      <c r="F54" s="100">
        <f>Amnt_Deposited!E49*$D$9*(1-DOCF)*Paper!D57</f>
        <v>31.755455999999999</v>
      </c>
      <c r="G54" s="100">
        <f>Amnt_Deposited!F49*$D$10*(1-DOCF)*Wood!D57</f>
        <v>3.5141147999999998</v>
      </c>
      <c r="H54" s="100">
        <f>Amnt_Deposited!G49*$F$10*(1-DOCF)*Textiles!D57</f>
        <v>0</v>
      </c>
      <c r="I54" s="341">
        <f>Amnt_Deposited!H49*$H$8*(1-DOCF)*Nappies!D57</f>
        <v>0</v>
      </c>
      <c r="J54" s="416">
        <f>Amnt_Deposited!I49*$H$9*(1-DOCF)*Sludge!D57</f>
        <v>0</v>
      </c>
      <c r="K54" s="422">
        <f>Amnt_Deposited!L49*$H$10*(1-DOCF)*Industry!D57</f>
        <v>26.812500000000004</v>
      </c>
      <c r="L54" s="100">
        <f>Amnt_Deposited!L49*Parameters!$E$49*$D$9*(1-DOCF)*Industry!D57</f>
        <v>0</v>
      </c>
      <c r="M54" s="341">
        <f>Amnt_Deposited!L49*Parameters!$E$50*$D$10*(1-DOCF)*Industry!D57</f>
        <v>0</v>
      </c>
      <c r="N54" s="362">
        <f t="shared" si="3"/>
        <v>85.186499999999995</v>
      </c>
      <c r="O54" s="320">
        <f t="shared" si="4"/>
        <v>3322.2734999999975</v>
      </c>
    </row>
    <row r="55" spans="2:15">
      <c r="B55" s="359">
        <f t="shared" si="2"/>
        <v>1989</v>
      </c>
      <c r="C55" s="448">
        <f>Amnt_Deposited!J50*$D$8*(1-DOCF)*MSW!C58</f>
        <v>58.373999999999995</v>
      </c>
      <c r="D55" s="134">
        <f>Amnt_Deposited!C50*$F$8*(1-DOCF)*Food!D58</f>
        <v>0</v>
      </c>
      <c r="E55" s="100">
        <f>Amnt_Deposited!D50*$F$9*(1-DOCF)*Garden!D58</f>
        <v>0</v>
      </c>
      <c r="F55" s="100">
        <f>Amnt_Deposited!E50*$D$9*(1-DOCF)*Paper!D58</f>
        <v>31.755455999999999</v>
      </c>
      <c r="G55" s="100">
        <f>Amnt_Deposited!F50*$D$10*(1-DOCF)*Wood!D58</f>
        <v>3.5141147999999998</v>
      </c>
      <c r="H55" s="100">
        <f>Amnt_Deposited!G50*$F$10*(1-DOCF)*Textiles!D58</f>
        <v>0</v>
      </c>
      <c r="I55" s="341">
        <f>Amnt_Deposited!H50*$H$8*(1-DOCF)*Nappies!D58</f>
        <v>0</v>
      </c>
      <c r="J55" s="416">
        <f>Amnt_Deposited!I50*$H$9*(1-DOCF)*Sludge!D58</f>
        <v>0</v>
      </c>
      <c r="K55" s="422">
        <f>Amnt_Deposited!L50*$H$10*(1-DOCF)*Industry!D58</f>
        <v>26.812500000000004</v>
      </c>
      <c r="L55" s="100">
        <f>Amnt_Deposited!L50*Parameters!$E$49*$D$9*(1-DOCF)*Industry!D58</f>
        <v>0</v>
      </c>
      <c r="M55" s="341">
        <f>Amnt_Deposited!L50*Parameters!$E$50*$D$10*(1-DOCF)*Industry!D58</f>
        <v>0</v>
      </c>
      <c r="N55" s="362">
        <f t="shared" si="3"/>
        <v>85.186499999999995</v>
      </c>
      <c r="O55" s="320">
        <f t="shared" si="4"/>
        <v>3407.4599999999973</v>
      </c>
    </row>
    <row r="56" spans="2:15">
      <c r="B56" s="359">
        <f t="shared" si="2"/>
        <v>1990</v>
      </c>
      <c r="C56" s="448">
        <f>Amnt_Deposited!J51*$D$8*(1-DOCF)*MSW!C59</f>
        <v>58.373999999999995</v>
      </c>
      <c r="D56" s="134">
        <f>Amnt_Deposited!C51*$F$8*(1-DOCF)*Food!D59</f>
        <v>0</v>
      </c>
      <c r="E56" s="100">
        <f>Amnt_Deposited!D51*$F$9*(1-DOCF)*Garden!D59</f>
        <v>0</v>
      </c>
      <c r="F56" s="100">
        <f>Amnt_Deposited!E51*$D$9*(1-DOCF)*Paper!D59</f>
        <v>31.755455999999999</v>
      </c>
      <c r="G56" s="100">
        <f>Amnt_Deposited!F51*$D$10*(1-DOCF)*Wood!D59</f>
        <v>3.5141147999999998</v>
      </c>
      <c r="H56" s="100">
        <f>Amnt_Deposited!G51*$F$10*(1-DOCF)*Textiles!D59</f>
        <v>0</v>
      </c>
      <c r="I56" s="341">
        <f>Amnt_Deposited!H51*$H$8*(1-DOCF)*Nappies!D59</f>
        <v>0</v>
      </c>
      <c r="J56" s="416">
        <f>Amnt_Deposited!I51*$H$9*(1-DOCF)*Sludge!D59</f>
        <v>0</v>
      </c>
      <c r="K56" s="422">
        <f>Amnt_Deposited!L51*$H$10*(1-DOCF)*Industry!D59</f>
        <v>26.812500000000004</v>
      </c>
      <c r="L56" s="100">
        <f>Amnt_Deposited!L51*Parameters!$E$49*$D$9*(1-DOCF)*Industry!D59</f>
        <v>0</v>
      </c>
      <c r="M56" s="341">
        <f>Amnt_Deposited!L51*Parameters!$E$50*$D$10*(1-DOCF)*Industry!D59</f>
        <v>0</v>
      </c>
      <c r="N56" s="362">
        <f t="shared" si="3"/>
        <v>85.186499999999995</v>
      </c>
      <c r="O56" s="320">
        <f t="shared" si="4"/>
        <v>3492.6464999999971</v>
      </c>
    </row>
    <row r="57" spans="2:15">
      <c r="B57" s="359">
        <f t="shared" si="2"/>
        <v>1991</v>
      </c>
      <c r="C57" s="448">
        <f>Amnt_Deposited!J52*$D$8*(1-DOCF)*MSW!C60</f>
        <v>58.373999999999995</v>
      </c>
      <c r="D57" s="134">
        <f>Amnt_Deposited!C52*$F$8*(1-DOCF)*Food!D60</f>
        <v>0</v>
      </c>
      <c r="E57" s="100">
        <f>Amnt_Deposited!D52*$F$9*(1-DOCF)*Garden!D60</f>
        <v>0</v>
      </c>
      <c r="F57" s="100">
        <f>Amnt_Deposited!E52*$D$9*(1-DOCF)*Paper!D60</f>
        <v>31.755455999999999</v>
      </c>
      <c r="G57" s="100">
        <f>Amnt_Deposited!F52*$D$10*(1-DOCF)*Wood!D60</f>
        <v>3.5141147999999998</v>
      </c>
      <c r="H57" s="100">
        <f>Amnt_Deposited!G52*$F$10*(1-DOCF)*Textiles!D60</f>
        <v>0</v>
      </c>
      <c r="I57" s="341">
        <f>Amnt_Deposited!H52*$H$8*(1-DOCF)*Nappies!D60</f>
        <v>0</v>
      </c>
      <c r="J57" s="416">
        <f>Amnt_Deposited!I52*$H$9*(1-DOCF)*Sludge!D60</f>
        <v>0</v>
      </c>
      <c r="K57" s="422">
        <f>Amnt_Deposited!L52*$H$10*(1-DOCF)*Industry!D60</f>
        <v>26.812500000000004</v>
      </c>
      <c r="L57" s="100">
        <f>Amnt_Deposited!L52*Parameters!$E$49*$D$9*(1-DOCF)*Industry!D60</f>
        <v>0</v>
      </c>
      <c r="M57" s="341">
        <f>Amnt_Deposited!L52*Parameters!$E$50*$D$10*(1-DOCF)*Industry!D60</f>
        <v>0</v>
      </c>
      <c r="N57" s="362">
        <f t="shared" si="3"/>
        <v>85.186499999999995</v>
      </c>
      <c r="O57" s="320">
        <f t="shared" si="4"/>
        <v>3577.8329999999969</v>
      </c>
    </row>
    <row r="58" spans="2:15">
      <c r="B58" s="359">
        <f t="shared" si="2"/>
        <v>1992</v>
      </c>
      <c r="C58" s="448">
        <f>Amnt_Deposited!J53*$D$8*(1-DOCF)*MSW!C61</f>
        <v>58.373999999999995</v>
      </c>
      <c r="D58" s="134">
        <f>Amnt_Deposited!C53*$F$8*(1-DOCF)*Food!D61</f>
        <v>0</v>
      </c>
      <c r="E58" s="100">
        <f>Amnt_Deposited!D53*$F$9*(1-DOCF)*Garden!D61</f>
        <v>0</v>
      </c>
      <c r="F58" s="100">
        <f>Amnt_Deposited!E53*$D$9*(1-DOCF)*Paper!D61</f>
        <v>31.755455999999999</v>
      </c>
      <c r="G58" s="100">
        <f>Amnt_Deposited!F53*$D$10*(1-DOCF)*Wood!D61</f>
        <v>3.5141147999999998</v>
      </c>
      <c r="H58" s="100">
        <f>Amnt_Deposited!G53*$F$10*(1-DOCF)*Textiles!D61</f>
        <v>0</v>
      </c>
      <c r="I58" s="341">
        <f>Amnt_Deposited!H53*$H$8*(1-DOCF)*Nappies!D61</f>
        <v>0</v>
      </c>
      <c r="J58" s="416">
        <f>Amnt_Deposited!I53*$H$9*(1-DOCF)*Sludge!D61</f>
        <v>0</v>
      </c>
      <c r="K58" s="422">
        <f>Amnt_Deposited!L53*$H$10*(1-DOCF)*Industry!D61</f>
        <v>26.812500000000004</v>
      </c>
      <c r="L58" s="100">
        <f>Amnt_Deposited!L53*Parameters!$E$49*$D$9*(1-DOCF)*Industry!D61</f>
        <v>0</v>
      </c>
      <c r="M58" s="341">
        <f>Amnt_Deposited!L53*Parameters!$E$50*$D$10*(1-DOCF)*Industry!D61</f>
        <v>0</v>
      </c>
      <c r="N58" s="362">
        <f t="shared" si="3"/>
        <v>85.186499999999995</v>
      </c>
      <c r="O58" s="320">
        <f t="shared" si="4"/>
        <v>3663.0194999999967</v>
      </c>
    </row>
    <row r="59" spans="2:15">
      <c r="B59" s="359">
        <f t="shared" si="2"/>
        <v>1993</v>
      </c>
      <c r="C59" s="448">
        <f>Amnt_Deposited!J54*$D$8*(1-DOCF)*MSW!C62</f>
        <v>58.373999999999995</v>
      </c>
      <c r="D59" s="134">
        <f>Amnt_Deposited!C54*$F$8*(1-DOCF)*Food!D62</f>
        <v>0</v>
      </c>
      <c r="E59" s="100">
        <f>Amnt_Deposited!D54*$F$9*(1-DOCF)*Garden!D62</f>
        <v>0</v>
      </c>
      <c r="F59" s="100">
        <f>Amnt_Deposited!E54*$D$9*(1-DOCF)*Paper!D62</f>
        <v>31.755455999999999</v>
      </c>
      <c r="G59" s="100">
        <f>Amnt_Deposited!F54*$D$10*(1-DOCF)*Wood!D62</f>
        <v>3.5141147999999998</v>
      </c>
      <c r="H59" s="100">
        <f>Amnt_Deposited!G54*$F$10*(1-DOCF)*Textiles!D62</f>
        <v>0</v>
      </c>
      <c r="I59" s="341">
        <f>Amnt_Deposited!H54*$H$8*(1-DOCF)*Nappies!D62</f>
        <v>0</v>
      </c>
      <c r="J59" s="416">
        <f>Amnt_Deposited!I54*$H$9*(1-DOCF)*Sludge!D62</f>
        <v>0</v>
      </c>
      <c r="K59" s="422">
        <f>Amnt_Deposited!L54*$H$10*(1-DOCF)*Industry!D62</f>
        <v>26.812500000000004</v>
      </c>
      <c r="L59" s="100">
        <f>Amnt_Deposited!L54*Parameters!$E$49*$D$9*(1-DOCF)*Industry!D62</f>
        <v>0</v>
      </c>
      <c r="M59" s="341">
        <f>Amnt_Deposited!L54*Parameters!$E$50*$D$10*(1-DOCF)*Industry!D62</f>
        <v>0</v>
      </c>
      <c r="N59" s="362">
        <f t="shared" si="3"/>
        <v>85.186499999999995</v>
      </c>
      <c r="O59" s="320">
        <f t="shared" si="4"/>
        <v>3748.2059999999965</v>
      </c>
    </row>
    <row r="60" spans="2:15">
      <c r="B60" s="359">
        <f t="shared" si="2"/>
        <v>1994</v>
      </c>
      <c r="C60" s="448">
        <f>Amnt_Deposited!J55*$D$8*(1-DOCF)*MSW!C63</f>
        <v>58.373999999999995</v>
      </c>
      <c r="D60" s="134">
        <f>Amnt_Deposited!C55*$F$8*(1-DOCF)*Food!D63</f>
        <v>0</v>
      </c>
      <c r="E60" s="100">
        <f>Amnt_Deposited!D55*$F$9*(1-DOCF)*Garden!D63</f>
        <v>0</v>
      </c>
      <c r="F60" s="100">
        <f>Amnt_Deposited!E55*$D$9*(1-DOCF)*Paper!D63</f>
        <v>31.755455999999999</v>
      </c>
      <c r="G60" s="100">
        <f>Amnt_Deposited!F55*$D$10*(1-DOCF)*Wood!D63</f>
        <v>3.5141147999999998</v>
      </c>
      <c r="H60" s="100">
        <f>Amnt_Deposited!G55*$F$10*(1-DOCF)*Textiles!D63</f>
        <v>0</v>
      </c>
      <c r="I60" s="341">
        <f>Amnt_Deposited!H55*$H$8*(1-DOCF)*Nappies!D63</f>
        <v>0</v>
      </c>
      <c r="J60" s="416">
        <f>Amnt_Deposited!I55*$H$9*(1-DOCF)*Sludge!D63</f>
        <v>0</v>
      </c>
      <c r="K60" s="422">
        <f>Amnt_Deposited!L55*$H$10*(1-DOCF)*Industry!D63</f>
        <v>26.812500000000004</v>
      </c>
      <c r="L60" s="100">
        <f>Amnt_Deposited!L55*Parameters!$E$49*$D$9*(1-DOCF)*Industry!D63</f>
        <v>0</v>
      </c>
      <c r="M60" s="341">
        <f>Amnt_Deposited!L55*Parameters!$E$50*$D$10*(1-DOCF)*Industry!D63</f>
        <v>0</v>
      </c>
      <c r="N60" s="362">
        <f t="shared" si="3"/>
        <v>85.186499999999995</v>
      </c>
      <c r="O60" s="320">
        <f t="shared" si="4"/>
        <v>3833.3924999999963</v>
      </c>
    </row>
    <row r="61" spans="2:15">
      <c r="B61" s="359">
        <f t="shared" si="2"/>
        <v>1995</v>
      </c>
      <c r="C61" s="448">
        <f>Amnt_Deposited!J56*$D$8*(1-DOCF)*MSW!C64</f>
        <v>58.373999999999995</v>
      </c>
      <c r="D61" s="134">
        <f>Amnt_Deposited!C56*$F$8*(1-DOCF)*Food!D64</f>
        <v>0</v>
      </c>
      <c r="E61" s="100">
        <f>Amnt_Deposited!D56*$F$9*(1-DOCF)*Garden!D64</f>
        <v>0</v>
      </c>
      <c r="F61" s="100">
        <f>Amnt_Deposited!E56*$D$9*(1-DOCF)*Paper!D64</f>
        <v>31.755455999999999</v>
      </c>
      <c r="G61" s="100">
        <f>Amnt_Deposited!F56*$D$10*(1-DOCF)*Wood!D64</f>
        <v>3.5141147999999998</v>
      </c>
      <c r="H61" s="100">
        <f>Amnt_Deposited!G56*$F$10*(1-DOCF)*Textiles!D64</f>
        <v>0</v>
      </c>
      <c r="I61" s="341">
        <f>Amnt_Deposited!H56*$H$8*(1-DOCF)*Nappies!D64</f>
        <v>0</v>
      </c>
      <c r="J61" s="416">
        <f>Amnt_Deposited!I56*$H$9*(1-DOCF)*Sludge!D64</f>
        <v>0</v>
      </c>
      <c r="K61" s="422">
        <f>Amnt_Deposited!L56*$H$10*(1-DOCF)*Industry!D64</f>
        <v>26.812500000000004</v>
      </c>
      <c r="L61" s="100">
        <f>Amnt_Deposited!L56*Parameters!$E$49*$D$9*(1-DOCF)*Industry!D64</f>
        <v>0</v>
      </c>
      <c r="M61" s="341">
        <f>Amnt_Deposited!L56*Parameters!$E$50*$D$10*(1-DOCF)*Industry!D64</f>
        <v>0</v>
      </c>
      <c r="N61" s="362">
        <f t="shared" si="3"/>
        <v>85.186499999999995</v>
      </c>
      <c r="O61" s="320">
        <f t="shared" si="4"/>
        <v>3918.5789999999961</v>
      </c>
    </row>
    <row r="62" spans="2:15">
      <c r="B62" s="359">
        <f t="shared" si="2"/>
        <v>1996</v>
      </c>
      <c r="C62" s="448">
        <f>Amnt_Deposited!J57*$D$8*(1-DOCF)*MSW!C65</f>
        <v>58.373999999999995</v>
      </c>
      <c r="D62" s="134">
        <f>Amnt_Deposited!C57*$F$8*(1-DOCF)*Food!D65</f>
        <v>0</v>
      </c>
      <c r="E62" s="100">
        <f>Amnt_Deposited!D57*$F$9*(1-DOCF)*Garden!D65</f>
        <v>0</v>
      </c>
      <c r="F62" s="100">
        <f>Amnt_Deposited!E57*$D$9*(1-DOCF)*Paper!D65</f>
        <v>31.755455999999999</v>
      </c>
      <c r="G62" s="100">
        <f>Amnt_Deposited!F57*$D$10*(1-DOCF)*Wood!D65</f>
        <v>3.5141147999999998</v>
      </c>
      <c r="H62" s="100">
        <f>Amnt_Deposited!G57*$F$10*(1-DOCF)*Textiles!D65</f>
        <v>0</v>
      </c>
      <c r="I62" s="341">
        <f>Amnt_Deposited!H57*$H$8*(1-DOCF)*Nappies!D65</f>
        <v>0</v>
      </c>
      <c r="J62" s="416">
        <f>Amnt_Deposited!I57*$H$9*(1-DOCF)*Sludge!D65</f>
        <v>0</v>
      </c>
      <c r="K62" s="422">
        <f>Amnt_Deposited!L57*$H$10*(1-DOCF)*Industry!D65</f>
        <v>26.812500000000004</v>
      </c>
      <c r="L62" s="100">
        <f>Amnt_Deposited!L57*Parameters!$E$49*$D$9*(1-DOCF)*Industry!D65</f>
        <v>0</v>
      </c>
      <c r="M62" s="341">
        <f>Amnt_Deposited!L57*Parameters!$E$50*$D$10*(1-DOCF)*Industry!D65</f>
        <v>0</v>
      </c>
      <c r="N62" s="362">
        <f t="shared" si="3"/>
        <v>85.186499999999995</v>
      </c>
      <c r="O62" s="320">
        <f t="shared" si="4"/>
        <v>4003.7654999999959</v>
      </c>
    </row>
    <row r="63" spans="2:15">
      <c r="B63" s="359">
        <f t="shared" si="2"/>
        <v>1997</v>
      </c>
      <c r="C63" s="448">
        <f>Amnt_Deposited!J58*$D$8*(1-DOCF)*MSW!C66</f>
        <v>58.373999999999995</v>
      </c>
      <c r="D63" s="134">
        <f>Amnt_Deposited!C58*$F$8*(1-DOCF)*Food!D66</f>
        <v>0</v>
      </c>
      <c r="E63" s="100">
        <f>Amnt_Deposited!D58*$F$9*(1-DOCF)*Garden!D66</f>
        <v>0</v>
      </c>
      <c r="F63" s="100">
        <f>Amnt_Deposited!E58*$D$9*(1-DOCF)*Paper!D66</f>
        <v>31.755455999999999</v>
      </c>
      <c r="G63" s="100">
        <f>Amnt_Deposited!F58*$D$10*(1-DOCF)*Wood!D66</f>
        <v>3.5141147999999998</v>
      </c>
      <c r="H63" s="100">
        <f>Amnt_Deposited!G58*$F$10*(1-DOCF)*Textiles!D66</f>
        <v>0</v>
      </c>
      <c r="I63" s="341">
        <f>Amnt_Deposited!H58*$H$8*(1-DOCF)*Nappies!D66</f>
        <v>0</v>
      </c>
      <c r="J63" s="416">
        <f>Amnt_Deposited!I58*$H$9*(1-DOCF)*Sludge!D66</f>
        <v>0</v>
      </c>
      <c r="K63" s="422">
        <f>Amnt_Deposited!L58*$H$10*(1-DOCF)*Industry!D66</f>
        <v>26.812500000000004</v>
      </c>
      <c r="L63" s="100">
        <f>Amnt_Deposited!L58*Parameters!$E$49*$D$9*(1-DOCF)*Industry!D66</f>
        <v>0</v>
      </c>
      <c r="M63" s="341">
        <f>Amnt_Deposited!L58*Parameters!$E$50*$D$10*(1-DOCF)*Industry!D66</f>
        <v>0</v>
      </c>
      <c r="N63" s="362">
        <f t="shared" si="3"/>
        <v>85.186499999999995</v>
      </c>
      <c r="O63" s="320">
        <f t="shared" si="4"/>
        <v>4088.9519999999957</v>
      </c>
    </row>
    <row r="64" spans="2:15">
      <c r="B64" s="359">
        <f t="shared" si="2"/>
        <v>1998</v>
      </c>
      <c r="C64" s="448">
        <f>Amnt_Deposited!J59*$D$8*(1-DOCF)*MSW!C67</f>
        <v>58.373999999999995</v>
      </c>
      <c r="D64" s="134">
        <f>Amnt_Deposited!C59*$F$8*(1-DOCF)*Food!D67</f>
        <v>0</v>
      </c>
      <c r="E64" s="100">
        <f>Amnt_Deposited!D59*$F$9*(1-DOCF)*Garden!D67</f>
        <v>0</v>
      </c>
      <c r="F64" s="100">
        <f>Amnt_Deposited!E59*$D$9*(1-DOCF)*Paper!D67</f>
        <v>31.755455999999999</v>
      </c>
      <c r="G64" s="100">
        <f>Amnt_Deposited!F59*$D$10*(1-DOCF)*Wood!D67</f>
        <v>3.5141147999999998</v>
      </c>
      <c r="H64" s="100">
        <f>Amnt_Deposited!G59*$F$10*(1-DOCF)*Textiles!D67</f>
        <v>0</v>
      </c>
      <c r="I64" s="341">
        <f>Amnt_Deposited!H59*$H$8*(1-DOCF)*Nappies!D67</f>
        <v>0</v>
      </c>
      <c r="J64" s="416">
        <f>Amnt_Deposited!I59*$H$9*(1-DOCF)*Sludge!D67</f>
        <v>0</v>
      </c>
      <c r="K64" s="422">
        <f>Amnt_Deposited!L59*$H$10*(1-DOCF)*Industry!D67</f>
        <v>26.812500000000004</v>
      </c>
      <c r="L64" s="100">
        <f>Amnt_Deposited!L59*Parameters!$E$49*$D$9*(1-DOCF)*Industry!D67</f>
        <v>0</v>
      </c>
      <c r="M64" s="341">
        <f>Amnt_Deposited!L59*Parameters!$E$50*$D$10*(1-DOCF)*Industry!D67</f>
        <v>0</v>
      </c>
      <c r="N64" s="362">
        <f t="shared" si="3"/>
        <v>85.186499999999995</v>
      </c>
      <c r="O64" s="320">
        <f t="shared" si="4"/>
        <v>4174.1384999999955</v>
      </c>
    </row>
    <row r="65" spans="2:15">
      <c r="B65" s="359">
        <f t="shared" si="2"/>
        <v>1999</v>
      </c>
      <c r="C65" s="448">
        <f>Amnt_Deposited!J60*$D$8*(1-DOCF)*MSW!C68</f>
        <v>58.373999999999995</v>
      </c>
      <c r="D65" s="134">
        <f>Amnt_Deposited!C60*$F$8*(1-DOCF)*Food!D68</f>
        <v>0</v>
      </c>
      <c r="E65" s="100">
        <f>Amnt_Deposited!D60*$F$9*(1-DOCF)*Garden!D68</f>
        <v>0</v>
      </c>
      <c r="F65" s="100">
        <f>Amnt_Deposited!E60*$D$9*(1-DOCF)*Paper!D68</f>
        <v>31.755455999999999</v>
      </c>
      <c r="G65" s="100">
        <f>Amnt_Deposited!F60*$D$10*(1-DOCF)*Wood!D68</f>
        <v>3.5141147999999998</v>
      </c>
      <c r="H65" s="100">
        <f>Amnt_Deposited!G60*$F$10*(1-DOCF)*Textiles!D68</f>
        <v>0</v>
      </c>
      <c r="I65" s="341">
        <f>Amnt_Deposited!H60*$H$8*(1-DOCF)*Nappies!D68</f>
        <v>0</v>
      </c>
      <c r="J65" s="416">
        <f>Amnt_Deposited!I60*$H$9*(1-DOCF)*Sludge!D68</f>
        <v>0</v>
      </c>
      <c r="K65" s="422">
        <f>Amnt_Deposited!L60*$H$10*(1-DOCF)*Industry!D68</f>
        <v>26.812500000000004</v>
      </c>
      <c r="L65" s="100">
        <f>Amnt_Deposited!L60*Parameters!$E$49*$D$9*(1-DOCF)*Industry!D68</f>
        <v>0</v>
      </c>
      <c r="M65" s="341">
        <f>Amnt_Deposited!L60*Parameters!$E$50*$D$10*(1-DOCF)*Industry!D68</f>
        <v>0</v>
      </c>
      <c r="N65" s="362">
        <f t="shared" si="3"/>
        <v>85.186499999999995</v>
      </c>
      <c r="O65" s="320">
        <f t="shared" si="4"/>
        <v>4259.3249999999953</v>
      </c>
    </row>
    <row r="66" spans="2:15">
      <c r="B66" s="359">
        <f t="shared" si="2"/>
        <v>2000</v>
      </c>
      <c r="C66" s="448">
        <f>Amnt_Deposited!J61*$D$8*(1-DOCF)*MSW!C69</f>
        <v>58.373999999999995</v>
      </c>
      <c r="D66" s="134">
        <f>Amnt_Deposited!C61*$F$8*(1-DOCF)*Food!D69</f>
        <v>0</v>
      </c>
      <c r="E66" s="100">
        <f>Amnt_Deposited!D61*$F$9*(1-DOCF)*Garden!D69</f>
        <v>0</v>
      </c>
      <c r="F66" s="100">
        <f>Amnt_Deposited!E61*$D$9*(1-DOCF)*Paper!D69</f>
        <v>31.755455999999999</v>
      </c>
      <c r="G66" s="100">
        <f>Amnt_Deposited!F61*$D$10*(1-DOCF)*Wood!D69</f>
        <v>3.5141147999999998</v>
      </c>
      <c r="H66" s="100">
        <f>Amnt_Deposited!G61*$F$10*(1-DOCF)*Textiles!D69</f>
        <v>0</v>
      </c>
      <c r="I66" s="341">
        <f>Amnt_Deposited!H61*$H$8*(1-DOCF)*Nappies!D69</f>
        <v>0</v>
      </c>
      <c r="J66" s="416">
        <f>Amnt_Deposited!I61*$H$9*(1-DOCF)*Sludge!D69</f>
        <v>0</v>
      </c>
      <c r="K66" s="422">
        <f>Amnt_Deposited!L61*$H$10*(1-DOCF)*Industry!D69</f>
        <v>26.812500000000004</v>
      </c>
      <c r="L66" s="100">
        <f>Amnt_Deposited!L61*Parameters!$E$49*$D$9*(1-DOCF)*Industry!D69</f>
        <v>0</v>
      </c>
      <c r="M66" s="341">
        <f>Amnt_Deposited!L61*Parameters!$E$50*$D$10*(1-DOCF)*Industry!D69</f>
        <v>0</v>
      </c>
      <c r="N66" s="362">
        <f t="shared" si="3"/>
        <v>85.186499999999995</v>
      </c>
      <c r="O66" s="320">
        <f t="shared" si="4"/>
        <v>4344.5114999999951</v>
      </c>
    </row>
    <row r="67" spans="2:15">
      <c r="B67" s="359">
        <f t="shared" si="2"/>
        <v>2001</v>
      </c>
      <c r="C67" s="448">
        <f>Amnt_Deposited!J62*$D$8*(1-DOCF)*MSW!C70</f>
        <v>58.373999999999995</v>
      </c>
      <c r="D67" s="134">
        <f>Amnt_Deposited!C62*$F$8*(1-DOCF)*Food!D70</f>
        <v>0</v>
      </c>
      <c r="E67" s="100">
        <f>Amnt_Deposited!D62*$F$9*(1-DOCF)*Garden!D70</f>
        <v>0</v>
      </c>
      <c r="F67" s="100">
        <f>Amnt_Deposited!E62*$D$9*(1-DOCF)*Paper!D70</f>
        <v>31.755455999999999</v>
      </c>
      <c r="G67" s="100">
        <f>Amnt_Deposited!F62*$D$10*(1-DOCF)*Wood!D70</f>
        <v>3.5141147999999998</v>
      </c>
      <c r="H67" s="100">
        <f>Amnt_Deposited!G62*$F$10*(1-DOCF)*Textiles!D70</f>
        <v>0</v>
      </c>
      <c r="I67" s="341">
        <f>Amnt_Deposited!H62*$H$8*(1-DOCF)*Nappies!D70</f>
        <v>0</v>
      </c>
      <c r="J67" s="416">
        <f>Amnt_Deposited!I62*$H$9*(1-DOCF)*Sludge!D70</f>
        <v>0</v>
      </c>
      <c r="K67" s="422">
        <f>Amnt_Deposited!L62*$H$10*(1-DOCF)*Industry!D70</f>
        <v>26.812500000000004</v>
      </c>
      <c r="L67" s="100">
        <f>Amnt_Deposited!L62*Parameters!$E$49*$D$9*(1-DOCF)*Industry!D70</f>
        <v>0</v>
      </c>
      <c r="M67" s="341">
        <f>Amnt_Deposited!L62*Parameters!$E$50*$D$10*(1-DOCF)*Industry!D70</f>
        <v>0</v>
      </c>
      <c r="N67" s="362">
        <f t="shared" si="3"/>
        <v>85.186499999999995</v>
      </c>
      <c r="O67" s="320">
        <f t="shared" si="4"/>
        <v>4429.6979999999949</v>
      </c>
    </row>
    <row r="68" spans="2:15">
      <c r="B68" s="359">
        <f t="shared" si="2"/>
        <v>2002</v>
      </c>
      <c r="C68" s="448">
        <f>Amnt_Deposited!J63*$D$8*(1-DOCF)*MSW!C71</f>
        <v>58.373999999999995</v>
      </c>
      <c r="D68" s="134">
        <f>Amnt_Deposited!C63*$F$8*(1-DOCF)*Food!D71</f>
        <v>0</v>
      </c>
      <c r="E68" s="100">
        <f>Amnt_Deposited!D63*$F$9*(1-DOCF)*Garden!D71</f>
        <v>0</v>
      </c>
      <c r="F68" s="100">
        <f>Amnt_Deposited!E63*$D$9*(1-DOCF)*Paper!D71</f>
        <v>31.755455999999999</v>
      </c>
      <c r="G68" s="100">
        <f>Amnt_Deposited!F63*$D$10*(1-DOCF)*Wood!D71</f>
        <v>3.5141147999999998</v>
      </c>
      <c r="H68" s="100">
        <f>Amnt_Deposited!G63*$F$10*(1-DOCF)*Textiles!D71</f>
        <v>0</v>
      </c>
      <c r="I68" s="341">
        <f>Amnt_Deposited!H63*$H$8*(1-DOCF)*Nappies!D71</f>
        <v>0</v>
      </c>
      <c r="J68" s="416">
        <f>Amnt_Deposited!I63*$H$9*(1-DOCF)*Sludge!D71</f>
        <v>0</v>
      </c>
      <c r="K68" s="422">
        <f>Amnt_Deposited!L63*$H$10*(1-DOCF)*Industry!D71</f>
        <v>26.812500000000004</v>
      </c>
      <c r="L68" s="100">
        <f>Amnt_Deposited!L63*Parameters!$E$49*$D$9*(1-DOCF)*Industry!D71</f>
        <v>0</v>
      </c>
      <c r="M68" s="341">
        <f>Amnt_Deposited!L63*Parameters!$E$50*$D$10*(1-DOCF)*Industry!D71</f>
        <v>0</v>
      </c>
      <c r="N68" s="362">
        <f t="shared" si="3"/>
        <v>85.186499999999995</v>
      </c>
      <c r="O68" s="320">
        <f t="shared" si="4"/>
        <v>4514.8844999999947</v>
      </c>
    </row>
    <row r="69" spans="2:15">
      <c r="B69" s="359">
        <f t="shared" si="2"/>
        <v>2003</v>
      </c>
      <c r="C69" s="448">
        <f>Amnt_Deposited!J64*$D$8*(1-DOCF)*MSW!C72</f>
        <v>58.373999999999995</v>
      </c>
      <c r="D69" s="134">
        <f>Amnt_Deposited!C64*$F$8*(1-DOCF)*Food!D72</f>
        <v>0</v>
      </c>
      <c r="E69" s="100">
        <f>Amnt_Deposited!D64*$F$9*(1-DOCF)*Garden!D72</f>
        <v>0</v>
      </c>
      <c r="F69" s="100">
        <f>Amnt_Deposited!E64*$D$9*(1-DOCF)*Paper!D72</f>
        <v>31.755455999999999</v>
      </c>
      <c r="G69" s="100">
        <f>Amnt_Deposited!F64*$D$10*(1-DOCF)*Wood!D72</f>
        <v>3.5141147999999998</v>
      </c>
      <c r="H69" s="100">
        <f>Amnt_Deposited!G64*$F$10*(1-DOCF)*Textiles!D72</f>
        <v>0</v>
      </c>
      <c r="I69" s="341">
        <f>Amnt_Deposited!H64*$H$8*(1-DOCF)*Nappies!D72</f>
        <v>0</v>
      </c>
      <c r="J69" s="416">
        <f>Amnt_Deposited!I64*$H$9*(1-DOCF)*Sludge!D72</f>
        <v>0</v>
      </c>
      <c r="K69" s="422">
        <f>Amnt_Deposited!L64*$H$10*(1-DOCF)*Industry!D72</f>
        <v>26.812500000000004</v>
      </c>
      <c r="L69" s="100">
        <f>Amnt_Deposited!L64*Parameters!$E$49*$D$9*(1-DOCF)*Industry!D72</f>
        <v>0</v>
      </c>
      <c r="M69" s="341">
        <f>Amnt_Deposited!L64*Parameters!$E$50*$D$10*(1-DOCF)*Industry!D72</f>
        <v>0</v>
      </c>
      <c r="N69" s="362">
        <f t="shared" si="3"/>
        <v>85.186499999999995</v>
      </c>
      <c r="O69" s="320">
        <f t="shared" si="4"/>
        <v>4600.0709999999945</v>
      </c>
    </row>
    <row r="70" spans="2:15">
      <c r="B70" s="359">
        <f t="shared" si="2"/>
        <v>2004</v>
      </c>
      <c r="C70" s="448">
        <f>Amnt_Deposited!J65*$D$8*(1-DOCF)*MSW!C73</f>
        <v>58.373999999999995</v>
      </c>
      <c r="D70" s="134">
        <f>Amnt_Deposited!C65*$F$8*(1-DOCF)*Food!D73</f>
        <v>0</v>
      </c>
      <c r="E70" s="100">
        <f>Amnt_Deposited!D65*$F$9*(1-DOCF)*Garden!D73</f>
        <v>0</v>
      </c>
      <c r="F70" s="100">
        <f>Amnt_Deposited!E65*$D$9*(1-DOCF)*Paper!D73</f>
        <v>31.755455999999999</v>
      </c>
      <c r="G70" s="100">
        <f>Amnt_Deposited!F65*$D$10*(1-DOCF)*Wood!D73</f>
        <v>3.5141147999999998</v>
      </c>
      <c r="H70" s="100">
        <f>Amnt_Deposited!G65*$F$10*(1-DOCF)*Textiles!D73</f>
        <v>0</v>
      </c>
      <c r="I70" s="341">
        <f>Amnt_Deposited!H65*$H$8*(1-DOCF)*Nappies!D73</f>
        <v>0</v>
      </c>
      <c r="J70" s="416">
        <f>Amnt_Deposited!I65*$H$9*(1-DOCF)*Sludge!D73</f>
        <v>0</v>
      </c>
      <c r="K70" s="422">
        <f>Amnt_Deposited!L65*$H$10*(1-DOCF)*Industry!D73</f>
        <v>26.812500000000004</v>
      </c>
      <c r="L70" s="100">
        <f>Amnt_Deposited!L65*Parameters!$E$49*$D$9*(1-DOCF)*Industry!D73</f>
        <v>0</v>
      </c>
      <c r="M70" s="341">
        <f>Amnt_Deposited!L65*Parameters!$E$50*$D$10*(1-DOCF)*Industry!D73</f>
        <v>0</v>
      </c>
      <c r="N70" s="362">
        <f t="shared" si="3"/>
        <v>85.186499999999995</v>
      </c>
      <c r="O70" s="320">
        <f t="shared" si="4"/>
        <v>4685.2574999999943</v>
      </c>
    </row>
    <row r="71" spans="2:15">
      <c r="B71" s="359">
        <f t="shared" si="2"/>
        <v>2005</v>
      </c>
      <c r="C71" s="448">
        <f>Amnt_Deposited!J66*$D$8*(1-DOCF)*MSW!C74</f>
        <v>58.373999999999995</v>
      </c>
      <c r="D71" s="134">
        <f>Amnt_Deposited!C66*$F$8*(1-DOCF)*Food!D74</f>
        <v>0</v>
      </c>
      <c r="E71" s="100">
        <f>Amnt_Deposited!D66*$F$9*(1-DOCF)*Garden!D74</f>
        <v>0</v>
      </c>
      <c r="F71" s="100">
        <f>Amnt_Deposited!E66*$D$9*(1-DOCF)*Paper!D74</f>
        <v>31.755455999999999</v>
      </c>
      <c r="G71" s="100">
        <f>Amnt_Deposited!F66*$D$10*(1-DOCF)*Wood!D74</f>
        <v>3.5141147999999998</v>
      </c>
      <c r="H71" s="100">
        <f>Amnt_Deposited!G66*$F$10*(1-DOCF)*Textiles!D74</f>
        <v>0</v>
      </c>
      <c r="I71" s="341">
        <f>Amnt_Deposited!H66*$H$8*(1-DOCF)*Nappies!D74</f>
        <v>0</v>
      </c>
      <c r="J71" s="416">
        <f>Amnt_Deposited!I66*$H$9*(1-DOCF)*Sludge!D74</f>
        <v>0</v>
      </c>
      <c r="K71" s="422">
        <f>Amnt_Deposited!L66*$H$10*(1-DOCF)*Industry!D74</f>
        <v>26.812500000000004</v>
      </c>
      <c r="L71" s="100">
        <f>Amnt_Deposited!L66*Parameters!$E$49*$D$9*(1-DOCF)*Industry!D74</f>
        <v>0</v>
      </c>
      <c r="M71" s="341">
        <f>Amnt_Deposited!L66*Parameters!$E$50*$D$10*(1-DOCF)*Industry!D74</f>
        <v>0</v>
      </c>
      <c r="N71" s="362">
        <f t="shared" si="3"/>
        <v>85.186499999999995</v>
      </c>
      <c r="O71" s="320">
        <f t="shared" si="4"/>
        <v>4770.443999999994</v>
      </c>
    </row>
    <row r="72" spans="2:15">
      <c r="B72" s="359">
        <f t="shared" si="2"/>
        <v>2006</v>
      </c>
      <c r="C72" s="448">
        <f>Amnt_Deposited!J67*$D$8*(1-DOCF)*MSW!C75</f>
        <v>58.373999999999995</v>
      </c>
      <c r="D72" s="134">
        <f>Amnt_Deposited!C67*$F$8*(1-DOCF)*Food!D75</f>
        <v>0</v>
      </c>
      <c r="E72" s="100">
        <f>Amnt_Deposited!D67*$F$9*(1-DOCF)*Garden!D75</f>
        <v>0</v>
      </c>
      <c r="F72" s="100">
        <f>Amnt_Deposited!E67*$D$9*(1-DOCF)*Paper!D75</f>
        <v>31.755455999999999</v>
      </c>
      <c r="G72" s="100">
        <f>Amnt_Deposited!F67*$D$10*(1-DOCF)*Wood!D75</f>
        <v>3.5141147999999998</v>
      </c>
      <c r="H72" s="100">
        <f>Amnt_Deposited!G67*$F$10*(1-DOCF)*Textiles!D75</f>
        <v>0</v>
      </c>
      <c r="I72" s="341">
        <f>Amnt_Deposited!H67*$H$8*(1-DOCF)*Nappies!D75</f>
        <v>0</v>
      </c>
      <c r="J72" s="416">
        <f>Amnt_Deposited!I67*$H$9*(1-DOCF)*Sludge!D75</f>
        <v>0</v>
      </c>
      <c r="K72" s="422">
        <f>Amnt_Deposited!L67*$H$10*(1-DOCF)*Industry!D75</f>
        <v>26.812500000000004</v>
      </c>
      <c r="L72" s="100">
        <f>Amnt_Deposited!L67*Parameters!$E$49*$D$9*(1-DOCF)*Industry!D75</f>
        <v>0</v>
      </c>
      <c r="M72" s="341">
        <f>Amnt_Deposited!L67*Parameters!$E$50*$D$10*(1-DOCF)*Industry!D75</f>
        <v>0</v>
      </c>
      <c r="N72" s="362">
        <f t="shared" si="3"/>
        <v>85.186499999999995</v>
      </c>
      <c r="O72" s="320">
        <f t="shared" si="4"/>
        <v>4855.6304999999938</v>
      </c>
    </row>
    <row r="73" spans="2:15">
      <c r="B73" s="359">
        <f t="shared" si="2"/>
        <v>2007</v>
      </c>
      <c r="C73" s="448">
        <f>Amnt_Deposited!J68*$D$8*(1-DOCF)*MSW!C76</f>
        <v>58.373999999999995</v>
      </c>
      <c r="D73" s="134">
        <f>Amnt_Deposited!C68*$F$8*(1-DOCF)*Food!D76</f>
        <v>0</v>
      </c>
      <c r="E73" s="100">
        <f>Amnt_Deposited!D68*$F$9*(1-DOCF)*Garden!D76</f>
        <v>0</v>
      </c>
      <c r="F73" s="100">
        <f>Amnt_Deposited!E68*$D$9*(1-DOCF)*Paper!D76</f>
        <v>31.755455999999999</v>
      </c>
      <c r="G73" s="100">
        <f>Amnt_Deposited!F68*$D$10*(1-DOCF)*Wood!D76</f>
        <v>3.5141147999999998</v>
      </c>
      <c r="H73" s="100">
        <f>Amnt_Deposited!G68*$F$10*(1-DOCF)*Textiles!D76</f>
        <v>0</v>
      </c>
      <c r="I73" s="341">
        <f>Amnt_Deposited!H68*$H$8*(1-DOCF)*Nappies!D76</f>
        <v>0</v>
      </c>
      <c r="J73" s="416">
        <f>Amnt_Deposited!I68*$H$9*(1-DOCF)*Sludge!D76</f>
        <v>0</v>
      </c>
      <c r="K73" s="422">
        <f>Amnt_Deposited!L68*$H$10*(1-DOCF)*Industry!D76</f>
        <v>26.812500000000004</v>
      </c>
      <c r="L73" s="100">
        <f>Amnt_Deposited!L68*Parameters!$E$49*$D$9*(1-DOCF)*Industry!D76</f>
        <v>0</v>
      </c>
      <c r="M73" s="341">
        <f>Amnt_Deposited!L68*Parameters!$E$50*$D$10*(1-DOCF)*Industry!D76</f>
        <v>0</v>
      </c>
      <c r="N73" s="362">
        <f t="shared" si="3"/>
        <v>85.186499999999995</v>
      </c>
      <c r="O73" s="320">
        <f t="shared" si="4"/>
        <v>4940.8169999999936</v>
      </c>
    </row>
    <row r="74" spans="2:15">
      <c r="B74" s="359">
        <f t="shared" si="2"/>
        <v>2008</v>
      </c>
      <c r="C74" s="448">
        <f>Amnt_Deposited!J69*$D$8*(1-DOCF)*MSW!C77</f>
        <v>58.373999999999995</v>
      </c>
      <c r="D74" s="134">
        <f>Amnt_Deposited!C69*$F$8*(1-DOCF)*Food!D77</f>
        <v>0</v>
      </c>
      <c r="E74" s="100">
        <f>Amnt_Deposited!D69*$F$9*(1-DOCF)*Garden!D77</f>
        <v>0</v>
      </c>
      <c r="F74" s="100">
        <f>Amnt_Deposited!E69*$D$9*(1-DOCF)*Paper!D77</f>
        <v>31.755455999999999</v>
      </c>
      <c r="G74" s="100">
        <f>Amnt_Deposited!F69*$D$10*(1-DOCF)*Wood!D77</f>
        <v>3.5141147999999998</v>
      </c>
      <c r="H74" s="100">
        <f>Amnt_Deposited!G69*$F$10*(1-DOCF)*Textiles!D77</f>
        <v>0</v>
      </c>
      <c r="I74" s="341">
        <f>Amnt_Deposited!H69*$H$8*(1-DOCF)*Nappies!D77</f>
        <v>0</v>
      </c>
      <c r="J74" s="416">
        <f>Amnt_Deposited!I69*$H$9*(1-DOCF)*Sludge!D77</f>
        <v>0</v>
      </c>
      <c r="K74" s="422">
        <f>Amnt_Deposited!L69*$H$10*(1-DOCF)*Industry!D77</f>
        <v>26.812500000000004</v>
      </c>
      <c r="L74" s="100">
        <f>Amnt_Deposited!L69*Parameters!$E$49*$D$9*(1-DOCF)*Industry!D77</f>
        <v>0</v>
      </c>
      <c r="M74" s="341">
        <f>Amnt_Deposited!L69*Parameters!$E$50*$D$10*(1-DOCF)*Industry!D77</f>
        <v>0</v>
      </c>
      <c r="N74" s="362">
        <f t="shared" si="3"/>
        <v>85.186499999999995</v>
      </c>
      <c r="O74" s="320">
        <f t="shared" si="4"/>
        <v>5026.0034999999934</v>
      </c>
    </row>
    <row r="75" spans="2:15">
      <c r="B75" s="359">
        <f t="shared" si="2"/>
        <v>2009</v>
      </c>
      <c r="C75" s="448">
        <f>Amnt_Deposited!J70*$D$8*(1-DOCF)*MSW!C78</f>
        <v>58.373999999999995</v>
      </c>
      <c r="D75" s="134">
        <f>Amnt_Deposited!C70*$F$8*(1-DOCF)*Food!D78</f>
        <v>0</v>
      </c>
      <c r="E75" s="100">
        <f>Amnt_Deposited!D70*$F$9*(1-DOCF)*Garden!D78</f>
        <v>0</v>
      </c>
      <c r="F75" s="100">
        <f>Amnt_Deposited!E70*$D$9*(1-DOCF)*Paper!D78</f>
        <v>31.755455999999999</v>
      </c>
      <c r="G75" s="100">
        <f>Amnt_Deposited!F70*$D$10*(1-DOCF)*Wood!D78</f>
        <v>3.5141147999999998</v>
      </c>
      <c r="H75" s="100">
        <f>Amnt_Deposited!G70*$F$10*(1-DOCF)*Textiles!D78</f>
        <v>0</v>
      </c>
      <c r="I75" s="341">
        <f>Amnt_Deposited!H70*$H$8*(1-DOCF)*Nappies!D78</f>
        <v>0</v>
      </c>
      <c r="J75" s="416">
        <f>Amnt_Deposited!I70*$H$9*(1-DOCF)*Sludge!D78</f>
        <v>0</v>
      </c>
      <c r="K75" s="422">
        <f>Amnt_Deposited!L70*$H$10*(1-DOCF)*Industry!D78</f>
        <v>26.812500000000004</v>
      </c>
      <c r="L75" s="100">
        <f>Amnt_Deposited!L70*Parameters!$E$49*$D$9*(1-DOCF)*Industry!D78</f>
        <v>0</v>
      </c>
      <c r="M75" s="341">
        <f>Amnt_Deposited!L70*Parameters!$E$50*$D$10*(1-DOCF)*Industry!D78</f>
        <v>0</v>
      </c>
      <c r="N75" s="362">
        <f t="shared" si="3"/>
        <v>85.186499999999995</v>
      </c>
      <c r="O75" s="320">
        <f t="shared" si="4"/>
        <v>5111.1899999999932</v>
      </c>
    </row>
    <row r="76" spans="2:15">
      <c r="B76" s="359">
        <f t="shared" si="2"/>
        <v>2010</v>
      </c>
      <c r="C76" s="448">
        <f>Amnt_Deposited!J71*$D$8*(1-DOCF)*MSW!C79</f>
        <v>58.373999999999995</v>
      </c>
      <c r="D76" s="134">
        <f>Amnt_Deposited!C71*$F$8*(1-DOCF)*Food!D79</f>
        <v>0</v>
      </c>
      <c r="E76" s="100">
        <f>Amnt_Deposited!D71*$F$9*(1-DOCF)*Garden!D79</f>
        <v>0</v>
      </c>
      <c r="F76" s="100">
        <f>Amnt_Deposited!E71*$D$9*(1-DOCF)*Paper!D79</f>
        <v>31.755455999999999</v>
      </c>
      <c r="G76" s="100">
        <f>Amnt_Deposited!F71*$D$10*(1-DOCF)*Wood!D79</f>
        <v>3.5141147999999998</v>
      </c>
      <c r="H76" s="100">
        <f>Amnt_Deposited!G71*$F$10*(1-DOCF)*Textiles!D79</f>
        <v>0</v>
      </c>
      <c r="I76" s="341">
        <f>Amnt_Deposited!H71*$H$8*(1-DOCF)*Nappies!D79</f>
        <v>0</v>
      </c>
      <c r="J76" s="416">
        <f>Amnt_Deposited!I71*$H$9*(1-DOCF)*Sludge!D79</f>
        <v>0</v>
      </c>
      <c r="K76" s="422">
        <f>Amnt_Deposited!L71*$H$10*(1-DOCF)*Industry!D79</f>
        <v>26.812500000000004</v>
      </c>
      <c r="L76" s="100">
        <f>Amnt_Deposited!L71*Parameters!$E$49*$D$9*(1-DOCF)*Industry!D79</f>
        <v>0</v>
      </c>
      <c r="M76" s="341">
        <f>Amnt_Deposited!L71*Parameters!$E$50*$D$10*(1-DOCF)*Industry!D79</f>
        <v>0</v>
      </c>
      <c r="N76" s="362">
        <f t="shared" si="3"/>
        <v>85.186499999999995</v>
      </c>
      <c r="O76" s="320">
        <f t="shared" si="4"/>
        <v>5196.376499999993</v>
      </c>
    </row>
    <row r="77" spans="2:15">
      <c r="B77" s="359">
        <f t="shared" si="2"/>
        <v>2011</v>
      </c>
      <c r="C77" s="448">
        <f>Amnt_Deposited!J72*$D$8*(1-DOCF)*MSW!C80</f>
        <v>58.373999999999995</v>
      </c>
      <c r="D77" s="134">
        <f>Amnt_Deposited!C72*$F$8*(1-DOCF)*Food!D80</f>
        <v>0</v>
      </c>
      <c r="E77" s="100">
        <f>Amnt_Deposited!D72*$F$9*(1-DOCF)*Garden!D80</f>
        <v>0</v>
      </c>
      <c r="F77" s="100">
        <f>Amnt_Deposited!E72*$D$9*(1-DOCF)*Paper!D80</f>
        <v>31.755455999999999</v>
      </c>
      <c r="G77" s="100">
        <f>Amnt_Deposited!F72*$D$10*(1-DOCF)*Wood!D80</f>
        <v>3.5141147999999998</v>
      </c>
      <c r="H77" s="100">
        <f>Amnt_Deposited!G72*$F$10*(1-DOCF)*Textiles!D80</f>
        <v>0</v>
      </c>
      <c r="I77" s="341">
        <f>Amnt_Deposited!H72*$H$8*(1-DOCF)*Nappies!D80</f>
        <v>0</v>
      </c>
      <c r="J77" s="416">
        <f>Amnt_Deposited!I72*$H$9*(1-DOCF)*Sludge!D80</f>
        <v>0</v>
      </c>
      <c r="K77" s="422">
        <f>Amnt_Deposited!L72*$H$10*(1-DOCF)*Industry!D80</f>
        <v>26.812500000000004</v>
      </c>
      <c r="L77" s="100">
        <f>Amnt_Deposited!L72*Parameters!$E$49*$D$9*(1-DOCF)*Industry!D80</f>
        <v>0</v>
      </c>
      <c r="M77" s="341">
        <f>Amnt_Deposited!L72*Parameters!$E$50*$D$10*(1-DOCF)*Industry!D80</f>
        <v>0</v>
      </c>
      <c r="N77" s="362">
        <f t="shared" si="3"/>
        <v>85.186499999999995</v>
      </c>
      <c r="O77" s="320">
        <f t="shared" si="4"/>
        <v>5281.5629999999928</v>
      </c>
    </row>
    <row r="78" spans="2:15">
      <c r="B78" s="359">
        <f t="shared" si="2"/>
        <v>2012</v>
      </c>
      <c r="C78" s="448">
        <f>Amnt_Deposited!J73*$D$8*(1-DOCF)*MSW!C81</f>
        <v>58.373999999999995</v>
      </c>
      <c r="D78" s="134">
        <f>Amnt_Deposited!C73*$F$8*(1-DOCF)*Food!D81</f>
        <v>0</v>
      </c>
      <c r="E78" s="100">
        <f>Amnt_Deposited!D73*$F$9*(1-DOCF)*Garden!D81</f>
        <v>0</v>
      </c>
      <c r="F78" s="100">
        <f>Amnt_Deposited!E73*$D$9*(1-DOCF)*Paper!D81</f>
        <v>31.755455999999999</v>
      </c>
      <c r="G78" s="100">
        <f>Amnt_Deposited!F73*$D$10*(1-DOCF)*Wood!D81</f>
        <v>3.5141147999999998</v>
      </c>
      <c r="H78" s="100">
        <f>Amnt_Deposited!G73*$F$10*(1-DOCF)*Textiles!D81</f>
        <v>0</v>
      </c>
      <c r="I78" s="341">
        <f>Amnt_Deposited!H73*$H$8*(1-DOCF)*Nappies!D81</f>
        <v>0</v>
      </c>
      <c r="J78" s="416">
        <f>Amnt_Deposited!I73*$H$9*(1-DOCF)*Sludge!D81</f>
        <v>0</v>
      </c>
      <c r="K78" s="422">
        <f>Amnt_Deposited!L73*$H$10*(1-DOCF)*Industry!D81</f>
        <v>26.812500000000004</v>
      </c>
      <c r="L78" s="100">
        <f>Amnt_Deposited!L73*Parameters!$E$49*$D$9*(1-DOCF)*Industry!D81</f>
        <v>0</v>
      </c>
      <c r="M78" s="341">
        <f>Amnt_Deposited!L73*Parameters!$E$50*$D$10*(1-DOCF)*Industry!D81</f>
        <v>0</v>
      </c>
      <c r="N78" s="362">
        <f t="shared" si="3"/>
        <v>85.186499999999995</v>
      </c>
      <c r="O78" s="320">
        <f t="shared" si="4"/>
        <v>5366.7494999999926</v>
      </c>
    </row>
    <row r="79" spans="2:15">
      <c r="B79" s="359">
        <f t="shared" si="2"/>
        <v>2013</v>
      </c>
      <c r="C79" s="448">
        <f>Amnt_Deposited!J74*$D$8*(1-DOCF)*MSW!C82</f>
        <v>58.373999999999995</v>
      </c>
      <c r="D79" s="134">
        <f>Amnt_Deposited!C74*$F$8*(1-DOCF)*Food!D82</f>
        <v>0</v>
      </c>
      <c r="E79" s="100">
        <f>Amnt_Deposited!D74*$F$9*(1-DOCF)*Garden!D82</f>
        <v>0</v>
      </c>
      <c r="F79" s="100">
        <f>Amnt_Deposited!E74*$D$9*(1-DOCF)*Paper!D82</f>
        <v>31.755455999999999</v>
      </c>
      <c r="G79" s="100">
        <f>Amnt_Deposited!F74*$D$10*(1-DOCF)*Wood!D82</f>
        <v>3.5141147999999998</v>
      </c>
      <c r="H79" s="100">
        <f>Amnt_Deposited!G74*$F$10*(1-DOCF)*Textiles!D82</f>
        <v>0</v>
      </c>
      <c r="I79" s="341">
        <f>Amnt_Deposited!H74*$H$8*(1-DOCF)*Nappies!D82</f>
        <v>0</v>
      </c>
      <c r="J79" s="416">
        <f>Amnt_Deposited!I74*$H$9*(1-DOCF)*Sludge!D82</f>
        <v>0</v>
      </c>
      <c r="K79" s="422">
        <f>Amnt_Deposited!L74*$H$10*(1-DOCF)*Industry!D82</f>
        <v>26.812500000000004</v>
      </c>
      <c r="L79" s="100">
        <f>Amnt_Deposited!L74*Parameters!$E$49*$D$9*(1-DOCF)*Industry!D82</f>
        <v>0</v>
      </c>
      <c r="M79" s="341">
        <f>Amnt_Deposited!L74*Parameters!$E$50*$D$10*(1-DOCF)*Industry!D82</f>
        <v>0</v>
      </c>
      <c r="N79" s="362">
        <f t="shared" si="3"/>
        <v>85.186499999999995</v>
      </c>
      <c r="O79" s="320">
        <f t="shared" si="4"/>
        <v>5451.9359999999924</v>
      </c>
    </row>
    <row r="80" spans="2:15">
      <c r="B80" s="359">
        <f t="shared" si="2"/>
        <v>2014</v>
      </c>
      <c r="C80" s="448">
        <f>Amnt_Deposited!J75*$D$8*(1-DOCF)*MSW!C83</f>
        <v>58.373999999999995</v>
      </c>
      <c r="D80" s="134">
        <f>Amnt_Deposited!C75*$F$8*(1-DOCF)*Food!D83</f>
        <v>0</v>
      </c>
      <c r="E80" s="100">
        <f>Amnt_Deposited!D75*$F$9*(1-DOCF)*Garden!D83</f>
        <v>0</v>
      </c>
      <c r="F80" s="100">
        <f>Amnt_Deposited!E75*$D$9*(1-DOCF)*Paper!D83</f>
        <v>31.755455999999999</v>
      </c>
      <c r="G80" s="100">
        <f>Amnt_Deposited!F75*$D$10*(1-DOCF)*Wood!D83</f>
        <v>3.5141147999999998</v>
      </c>
      <c r="H80" s="100">
        <f>Amnt_Deposited!G75*$F$10*(1-DOCF)*Textiles!D83</f>
        <v>0</v>
      </c>
      <c r="I80" s="341">
        <f>Amnt_Deposited!H75*$H$8*(1-DOCF)*Nappies!D83</f>
        <v>0</v>
      </c>
      <c r="J80" s="416">
        <f>Amnt_Deposited!I75*$H$9*(1-DOCF)*Sludge!D83</f>
        <v>0</v>
      </c>
      <c r="K80" s="422">
        <f>Amnt_Deposited!L75*$H$10*(1-DOCF)*Industry!D83</f>
        <v>26.812500000000004</v>
      </c>
      <c r="L80" s="100">
        <f>Amnt_Deposited!L75*Parameters!$E$49*$D$9*(1-DOCF)*Industry!D83</f>
        <v>0</v>
      </c>
      <c r="M80" s="341">
        <f>Amnt_Deposited!L75*Parameters!$E$50*$D$10*(1-DOCF)*Industry!D83</f>
        <v>0</v>
      </c>
      <c r="N80" s="362">
        <f t="shared" ref="N80:N96" si="5">IF(Select2=2,C80+J80+K80, D80+E80+F80+G80+H80+I80+J80+K80)</f>
        <v>85.186499999999995</v>
      </c>
      <c r="O80" s="320">
        <f t="shared" ref="O80:O96" si="6">O79+N80</f>
        <v>5537.1224999999922</v>
      </c>
    </row>
    <row r="81" spans="2:15">
      <c r="B81" s="359">
        <f t="shared" si="2"/>
        <v>2015</v>
      </c>
      <c r="C81" s="448">
        <f>Amnt_Deposited!J76*$D$8*(1-DOCF)*MSW!C84</f>
        <v>58.373999999999995</v>
      </c>
      <c r="D81" s="134">
        <f>Amnt_Deposited!C76*$F$8*(1-DOCF)*Food!D84</f>
        <v>0</v>
      </c>
      <c r="E81" s="100">
        <f>Amnt_Deposited!D76*$F$9*(1-DOCF)*Garden!D84</f>
        <v>0</v>
      </c>
      <c r="F81" s="100">
        <f>Amnt_Deposited!E76*$D$9*(1-DOCF)*Paper!D84</f>
        <v>31.755455999999999</v>
      </c>
      <c r="G81" s="100">
        <f>Amnt_Deposited!F76*$D$10*(1-DOCF)*Wood!D84</f>
        <v>3.5141147999999998</v>
      </c>
      <c r="H81" s="100">
        <f>Amnt_Deposited!G76*$F$10*(1-DOCF)*Textiles!D84</f>
        <v>0</v>
      </c>
      <c r="I81" s="341">
        <f>Amnt_Deposited!H76*$H$8*(1-DOCF)*Nappies!D84</f>
        <v>0</v>
      </c>
      <c r="J81" s="416">
        <f>Amnt_Deposited!I76*$H$9*(1-DOCF)*Sludge!D84</f>
        <v>0</v>
      </c>
      <c r="K81" s="422">
        <f>Amnt_Deposited!L76*$H$10*(1-DOCF)*Industry!D84</f>
        <v>26.812500000000004</v>
      </c>
      <c r="L81" s="100">
        <f>Amnt_Deposited!L76*Parameters!$E$49*$D$9*(1-DOCF)*Industry!D84</f>
        <v>0</v>
      </c>
      <c r="M81" s="341">
        <f>Amnt_Deposited!L76*Parameters!$E$50*$D$10*(1-DOCF)*Industry!D84</f>
        <v>0</v>
      </c>
      <c r="N81" s="362">
        <f t="shared" si="5"/>
        <v>85.186499999999995</v>
      </c>
      <c r="O81" s="320">
        <f t="shared" si="6"/>
        <v>5622.308999999992</v>
      </c>
    </row>
    <row r="82" spans="2:15">
      <c r="B82" s="359">
        <f t="shared" ref="B82:B96" si="7">B81+1</f>
        <v>2016</v>
      </c>
      <c r="C82" s="448">
        <f>Amnt_Deposited!J77*$D$8*(1-DOCF)*MSW!C85</f>
        <v>58.373999999999995</v>
      </c>
      <c r="D82" s="134">
        <f>Amnt_Deposited!C77*$F$8*(1-DOCF)*Food!D85</f>
        <v>0</v>
      </c>
      <c r="E82" s="100">
        <f>Amnt_Deposited!D77*$F$9*(1-DOCF)*Garden!D85</f>
        <v>0</v>
      </c>
      <c r="F82" s="100">
        <f>Amnt_Deposited!E77*$D$9*(1-DOCF)*Paper!D85</f>
        <v>31.755455999999999</v>
      </c>
      <c r="G82" s="100">
        <f>Amnt_Deposited!F77*$D$10*(1-DOCF)*Wood!D85</f>
        <v>3.5141147999999998</v>
      </c>
      <c r="H82" s="100">
        <f>Amnt_Deposited!G77*$F$10*(1-DOCF)*Textiles!D85</f>
        <v>0</v>
      </c>
      <c r="I82" s="341">
        <f>Amnt_Deposited!H77*$H$8*(1-DOCF)*Nappies!D85</f>
        <v>0</v>
      </c>
      <c r="J82" s="416">
        <f>Amnt_Deposited!I77*$H$9*(1-DOCF)*Sludge!D85</f>
        <v>0</v>
      </c>
      <c r="K82" s="422">
        <f>Amnt_Deposited!L77*$H$10*(1-DOCF)*Industry!D85</f>
        <v>26.812500000000004</v>
      </c>
      <c r="L82" s="100">
        <f>Amnt_Deposited!L77*Parameters!$E$49*$D$9*(1-DOCF)*Industry!D85</f>
        <v>0</v>
      </c>
      <c r="M82" s="341">
        <f>Amnt_Deposited!L77*Parameters!$E$50*$D$10*(1-DOCF)*Industry!D85</f>
        <v>0</v>
      </c>
      <c r="N82" s="362">
        <f t="shared" si="5"/>
        <v>85.186499999999995</v>
      </c>
      <c r="O82" s="320">
        <f t="shared" si="6"/>
        <v>5707.4954999999918</v>
      </c>
    </row>
    <row r="83" spans="2:15">
      <c r="B83" s="359">
        <f t="shared" si="7"/>
        <v>2017</v>
      </c>
      <c r="C83" s="448">
        <f>Amnt_Deposited!J78*$D$8*(1-DOCF)*MSW!C86</f>
        <v>58.373999999999995</v>
      </c>
      <c r="D83" s="134">
        <f>Amnt_Deposited!C78*$F$8*(1-DOCF)*Food!D86</f>
        <v>0</v>
      </c>
      <c r="E83" s="100">
        <f>Amnt_Deposited!D78*$F$9*(1-DOCF)*Garden!D86</f>
        <v>0</v>
      </c>
      <c r="F83" s="100">
        <f>Amnt_Deposited!E78*$D$9*(1-DOCF)*Paper!D86</f>
        <v>31.755455999999999</v>
      </c>
      <c r="G83" s="100">
        <f>Amnt_Deposited!F78*$D$10*(1-DOCF)*Wood!D86</f>
        <v>3.5141147999999998</v>
      </c>
      <c r="H83" s="100">
        <f>Amnt_Deposited!G78*$F$10*(1-DOCF)*Textiles!D86</f>
        <v>0</v>
      </c>
      <c r="I83" s="341">
        <f>Amnt_Deposited!H78*$H$8*(1-DOCF)*Nappies!D86</f>
        <v>0</v>
      </c>
      <c r="J83" s="416">
        <f>Amnt_Deposited!I78*$H$9*(1-DOCF)*Sludge!D86</f>
        <v>0</v>
      </c>
      <c r="K83" s="422">
        <f>Amnt_Deposited!L78*$H$10*(1-DOCF)*Industry!D86</f>
        <v>26.812500000000004</v>
      </c>
      <c r="L83" s="100">
        <f>Amnt_Deposited!L78*Parameters!$E$49*$D$9*(1-DOCF)*Industry!D86</f>
        <v>0</v>
      </c>
      <c r="M83" s="341">
        <f>Amnt_Deposited!L78*Parameters!$E$50*$D$10*(1-DOCF)*Industry!D86</f>
        <v>0</v>
      </c>
      <c r="N83" s="362">
        <f t="shared" si="5"/>
        <v>85.186499999999995</v>
      </c>
      <c r="O83" s="320">
        <f t="shared" si="6"/>
        <v>5792.6819999999916</v>
      </c>
    </row>
    <row r="84" spans="2:15">
      <c r="B84" s="359">
        <f t="shared" si="7"/>
        <v>2018</v>
      </c>
      <c r="C84" s="448">
        <f>Amnt_Deposited!J79*$D$8*(1-DOCF)*MSW!C87</f>
        <v>58.373999999999995</v>
      </c>
      <c r="D84" s="134">
        <f>Amnt_Deposited!C79*$F$8*(1-DOCF)*Food!D87</f>
        <v>0</v>
      </c>
      <c r="E84" s="100">
        <f>Amnt_Deposited!D79*$F$9*(1-DOCF)*Garden!D87</f>
        <v>0</v>
      </c>
      <c r="F84" s="100">
        <f>Amnt_Deposited!E79*$D$9*(1-DOCF)*Paper!D87</f>
        <v>31.755455999999999</v>
      </c>
      <c r="G84" s="100">
        <f>Amnt_Deposited!F79*$D$10*(1-DOCF)*Wood!D87</f>
        <v>3.5141147999999998</v>
      </c>
      <c r="H84" s="100">
        <f>Amnt_Deposited!G79*$F$10*(1-DOCF)*Textiles!D87</f>
        <v>0</v>
      </c>
      <c r="I84" s="341">
        <f>Amnt_Deposited!H79*$H$8*(1-DOCF)*Nappies!D87</f>
        <v>0</v>
      </c>
      <c r="J84" s="416">
        <f>Amnt_Deposited!I79*$H$9*(1-DOCF)*Sludge!D87</f>
        <v>0</v>
      </c>
      <c r="K84" s="422">
        <f>Amnt_Deposited!L79*$H$10*(1-DOCF)*Industry!D87</f>
        <v>26.812500000000004</v>
      </c>
      <c r="L84" s="100">
        <f>Amnt_Deposited!L79*Parameters!$E$49*$D$9*(1-DOCF)*Industry!D87</f>
        <v>0</v>
      </c>
      <c r="M84" s="341">
        <f>Amnt_Deposited!L79*Parameters!$E$50*$D$10*(1-DOCF)*Industry!D87</f>
        <v>0</v>
      </c>
      <c r="N84" s="362">
        <f t="shared" si="5"/>
        <v>85.186499999999995</v>
      </c>
      <c r="O84" s="320">
        <f t="shared" si="6"/>
        <v>5877.8684999999914</v>
      </c>
    </row>
    <row r="85" spans="2:15">
      <c r="B85" s="359">
        <f t="shared" si="7"/>
        <v>2019</v>
      </c>
      <c r="C85" s="448">
        <f>Amnt_Deposited!J80*$D$8*(1-DOCF)*MSW!C88</f>
        <v>58.373999999999995</v>
      </c>
      <c r="D85" s="134">
        <f>Amnt_Deposited!C80*$F$8*(1-DOCF)*Food!D88</f>
        <v>0</v>
      </c>
      <c r="E85" s="100">
        <f>Amnt_Deposited!D80*$F$9*(1-DOCF)*Garden!D88</f>
        <v>0</v>
      </c>
      <c r="F85" s="100">
        <f>Amnt_Deposited!E80*$D$9*(1-DOCF)*Paper!D88</f>
        <v>31.755455999999999</v>
      </c>
      <c r="G85" s="100">
        <f>Amnt_Deposited!F80*$D$10*(1-DOCF)*Wood!D88</f>
        <v>3.5141147999999998</v>
      </c>
      <c r="H85" s="100">
        <f>Amnt_Deposited!G80*$F$10*(1-DOCF)*Textiles!D88</f>
        <v>0</v>
      </c>
      <c r="I85" s="341">
        <f>Amnt_Deposited!H80*$H$8*(1-DOCF)*Nappies!D88</f>
        <v>0</v>
      </c>
      <c r="J85" s="416">
        <f>Amnt_Deposited!I80*$H$9*(1-DOCF)*Sludge!D88</f>
        <v>0</v>
      </c>
      <c r="K85" s="422">
        <f>Amnt_Deposited!L80*$H$10*(1-DOCF)*Industry!D88</f>
        <v>26.812500000000004</v>
      </c>
      <c r="L85" s="100">
        <f>Amnt_Deposited!L80*Parameters!$E$49*$D$9*(1-DOCF)*Industry!D88</f>
        <v>0</v>
      </c>
      <c r="M85" s="341">
        <f>Amnt_Deposited!L80*Parameters!$E$50*$D$10*(1-DOCF)*Industry!D88</f>
        <v>0</v>
      </c>
      <c r="N85" s="362">
        <f t="shared" si="5"/>
        <v>85.186499999999995</v>
      </c>
      <c r="O85" s="320">
        <f t="shared" si="6"/>
        <v>5963.0549999999912</v>
      </c>
    </row>
    <row r="86" spans="2:15">
      <c r="B86" s="359">
        <f t="shared" si="7"/>
        <v>2020</v>
      </c>
      <c r="C86" s="448">
        <f>Amnt_Deposited!J81*$D$8*(1-DOCF)*MSW!C89</f>
        <v>58.373999999999995</v>
      </c>
      <c r="D86" s="134">
        <f>Amnt_Deposited!C81*$F$8*(1-DOCF)*Food!D89</f>
        <v>0</v>
      </c>
      <c r="E86" s="100">
        <f>Amnt_Deposited!D81*$F$9*(1-DOCF)*Garden!D89</f>
        <v>0</v>
      </c>
      <c r="F86" s="100">
        <f>Amnt_Deposited!E81*$D$9*(1-DOCF)*Paper!D89</f>
        <v>31.755455999999999</v>
      </c>
      <c r="G86" s="100">
        <f>Amnt_Deposited!F81*$D$10*(1-DOCF)*Wood!D89</f>
        <v>3.5141147999999998</v>
      </c>
      <c r="H86" s="100">
        <f>Amnt_Deposited!G81*$F$10*(1-DOCF)*Textiles!D89</f>
        <v>0</v>
      </c>
      <c r="I86" s="341">
        <f>Amnt_Deposited!H81*$H$8*(1-DOCF)*Nappies!D89</f>
        <v>0</v>
      </c>
      <c r="J86" s="416">
        <f>Amnt_Deposited!I81*$H$9*(1-DOCF)*Sludge!D89</f>
        <v>0</v>
      </c>
      <c r="K86" s="422">
        <f>Amnt_Deposited!L81*$H$10*(1-DOCF)*Industry!D89</f>
        <v>26.812500000000004</v>
      </c>
      <c r="L86" s="100">
        <f>Amnt_Deposited!L81*Parameters!$E$49*$D$9*(1-DOCF)*Industry!D89</f>
        <v>0</v>
      </c>
      <c r="M86" s="341">
        <f>Amnt_Deposited!L81*Parameters!$E$50*$D$10*(1-DOCF)*Industry!D89</f>
        <v>0</v>
      </c>
      <c r="N86" s="362">
        <f t="shared" si="5"/>
        <v>85.186499999999995</v>
      </c>
      <c r="O86" s="320">
        <f t="shared" si="6"/>
        <v>6048.241499999991</v>
      </c>
    </row>
    <row r="87" spans="2:15">
      <c r="B87" s="359">
        <f t="shared" si="7"/>
        <v>2021</v>
      </c>
      <c r="C87" s="448">
        <f>Amnt_Deposited!J82*$D$8*(1-DOCF)*MSW!C90</f>
        <v>58.373999999999995</v>
      </c>
      <c r="D87" s="134">
        <f>Amnt_Deposited!C82*$F$8*(1-DOCF)*Food!D90</f>
        <v>0</v>
      </c>
      <c r="E87" s="100">
        <f>Amnt_Deposited!D82*$F$9*(1-DOCF)*Garden!D90</f>
        <v>0</v>
      </c>
      <c r="F87" s="100">
        <f>Amnt_Deposited!E82*$D$9*(1-DOCF)*Paper!D90</f>
        <v>31.755455999999999</v>
      </c>
      <c r="G87" s="100">
        <f>Amnt_Deposited!F82*$D$10*(1-DOCF)*Wood!D90</f>
        <v>3.5141147999999998</v>
      </c>
      <c r="H87" s="100">
        <f>Amnt_Deposited!G82*$F$10*(1-DOCF)*Textiles!D90</f>
        <v>0</v>
      </c>
      <c r="I87" s="341">
        <f>Amnt_Deposited!H82*$H$8*(1-DOCF)*Nappies!D90</f>
        <v>0</v>
      </c>
      <c r="J87" s="416">
        <f>Amnt_Deposited!I82*$H$9*(1-DOCF)*Sludge!D90</f>
        <v>0</v>
      </c>
      <c r="K87" s="422">
        <f>Amnt_Deposited!L82*$H$10*(1-DOCF)*Industry!D90</f>
        <v>26.812500000000004</v>
      </c>
      <c r="L87" s="100">
        <f>Amnt_Deposited!L82*Parameters!$E$49*$D$9*(1-DOCF)*Industry!D90</f>
        <v>0</v>
      </c>
      <c r="M87" s="341">
        <f>Amnt_Deposited!L82*Parameters!$E$50*$D$10*(1-DOCF)*Industry!D90</f>
        <v>0</v>
      </c>
      <c r="N87" s="362">
        <f t="shared" si="5"/>
        <v>85.186499999999995</v>
      </c>
      <c r="O87" s="320">
        <f t="shared" si="6"/>
        <v>6133.4279999999908</v>
      </c>
    </row>
    <row r="88" spans="2:15">
      <c r="B88" s="359">
        <f t="shared" si="7"/>
        <v>2022</v>
      </c>
      <c r="C88" s="448">
        <f>Amnt_Deposited!J83*$D$8*(1-DOCF)*MSW!C91</f>
        <v>58.373999999999995</v>
      </c>
      <c r="D88" s="134">
        <f>Amnt_Deposited!C83*$F$8*(1-DOCF)*Food!D91</f>
        <v>0</v>
      </c>
      <c r="E88" s="100">
        <f>Amnt_Deposited!D83*$F$9*(1-DOCF)*Garden!D91</f>
        <v>0</v>
      </c>
      <c r="F88" s="100">
        <f>Amnt_Deposited!E83*$D$9*(1-DOCF)*Paper!D91</f>
        <v>31.755455999999999</v>
      </c>
      <c r="G88" s="100">
        <f>Amnt_Deposited!F83*$D$10*(1-DOCF)*Wood!D91</f>
        <v>3.5141147999999998</v>
      </c>
      <c r="H88" s="100">
        <f>Amnt_Deposited!G83*$F$10*(1-DOCF)*Textiles!D91</f>
        <v>0</v>
      </c>
      <c r="I88" s="341">
        <f>Amnt_Deposited!H83*$H$8*(1-DOCF)*Nappies!D91</f>
        <v>0</v>
      </c>
      <c r="J88" s="416">
        <f>Amnt_Deposited!I83*$H$9*(1-DOCF)*Sludge!D91</f>
        <v>0</v>
      </c>
      <c r="K88" s="422">
        <f>Amnt_Deposited!L83*$H$10*(1-DOCF)*Industry!D91</f>
        <v>26.812500000000004</v>
      </c>
      <c r="L88" s="100">
        <f>Amnt_Deposited!L83*Parameters!$E$49*$D$9*(1-DOCF)*Industry!D91</f>
        <v>0</v>
      </c>
      <c r="M88" s="341">
        <f>Amnt_Deposited!L83*Parameters!$E$50*$D$10*(1-DOCF)*Industry!D91</f>
        <v>0</v>
      </c>
      <c r="N88" s="362">
        <f t="shared" si="5"/>
        <v>85.186499999999995</v>
      </c>
      <c r="O88" s="320">
        <f t="shared" si="6"/>
        <v>6218.6144999999906</v>
      </c>
    </row>
    <row r="89" spans="2:15">
      <c r="B89" s="359">
        <f t="shared" si="7"/>
        <v>2023</v>
      </c>
      <c r="C89" s="448">
        <f>Amnt_Deposited!J84*$D$8*(1-DOCF)*MSW!C92</f>
        <v>58.373999999999995</v>
      </c>
      <c r="D89" s="134">
        <f>Amnt_Deposited!C84*$F$8*(1-DOCF)*Food!D92</f>
        <v>0</v>
      </c>
      <c r="E89" s="100">
        <f>Amnt_Deposited!D84*$F$9*(1-DOCF)*Garden!D92</f>
        <v>0</v>
      </c>
      <c r="F89" s="100">
        <f>Amnt_Deposited!E84*$D$9*(1-DOCF)*Paper!D92</f>
        <v>31.755455999999999</v>
      </c>
      <c r="G89" s="100">
        <f>Amnt_Deposited!F84*$D$10*(1-DOCF)*Wood!D92</f>
        <v>3.5141147999999998</v>
      </c>
      <c r="H89" s="100">
        <f>Amnt_Deposited!G84*$F$10*(1-DOCF)*Textiles!D92</f>
        <v>0</v>
      </c>
      <c r="I89" s="341">
        <f>Amnt_Deposited!H84*$H$8*(1-DOCF)*Nappies!D92</f>
        <v>0</v>
      </c>
      <c r="J89" s="416">
        <f>Amnt_Deposited!I84*$H$9*(1-DOCF)*Sludge!D92</f>
        <v>0</v>
      </c>
      <c r="K89" s="422">
        <f>Amnt_Deposited!L84*$H$10*(1-DOCF)*Industry!D92</f>
        <v>26.812500000000004</v>
      </c>
      <c r="L89" s="100">
        <f>Amnt_Deposited!L84*Parameters!$E$49*$D$9*(1-DOCF)*Industry!D92</f>
        <v>0</v>
      </c>
      <c r="M89" s="341">
        <f>Amnt_Deposited!L84*Parameters!$E$50*$D$10*(1-DOCF)*Industry!D92</f>
        <v>0</v>
      </c>
      <c r="N89" s="362">
        <f t="shared" si="5"/>
        <v>85.186499999999995</v>
      </c>
      <c r="O89" s="320">
        <f t="shared" si="6"/>
        <v>6303.8009999999904</v>
      </c>
    </row>
    <row r="90" spans="2:15">
      <c r="B90" s="359">
        <f t="shared" si="7"/>
        <v>2024</v>
      </c>
      <c r="C90" s="448">
        <f>Amnt_Deposited!J85*$D$8*(1-DOCF)*MSW!C93</f>
        <v>58.373999999999995</v>
      </c>
      <c r="D90" s="134">
        <f>Amnt_Deposited!C85*$F$8*(1-DOCF)*Food!D93</f>
        <v>0</v>
      </c>
      <c r="E90" s="100">
        <f>Amnt_Deposited!D85*$F$9*(1-DOCF)*Garden!D93</f>
        <v>0</v>
      </c>
      <c r="F90" s="100">
        <f>Amnt_Deposited!E85*$D$9*(1-DOCF)*Paper!D93</f>
        <v>31.755455999999999</v>
      </c>
      <c r="G90" s="100">
        <f>Amnt_Deposited!F85*$D$10*(1-DOCF)*Wood!D93</f>
        <v>3.5141147999999998</v>
      </c>
      <c r="H90" s="100">
        <f>Amnt_Deposited!G85*$F$10*(1-DOCF)*Textiles!D93</f>
        <v>0</v>
      </c>
      <c r="I90" s="341">
        <f>Amnt_Deposited!H85*$H$8*(1-DOCF)*Nappies!D93</f>
        <v>0</v>
      </c>
      <c r="J90" s="416">
        <f>Amnt_Deposited!I85*$H$9*(1-DOCF)*Sludge!D93</f>
        <v>0</v>
      </c>
      <c r="K90" s="422">
        <f>Amnt_Deposited!L85*$H$10*(1-DOCF)*Industry!D93</f>
        <v>26.812500000000004</v>
      </c>
      <c r="L90" s="100">
        <f>Amnt_Deposited!L85*Parameters!$E$49*$D$9*(1-DOCF)*Industry!D93</f>
        <v>0</v>
      </c>
      <c r="M90" s="341">
        <f>Amnt_Deposited!L85*Parameters!$E$50*$D$10*(1-DOCF)*Industry!D93</f>
        <v>0</v>
      </c>
      <c r="N90" s="362">
        <f t="shared" si="5"/>
        <v>85.186499999999995</v>
      </c>
      <c r="O90" s="320">
        <f t="shared" si="6"/>
        <v>6388.9874999999902</v>
      </c>
    </row>
    <row r="91" spans="2:15">
      <c r="B91" s="359">
        <f t="shared" si="7"/>
        <v>2025</v>
      </c>
      <c r="C91" s="448">
        <f>Amnt_Deposited!J86*$D$8*(1-DOCF)*MSW!C94</f>
        <v>58.373999999999995</v>
      </c>
      <c r="D91" s="134">
        <f>Amnt_Deposited!C86*$F$8*(1-DOCF)*Food!D94</f>
        <v>0</v>
      </c>
      <c r="E91" s="100">
        <f>Amnt_Deposited!D86*$F$9*(1-DOCF)*Garden!D94</f>
        <v>0</v>
      </c>
      <c r="F91" s="100">
        <f>Amnt_Deposited!E86*$D$9*(1-DOCF)*Paper!D94</f>
        <v>31.755455999999999</v>
      </c>
      <c r="G91" s="100">
        <f>Amnt_Deposited!F86*$D$10*(1-DOCF)*Wood!D94</f>
        <v>3.5141147999999998</v>
      </c>
      <c r="H91" s="100">
        <f>Amnt_Deposited!G86*$F$10*(1-DOCF)*Textiles!D94</f>
        <v>0</v>
      </c>
      <c r="I91" s="341">
        <f>Amnt_Deposited!H86*$H$8*(1-DOCF)*Nappies!D94</f>
        <v>0</v>
      </c>
      <c r="J91" s="416">
        <f>Amnt_Deposited!I86*$H$9*(1-DOCF)*Sludge!D94</f>
        <v>0</v>
      </c>
      <c r="K91" s="422">
        <f>Amnt_Deposited!L86*$H$10*(1-DOCF)*Industry!D94</f>
        <v>26.812500000000004</v>
      </c>
      <c r="L91" s="100">
        <f>Amnt_Deposited!L86*Parameters!$E$49*$D$9*(1-DOCF)*Industry!D94</f>
        <v>0</v>
      </c>
      <c r="M91" s="341">
        <f>Amnt_Deposited!L86*Parameters!$E$50*$D$10*(1-DOCF)*Industry!D94</f>
        <v>0</v>
      </c>
      <c r="N91" s="362">
        <f t="shared" si="5"/>
        <v>85.186499999999995</v>
      </c>
      <c r="O91" s="320">
        <f t="shared" si="6"/>
        <v>6474.17399999999</v>
      </c>
    </row>
    <row r="92" spans="2:15">
      <c r="B92" s="359">
        <f t="shared" si="7"/>
        <v>2026</v>
      </c>
      <c r="C92" s="448">
        <f>Amnt_Deposited!J87*$D$8*(1-DOCF)*MSW!C95</f>
        <v>58.373999999999995</v>
      </c>
      <c r="D92" s="134">
        <f>Amnt_Deposited!C87*$F$8*(1-DOCF)*Food!D95</f>
        <v>0</v>
      </c>
      <c r="E92" s="100">
        <f>Amnt_Deposited!D87*$F$9*(1-DOCF)*Garden!D95</f>
        <v>0</v>
      </c>
      <c r="F92" s="100">
        <f>Amnt_Deposited!E87*$D$9*(1-DOCF)*Paper!D95</f>
        <v>31.755455999999999</v>
      </c>
      <c r="G92" s="100">
        <f>Amnt_Deposited!F87*$D$10*(1-DOCF)*Wood!D95</f>
        <v>3.5141147999999998</v>
      </c>
      <c r="H92" s="100">
        <f>Amnt_Deposited!G87*$F$10*(1-DOCF)*Textiles!D95</f>
        <v>0</v>
      </c>
      <c r="I92" s="341">
        <f>Amnt_Deposited!H87*$H$8*(1-DOCF)*Nappies!D95</f>
        <v>0</v>
      </c>
      <c r="J92" s="416">
        <f>Amnt_Deposited!I87*$H$9*(1-DOCF)*Sludge!D95</f>
        <v>0</v>
      </c>
      <c r="K92" s="422">
        <f>Amnt_Deposited!L87*$H$10*(1-DOCF)*Industry!D95</f>
        <v>26.812500000000004</v>
      </c>
      <c r="L92" s="100">
        <f>Amnt_Deposited!L87*Parameters!$E$49*$D$9*(1-DOCF)*Industry!D95</f>
        <v>0</v>
      </c>
      <c r="M92" s="341">
        <f>Amnt_Deposited!L87*Parameters!$E$50*$D$10*(1-DOCF)*Industry!D95</f>
        <v>0</v>
      </c>
      <c r="N92" s="362">
        <f t="shared" si="5"/>
        <v>85.186499999999995</v>
      </c>
      <c r="O92" s="320">
        <f t="shared" si="6"/>
        <v>6559.3604999999898</v>
      </c>
    </row>
    <row r="93" spans="2:15">
      <c r="B93" s="359">
        <f t="shared" si="7"/>
        <v>2027</v>
      </c>
      <c r="C93" s="448">
        <f>Amnt_Deposited!J88*$D$8*(1-DOCF)*MSW!C96</f>
        <v>58.373999999999995</v>
      </c>
      <c r="D93" s="134">
        <f>Amnt_Deposited!C88*$F$8*(1-DOCF)*Food!D96</f>
        <v>0</v>
      </c>
      <c r="E93" s="100">
        <f>Amnt_Deposited!D88*$F$9*(1-DOCF)*Garden!D96</f>
        <v>0</v>
      </c>
      <c r="F93" s="100">
        <f>Amnt_Deposited!E88*$D$9*(1-DOCF)*Paper!D96</f>
        <v>31.755455999999999</v>
      </c>
      <c r="G93" s="100">
        <f>Amnt_Deposited!F88*$D$10*(1-DOCF)*Wood!D96</f>
        <v>3.5141147999999998</v>
      </c>
      <c r="H93" s="100">
        <f>Amnt_Deposited!G88*$F$10*(1-DOCF)*Textiles!D96</f>
        <v>0</v>
      </c>
      <c r="I93" s="341">
        <f>Amnt_Deposited!H88*$H$8*(1-DOCF)*Nappies!D96</f>
        <v>0</v>
      </c>
      <c r="J93" s="416">
        <f>Amnt_Deposited!I88*$H$9*(1-DOCF)*Sludge!D96</f>
        <v>0</v>
      </c>
      <c r="K93" s="422">
        <f>Amnt_Deposited!L88*$H$10*(1-DOCF)*Industry!D96</f>
        <v>26.812500000000004</v>
      </c>
      <c r="L93" s="100">
        <f>Amnt_Deposited!L88*Parameters!$E$49*$D$9*(1-DOCF)*Industry!D96</f>
        <v>0</v>
      </c>
      <c r="M93" s="341">
        <f>Amnt_Deposited!L88*Parameters!$E$50*$D$10*(1-DOCF)*Industry!D96</f>
        <v>0</v>
      </c>
      <c r="N93" s="362">
        <f t="shared" si="5"/>
        <v>85.186499999999995</v>
      </c>
      <c r="O93" s="320">
        <f t="shared" si="6"/>
        <v>6644.5469999999896</v>
      </c>
    </row>
    <row r="94" spans="2:15">
      <c r="B94" s="359">
        <f t="shared" si="7"/>
        <v>2028</v>
      </c>
      <c r="C94" s="448">
        <f>Amnt_Deposited!J89*$D$8*(1-DOCF)*MSW!C97</f>
        <v>58.373999999999995</v>
      </c>
      <c r="D94" s="134">
        <f>Amnt_Deposited!C89*$F$8*(1-DOCF)*Food!D97</f>
        <v>0</v>
      </c>
      <c r="E94" s="100">
        <f>Amnt_Deposited!D89*$F$9*(1-DOCF)*Garden!D97</f>
        <v>0</v>
      </c>
      <c r="F94" s="100">
        <f>Amnt_Deposited!E89*$D$9*(1-DOCF)*Paper!D97</f>
        <v>31.755455999999999</v>
      </c>
      <c r="G94" s="100">
        <f>Amnt_Deposited!F89*$D$10*(1-DOCF)*Wood!D97</f>
        <v>3.5141147999999998</v>
      </c>
      <c r="H94" s="100">
        <f>Amnt_Deposited!G89*$F$10*(1-DOCF)*Textiles!D97</f>
        <v>0</v>
      </c>
      <c r="I94" s="341">
        <f>Amnt_Deposited!H89*$H$8*(1-DOCF)*Nappies!D97</f>
        <v>0</v>
      </c>
      <c r="J94" s="416">
        <f>Amnt_Deposited!I89*$H$9*(1-DOCF)*Sludge!D97</f>
        <v>0</v>
      </c>
      <c r="K94" s="422">
        <f>Amnt_Deposited!L89*$H$10*(1-DOCF)*Industry!D97</f>
        <v>26.812500000000004</v>
      </c>
      <c r="L94" s="100">
        <f>Amnt_Deposited!L89*Parameters!$E$49*$D$9*(1-DOCF)*Industry!D97</f>
        <v>0</v>
      </c>
      <c r="M94" s="341">
        <f>Amnt_Deposited!L89*Parameters!$E$50*$D$10*(1-DOCF)*Industry!D97</f>
        <v>0</v>
      </c>
      <c r="N94" s="362">
        <f t="shared" si="5"/>
        <v>85.186499999999995</v>
      </c>
      <c r="O94" s="320">
        <f t="shared" si="6"/>
        <v>6729.7334999999894</v>
      </c>
    </row>
    <row r="95" spans="2:15">
      <c r="B95" s="359">
        <f t="shared" si="7"/>
        <v>2029</v>
      </c>
      <c r="C95" s="448">
        <f>Amnt_Deposited!J90*$D$8*(1-DOCF)*MSW!C98</f>
        <v>58.373999999999995</v>
      </c>
      <c r="D95" s="134">
        <f>Amnt_Deposited!C90*$F$8*(1-DOCF)*Food!D98</f>
        <v>0</v>
      </c>
      <c r="E95" s="100">
        <f>Amnt_Deposited!D90*$F$9*(1-DOCF)*Garden!D98</f>
        <v>0</v>
      </c>
      <c r="F95" s="100">
        <f>Amnt_Deposited!E90*$D$9*(1-DOCF)*Paper!D98</f>
        <v>31.755455999999999</v>
      </c>
      <c r="G95" s="100">
        <f>Amnt_Deposited!F90*$D$10*(1-DOCF)*Wood!D98</f>
        <v>3.5141147999999998</v>
      </c>
      <c r="H95" s="100">
        <f>Amnt_Deposited!G90*$F$10*(1-DOCF)*Textiles!D98</f>
        <v>0</v>
      </c>
      <c r="I95" s="341">
        <f>Amnt_Deposited!H90*$H$8*(1-DOCF)*Nappies!D98</f>
        <v>0</v>
      </c>
      <c r="J95" s="416">
        <f>Amnt_Deposited!I90*$H$9*(1-DOCF)*Sludge!D98</f>
        <v>0</v>
      </c>
      <c r="K95" s="422">
        <f>Amnt_Deposited!L90*$H$10*(1-DOCF)*Industry!D98</f>
        <v>26.812500000000004</v>
      </c>
      <c r="L95" s="100">
        <f>Amnt_Deposited!L90*Parameters!$E$49*$D$9*(1-DOCF)*Industry!D98</f>
        <v>0</v>
      </c>
      <c r="M95" s="341">
        <f>Amnt_Deposited!L90*Parameters!$E$50*$D$10*(1-DOCF)*Industry!D98</f>
        <v>0</v>
      </c>
      <c r="N95" s="362">
        <f t="shared" si="5"/>
        <v>85.186499999999995</v>
      </c>
      <c r="O95" s="320">
        <f t="shared" si="6"/>
        <v>6814.9199999999892</v>
      </c>
    </row>
    <row r="96" spans="2:15" ht="13.8" thickBot="1">
      <c r="B96" s="360">
        <f t="shared" si="7"/>
        <v>2030</v>
      </c>
      <c r="C96" s="449">
        <f>Amnt_Deposited!J91*$D$8*(1-DOCF)*MSW!C99</f>
        <v>58.373999999999995</v>
      </c>
      <c r="D96" s="136">
        <f>Amnt_Deposited!C91*$F$8*(1-DOCF)*Food!D99</f>
        <v>0</v>
      </c>
      <c r="E96" s="101">
        <f>Amnt_Deposited!D91*$F$9*(1-DOCF)*Garden!D99</f>
        <v>0</v>
      </c>
      <c r="F96" s="101">
        <f>Amnt_Deposited!E91*$D$9*(1-DOCF)*Paper!D99</f>
        <v>31.755455999999999</v>
      </c>
      <c r="G96" s="101">
        <f>Amnt_Deposited!F91*$D$10*(1-DOCF)*Wood!D99</f>
        <v>3.5141147999999998</v>
      </c>
      <c r="H96" s="101">
        <f>Amnt_Deposited!G91*$F$10*(1-DOCF)*Textiles!D99</f>
        <v>0</v>
      </c>
      <c r="I96" s="342">
        <f>Amnt_Deposited!H91*$H$8*(1-DOCF)*Nappies!D99</f>
        <v>0</v>
      </c>
      <c r="J96" s="417">
        <f>Amnt_Deposited!I91*$H$9*(1-DOCF)*Sludge!D99</f>
        <v>0</v>
      </c>
      <c r="K96" s="447">
        <f>Amnt_Deposited!L91*$H$10*(1-DOCF)*Industry!D99</f>
        <v>26.812500000000004</v>
      </c>
      <c r="L96" s="101">
        <f>Amnt_Deposited!L91*Parameters!$E$49*$D$9*(1-DOCF)*Industry!D99</f>
        <v>0</v>
      </c>
      <c r="M96" s="342">
        <f>Amnt_Deposited!L91*Parameters!$E$50*$D$10*(1-DOCF)*Industry!D99</f>
        <v>0</v>
      </c>
      <c r="N96" s="363">
        <f t="shared" si="5"/>
        <v>85.186499999999995</v>
      </c>
      <c r="O96" s="322">
        <f t="shared" si="6"/>
        <v>6900.106499999989</v>
      </c>
    </row>
  </sheetData>
  <sheetProtection password="CF65" sheet="1" objects="1" scenarios="1"/>
  <customSheetViews>
    <customSheetView guid="{B400968E-E9A7-41C3-9739-36597C9C6BC6}" showGridLines="0" showRuler="0" topLeftCell="E1">
      <selection activeCell="M3" sqref="M3"/>
      <pageMargins left="0.75" right="0.75" top="1" bottom="1" header="0.5" footer="0.5"/>
      <pageSetup paperSize="9" orientation="portrait"/>
      <headerFooter alignWithMargins="0"/>
    </customSheetView>
  </customSheetViews>
  <mergeCells count="3">
    <mergeCell ref="D2:F2"/>
    <mergeCell ref="H2:K2"/>
    <mergeCell ref="H3:K3"/>
  </mergeCells>
  <phoneticPr fontId="17" type="noConversion"/>
  <pageMargins left="0.75" right="0.75" top="1" bottom="1" header="0.5" footer="0.5"/>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15</vt:i4>
      </vt:variant>
    </vt:vector>
  </HeadingPairs>
  <TitlesOfParts>
    <vt:vector size="35" baseType="lpstr">
      <vt:lpstr>Instructions</vt:lpstr>
      <vt:lpstr>Parameters</vt:lpstr>
      <vt:lpstr>MCF</vt:lpstr>
      <vt:lpstr>Activity</vt:lpstr>
      <vt:lpstr>Amnt_Deposited</vt:lpstr>
      <vt:lpstr>Recovery_OX</vt:lpstr>
      <vt:lpstr>Results</vt:lpstr>
      <vt:lpstr>HWP</vt:lpstr>
      <vt:lpstr>Stored_C</vt:lpstr>
      <vt:lpstr>Theory</vt:lpstr>
      <vt:lpstr>Defaults</vt:lpstr>
      <vt:lpstr>Food</vt:lpstr>
      <vt:lpstr>Garden</vt:lpstr>
      <vt:lpstr>Paper</vt:lpstr>
      <vt:lpstr>Wood</vt:lpstr>
      <vt:lpstr>Textiles</vt:lpstr>
      <vt:lpstr>Nappies</vt:lpstr>
      <vt:lpstr>Sludge</vt:lpstr>
      <vt:lpstr>MSW</vt:lpstr>
      <vt:lpstr>Industry</vt:lpstr>
      <vt:lpstr>CH4_fraction</vt:lpstr>
      <vt:lpstr>conv</vt:lpstr>
      <vt:lpstr>country</vt:lpstr>
      <vt:lpstr>DOC_table</vt:lpstr>
      <vt:lpstr>DOCF</vt:lpstr>
      <vt:lpstr>half_life</vt:lpstr>
      <vt:lpstr>ox</vt:lpstr>
      <vt:lpstr>Instructions!Print_Area</vt:lpstr>
      <vt:lpstr>Parameters!Print_Area</vt:lpstr>
      <vt:lpstr>Theory!Print_Area</vt:lpstr>
      <vt:lpstr>Regional_data</vt:lpstr>
      <vt:lpstr>Select2</vt:lpstr>
      <vt:lpstr>Select3</vt:lpstr>
      <vt:lpstr>selected</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ipcc nggip</dc:creator>
  <cp:lastModifiedBy>baasansuren</cp:lastModifiedBy>
  <cp:lastPrinted>2006-10-20T08:27:24Z</cp:lastPrinted>
  <dcterms:created xsi:type="dcterms:W3CDTF">2004-11-09T12:47:45Z</dcterms:created>
  <dcterms:modified xsi:type="dcterms:W3CDTF">2023-02-08T02:18:36Z</dcterms:modified>
</cp:coreProperties>
</file>