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19200" windowHeight="6440" firstSheet="1" activeTab="5"/>
  </bookViews>
  <sheets>
    <sheet name="Introduction" sheetId="18" r:id="rId1"/>
    <sheet name="Table 2 data" sheetId="1" r:id="rId2"/>
    <sheet name="Parameter Estimation" sheetId="4" r:id="rId3"/>
    <sheet name="beta shape" sheetId="20" r:id="rId4"/>
    <sheet name="Conditional Expectations (I)" sheetId="6" r:id="rId5"/>
    <sheet name="DERT" sheetId="17" r:id="rId6"/>
    <sheet name="CLV" sheetId="22" r:id="rId7"/>
    <sheet name="In-Sample Fit" sheetId="2" r:id="rId8"/>
    <sheet name="Tracking Plots" sheetId="5" r:id="rId9"/>
    <sheet name="Conditional Expectations (II)" sheetId="10" r:id="rId10"/>
    <sheet name="Pivot Table I" sheetId="13" r:id="rId11"/>
    <sheet name="Pivot Table II" sheetId="14" r:id="rId12"/>
    <sheet name="Pivot Table III" sheetId="15" r:id="rId13"/>
    <sheet name="E(P^l,Theta^m)" sheetId="16" r:id="rId14"/>
  </sheets>
  <definedNames>
    <definedName name="solver_adj" localSheetId="6" hidden="1">CLV!$B$1:$B$4</definedName>
    <definedName name="solver_adj" localSheetId="4" hidden="1">'Conditional Expectations (I)'!$B$1:$B$4</definedName>
    <definedName name="solver_adj" localSheetId="5" hidden="1">DERT!$B$1:$B$4</definedName>
    <definedName name="solver_adj" localSheetId="13" hidden="1">'E(P^l,Theta^m)'!$B$1:$B$4</definedName>
    <definedName name="solver_adj" localSheetId="2" hidden="1">'Parameter Estimation'!$B$1:$B$4</definedName>
    <definedName name="solver_cvg" localSheetId="6" hidden="1">0.0001</definedName>
    <definedName name="solver_cvg" localSheetId="4" hidden="1">0.0001</definedName>
    <definedName name="solver_cvg" localSheetId="5" hidden="1">0.0001</definedName>
    <definedName name="solver_cvg" localSheetId="13" hidden="1">0.0001</definedName>
    <definedName name="solver_cvg" localSheetId="2" hidden="1">0.0001</definedName>
    <definedName name="solver_drv" localSheetId="6" hidden="1">1</definedName>
    <definedName name="solver_drv" localSheetId="4" hidden="1">1</definedName>
    <definedName name="solver_drv" localSheetId="5" hidden="1">1</definedName>
    <definedName name="solver_drv" localSheetId="13" hidden="1">1</definedName>
    <definedName name="solver_drv" localSheetId="2" hidden="1">1</definedName>
    <definedName name="solver_eng" localSheetId="4" hidden="1">1</definedName>
    <definedName name="solver_eng" localSheetId="5" hidden="1">1</definedName>
    <definedName name="solver_eng" localSheetId="2" hidden="1">1</definedName>
    <definedName name="solver_est" localSheetId="6" hidden="1">1</definedName>
    <definedName name="solver_est" localSheetId="4" hidden="1">1</definedName>
    <definedName name="solver_est" localSheetId="5" hidden="1">1</definedName>
    <definedName name="solver_est" localSheetId="13" hidden="1">1</definedName>
    <definedName name="solver_est" localSheetId="2" hidden="1">1</definedName>
    <definedName name="solver_itr" localSheetId="6" hidden="1">100</definedName>
    <definedName name="solver_itr" localSheetId="4" hidden="1">100</definedName>
    <definedName name="solver_itr" localSheetId="5" hidden="1">100</definedName>
    <definedName name="solver_itr" localSheetId="13" hidden="1">100</definedName>
    <definedName name="solver_itr" localSheetId="2" hidden="1">100</definedName>
    <definedName name="solver_lhs1" localSheetId="6" hidden="1">CLV!$B$1:$B$4</definedName>
    <definedName name="solver_lhs1" localSheetId="4" hidden="1">'Conditional Expectations (I)'!$B$1:$B$4</definedName>
    <definedName name="solver_lhs1" localSheetId="5" hidden="1">DERT!$B$1:$B$4</definedName>
    <definedName name="solver_lhs1" localSheetId="13" hidden="1">'E(P^l,Theta^m)'!$B$1:$B$4</definedName>
    <definedName name="solver_lhs1" localSheetId="2" hidden="1">'Parameter Estimation'!$B$1:$B$4</definedName>
    <definedName name="solver_lin" localSheetId="6" hidden="1">2</definedName>
    <definedName name="solver_lin" localSheetId="4" hidden="1">2</definedName>
    <definedName name="solver_lin" localSheetId="5" hidden="1">2</definedName>
    <definedName name="solver_lin" localSheetId="13" hidden="1">2</definedName>
    <definedName name="solver_lin" localSheetId="2" hidden="1">2</definedName>
    <definedName name="solver_mip" localSheetId="4" hidden="1">2147483647</definedName>
    <definedName name="solver_mip" localSheetId="5" hidden="1">2147483647</definedName>
    <definedName name="solver_mip" localSheetId="2" hidden="1">2147483647</definedName>
    <definedName name="solver_mni" localSheetId="4" hidden="1">30</definedName>
    <definedName name="solver_mni" localSheetId="5" hidden="1">30</definedName>
    <definedName name="solver_mni" localSheetId="2" hidden="1">30</definedName>
    <definedName name="solver_mrt" localSheetId="4" hidden="1">0.075</definedName>
    <definedName name="solver_mrt" localSheetId="5" hidden="1">0.075</definedName>
    <definedName name="solver_mrt" localSheetId="2" hidden="1">0.075</definedName>
    <definedName name="solver_msl" localSheetId="4" hidden="1">2</definedName>
    <definedName name="solver_msl" localSheetId="5" hidden="1">2</definedName>
    <definedName name="solver_msl" localSheetId="2" hidden="1">2</definedName>
    <definedName name="solver_neg" localSheetId="6" hidden="1">2</definedName>
    <definedName name="solver_neg" localSheetId="4" hidden="1">2</definedName>
    <definedName name="solver_neg" localSheetId="5" hidden="1">2</definedName>
    <definedName name="solver_neg" localSheetId="13" hidden="1">2</definedName>
    <definedName name="solver_neg" localSheetId="2" hidden="1">2</definedName>
    <definedName name="solver_nod" localSheetId="4" hidden="1">2147483647</definedName>
    <definedName name="solver_nod" localSheetId="5" hidden="1">2147483647</definedName>
    <definedName name="solver_nod" localSheetId="2" hidden="1">2147483647</definedName>
    <definedName name="solver_num" localSheetId="6" hidden="1">1</definedName>
    <definedName name="solver_num" localSheetId="4" hidden="1">1</definedName>
    <definedName name="solver_num" localSheetId="5" hidden="1">1</definedName>
    <definedName name="solver_num" localSheetId="13" hidden="1">1</definedName>
    <definedName name="solver_num" localSheetId="2" hidden="1">1</definedName>
    <definedName name="solver_nwt" localSheetId="6" hidden="1">1</definedName>
    <definedName name="solver_nwt" localSheetId="4" hidden="1">1</definedName>
    <definedName name="solver_nwt" localSheetId="5" hidden="1">1</definedName>
    <definedName name="solver_nwt" localSheetId="13" hidden="1">1</definedName>
    <definedName name="solver_nwt" localSheetId="2" hidden="1">1</definedName>
    <definedName name="solver_opt" localSheetId="6" hidden="1">CLV!$B$10</definedName>
    <definedName name="solver_opt" localSheetId="4" hidden="1">'Conditional Expectations (I)'!$B$8</definedName>
    <definedName name="solver_opt" localSheetId="5" hidden="1">DERT!$B$8</definedName>
    <definedName name="solver_opt" localSheetId="13" hidden="1">'E(P^l,Theta^m)'!#REF!</definedName>
    <definedName name="solver_opt" localSheetId="2" hidden="1">'Parameter Estimation'!$B$6</definedName>
    <definedName name="solver_pre" localSheetId="6" hidden="1">0.000001</definedName>
    <definedName name="solver_pre" localSheetId="4" hidden="1">0.000001</definedName>
    <definedName name="solver_pre" localSheetId="5" hidden="1">0.000001</definedName>
    <definedName name="solver_pre" localSheetId="13" hidden="1">0.000001</definedName>
    <definedName name="solver_pre" localSheetId="2" hidden="1">0.000001</definedName>
    <definedName name="solver_rbv" localSheetId="4" hidden="1">1</definedName>
    <definedName name="solver_rbv" localSheetId="5" hidden="1">1</definedName>
    <definedName name="solver_rbv" localSheetId="2" hidden="1">1</definedName>
    <definedName name="solver_rel1" localSheetId="6" hidden="1">3</definedName>
    <definedName name="solver_rel1" localSheetId="4" hidden="1">3</definedName>
    <definedName name="solver_rel1" localSheetId="5" hidden="1">3</definedName>
    <definedName name="solver_rel1" localSheetId="13" hidden="1">3</definedName>
    <definedName name="solver_rel1" localSheetId="2" hidden="1">3</definedName>
    <definedName name="solver_rhs1" localSheetId="6" hidden="1">0.0001</definedName>
    <definedName name="solver_rhs1" localSheetId="4" hidden="1">0.0001</definedName>
    <definedName name="solver_rhs1" localSheetId="5" hidden="1">0.0001</definedName>
    <definedName name="solver_rhs1" localSheetId="13" hidden="1">0.0001</definedName>
    <definedName name="solver_rhs1" localSheetId="2" hidden="1">0.0001</definedName>
    <definedName name="solver_rlx" localSheetId="4" hidden="1">1</definedName>
    <definedName name="solver_rlx" localSheetId="5" hidden="1">1</definedName>
    <definedName name="solver_rlx" localSheetId="2" hidden="1">1</definedName>
    <definedName name="solver_rsd" localSheetId="4" hidden="1">0</definedName>
    <definedName name="solver_rsd" localSheetId="5" hidden="1">0</definedName>
    <definedName name="solver_rsd" localSheetId="2" hidden="1">0</definedName>
    <definedName name="solver_scl" localSheetId="6" hidden="1">2</definedName>
    <definedName name="solver_scl" localSheetId="4" hidden="1">2</definedName>
    <definedName name="solver_scl" localSheetId="5" hidden="1">2</definedName>
    <definedName name="solver_scl" localSheetId="13" hidden="1">2</definedName>
    <definedName name="solver_scl" localSheetId="2" hidden="1">2</definedName>
    <definedName name="solver_sho" localSheetId="6" hidden="1">2</definedName>
    <definedName name="solver_sho" localSheetId="4" hidden="1">2</definedName>
    <definedName name="solver_sho" localSheetId="5" hidden="1">2</definedName>
    <definedName name="solver_sho" localSheetId="13" hidden="1">2</definedName>
    <definedName name="solver_sho" localSheetId="2" hidden="1">2</definedName>
    <definedName name="solver_ssz" localSheetId="4" hidden="1">100</definedName>
    <definedName name="solver_ssz" localSheetId="5" hidden="1">100</definedName>
    <definedName name="solver_ssz" localSheetId="2" hidden="1">100</definedName>
    <definedName name="solver_tim" localSheetId="6" hidden="1">100</definedName>
    <definedName name="solver_tim" localSheetId="4" hidden="1">100</definedName>
    <definedName name="solver_tim" localSheetId="5" hidden="1">100</definedName>
    <definedName name="solver_tim" localSheetId="13" hidden="1">100</definedName>
    <definedName name="solver_tim" localSheetId="2" hidden="1">100</definedName>
    <definedName name="solver_tol" localSheetId="6" hidden="1">0.05</definedName>
    <definedName name="solver_tol" localSheetId="4" hidden="1">0.05</definedName>
    <definedName name="solver_tol" localSheetId="5" hidden="1">0.05</definedName>
    <definedName name="solver_tol" localSheetId="13" hidden="1">0.05</definedName>
    <definedName name="solver_tol" localSheetId="2" hidden="1">0.05</definedName>
    <definedName name="solver_typ" localSheetId="6" hidden="1">1</definedName>
    <definedName name="solver_typ" localSheetId="4" hidden="1">1</definedName>
    <definedName name="solver_typ" localSheetId="5" hidden="1">1</definedName>
    <definedName name="solver_typ" localSheetId="13" hidden="1">1</definedName>
    <definedName name="solver_typ" localSheetId="2" hidden="1">1</definedName>
    <definedName name="solver_val" localSheetId="6" hidden="1">0</definedName>
    <definedName name="solver_val" localSheetId="4" hidden="1">0</definedName>
    <definedName name="solver_val" localSheetId="5" hidden="1">0</definedName>
    <definedName name="solver_val" localSheetId="13" hidden="1">0</definedName>
    <definedName name="solver_val" localSheetId="2" hidden="1">0</definedName>
    <definedName name="solver_ver" localSheetId="4" hidden="1">3</definedName>
    <definedName name="solver_ver" localSheetId="5" hidden="1">3</definedName>
    <definedName name="solver_ver" localSheetId="2" hidden="1">3</definedName>
  </definedNames>
  <calcPr calcId="152511"/>
  <pivotCaches>
    <pivotCache cacheId="0" r:id="rId15"/>
  </pivotCaches>
</workbook>
</file>

<file path=xl/calcChain.xml><?xml version="1.0" encoding="utf-8"?>
<calcChain xmlns="http://schemas.openxmlformats.org/spreadsheetml/2006/main">
  <c r="E1" i="4" l="1"/>
  <c r="E3" i="4"/>
  <c r="C8" i="22" l="1"/>
  <c r="B14" i="22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98" i="22" s="1"/>
  <c r="B99" i="22" s="1"/>
  <c r="B100" i="22" s="1"/>
  <c r="B101" i="22" s="1"/>
  <c r="B102" i="22" s="1"/>
  <c r="B103" i="22" s="1"/>
  <c r="B104" i="22" s="1"/>
  <c r="B105" i="22" s="1"/>
  <c r="B106" i="22" s="1"/>
  <c r="B107" i="22" s="1"/>
  <c r="B108" i="22" s="1"/>
  <c r="B109" i="22" s="1"/>
  <c r="B110" i="22" s="1"/>
  <c r="B111" i="22" s="1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3" i="22"/>
  <c r="C12" i="22"/>
  <c r="C11" i="22"/>
  <c r="B13" i="22"/>
  <c r="B12" i="22"/>
  <c r="D4" i="20"/>
  <c r="D3" i="20"/>
  <c r="C4" i="20"/>
  <c r="C3" i="20"/>
  <c r="D11" i="20" l="1"/>
  <c r="C7" i="20"/>
  <c r="C102" i="20"/>
  <c r="C90" i="20"/>
  <c r="C78" i="20"/>
  <c r="C94" i="20"/>
  <c r="C50" i="20"/>
  <c r="C106" i="20"/>
  <c r="C82" i="20"/>
  <c r="C26" i="20"/>
  <c r="C62" i="20"/>
  <c r="C58" i="20"/>
  <c r="C14" i="20"/>
  <c r="C30" i="20"/>
  <c r="C6" i="20"/>
  <c r="C70" i="20"/>
  <c r="C38" i="20"/>
  <c r="C46" i="20"/>
  <c r="C18" i="20"/>
  <c r="C34" i="20"/>
  <c r="D106" i="20"/>
  <c r="D100" i="20"/>
  <c r="D93" i="20"/>
  <c r="D86" i="20"/>
  <c r="D79" i="20"/>
  <c r="D72" i="20"/>
  <c r="D65" i="20"/>
  <c r="D58" i="20"/>
  <c r="D51" i="20"/>
  <c r="D45" i="20"/>
  <c r="D30" i="20"/>
  <c r="D24" i="20"/>
  <c r="D17" i="20"/>
  <c r="D10" i="20"/>
  <c r="D99" i="20"/>
  <c r="D85" i="20"/>
  <c r="D64" i="20"/>
  <c r="D50" i="20"/>
  <c r="D37" i="20"/>
  <c r="D23" i="20"/>
  <c r="D9" i="20"/>
  <c r="D98" i="20"/>
  <c r="D91" i="20"/>
  <c r="D84" i="20"/>
  <c r="D70" i="20"/>
  <c r="D63" i="20"/>
  <c r="D57" i="20"/>
  <c r="D43" i="20"/>
  <c r="D36" i="20"/>
  <c r="D29" i="20"/>
  <c r="D22" i="20"/>
  <c r="D15" i="20"/>
  <c r="D8" i="20"/>
  <c r="D104" i="20"/>
  <c r="D97" i="20"/>
  <c r="D90" i="20"/>
  <c r="D83" i="20"/>
  <c r="D77" i="20"/>
  <c r="D62" i="20"/>
  <c r="D56" i="20"/>
  <c r="D49" i="20"/>
  <c r="D42" i="20"/>
  <c r="D35" i="20"/>
  <c r="D28" i="20"/>
  <c r="D21" i="20"/>
  <c r="D14" i="20"/>
  <c r="D7" i="20"/>
  <c r="D103" i="20"/>
  <c r="D96" i="20"/>
  <c r="D82" i="20"/>
  <c r="D76" i="20"/>
  <c r="D69" i="20"/>
  <c r="D55" i="20"/>
  <c r="D48" i="20"/>
  <c r="D41" i="20"/>
  <c r="D34" i="20"/>
  <c r="D27" i="20"/>
  <c r="D20" i="20"/>
  <c r="D6" i="20"/>
  <c r="D92" i="20"/>
  <c r="D78" i="20"/>
  <c r="D71" i="20"/>
  <c r="D44" i="20"/>
  <c r="D16" i="20"/>
  <c r="D105" i="20"/>
  <c r="D102" i="20"/>
  <c r="D95" i="20"/>
  <c r="D89" i="20"/>
  <c r="D75" i="20"/>
  <c r="D68" i="20"/>
  <c r="D61" i="20"/>
  <c r="D54" i="20"/>
  <c r="D47" i="20"/>
  <c r="D40" i="20"/>
  <c r="D33" i="20"/>
  <c r="D26" i="20"/>
  <c r="D19" i="20"/>
  <c r="D13" i="20"/>
  <c r="D94" i="20"/>
  <c r="D88" i="20"/>
  <c r="D81" i="20"/>
  <c r="D74" i="20"/>
  <c r="D67" i="20"/>
  <c r="D60" i="20"/>
  <c r="D53" i="20"/>
  <c r="D46" i="20"/>
  <c r="D39" i="20"/>
  <c r="D32" i="20"/>
  <c r="D18" i="20"/>
  <c r="D12" i="20"/>
  <c r="D101" i="20"/>
  <c r="D87" i="20"/>
  <c r="D80" i="20"/>
  <c r="D73" i="20"/>
  <c r="D66" i="20"/>
  <c r="D59" i="20"/>
  <c r="D52" i="20"/>
  <c r="D38" i="20"/>
  <c r="D31" i="20"/>
  <c r="D25" i="20"/>
  <c r="C74" i="20"/>
  <c r="C42" i="20"/>
  <c r="C10" i="20"/>
  <c r="C86" i="20"/>
  <c r="C54" i="20"/>
  <c r="C22" i="20"/>
  <c r="C98" i="20"/>
  <c r="C66" i="20"/>
  <c r="C105" i="20"/>
  <c r="C101" i="20"/>
  <c r="C97" i="20"/>
  <c r="C93" i="20"/>
  <c r="C89" i="20"/>
  <c r="C85" i="20"/>
  <c r="C81" i="20"/>
  <c r="C77" i="20"/>
  <c r="C73" i="20"/>
  <c r="C69" i="20"/>
  <c r="C65" i="20"/>
  <c r="C61" i="20"/>
  <c r="C57" i="20"/>
  <c r="C53" i="20"/>
  <c r="C49" i="20"/>
  <c r="C45" i="20"/>
  <c r="C41" i="20"/>
  <c r="C37" i="20"/>
  <c r="C33" i="20"/>
  <c r="C29" i="20"/>
  <c r="C25" i="20"/>
  <c r="C21" i="20"/>
  <c r="C17" i="20"/>
  <c r="C13" i="20"/>
  <c r="C9" i="20"/>
  <c r="C104" i="20"/>
  <c r="C100" i="20"/>
  <c r="C96" i="20"/>
  <c r="C92" i="20"/>
  <c r="C88" i="20"/>
  <c r="C84" i="20"/>
  <c r="C80" i="20"/>
  <c r="C76" i="20"/>
  <c r="C72" i="20"/>
  <c r="C68" i="20"/>
  <c r="C64" i="20"/>
  <c r="C60" i="20"/>
  <c r="C56" i="20"/>
  <c r="C52" i="20"/>
  <c r="C48" i="20"/>
  <c r="C44" i="20"/>
  <c r="C40" i="20"/>
  <c r="C36" i="20"/>
  <c r="C32" i="20"/>
  <c r="C28" i="20"/>
  <c r="C24" i="20"/>
  <c r="C20" i="20"/>
  <c r="C16" i="20"/>
  <c r="C12" i="20"/>
  <c r="C8" i="20"/>
  <c r="C103" i="20"/>
  <c r="C99" i="20"/>
  <c r="C95" i="20"/>
  <c r="C91" i="20"/>
  <c r="C87" i="20"/>
  <c r="C83" i="20"/>
  <c r="C79" i="20"/>
  <c r="C75" i="20"/>
  <c r="C71" i="20"/>
  <c r="C67" i="20"/>
  <c r="C63" i="20"/>
  <c r="C59" i="20"/>
  <c r="C55" i="20"/>
  <c r="C51" i="20"/>
  <c r="C47" i="20"/>
  <c r="C43" i="20"/>
  <c r="C39" i="20"/>
  <c r="C35" i="20"/>
  <c r="C31" i="20"/>
  <c r="C27" i="20"/>
  <c r="C23" i="20"/>
  <c r="C19" i="20"/>
  <c r="C15" i="20"/>
  <c r="C11" i="20"/>
  <c r="G24" i="4" l="1"/>
  <c r="I33" i="17" l="1"/>
  <c r="I32" i="17"/>
  <c r="I31" i="17"/>
  <c r="J30" i="17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J84" i="17" s="1"/>
  <c r="J85" i="17" s="1"/>
  <c r="J86" i="17" s="1"/>
  <c r="J87" i="17" s="1"/>
  <c r="J88" i="17" s="1"/>
  <c r="J89" i="17" s="1"/>
  <c r="J90" i="17" s="1"/>
  <c r="J91" i="17" s="1"/>
  <c r="J92" i="17" s="1"/>
  <c r="J93" i="17" s="1"/>
  <c r="J94" i="17" s="1"/>
  <c r="J95" i="17" s="1"/>
  <c r="J96" i="17" s="1"/>
  <c r="J97" i="17" s="1"/>
  <c r="J98" i="17" s="1"/>
  <c r="J99" i="17" s="1"/>
  <c r="J100" i="17" s="1"/>
  <c r="J101" i="17" s="1"/>
  <c r="J102" i="17" s="1"/>
  <c r="J103" i="17" s="1"/>
  <c r="J104" i="17" s="1"/>
  <c r="J105" i="17" s="1"/>
  <c r="J106" i="17" s="1"/>
  <c r="J107" i="17" s="1"/>
  <c r="J108" i="17" s="1"/>
  <c r="J109" i="17" s="1"/>
  <c r="J110" i="17" s="1"/>
  <c r="J111" i="17" s="1"/>
  <c r="J112" i="17" s="1"/>
  <c r="J113" i="17" s="1"/>
  <c r="J114" i="17" s="1"/>
  <c r="J115" i="17" s="1"/>
  <c r="J116" i="17" s="1"/>
  <c r="J117" i="17" s="1"/>
  <c r="J118" i="17" s="1"/>
  <c r="J119" i="17" s="1"/>
  <c r="J120" i="17" s="1"/>
  <c r="J121" i="17" s="1"/>
  <c r="J122" i="17" s="1"/>
  <c r="J123" i="17" s="1"/>
  <c r="J124" i="17" s="1"/>
  <c r="J125" i="17" s="1"/>
  <c r="J126" i="17" s="1"/>
  <c r="J127" i="17" s="1"/>
  <c r="J128" i="17" s="1"/>
  <c r="J129" i="17" s="1"/>
  <c r="J130" i="17" s="1"/>
  <c r="J131" i="17" s="1"/>
  <c r="J132" i="17" s="1"/>
  <c r="J133" i="17" s="1"/>
  <c r="J134" i="17" s="1"/>
  <c r="J135" i="17" s="1"/>
  <c r="J136" i="17" s="1"/>
  <c r="J137" i="17" s="1"/>
  <c r="J138" i="17" s="1"/>
  <c r="J139" i="17" s="1"/>
  <c r="J140" i="17" s="1"/>
  <c r="J141" i="17" s="1"/>
  <c r="J142" i="17" s="1"/>
  <c r="J143" i="17" s="1"/>
  <c r="J144" i="17" s="1"/>
  <c r="J145" i="17" s="1"/>
  <c r="J146" i="17" s="1"/>
  <c r="J147" i="17" s="1"/>
  <c r="J148" i="17" s="1"/>
  <c r="J149" i="17" s="1"/>
  <c r="J150" i="17" s="1"/>
  <c r="J151" i="17" s="1"/>
  <c r="J152" i="17" s="1"/>
  <c r="J153" i="17" s="1"/>
  <c r="J154" i="17" s="1"/>
  <c r="J155" i="17" s="1"/>
  <c r="J156" i="17" s="1"/>
  <c r="J157" i="17" s="1"/>
  <c r="J158" i="17" s="1"/>
  <c r="J159" i="17" s="1"/>
  <c r="J160" i="17" s="1"/>
  <c r="J161" i="17" s="1"/>
  <c r="J162" i="17" s="1"/>
  <c r="J163" i="17" s="1"/>
  <c r="J164" i="17" s="1"/>
  <c r="J165" i="17" s="1"/>
  <c r="J166" i="17" s="1"/>
  <c r="J167" i="17" s="1"/>
  <c r="J168" i="17" s="1"/>
  <c r="J169" i="17" s="1"/>
  <c r="J170" i="17" s="1"/>
  <c r="J171" i="17" s="1"/>
  <c r="J172" i="17" s="1"/>
  <c r="J173" i="17" s="1"/>
  <c r="J174" i="17" s="1"/>
  <c r="J175" i="17" s="1"/>
  <c r="J176" i="17" s="1"/>
  <c r="J177" i="17" s="1"/>
  <c r="J178" i="17" s="1"/>
  <c r="J179" i="17" s="1"/>
  <c r="E6" i="6"/>
  <c r="K30" i="17" l="1"/>
  <c r="D33" i="17"/>
  <c r="D32" i="17"/>
  <c r="D31" i="17"/>
  <c r="K31" i="17" l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K84" i="17" s="1"/>
  <c r="K85" i="17" s="1"/>
  <c r="K86" i="17" s="1"/>
  <c r="K87" i="17" s="1"/>
  <c r="K88" i="17" s="1"/>
  <c r="K89" i="17" s="1"/>
  <c r="K90" i="17" s="1"/>
  <c r="K91" i="17" s="1"/>
  <c r="K92" i="17" s="1"/>
  <c r="K93" i="17" s="1"/>
  <c r="K94" i="17" s="1"/>
  <c r="K95" i="17" s="1"/>
  <c r="K96" i="17" s="1"/>
  <c r="K97" i="17" s="1"/>
  <c r="K98" i="17" s="1"/>
  <c r="K99" i="17" s="1"/>
  <c r="K100" i="17" s="1"/>
  <c r="K101" i="17" s="1"/>
  <c r="K102" i="17" s="1"/>
  <c r="K103" i="17" s="1"/>
  <c r="K104" i="17" s="1"/>
  <c r="K105" i="17" s="1"/>
  <c r="K106" i="17" s="1"/>
  <c r="K107" i="17" s="1"/>
  <c r="K108" i="17" s="1"/>
  <c r="K109" i="17" s="1"/>
  <c r="K110" i="17" s="1"/>
  <c r="K111" i="17" s="1"/>
  <c r="K112" i="17" s="1"/>
  <c r="K113" i="17" s="1"/>
  <c r="K114" i="17" s="1"/>
  <c r="K115" i="17" s="1"/>
  <c r="K116" i="17" s="1"/>
  <c r="K117" i="17" s="1"/>
  <c r="K118" i="17" s="1"/>
  <c r="K119" i="17" s="1"/>
  <c r="K120" i="17" s="1"/>
  <c r="K121" i="17" s="1"/>
  <c r="K122" i="17" s="1"/>
  <c r="K123" i="17" s="1"/>
  <c r="K124" i="17" s="1"/>
  <c r="K125" i="17" s="1"/>
  <c r="K126" i="17" s="1"/>
  <c r="K127" i="17" s="1"/>
  <c r="K128" i="17" s="1"/>
  <c r="K129" i="17" s="1"/>
  <c r="K130" i="17" s="1"/>
  <c r="K131" i="17" s="1"/>
  <c r="K132" i="17" s="1"/>
  <c r="K133" i="17" s="1"/>
  <c r="K134" i="17" s="1"/>
  <c r="K135" i="17" s="1"/>
  <c r="K136" i="17" s="1"/>
  <c r="K137" i="17" s="1"/>
  <c r="K138" i="17" s="1"/>
  <c r="K139" i="17" s="1"/>
  <c r="K140" i="17" s="1"/>
  <c r="K141" i="17" s="1"/>
  <c r="K142" i="17" s="1"/>
  <c r="K143" i="17" s="1"/>
  <c r="K144" i="17" s="1"/>
  <c r="K145" i="17" s="1"/>
  <c r="K146" i="17" s="1"/>
  <c r="K147" i="17" s="1"/>
  <c r="K148" i="17" s="1"/>
  <c r="K149" i="17" s="1"/>
  <c r="K150" i="17" s="1"/>
  <c r="K151" i="17" s="1"/>
  <c r="K152" i="17" s="1"/>
  <c r="K153" i="17" s="1"/>
  <c r="K154" i="17" s="1"/>
  <c r="K155" i="17" s="1"/>
  <c r="K156" i="17" s="1"/>
  <c r="K157" i="17" s="1"/>
  <c r="K158" i="17" s="1"/>
  <c r="K159" i="17" s="1"/>
  <c r="K160" i="17" s="1"/>
  <c r="K161" i="17" s="1"/>
  <c r="K162" i="17" s="1"/>
  <c r="K163" i="17" s="1"/>
  <c r="K164" i="17" s="1"/>
  <c r="K165" i="17" s="1"/>
  <c r="K166" i="17" s="1"/>
  <c r="K167" i="17" s="1"/>
  <c r="K168" i="17" s="1"/>
  <c r="K169" i="17" s="1"/>
  <c r="K170" i="17" s="1"/>
  <c r="K171" i="17" s="1"/>
  <c r="K172" i="17" s="1"/>
  <c r="K173" i="17" s="1"/>
  <c r="K174" i="17" s="1"/>
  <c r="K175" i="17" s="1"/>
  <c r="K176" i="17" s="1"/>
  <c r="K177" i="17" s="1"/>
  <c r="K178" i="17" s="1"/>
  <c r="K179" i="17" s="1"/>
  <c r="E30" i="17"/>
  <c r="F30" i="17" s="1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E3" i="17"/>
  <c r="E1" i="17"/>
  <c r="K18" i="17" l="1"/>
  <c r="K20" i="17"/>
  <c r="K12" i="17"/>
  <c r="I29" i="17"/>
  <c r="G5" i="17" s="1"/>
  <c r="G6" i="17" s="1"/>
  <c r="K16" i="17"/>
  <c r="M23" i="17"/>
  <c r="K14" i="17"/>
  <c r="M22" i="17"/>
  <c r="K11" i="17"/>
  <c r="K17" i="17"/>
  <c r="M26" i="17"/>
  <c r="M11" i="17"/>
  <c r="M13" i="17"/>
  <c r="M15" i="17"/>
  <c r="M17" i="17"/>
  <c r="M19" i="17"/>
  <c r="M21" i="17"/>
  <c r="M24" i="17"/>
  <c r="E31" i="17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K13" i="17"/>
  <c r="K15" i="17"/>
  <c r="K19" i="17"/>
  <c r="K21" i="17"/>
  <c r="M12" i="17"/>
  <c r="M14" i="17"/>
  <c r="M16" i="17"/>
  <c r="M18" i="17"/>
  <c r="M20" i="17"/>
  <c r="M25" i="17"/>
  <c r="I22" i="17"/>
  <c r="I16" i="17"/>
  <c r="I18" i="17"/>
  <c r="I19" i="17"/>
  <c r="I20" i="17"/>
  <c r="I21" i="17"/>
  <c r="K22" i="17"/>
  <c r="I23" i="17"/>
  <c r="K23" i="17"/>
  <c r="I24" i="17"/>
  <c r="K24" i="17"/>
  <c r="I25" i="17"/>
  <c r="K25" i="17"/>
  <c r="I26" i="17"/>
  <c r="K26" i="17"/>
  <c r="I11" i="17"/>
  <c r="I12" i="17"/>
  <c r="I13" i="17"/>
  <c r="I14" i="17"/>
  <c r="I15" i="17"/>
  <c r="I17" i="17"/>
  <c r="J11" i="17"/>
  <c r="L11" i="17"/>
  <c r="J12" i="17"/>
  <c r="L12" i="17"/>
  <c r="J13" i="17"/>
  <c r="L13" i="17"/>
  <c r="J14" i="17"/>
  <c r="L14" i="17"/>
  <c r="J15" i="17"/>
  <c r="L15" i="17"/>
  <c r="J16" i="17"/>
  <c r="L16" i="17"/>
  <c r="J17" i="17"/>
  <c r="L17" i="17"/>
  <c r="J18" i="17"/>
  <c r="L18" i="17"/>
  <c r="J19" i="17"/>
  <c r="L19" i="17"/>
  <c r="J20" i="17"/>
  <c r="L20" i="17"/>
  <c r="J21" i="17"/>
  <c r="L21" i="17"/>
  <c r="J22" i="17"/>
  <c r="L22" i="17"/>
  <c r="J23" i="17"/>
  <c r="L23" i="17"/>
  <c r="J24" i="17"/>
  <c r="L24" i="17"/>
  <c r="J25" i="17"/>
  <c r="L25" i="17"/>
  <c r="J26" i="17"/>
  <c r="L26" i="17"/>
  <c r="F22" i="17" l="1"/>
  <c r="E22" i="17" s="1"/>
  <c r="F31" i="17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5" i="17"/>
  <c r="E15" i="17" s="1"/>
  <c r="F13" i="17"/>
  <c r="E13" i="17" s="1"/>
  <c r="F11" i="17"/>
  <c r="E11" i="17" s="1"/>
  <c r="F20" i="17"/>
  <c r="E20" i="17" s="1"/>
  <c r="F18" i="17"/>
  <c r="E18" i="17" s="1"/>
  <c r="F17" i="17"/>
  <c r="E17" i="17" s="1"/>
  <c r="F14" i="17"/>
  <c r="E14" i="17" s="1"/>
  <c r="F12" i="17"/>
  <c r="E12" i="17" s="1"/>
  <c r="F26" i="17"/>
  <c r="E26" i="17" s="1"/>
  <c r="F25" i="17"/>
  <c r="E25" i="17" s="1"/>
  <c r="F24" i="17"/>
  <c r="E24" i="17" s="1"/>
  <c r="F23" i="17"/>
  <c r="E23" i="17" s="1"/>
  <c r="F21" i="17"/>
  <c r="E21" i="17" s="1"/>
  <c r="F19" i="17"/>
  <c r="E19" i="17" s="1"/>
  <c r="F16" i="17"/>
  <c r="E16" i="17" s="1"/>
  <c r="D29" i="17" l="1"/>
  <c r="G11" i="17" s="1"/>
  <c r="B8" i="17"/>
  <c r="G20" i="17" l="1"/>
  <c r="G15" i="17"/>
  <c r="G13" i="17"/>
  <c r="G24" i="17"/>
  <c r="G25" i="17"/>
  <c r="G19" i="17"/>
  <c r="G17" i="17"/>
  <c r="G26" i="17"/>
  <c r="G16" i="17"/>
  <c r="G18" i="17"/>
  <c r="G21" i="17"/>
  <c r="G22" i="17"/>
  <c r="G12" i="17"/>
  <c r="G14" i="17"/>
  <c r="G23" i="17"/>
  <c r="H2" i="16"/>
  <c r="H3" i="16"/>
  <c r="B3" i="16" s="1"/>
  <c r="E3" i="16" s="1"/>
  <c r="H4" i="16"/>
  <c r="H1" i="16"/>
  <c r="G31" i="16"/>
  <c r="G30" i="16"/>
  <c r="N30" i="16" s="1"/>
  <c r="N29" i="16"/>
  <c r="G29" i="16"/>
  <c r="M29" i="16" s="1"/>
  <c r="G28" i="16"/>
  <c r="M28" i="16" s="1"/>
  <c r="G27" i="16"/>
  <c r="M27" i="16" s="1"/>
  <c r="G26" i="16"/>
  <c r="M26" i="16" s="1"/>
  <c r="G25" i="16"/>
  <c r="M25" i="16" s="1"/>
  <c r="L24" i="16"/>
  <c r="G24" i="16"/>
  <c r="M24" i="16" s="1"/>
  <c r="G23" i="16"/>
  <c r="M23" i="16" s="1"/>
  <c r="L22" i="16"/>
  <c r="G22" i="16"/>
  <c r="M22" i="16" s="1"/>
  <c r="G21" i="16"/>
  <c r="M21" i="16" s="1"/>
  <c r="G20" i="16"/>
  <c r="M20" i="16" s="1"/>
  <c r="G19" i="16"/>
  <c r="M19" i="16" s="1"/>
  <c r="G18" i="16"/>
  <c r="M18" i="16" s="1"/>
  <c r="G17" i="16"/>
  <c r="M17" i="16" s="1"/>
  <c r="G16" i="16"/>
  <c r="M16" i="16" s="1"/>
  <c r="G15" i="16"/>
  <c r="M15" i="16" s="1"/>
  <c r="G14" i="16"/>
  <c r="M14" i="16" s="1"/>
  <c r="G13" i="16"/>
  <c r="M13" i="16" s="1"/>
  <c r="G12" i="16"/>
  <c r="M12" i="16" s="1"/>
  <c r="G11" i="16"/>
  <c r="M11" i="16" s="1"/>
  <c r="G10" i="16"/>
  <c r="M10" i="16" s="1"/>
  <c r="R37" i="10"/>
  <c r="Q37" i="10"/>
  <c r="P37" i="10"/>
  <c r="O37" i="10"/>
  <c r="N37" i="10"/>
  <c r="M37" i="10"/>
  <c r="L37" i="10"/>
  <c r="R36" i="10"/>
  <c r="Q36" i="10"/>
  <c r="P36" i="10"/>
  <c r="O36" i="10"/>
  <c r="N36" i="10"/>
  <c r="M36" i="10"/>
  <c r="L36" i="10"/>
  <c r="R35" i="10"/>
  <c r="Q35" i="10"/>
  <c r="P35" i="10"/>
  <c r="O35" i="10"/>
  <c r="N35" i="10"/>
  <c r="M35" i="10"/>
  <c r="L35" i="10"/>
  <c r="R34" i="10"/>
  <c r="Q34" i="10"/>
  <c r="P34" i="10"/>
  <c r="O34" i="10"/>
  <c r="N34" i="10"/>
  <c r="M34" i="10"/>
  <c r="L34" i="10"/>
  <c r="R33" i="10"/>
  <c r="Q33" i="10"/>
  <c r="P33" i="10"/>
  <c r="O33" i="10"/>
  <c r="N33" i="10"/>
  <c r="M33" i="10"/>
  <c r="L33" i="10"/>
  <c r="R32" i="10"/>
  <c r="Q32" i="10"/>
  <c r="P32" i="10"/>
  <c r="O32" i="10"/>
  <c r="N32" i="10"/>
  <c r="M32" i="10"/>
  <c r="L32" i="10"/>
  <c r="R31" i="10"/>
  <c r="Q31" i="10"/>
  <c r="P31" i="10"/>
  <c r="O31" i="10"/>
  <c r="N31" i="10"/>
  <c r="M31" i="10"/>
  <c r="L31" i="10"/>
  <c r="R30" i="10"/>
  <c r="Q30" i="10"/>
  <c r="P30" i="10"/>
  <c r="O30" i="10"/>
  <c r="N30" i="10"/>
  <c r="M30" i="10"/>
  <c r="L30" i="10"/>
  <c r="K31" i="10"/>
  <c r="K32" i="10"/>
  <c r="K33" i="10"/>
  <c r="K34" i="10"/>
  <c r="K35" i="10"/>
  <c r="K36" i="10"/>
  <c r="K37" i="10"/>
  <c r="K30" i="10"/>
  <c r="R24" i="10"/>
  <c r="Q24" i="10"/>
  <c r="V19" i="10" s="1"/>
  <c r="P24" i="10"/>
  <c r="V18" i="10" s="1"/>
  <c r="O24" i="10"/>
  <c r="V17" i="10" s="1"/>
  <c r="N24" i="10"/>
  <c r="V16" i="10" s="1"/>
  <c r="M24" i="10"/>
  <c r="V15" i="10" s="1"/>
  <c r="L24" i="10"/>
  <c r="V14" i="10" s="1"/>
  <c r="R23" i="10"/>
  <c r="V9" i="10" s="1"/>
  <c r="Q23" i="10"/>
  <c r="P23" i="10"/>
  <c r="O23" i="10"/>
  <c r="N23" i="10"/>
  <c r="M23" i="10"/>
  <c r="L23" i="10"/>
  <c r="R22" i="10"/>
  <c r="V8" i="10" s="1"/>
  <c r="Q22" i="10"/>
  <c r="P22" i="10"/>
  <c r="O22" i="10"/>
  <c r="N22" i="10"/>
  <c r="M22" i="10"/>
  <c r="L22" i="10"/>
  <c r="R21" i="10"/>
  <c r="V7" i="10" s="1"/>
  <c r="Q21" i="10"/>
  <c r="P21" i="10"/>
  <c r="O21" i="10"/>
  <c r="N21" i="10"/>
  <c r="M21" i="10"/>
  <c r="L21" i="10"/>
  <c r="R20" i="10"/>
  <c r="V6" i="10" s="1"/>
  <c r="Q20" i="10"/>
  <c r="P20" i="10"/>
  <c r="O20" i="10"/>
  <c r="N20" i="10"/>
  <c r="M20" i="10"/>
  <c r="L20" i="10"/>
  <c r="R19" i="10"/>
  <c r="V5" i="10" s="1"/>
  <c r="Q19" i="10"/>
  <c r="P19" i="10"/>
  <c r="O19" i="10"/>
  <c r="N19" i="10"/>
  <c r="M19" i="10"/>
  <c r="L19" i="10"/>
  <c r="R18" i="10"/>
  <c r="V4" i="10" s="1"/>
  <c r="Q18" i="10"/>
  <c r="P18" i="10"/>
  <c r="O18" i="10"/>
  <c r="N18" i="10"/>
  <c r="M18" i="10"/>
  <c r="L18" i="10"/>
  <c r="R17" i="10"/>
  <c r="V3" i="10" s="1"/>
  <c r="Q17" i="10"/>
  <c r="P17" i="10"/>
  <c r="O17" i="10"/>
  <c r="N17" i="10"/>
  <c r="M17" i="10"/>
  <c r="L17" i="10"/>
  <c r="K18" i="10"/>
  <c r="K19" i="10"/>
  <c r="K20" i="10"/>
  <c r="K21" i="10"/>
  <c r="K22" i="10"/>
  <c r="K23" i="10"/>
  <c r="K24" i="10"/>
  <c r="V13" i="10" s="1"/>
  <c r="K17" i="10"/>
  <c r="R11" i="10"/>
  <c r="Q11" i="10"/>
  <c r="U19" i="10" s="1"/>
  <c r="P11" i="10"/>
  <c r="U18" i="10" s="1"/>
  <c r="O11" i="10"/>
  <c r="U17" i="10" s="1"/>
  <c r="N11" i="10"/>
  <c r="U16" i="10" s="1"/>
  <c r="M11" i="10"/>
  <c r="U15" i="10" s="1"/>
  <c r="L11" i="10"/>
  <c r="U14" i="10" s="1"/>
  <c r="R10" i="10"/>
  <c r="U9" i="10" s="1"/>
  <c r="Q10" i="10"/>
  <c r="P10" i="10"/>
  <c r="O10" i="10"/>
  <c r="N10" i="10"/>
  <c r="M10" i="10"/>
  <c r="L10" i="10"/>
  <c r="R9" i="10"/>
  <c r="U8" i="10" s="1"/>
  <c r="Q9" i="10"/>
  <c r="P9" i="10"/>
  <c r="O9" i="10"/>
  <c r="N9" i="10"/>
  <c r="M9" i="10"/>
  <c r="L9" i="10"/>
  <c r="R8" i="10"/>
  <c r="U7" i="10" s="1"/>
  <c r="Q8" i="10"/>
  <c r="P8" i="10"/>
  <c r="O8" i="10"/>
  <c r="N8" i="10"/>
  <c r="M8" i="10"/>
  <c r="L8" i="10"/>
  <c r="R7" i="10"/>
  <c r="U6" i="10" s="1"/>
  <c r="Q7" i="10"/>
  <c r="P7" i="10"/>
  <c r="O7" i="10"/>
  <c r="N7" i="10"/>
  <c r="M7" i="10"/>
  <c r="L7" i="10"/>
  <c r="R6" i="10"/>
  <c r="U5" i="10" s="1"/>
  <c r="Q6" i="10"/>
  <c r="P6" i="10"/>
  <c r="O6" i="10"/>
  <c r="N6" i="10"/>
  <c r="M6" i="10"/>
  <c r="L6" i="10"/>
  <c r="R5" i="10"/>
  <c r="U4" i="10" s="1"/>
  <c r="Q5" i="10"/>
  <c r="P5" i="10"/>
  <c r="O5" i="10"/>
  <c r="N5" i="10"/>
  <c r="M5" i="10"/>
  <c r="L5" i="10"/>
  <c r="R4" i="10"/>
  <c r="U3" i="10" s="1"/>
  <c r="Q4" i="10"/>
  <c r="P4" i="10"/>
  <c r="O4" i="10"/>
  <c r="N4" i="10"/>
  <c r="M4" i="10"/>
  <c r="L4" i="10"/>
  <c r="K11" i="10"/>
  <c r="K10" i="10"/>
  <c r="K9" i="10"/>
  <c r="K8" i="10"/>
  <c r="K7" i="10"/>
  <c r="K6" i="10"/>
  <c r="K5" i="10"/>
  <c r="K4" i="10"/>
  <c r="B1" i="16" l="1"/>
  <c r="E1" i="16" s="1"/>
  <c r="L12" i="16"/>
  <c r="L26" i="16"/>
  <c r="U13" i="10"/>
  <c r="N28" i="16"/>
  <c r="K3" i="16"/>
  <c r="K1" i="16"/>
  <c r="J10" i="16"/>
  <c r="N10" i="16"/>
  <c r="J11" i="16"/>
  <c r="N11" i="16"/>
  <c r="J12" i="16"/>
  <c r="N12" i="16"/>
  <c r="J13" i="16"/>
  <c r="N13" i="16"/>
  <c r="J14" i="16"/>
  <c r="N14" i="16"/>
  <c r="J15" i="16"/>
  <c r="N15" i="16"/>
  <c r="J16" i="16"/>
  <c r="N16" i="16"/>
  <c r="J17" i="16"/>
  <c r="N17" i="16"/>
  <c r="J18" i="16"/>
  <c r="N18" i="16"/>
  <c r="J19" i="16"/>
  <c r="N19" i="16"/>
  <c r="J20" i="16"/>
  <c r="N20" i="16"/>
  <c r="L21" i="16"/>
  <c r="N22" i="16"/>
  <c r="L23" i="16"/>
  <c r="N24" i="16"/>
  <c r="L25" i="16"/>
  <c r="N26" i="16"/>
  <c r="L27" i="16"/>
  <c r="L10" i="16"/>
  <c r="L11" i="16"/>
  <c r="L13" i="16"/>
  <c r="L14" i="16"/>
  <c r="L15" i="16"/>
  <c r="L16" i="16"/>
  <c r="L17" i="16"/>
  <c r="L18" i="16"/>
  <c r="L19" i="16"/>
  <c r="L20" i="16"/>
  <c r="N21" i="16"/>
  <c r="N23" i="16"/>
  <c r="N25" i="16"/>
  <c r="N27" i="16"/>
  <c r="I10" i="16"/>
  <c r="K10" i="16"/>
  <c r="I11" i="16"/>
  <c r="K11" i="16"/>
  <c r="I12" i="16"/>
  <c r="K12" i="16"/>
  <c r="I13" i="16"/>
  <c r="K13" i="16"/>
  <c r="I14" i="16"/>
  <c r="K14" i="16"/>
  <c r="I15" i="16"/>
  <c r="K15" i="16"/>
  <c r="K16" i="16"/>
  <c r="K17" i="16"/>
  <c r="K18" i="16"/>
  <c r="K19" i="16"/>
  <c r="K20" i="16"/>
  <c r="K21" i="16"/>
  <c r="K22" i="16"/>
  <c r="K23" i="16"/>
  <c r="K24" i="16"/>
  <c r="D23" i="10"/>
  <c r="C23" i="10"/>
  <c r="B23" i="10"/>
  <c r="A23" i="10"/>
  <c r="D22" i="10"/>
  <c r="C22" i="10"/>
  <c r="B22" i="10"/>
  <c r="A22" i="10"/>
  <c r="D21" i="10"/>
  <c r="C21" i="10"/>
  <c r="B21" i="10"/>
  <c r="A21" i="10"/>
  <c r="D20" i="10"/>
  <c r="C20" i="10"/>
  <c r="B20" i="10"/>
  <c r="A20" i="10"/>
  <c r="D19" i="10"/>
  <c r="C19" i="10"/>
  <c r="B19" i="10"/>
  <c r="A19" i="10"/>
  <c r="D18" i="10"/>
  <c r="C18" i="10"/>
  <c r="B18" i="10"/>
  <c r="A18" i="10"/>
  <c r="D17" i="10"/>
  <c r="C17" i="10"/>
  <c r="B17" i="10"/>
  <c r="A17" i="10"/>
  <c r="D16" i="10"/>
  <c r="C16" i="10"/>
  <c r="B16" i="10"/>
  <c r="A16" i="10"/>
  <c r="D15" i="10"/>
  <c r="C15" i="10"/>
  <c r="B15" i="10"/>
  <c r="A15" i="10"/>
  <c r="D14" i="10"/>
  <c r="C14" i="10"/>
  <c r="B14" i="10"/>
  <c r="A14" i="10"/>
  <c r="D13" i="10"/>
  <c r="C13" i="10"/>
  <c r="B13" i="10"/>
  <c r="A13" i="10"/>
  <c r="D12" i="10"/>
  <c r="C12" i="10"/>
  <c r="B12" i="10"/>
  <c r="A12" i="10"/>
  <c r="D11" i="10"/>
  <c r="C11" i="10"/>
  <c r="B11" i="10"/>
  <c r="A11" i="10"/>
  <c r="D10" i="10"/>
  <c r="C10" i="10"/>
  <c r="B10" i="10"/>
  <c r="A10" i="10"/>
  <c r="D9" i="10"/>
  <c r="C9" i="10"/>
  <c r="B9" i="10"/>
  <c r="A9" i="10"/>
  <c r="D8" i="10"/>
  <c r="C8" i="10"/>
  <c r="B8" i="10"/>
  <c r="A8" i="10"/>
  <c r="D7" i="10"/>
  <c r="C7" i="10"/>
  <c r="B7" i="10"/>
  <c r="A7" i="10"/>
  <c r="D6" i="10"/>
  <c r="C6" i="10"/>
  <c r="B6" i="10"/>
  <c r="A6" i="10"/>
  <c r="D5" i="10"/>
  <c r="C5" i="10"/>
  <c r="B5" i="10"/>
  <c r="A5" i="10"/>
  <c r="D4" i="10"/>
  <c r="C4" i="10"/>
  <c r="B4" i="10"/>
  <c r="A4" i="10"/>
  <c r="D3" i="10"/>
  <c r="C3" i="10"/>
  <c r="B3" i="10"/>
  <c r="A3" i="10"/>
  <c r="D2" i="10"/>
  <c r="C2" i="10"/>
  <c r="B2" i="10"/>
  <c r="A2" i="10"/>
  <c r="I26" i="6"/>
  <c r="O26" i="6" s="1"/>
  <c r="I25" i="6"/>
  <c r="O25" i="6" s="1"/>
  <c r="I24" i="6"/>
  <c r="O24" i="6" s="1"/>
  <c r="I23" i="6"/>
  <c r="O23" i="6" s="1"/>
  <c r="I22" i="6"/>
  <c r="O22" i="6" s="1"/>
  <c r="I21" i="6"/>
  <c r="O21" i="6" s="1"/>
  <c r="I20" i="6"/>
  <c r="O20" i="6" s="1"/>
  <c r="I19" i="6"/>
  <c r="O19" i="6" s="1"/>
  <c r="I18" i="6"/>
  <c r="O18" i="6" s="1"/>
  <c r="I17" i="6"/>
  <c r="O17" i="6" s="1"/>
  <c r="I16" i="6"/>
  <c r="O16" i="6" s="1"/>
  <c r="I15" i="6"/>
  <c r="O15" i="6" s="1"/>
  <c r="I14" i="6"/>
  <c r="O14" i="6" s="1"/>
  <c r="I13" i="6"/>
  <c r="O13" i="6" s="1"/>
  <c r="I12" i="6"/>
  <c r="O12" i="6" s="1"/>
  <c r="I11" i="6"/>
  <c r="O11" i="6" s="1"/>
  <c r="E3" i="6"/>
  <c r="E1" i="6"/>
  <c r="H21" i="6" s="1"/>
  <c r="B2" i="5"/>
  <c r="B3" i="5"/>
  <c r="E16" i="5" s="1"/>
  <c r="B4" i="5"/>
  <c r="B1" i="5"/>
  <c r="I7" i="5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B25" i="2"/>
  <c r="D10" i="2"/>
  <c r="D11" i="2"/>
  <c r="E11" i="2"/>
  <c r="D12" i="2"/>
  <c r="E12" i="2"/>
  <c r="F12" i="2"/>
  <c r="D13" i="2"/>
  <c r="E13" i="2"/>
  <c r="F13" i="2"/>
  <c r="G13" i="2"/>
  <c r="D14" i="2"/>
  <c r="E14" i="2"/>
  <c r="F14" i="2"/>
  <c r="G14" i="2"/>
  <c r="H14" i="2"/>
  <c r="D15" i="2"/>
  <c r="E15" i="2"/>
  <c r="F15" i="2"/>
  <c r="G15" i="2"/>
  <c r="H15" i="2"/>
  <c r="I15" i="2"/>
  <c r="B2" i="2"/>
  <c r="B3" i="2"/>
  <c r="B4" i="2"/>
  <c r="B1" i="2"/>
  <c r="M24" i="4"/>
  <c r="G10" i="4"/>
  <c r="J10" i="4" s="1"/>
  <c r="G11" i="4"/>
  <c r="I11" i="4" s="1"/>
  <c r="G12" i="4"/>
  <c r="K12" i="4" s="1"/>
  <c r="G13" i="4"/>
  <c r="M13" i="4" s="1"/>
  <c r="G14" i="4"/>
  <c r="J14" i="4" s="1"/>
  <c r="G15" i="4"/>
  <c r="J15" i="4" s="1"/>
  <c r="G16" i="4"/>
  <c r="M16" i="4" s="1"/>
  <c r="G17" i="4"/>
  <c r="K17" i="4" s="1"/>
  <c r="G18" i="4"/>
  <c r="K18" i="4" s="1"/>
  <c r="G19" i="4"/>
  <c r="N19" i="4" s="1"/>
  <c r="G20" i="4"/>
  <c r="K20" i="4" s="1"/>
  <c r="G21" i="4"/>
  <c r="N21" i="4" s="1"/>
  <c r="G22" i="4"/>
  <c r="K22" i="4" s="1"/>
  <c r="G23" i="4"/>
  <c r="N23" i="4" s="1"/>
  <c r="N24" i="4"/>
  <c r="G9" i="4"/>
  <c r="K9" i="4" s="1"/>
  <c r="H17" i="6" l="1"/>
  <c r="H26" i="6"/>
  <c r="H19" i="6"/>
  <c r="H13" i="6"/>
  <c r="J11" i="6"/>
  <c r="H11" i="6"/>
  <c r="H25" i="6"/>
  <c r="N26" i="6"/>
  <c r="H18" i="6"/>
  <c r="L12" i="6"/>
  <c r="P20" i="6"/>
  <c r="L15" i="6"/>
  <c r="P13" i="6"/>
  <c r="P15" i="6"/>
  <c r="P12" i="6"/>
  <c r="L16" i="6"/>
  <c r="P21" i="6"/>
  <c r="N24" i="6"/>
  <c r="P16" i="6"/>
  <c r="M30" i="16"/>
  <c r="H12" i="16"/>
  <c r="H16" i="16"/>
  <c r="J23" i="16"/>
  <c r="J27" i="16"/>
  <c r="L29" i="16"/>
  <c r="J31" i="16"/>
  <c r="H18" i="16"/>
  <c r="H23" i="16"/>
  <c r="H27" i="16"/>
  <c r="K26" i="16"/>
  <c r="K28" i="16"/>
  <c r="K30" i="16"/>
  <c r="K31" i="16"/>
  <c r="H11" i="16"/>
  <c r="F11" i="16" s="1"/>
  <c r="H26" i="16"/>
  <c r="H31" i="16"/>
  <c r="J26" i="16"/>
  <c r="I20" i="16"/>
  <c r="I24" i="16"/>
  <c r="I30" i="16"/>
  <c r="M31" i="16"/>
  <c r="H13" i="16"/>
  <c r="F13" i="16" s="1"/>
  <c r="H20" i="16"/>
  <c r="H24" i="16"/>
  <c r="H28" i="16"/>
  <c r="J30" i="16"/>
  <c r="L31" i="16"/>
  <c r="H19" i="16"/>
  <c r="J24" i="16"/>
  <c r="J28" i="16"/>
  <c r="I17" i="16"/>
  <c r="I19" i="16"/>
  <c r="I21" i="16"/>
  <c r="I23" i="16"/>
  <c r="I25" i="16"/>
  <c r="I27" i="16"/>
  <c r="I29" i="16"/>
  <c r="I31" i="16"/>
  <c r="K29" i="16"/>
  <c r="H30" i="16"/>
  <c r="H22" i="16"/>
  <c r="H29" i="16"/>
  <c r="J22" i="16"/>
  <c r="I18" i="16"/>
  <c r="I22" i="16"/>
  <c r="I28" i="16"/>
  <c r="H10" i="16"/>
  <c r="F10" i="16" s="1"/>
  <c r="H14" i="16"/>
  <c r="F14" i="16" s="1"/>
  <c r="H21" i="16"/>
  <c r="J25" i="16"/>
  <c r="L28" i="16"/>
  <c r="L30" i="16"/>
  <c r="N31" i="16"/>
  <c r="J21" i="16"/>
  <c r="H25" i="16"/>
  <c r="J29" i="16"/>
  <c r="K25" i="16"/>
  <c r="K27" i="16"/>
  <c r="H15" i="16"/>
  <c r="F15" i="16" s="1"/>
  <c r="H17" i="16"/>
  <c r="I16" i="16"/>
  <c r="I26" i="16"/>
  <c r="J13" i="4"/>
  <c r="M18" i="4"/>
  <c r="M10" i="4"/>
  <c r="M21" i="4"/>
  <c r="M17" i="4"/>
  <c r="L21" i="4"/>
  <c r="L18" i="4"/>
  <c r="J17" i="4"/>
  <c r="N13" i="4"/>
  <c r="I13" i="4"/>
  <c r="K21" i="4"/>
  <c r="J18" i="4"/>
  <c r="N16" i="4"/>
  <c r="N14" i="4"/>
  <c r="L13" i="4"/>
  <c r="K11" i="4"/>
  <c r="L22" i="4"/>
  <c r="M19" i="4"/>
  <c r="N17" i="4"/>
  <c r="L16" i="4"/>
  <c r="M14" i="4"/>
  <c r="K13" i="4"/>
  <c r="N10" i="4"/>
  <c r="J9" i="4"/>
  <c r="L19" i="4"/>
  <c r="K23" i="4"/>
  <c r="K19" i="4"/>
  <c r="L10" i="4"/>
  <c r="H24" i="6"/>
  <c r="I9" i="4"/>
  <c r="N22" i="4"/>
  <c r="N20" i="4"/>
  <c r="J19" i="4"/>
  <c r="L17" i="4"/>
  <c r="N15" i="4"/>
  <c r="K14" i="4"/>
  <c r="M11" i="4"/>
  <c r="K10" i="4"/>
  <c r="P14" i="6"/>
  <c r="L17" i="6"/>
  <c r="H23" i="6"/>
  <c r="H15" i="6"/>
  <c r="M23" i="4"/>
  <c r="L23" i="4"/>
  <c r="L11" i="6"/>
  <c r="L19" i="6"/>
  <c r="L14" i="4"/>
  <c r="N11" i="4"/>
  <c r="P11" i="6"/>
  <c r="L14" i="6"/>
  <c r="P19" i="6"/>
  <c r="N22" i="6"/>
  <c r="H16" i="6"/>
  <c r="N9" i="4"/>
  <c r="M22" i="4"/>
  <c r="M20" i="4"/>
  <c r="N18" i="4"/>
  <c r="M15" i="4"/>
  <c r="N12" i="4"/>
  <c r="L11" i="4"/>
  <c r="P17" i="6"/>
  <c r="L20" i="6"/>
  <c r="H22" i="6"/>
  <c r="H14" i="6"/>
  <c r="M9" i="4"/>
  <c r="L20" i="4"/>
  <c r="L15" i="4"/>
  <c r="M12" i="4"/>
  <c r="L9" i="4"/>
  <c r="K15" i="4"/>
  <c r="L12" i="4"/>
  <c r="J11" i="4"/>
  <c r="L18" i="6"/>
  <c r="H20" i="6"/>
  <c r="H12" i="6"/>
  <c r="L13" i="6"/>
  <c r="P18" i="6"/>
  <c r="L21" i="6"/>
  <c r="F17" i="5"/>
  <c r="D17" i="5"/>
  <c r="F12" i="16"/>
  <c r="P23" i="6"/>
  <c r="P25" i="6"/>
  <c r="N11" i="6"/>
  <c r="N12" i="6"/>
  <c r="N13" i="6"/>
  <c r="N14" i="6"/>
  <c r="N15" i="6"/>
  <c r="N16" i="6"/>
  <c r="N17" i="6"/>
  <c r="N18" i="6"/>
  <c r="N19" i="6"/>
  <c r="N20" i="6"/>
  <c r="N21" i="6"/>
  <c r="P22" i="6"/>
  <c r="N23" i="6"/>
  <c r="P24" i="6"/>
  <c r="N25" i="6"/>
  <c r="P26" i="6"/>
  <c r="J12" i="6"/>
  <c r="J14" i="6"/>
  <c r="J16" i="6"/>
  <c r="J18" i="6"/>
  <c r="J21" i="6"/>
  <c r="L22" i="6"/>
  <c r="J23" i="6"/>
  <c r="J24" i="6"/>
  <c r="L25" i="6"/>
  <c r="J26" i="6"/>
  <c r="J13" i="6"/>
  <c r="J15" i="6"/>
  <c r="J17" i="6"/>
  <c r="J19" i="6"/>
  <c r="J20" i="6"/>
  <c r="J22" i="6"/>
  <c r="L23" i="6"/>
  <c r="L24" i="6"/>
  <c r="J25" i="6"/>
  <c r="L26" i="6"/>
  <c r="K11" i="6"/>
  <c r="M11" i="6"/>
  <c r="K12" i="6"/>
  <c r="M12" i="6"/>
  <c r="K13" i="6"/>
  <c r="M13" i="6"/>
  <c r="K14" i="6"/>
  <c r="M14" i="6"/>
  <c r="K15" i="6"/>
  <c r="M15" i="6"/>
  <c r="K16" i="6"/>
  <c r="M16" i="6"/>
  <c r="K17" i="6"/>
  <c r="M17" i="6"/>
  <c r="K18" i="6"/>
  <c r="M18" i="6"/>
  <c r="K19" i="6"/>
  <c r="M19" i="6"/>
  <c r="K20" i="6"/>
  <c r="M20" i="6"/>
  <c r="K21" i="6"/>
  <c r="M21" i="6"/>
  <c r="K22" i="6"/>
  <c r="M22" i="6"/>
  <c r="K23" i="6"/>
  <c r="M23" i="6"/>
  <c r="K24" i="6"/>
  <c r="M24" i="6"/>
  <c r="K25" i="6"/>
  <c r="M25" i="6"/>
  <c r="K26" i="6"/>
  <c r="M26" i="6"/>
  <c r="E7" i="5"/>
  <c r="D8" i="5"/>
  <c r="F8" i="5"/>
  <c r="E9" i="5"/>
  <c r="D10" i="5"/>
  <c r="F10" i="5"/>
  <c r="E11" i="5"/>
  <c r="D12" i="5"/>
  <c r="F12" i="5"/>
  <c r="E13" i="5"/>
  <c r="D14" i="5"/>
  <c r="F14" i="5"/>
  <c r="E15" i="5"/>
  <c r="D16" i="5"/>
  <c r="F16" i="5"/>
  <c r="E17" i="5"/>
  <c r="D7" i="5"/>
  <c r="F7" i="5"/>
  <c r="E8" i="5"/>
  <c r="D9" i="5"/>
  <c r="F9" i="5"/>
  <c r="E10" i="5"/>
  <c r="D11" i="5"/>
  <c r="F11" i="5"/>
  <c r="E12" i="5"/>
  <c r="D13" i="5"/>
  <c r="F13" i="5"/>
  <c r="E14" i="5"/>
  <c r="D15" i="5"/>
  <c r="F15" i="5"/>
  <c r="E1" i="2"/>
  <c r="E3" i="2"/>
  <c r="F20" i="16" l="1"/>
  <c r="F25" i="16"/>
  <c r="F22" i="16"/>
  <c r="F16" i="16"/>
  <c r="F31" i="16"/>
  <c r="F24" i="16"/>
  <c r="F26" i="16"/>
  <c r="F23" i="16"/>
  <c r="F21" i="16"/>
  <c r="F30" i="16"/>
  <c r="F19" i="16"/>
  <c r="F29" i="16"/>
  <c r="F17" i="16"/>
  <c r="F18" i="16"/>
  <c r="F27" i="16"/>
  <c r="F28" i="16"/>
  <c r="H9" i="4"/>
  <c r="F9" i="4" s="1"/>
  <c r="L24" i="4"/>
  <c r="J12" i="4"/>
  <c r="J16" i="4"/>
  <c r="K16" i="4"/>
  <c r="I12" i="4"/>
  <c r="I10" i="4"/>
  <c r="I14" i="4"/>
  <c r="E18" i="10"/>
  <c r="F18" i="10" s="1"/>
  <c r="I9" i="2"/>
  <c r="B17" i="5"/>
  <c r="J17" i="5" s="1"/>
  <c r="I10" i="2"/>
  <c r="I11" i="2"/>
  <c r="I12" i="2"/>
  <c r="I14" i="2"/>
  <c r="H9" i="2"/>
  <c r="F11" i="2"/>
  <c r="G9" i="2"/>
  <c r="H10" i="2"/>
  <c r="H12" i="2"/>
  <c r="F10" i="2"/>
  <c r="G10" i="2"/>
  <c r="G11" i="2"/>
  <c r="G12" i="2"/>
  <c r="I13" i="2"/>
  <c r="F9" i="2"/>
  <c r="D9" i="2"/>
  <c r="H13" i="2"/>
  <c r="H11" i="2"/>
  <c r="E9" i="2"/>
  <c r="E10" i="2"/>
  <c r="F25" i="6"/>
  <c r="Q25" i="6" s="1"/>
  <c r="F20" i="6"/>
  <c r="E20" i="6" s="1"/>
  <c r="F13" i="6"/>
  <c r="Q13" i="6" s="1"/>
  <c r="F23" i="6"/>
  <c r="E23" i="6" s="1"/>
  <c r="F22" i="6"/>
  <c r="E22" i="6" s="1"/>
  <c r="F19" i="6"/>
  <c r="Q19" i="6" s="1"/>
  <c r="F15" i="6"/>
  <c r="E15" i="6" s="1"/>
  <c r="F11" i="6"/>
  <c r="F26" i="6"/>
  <c r="Q26" i="6" s="1"/>
  <c r="F24" i="6"/>
  <c r="E24" i="6" s="1"/>
  <c r="F18" i="6"/>
  <c r="Q18" i="6" s="1"/>
  <c r="F14" i="6"/>
  <c r="E14" i="6" s="1"/>
  <c r="F17" i="6"/>
  <c r="Q17" i="6" s="1"/>
  <c r="F21" i="6"/>
  <c r="Q21" i="6" s="1"/>
  <c r="F16" i="6"/>
  <c r="E16" i="6" s="1"/>
  <c r="F12" i="6"/>
  <c r="E12" i="6" s="1"/>
  <c r="B15" i="5"/>
  <c r="J15" i="5" s="1"/>
  <c r="B11" i="5"/>
  <c r="J11" i="5" s="1"/>
  <c r="B7" i="5"/>
  <c r="J7" i="5" s="1"/>
  <c r="M7" i="5" s="1"/>
  <c r="B14" i="5"/>
  <c r="J14" i="5" s="1"/>
  <c r="B10" i="5"/>
  <c r="J10" i="5" s="1"/>
  <c r="B13" i="5"/>
  <c r="J13" i="5" s="1"/>
  <c r="B9" i="5"/>
  <c r="J9" i="5" s="1"/>
  <c r="B16" i="5"/>
  <c r="J16" i="5" s="1"/>
  <c r="B12" i="5"/>
  <c r="J12" i="5" s="1"/>
  <c r="B8" i="5"/>
  <c r="J8" i="5" s="1"/>
  <c r="C11" i="2"/>
  <c r="C14" i="2"/>
  <c r="C15" i="2"/>
  <c r="B15" i="2" s="1"/>
  <c r="C24" i="2" s="1"/>
  <c r="C12" i="2"/>
  <c r="C9" i="2"/>
  <c r="C13" i="2"/>
  <c r="C10" i="2"/>
  <c r="I15" i="4"/>
  <c r="I16" i="4"/>
  <c r="I17" i="4"/>
  <c r="I18" i="4"/>
  <c r="I19" i="4"/>
  <c r="I20" i="4"/>
  <c r="I21" i="4"/>
  <c r="I22" i="4"/>
  <c r="I23" i="4"/>
  <c r="I24" i="4"/>
  <c r="K24" i="4"/>
  <c r="H10" i="4"/>
  <c r="H12" i="4"/>
  <c r="H14" i="4"/>
  <c r="H16" i="4"/>
  <c r="H18" i="4"/>
  <c r="H22" i="4"/>
  <c r="J20" i="4"/>
  <c r="J21" i="4"/>
  <c r="J22" i="4"/>
  <c r="J23" i="4"/>
  <c r="J24" i="4"/>
  <c r="H11" i="4"/>
  <c r="F11" i="4" s="1"/>
  <c r="E11" i="4" s="1"/>
  <c r="H13" i="4"/>
  <c r="F13" i="4" s="1"/>
  <c r="E13" i="4" s="1"/>
  <c r="H15" i="4"/>
  <c r="H17" i="4"/>
  <c r="H19" i="4"/>
  <c r="H21" i="4"/>
  <c r="H23" i="4"/>
  <c r="H20" i="4"/>
  <c r="H24" i="4"/>
  <c r="G23" i="6" l="1"/>
  <c r="E14" i="10" s="1"/>
  <c r="F14" i="10" s="1"/>
  <c r="Q22" i="6"/>
  <c r="Q16" i="6"/>
  <c r="Q20" i="6"/>
  <c r="Q14" i="6"/>
  <c r="Q23" i="6"/>
  <c r="Q24" i="6"/>
  <c r="Q12" i="6"/>
  <c r="Q11" i="6"/>
  <c r="G11" i="6"/>
  <c r="Q15" i="6"/>
  <c r="M8" i="5"/>
  <c r="F14" i="4"/>
  <c r="E14" i="4" s="1"/>
  <c r="B11" i="2"/>
  <c r="C20" i="2" s="1"/>
  <c r="F12" i="4"/>
  <c r="E12" i="4" s="1"/>
  <c r="F10" i="4"/>
  <c r="E10" i="4" s="1"/>
  <c r="F18" i="4"/>
  <c r="E18" i="4" s="1"/>
  <c r="B9" i="2"/>
  <c r="C18" i="2" s="1"/>
  <c r="E26" i="6"/>
  <c r="G26" i="6"/>
  <c r="E17" i="10" s="1"/>
  <c r="F17" i="10" s="1"/>
  <c r="G16" i="6"/>
  <c r="E7" i="10" s="1"/>
  <c r="F7" i="10" s="1"/>
  <c r="F17" i="4"/>
  <c r="E17" i="4" s="1"/>
  <c r="B12" i="2"/>
  <c r="C21" i="2" s="1"/>
  <c r="M14" i="5"/>
  <c r="E21" i="6"/>
  <c r="G21" i="6"/>
  <c r="E12" i="10" s="1"/>
  <c r="F12" i="10" s="1"/>
  <c r="E13" i="6"/>
  <c r="G13" i="6"/>
  <c r="E4" i="10" s="1"/>
  <c r="F4" i="10" s="1"/>
  <c r="G12" i="6"/>
  <c r="E3" i="10" s="1"/>
  <c r="F3" i="10" s="1"/>
  <c r="G14" i="6"/>
  <c r="E5" i="10" s="1"/>
  <c r="F5" i="10" s="1"/>
  <c r="E22" i="10"/>
  <c r="F22" i="10" s="1"/>
  <c r="E21" i="10"/>
  <c r="F21" i="10" s="1"/>
  <c r="E19" i="10"/>
  <c r="F19" i="10" s="1"/>
  <c r="G24" i="6"/>
  <c r="E15" i="10" s="1"/>
  <c r="F15" i="10" s="1"/>
  <c r="E17" i="6"/>
  <c r="G17" i="6"/>
  <c r="E8" i="10" s="1"/>
  <c r="F8" i="10" s="1"/>
  <c r="E11" i="6"/>
  <c r="E2" i="10"/>
  <c r="F2" i="10" s="1"/>
  <c r="E25" i="6"/>
  <c r="G25" i="6"/>
  <c r="E16" i="10" s="1"/>
  <c r="F16" i="10" s="1"/>
  <c r="E19" i="6"/>
  <c r="G19" i="6"/>
  <c r="E10" i="10" s="1"/>
  <c r="F10" i="10" s="1"/>
  <c r="B10" i="2"/>
  <c r="C19" i="2" s="1"/>
  <c r="E18" i="6"/>
  <c r="G18" i="6"/>
  <c r="E9" i="10" s="1"/>
  <c r="F9" i="10" s="1"/>
  <c r="E23" i="10"/>
  <c r="F23" i="10" s="1"/>
  <c r="G15" i="6"/>
  <c r="E6" i="10" s="1"/>
  <c r="F6" i="10" s="1"/>
  <c r="E20" i="10"/>
  <c r="F20" i="10" s="1"/>
  <c r="F21" i="4"/>
  <c r="E21" i="4" s="1"/>
  <c r="G20" i="6"/>
  <c r="E11" i="10" s="1"/>
  <c r="F11" i="10" s="1"/>
  <c r="G22" i="6"/>
  <c r="E13" i="10" s="1"/>
  <c r="F13" i="10" s="1"/>
  <c r="B13" i="2"/>
  <c r="C22" i="2" s="1"/>
  <c r="B14" i="2"/>
  <c r="C23" i="2" s="1"/>
  <c r="M16" i="5"/>
  <c r="E9" i="4"/>
  <c r="E10" i="16"/>
  <c r="E18" i="16"/>
  <c r="E12" i="16"/>
  <c r="E14" i="16"/>
  <c r="M12" i="5"/>
  <c r="M15" i="5"/>
  <c r="M11" i="5"/>
  <c r="M9" i="5"/>
  <c r="M17" i="5"/>
  <c r="M13" i="5"/>
  <c r="M10" i="5"/>
  <c r="F20" i="4"/>
  <c r="F16" i="4"/>
  <c r="F22" i="4"/>
  <c r="F24" i="4"/>
  <c r="F23" i="4"/>
  <c r="F19" i="4"/>
  <c r="F15" i="4"/>
  <c r="B8" i="6" l="1"/>
  <c r="E15" i="16"/>
  <c r="E13" i="16"/>
  <c r="E11" i="16"/>
  <c r="E19" i="16"/>
  <c r="E22" i="16"/>
  <c r="E15" i="4"/>
  <c r="E16" i="16"/>
  <c r="E23" i="4"/>
  <c r="E24" i="16"/>
  <c r="E22" i="4"/>
  <c r="E23" i="16"/>
  <c r="E26" i="16"/>
  <c r="E20" i="4"/>
  <c r="E21" i="16"/>
  <c r="E27" i="16"/>
  <c r="E19" i="4"/>
  <c r="E20" i="16"/>
  <c r="E28" i="16"/>
  <c r="E31" i="16"/>
  <c r="E16" i="4"/>
  <c r="E17" i="16"/>
  <c r="E30" i="16"/>
  <c r="E29" i="16"/>
  <c r="E24" i="4"/>
  <c r="E25" i="16"/>
  <c r="B6" i="4" l="1"/>
</calcChain>
</file>

<file path=xl/sharedStrings.xml><?xml version="1.0" encoding="utf-8"?>
<sst xmlns="http://schemas.openxmlformats.org/spreadsheetml/2006/main" count="174" uniqueCount="69">
  <si>
    <t>p1x</t>
  </si>
  <si>
    <t>tx</t>
  </si>
  <si>
    <t>n</t>
  </si>
  <si>
    <t># donors</t>
  </si>
  <si>
    <t>alpha</t>
  </si>
  <si>
    <t>B(alpha,beta)</t>
  </si>
  <si>
    <t>beta</t>
  </si>
  <si>
    <t>gamma</t>
  </si>
  <si>
    <t>B(gamma,delta)</t>
  </si>
  <si>
    <t>delta</t>
  </si>
  <si>
    <t>LL</t>
  </si>
  <si>
    <t>n -t_x - 1</t>
  </si>
  <si>
    <t>L(.|x,t_x,n)</t>
  </si>
  <si>
    <t>x</t>
  </si>
  <si>
    <t>P(X(n)=x)</t>
  </si>
  <si>
    <t>Actual</t>
  </si>
  <si>
    <t>Model</t>
  </si>
  <si>
    <t>Cumulative</t>
  </si>
  <si>
    <t>Annual</t>
  </si>
  <si>
    <t>E[X(n)]</t>
  </si>
  <si>
    <t>n*</t>
  </si>
  <si>
    <t>CE</t>
  </si>
  <si>
    <t>CE by Frequency</t>
  </si>
  <si>
    <t>Number of Donors</t>
  </si>
  <si>
    <t>Column Labels</t>
  </si>
  <si>
    <t>Row Labels</t>
  </si>
  <si>
    <t>Grand Total</t>
  </si>
  <si>
    <t>Sum of # donors</t>
  </si>
  <si>
    <t>Exp Tot</t>
  </si>
  <si>
    <t>Act Tot</t>
  </si>
  <si>
    <t>Sum of Act Tot</t>
  </si>
  <si>
    <t>Sum of Exp Tot</t>
  </si>
  <si>
    <t>Actual total 2002-2006 donations by p1x / tx</t>
  </si>
  <si>
    <t>Expected total 2002-2006 donations by p1x / tx</t>
  </si>
  <si>
    <t>CE by Recency</t>
  </si>
  <si>
    <t>alpha + l</t>
  </si>
  <si>
    <t>gamma + m</t>
  </si>
  <si>
    <t>l</t>
  </si>
  <si>
    <t>m</t>
  </si>
  <si>
    <t>E(.,.)</t>
  </si>
  <si>
    <t>d</t>
  </si>
  <si>
    <t>DERT</t>
  </si>
  <si>
    <t>2F1</t>
  </si>
  <si>
    <t>a</t>
  </si>
  <si>
    <t>b</t>
  </si>
  <si>
    <t>c</t>
  </si>
  <si>
    <t>z</t>
  </si>
  <si>
    <t>j</t>
  </si>
  <si>
    <t>This workbook is provided "as-is". In no event shall the authors be liable for any damages arising from its use.</t>
  </si>
  <si>
    <t xml:space="preserve">     Peter S. Fader (www.petefader.com)</t>
  </si>
  <si>
    <t xml:space="preserve">     Bruce G.S.  Hardie (www.brucehardie.com)</t>
  </si>
  <si>
    <t>References:</t>
  </si>
  <si>
    <t>This workbook implements the BG/BB model for customer base analysis in a discrete-time noncontractual setting, as developed by Fader, Hardie, and Shang (2010). As it has been constructed explicitly for the dataset given in the worksheet "Table 2 data", it should not be used "as-is" in conjunction with any another dataset.</t>
  </si>
  <si>
    <t>Last revised: 2011-01-20</t>
  </si>
  <si>
    <t>A note that documents the process by which this workbook was constructed, along with a copy of this workbook, can be found at &lt;http://brucehardie.com/notes/010/&gt;.</t>
  </si>
  <si>
    <t>Fader, Peter S., Bruce G.S. Hardie, and Jen Shang (2010), "Customer-Base Analysis in a Discrete-Time Noncontractual Setting," Marketing Science, 29 (November-December), 1086--1108.</t>
  </si>
  <si>
    <t>P(Alive)</t>
  </si>
  <si>
    <t>Customer 100009</t>
  </si>
  <si>
    <t>Customer 100004</t>
  </si>
  <si>
    <t>Use solver to max LL by changing parameters in green</t>
  </si>
  <si>
    <t>DET</t>
  </si>
  <si>
    <t>CLV</t>
  </si>
  <si>
    <t>theta</t>
  </si>
  <si>
    <t>Shapes of the beta distribution</t>
  </si>
  <si>
    <t>theta (prob death)</t>
  </si>
  <si>
    <t>p (prob buy | alive)</t>
  </si>
  <si>
    <t>t</t>
  </si>
  <si>
    <t>P(Y(t) = 1)</t>
  </si>
  <si>
    <t>disc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</si>
</sst>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"/>
    <numFmt numFmtId="167" formatCode="0.000E+00"/>
    <numFmt numFmtId="168" formatCode="_([$€-2]\ * #,##0.00_);_([$€-2]\ * \(#,##0.00\);_([$€-2]\ * &quot;-&quot;??_);_(@_)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centerContinuous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0" fillId="0" borderId="0" xfId="0" applyAlignment="1">
      <alignment horizontal="left"/>
    </xf>
    <xf numFmtId="0" fontId="0" fillId="0" borderId="0" xfId="0" pivotButton="1"/>
    <xf numFmtId="2" fontId="0" fillId="2" borderId="0" xfId="0" applyNumberFormat="1" applyFill="1"/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167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66" fontId="3" fillId="4" borderId="0" xfId="2" applyNumberFormat="1"/>
    <xf numFmtId="0" fontId="2" fillId="3" borderId="0" xfId="1"/>
    <xf numFmtId="166" fontId="2" fillId="3" borderId="0" xfId="1" applyNumberFormat="1"/>
    <xf numFmtId="165" fontId="2" fillId="3" borderId="0" xfId="1" applyNumberFormat="1"/>
    <xf numFmtId="164" fontId="2" fillId="3" borderId="0" xfId="1" applyNumberFormat="1"/>
    <xf numFmtId="2" fontId="2" fillId="3" borderId="0" xfId="1" applyNumberFormat="1"/>
    <xf numFmtId="2" fontId="0" fillId="0" borderId="0" xfId="0" applyNumberFormat="1"/>
    <xf numFmtId="168" fontId="0" fillId="0" borderId="0" xfId="0" applyNumberFormat="1"/>
  </cellXfs>
  <cellStyles count="3">
    <cellStyle name="Goed" xfId="1" builtinId="26"/>
    <cellStyle name="Ongeldig" xfId="2" builtinId="27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8964315423418432E-2"/>
          <c:y val="2.1240656698061192E-2"/>
          <c:w val="0.91556960381351671"/>
          <c:h val="0.8583609343640639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'beta shape'!$D$2</c:f>
              <c:strCache>
                <c:ptCount val="1"/>
                <c:pt idx="0">
                  <c:v>theta (prob death)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'beta shape'!$B$6:$B$106</c:f>
              <c:numCache>
                <c:formatCode>0.00</c:formatCode>
                <c:ptCount val="101"/>
                <c:pt idx="0">
                  <c:v>4.0000000000000001E-3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0.995</c:v>
                </c:pt>
              </c:numCache>
            </c:numRef>
          </c:xVal>
          <c:yVal>
            <c:numRef>
              <c:f>'beta shape'!$D$6:$D$106</c:f>
              <c:numCache>
                <c:formatCode>0.0000</c:formatCode>
                <c:ptCount val="101"/>
                <c:pt idx="0">
                  <c:v>4.7559206475557024E-32</c:v>
                </c:pt>
                <c:pt idx="1">
                  <c:v>1.0083453998378642E-18</c:v>
                </c:pt>
                <c:pt idx="2">
                  <c:v>1.1966423459424794E-9</c:v>
                </c:pt>
                <c:pt idx="3">
                  <c:v>4.0494405424547025E-5</c:v>
                </c:pt>
                <c:pt idx="4">
                  <c:v>1.8389017881053869E-2</c:v>
                </c:pt>
                <c:pt idx="5">
                  <c:v>0.77047257984809214</c:v>
                </c:pt>
                <c:pt idx="6">
                  <c:v>7.0260682965376295</c:v>
                </c:pt>
                <c:pt idx="7">
                  <c:v>22.031215722792808</c:v>
                </c:pt>
                <c:pt idx="8">
                  <c:v>31.196392787151204</c:v>
                </c:pt>
                <c:pt idx="9">
                  <c:v>23.773292887479055</c:v>
                </c:pt>
                <c:pt idx="10">
                  <c:v>10.986219693331698</c:v>
                </c:pt>
                <c:pt idx="11">
                  <c:v>3.3513237334237447</c:v>
                </c:pt>
                <c:pt idx="12">
                  <c:v>0.71820353879717092</c:v>
                </c:pt>
                <c:pt idx="13">
                  <c:v>0.1133309297074899</c:v>
                </c:pt>
                <c:pt idx="14">
                  <c:v>1.3653613508921128E-2</c:v>
                </c:pt>
                <c:pt idx="15">
                  <c:v>1.292060942679221E-3</c:v>
                </c:pt>
                <c:pt idx="16">
                  <c:v>9.8236545730043796E-5</c:v>
                </c:pt>
                <c:pt idx="17">
                  <c:v>6.111149161488227E-6</c:v>
                </c:pt>
                <c:pt idx="18">
                  <c:v>3.156866961648365E-7</c:v>
                </c:pt>
                <c:pt idx="19">
                  <c:v>1.3706637116147745E-8</c:v>
                </c:pt>
                <c:pt idx="20">
                  <c:v>5.0520995795109304E-10</c:v>
                </c:pt>
                <c:pt idx="21">
                  <c:v>1.5938523953179066E-11</c:v>
                </c:pt>
                <c:pt idx="22">
                  <c:v>4.3331825266881425E-13</c:v>
                </c:pt>
                <c:pt idx="23">
                  <c:v>1.0208904670193487E-14</c:v>
                </c:pt>
                <c:pt idx="24">
                  <c:v>2.0939204220732606E-16</c:v>
                </c:pt>
                <c:pt idx="25">
                  <c:v>3.7529723415041195E-18</c:v>
                </c:pt>
                <c:pt idx="26">
                  <c:v>5.8956459338807985E-20</c:v>
                </c:pt>
                <c:pt idx="27">
                  <c:v>8.1368771157731859E-22</c:v>
                </c:pt>
                <c:pt idx="28">
                  <c:v>9.8841708355700759E-24</c:v>
                </c:pt>
                <c:pt idx="29">
                  <c:v>1.0581520237396825E-25</c:v>
                </c:pt>
                <c:pt idx="30">
                  <c:v>9.9920803101883273E-28</c:v>
                </c:pt>
                <c:pt idx="31">
                  <c:v>8.3264881262088567E-30</c:v>
                </c:pt>
                <c:pt idx="32">
                  <c:v>6.1235310072862612E-32</c:v>
                </c:pt>
                <c:pt idx="33">
                  <c:v>3.9733949384821709E-34</c:v>
                </c:pt>
                <c:pt idx="34">
                  <c:v>2.2734530734164634E-36</c:v>
                </c:pt>
                <c:pt idx="35">
                  <c:v>1.1460031342751076E-38</c:v>
                </c:pt>
                <c:pt idx="36">
                  <c:v>5.0832837557320807E-41</c:v>
                </c:pt>
                <c:pt idx="37">
                  <c:v>1.9811669591047278E-43</c:v>
                </c:pt>
                <c:pt idx="38">
                  <c:v>6.7725857623462558E-46</c:v>
                </c:pt>
                <c:pt idx="39">
                  <c:v>2.0265809653940311E-48</c:v>
                </c:pt>
                <c:pt idx="40">
                  <c:v>5.2960251045628797E-51</c:v>
                </c:pt>
                <c:pt idx="41">
                  <c:v>1.2055750234484192E-53</c:v>
                </c:pt>
                <c:pt idx="42">
                  <c:v>2.3837326987987677E-56</c:v>
                </c:pt>
                <c:pt idx="43">
                  <c:v>4.0811079550267564E-59</c:v>
                </c:pt>
                <c:pt idx="44">
                  <c:v>6.0293129690110288E-62</c:v>
                </c:pt>
                <c:pt idx="45">
                  <c:v>7.6578791175494829E-65</c:v>
                </c:pt>
                <c:pt idx="46">
                  <c:v>8.3281100888338538E-68</c:v>
                </c:pt>
                <c:pt idx="47">
                  <c:v>7.7212314669011075E-71</c:v>
                </c:pt>
                <c:pt idx="48">
                  <c:v>6.0741458486912133E-74</c:v>
                </c:pt>
                <c:pt idx="49">
                  <c:v>4.0340573998614152E-77</c:v>
                </c:pt>
                <c:pt idx="50">
                  <c:v>2.2495250658779614E-80</c:v>
                </c:pt>
                <c:pt idx="51">
                  <c:v>1.0471011561030036E-83</c:v>
                </c:pt>
                <c:pt idx="52">
                  <c:v>4.0430035047636419E-87</c:v>
                </c:pt>
                <c:pt idx="53">
                  <c:v>1.2861865522276938E-90</c:v>
                </c:pt>
                <c:pt idx="54">
                  <c:v>3.3468619323377104E-94</c:v>
                </c:pt>
                <c:pt idx="55">
                  <c:v>7.0684006330902102E-98</c:v>
                </c:pt>
                <c:pt idx="56">
                  <c:v>1.201479617620331E-101</c:v>
                </c:pt>
                <c:pt idx="57">
                  <c:v>1.6289631289815424E-105</c:v>
                </c:pt>
                <c:pt idx="58">
                  <c:v>1.7445948310455741E-109</c:v>
                </c:pt>
                <c:pt idx="59">
                  <c:v>1.4605930388608767E-113</c:v>
                </c:pt>
                <c:pt idx="60">
                  <c:v>9.4519465409003765E-118</c:v>
                </c:pt>
                <c:pt idx="61">
                  <c:v>4.6707350091120766E-122</c:v>
                </c:pt>
                <c:pt idx="62">
                  <c:v>1.7394214401718225E-126</c:v>
                </c:pt>
                <c:pt idx="63">
                  <c:v>4.8126922914055515E-131</c:v>
                </c:pt>
                <c:pt idx="64">
                  <c:v>9.7412918874156837E-136</c:v>
                </c:pt>
                <c:pt idx="65">
                  <c:v>1.4183613947668522E-140</c:v>
                </c:pt>
                <c:pt idx="66">
                  <c:v>1.4586270554029399E-145</c:v>
                </c:pt>
                <c:pt idx="67">
                  <c:v>1.0384973661457345E-150</c:v>
                </c:pt>
                <c:pt idx="68">
                  <c:v>5.0080651033619148E-156</c:v>
                </c:pt>
                <c:pt idx="69">
                  <c:v>1.597046842966597E-161</c:v>
                </c:pt>
                <c:pt idx="70">
                  <c:v>3.2801096957828246E-167</c:v>
                </c:pt>
                <c:pt idx="71">
                  <c:v>4.2144608058351936E-173</c:v>
                </c:pt>
                <c:pt idx="72">
                  <c:v>3.2801496588469708E-179</c:v>
                </c:pt>
                <c:pt idx="73">
                  <c:v>1.4921708357445622E-185</c:v>
                </c:pt>
                <c:pt idx="74">
                  <c:v>3.8125923148527729E-192</c:v>
                </c:pt>
                <c:pt idx="75">
                  <c:v>5.2330382430678017E-199</c:v>
                </c:pt>
                <c:pt idx="76">
                  <c:v>3.670211158026848E-206</c:v>
                </c:pt>
                <c:pt idx="77">
                  <c:v>1.2431272608757194E-213</c:v>
                </c:pt>
                <c:pt idx="78">
                  <c:v>1.907338965921556E-221</c:v>
                </c:pt>
                <c:pt idx="79">
                  <c:v>1.2323501823823392E-229</c:v>
                </c:pt>
                <c:pt idx="80">
                  <c:v>3.0838024465367487E-238</c:v>
                </c:pt>
                <c:pt idx="81">
                  <c:v>2.7134907627738979E-247</c:v>
                </c:pt>
                <c:pt idx="82">
                  <c:v>7.5037839932338028E-257</c:v>
                </c:pt>
                <c:pt idx="83">
                  <c:v>5.7171574813216281E-267</c:v>
                </c:pt>
                <c:pt idx="84">
                  <c:v>1.027183366503744E-277</c:v>
                </c:pt>
                <c:pt idx="85">
                  <c:v>3.6140525918517279E-289</c:v>
                </c:pt>
                <c:pt idx="86">
                  <c:v>1.9897509860158779E-301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50016"/>
        <c:axId val="2090538048"/>
      </c:scatterChart>
      <c:valAx>
        <c:axId val="2090550016"/>
        <c:scaling>
          <c:orientation val="minMax"/>
          <c:max val="1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2090538048"/>
        <c:crossesAt val="0"/>
        <c:crossBetween val="midCat"/>
        <c:majorUnit val="0.5"/>
      </c:valAx>
      <c:valAx>
        <c:axId val="2090538048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f(</a:t>
                </a:r>
                <a:r>
                  <a:rPr lang="el-GR"/>
                  <a:t>θ)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#,##0" sourceLinked="0"/>
        <c:majorTickMark val="none"/>
        <c:minorTickMark val="none"/>
        <c:tickLblPos val="none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20905500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54253226074715"/>
          <c:y val="0.3348016070053591"/>
          <c:w val="0.23987683919726419"/>
          <c:h val="0.11497459241463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nl-NL"/>
        </a:p>
      </c:txPr>
    </c:legend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8964315423418432E-2"/>
          <c:y val="2.1240656698061192E-2"/>
          <c:w val="0.91556960381351671"/>
          <c:h val="0.858360934364063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'beta shape'!$C$2</c:f>
              <c:strCache>
                <c:ptCount val="1"/>
                <c:pt idx="0">
                  <c:v>p (prob buy | alive)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'beta shape'!$B$6:$B$106</c:f>
              <c:numCache>
                <c:formatCode>0.00</c:formatCode>
                <c:ptCount val="101"/>
                <c:pt idx="0">
                  <c:v>4.0000000000000001E-3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0.995</c:v>
                </c:pt>
              </c:numCache>
            </c:numRef>
          </c:xVal>
          <c:yVal>
            <c:numRef>
              <c:f>'beta shape'!$C$6:$C$106</c:f>
              <c:numCache>
                <c:formatCode>0.0000</c:formatCode>
                <c:ptCount val="101"/>
                <c:pt idx="0">
                  <c:v>13.974505945246953</c:v>
                </c:pt>
                <c:pt idx="1">
                  <c:v>9.8778167509948123</c:v>
                </c:pt>
                <c:pt idx="2">
                  <c:v>7.4235926492636546</c:v>
                </c:pt>
                <c:pt idx="3">
                  <c:v>6.1697160375671762</c:v>
                </c:pt>
                <c:pt idx="4">
                  <c:v>5.3418569179160951</c:v>
                </c:pt>
                <c:pt idx="5">
                  <c:v>4.7289959284705514</c:v>
                </c:pt>
                <c:pt idx="6">
                  <c:v>4.2449557309704788</c:v>
                </c:pt>
                <c:pt idx="7">
                  <c:v>3.8465442780862911</c:v>
                </c:pt>
                <c:pt idx="8">
                  <c:v>3.5091768051803132</c:v>
                </c:pt>
                <c:pt idx="9">
                  <c:v>3.2175780744151088</c:v>
                </c:pt>
                <c:pt idx="10">
                  <c:v>2.9616259369189688</c:v>
                </c:pt>
                <c:pt idx="11">
                  <c:v>2.7342727971161924</c:v>
                </c:pt>
                <c:pt idx="12">
                  <c:v>2.5304151441121254</c:v>
                </c:pt>
                <c:pt idx="13">
                  <c:v>2.3462371062341054</c:v>
                </c:pt>
                <c:pt idx="14">
                  <c:v>2.1788086660339463</c:v>
                </c:pt>
                <c:pt idx="15">
                  <c:v>2.0258288651074845</c:v>
                </c:pt>
                <c:pt idx="16">
                  <c:v>1.885455615404986</c:v>
                </c:pt>
                <c:pt idx="17">
                  <c:v>1.7561893739730923</c:v>
                </c:pt>
                <c:pt idx="18">
                  <c:v>1.6367914917419746</c:v>
                </c:pt>
                <c:pt idx="19">
                  <c:v>1.5262255582402962</c:v>
                </c:pt>
                <c:pt idx="20">
                  <c:v>1.4236143992253534</c:v>
                </c:pt>
                <c:pt idx="21">
                  <c:v>1.3282079760562957</c:v>
                </c:pt>
                <c:pt idx="22">
                  <c:v>1.2393590339661935</c:v>
                </c:pt>
                <c:pt idx="23">
                  <c:v>1.1565043594337558</c:v>
                </c:pt>
                <c:pt idx="24">
                  <c:v>1.0791501648298869</c:v>
                </c:pt>
                <c:pt idx="25">
                  <c:v>1.0068605553517782</c:v>
                </c:pt>
                <c:pt idx="26">
                  <c:v>0.93924832908298928</c:v>
                </c:pt>
                <c:pt idx="27">
                  <c:v>0.87596756498586803</c:v>
                </c:pt>
                <c:pt idx="28">
                  <c:v>0.81670759659074688</c:v>
                </c:pt>
                <c:pt idx="29">
                  <c:v>0.76118807085937479</c:v>
                </c:pt>
                <c:pt idx="30">
                  <c:v>0.70915486507336944</c:v>
                </c:pt>
                <c:pt idx="31">
                  <c:v>0.6603766882064297</c:v>
                </c:pt>
                <c:pt idx="32">
                  <c:v>0.61464223287025155</c:v>
                </c:pt>
                <c:pt idx="33">
                  <c:v>0.57175777354477264</c:v>
                </c:pt>
                <c:pt idx="34">
                  <c:v>0.53154512916859342</c:v>
                </c:pt>
                <c:pt idx="35">
                  <c:v>0.49383992521358855</c:v>
                </c:pt>
                <c:pt idx="36">
                  <c:v>0.45849010347882629</c:v>
                </c:pt>
                <c:pt idx="37">
                  <c:v>0.42535463800654649</c:v>
                </c:pt>
                <c:pt idx="38">
                  <c:v>0.39430242346982441</c:v>
                </c:pt>
                <c:pt idx="39">
                  <c:v>0.36521130863865481</c:v>
                </c:pt>
                <c:pt idx="40">
                  <c:v>0.33796725249212889</c:v>
                </c:pt>
                <c:pt idx="41">
                  <c:v>0.3124635845035536</c:v>
                </c:pt>
                <c:pt idx="42">
                  <c:v>0.28860035380471394</c:v>
                </c:pt>
                <c:pt idx="43">
                  <c:v>0.26628375450367753</c:v>
                </c:pt>
                <c:pt idx="44">
                  <c:v>0.24542561651664935</c:v>
                </c:pt>
                <c:pt idx="45">
                  <c:v>0.22594295297792144</c:v>
                </c:pt>
                <c:pt idx="46">
                  <c:v>0.20775755669012017</c:v>
                </c:pt>
                <c:pt idx="47">
                  <c:v>0.19079563922998796</c:v>
                </c:pt>
                <c:pt idx="48">
                  <c:v>0.17498750728020118</c:v>
                </c:pt>
                <c:pt idx="49">
                  <c:v>0.16026727155260775</c:v>
                </c:pt>
                <c:pt idx="50">
                  <c:v>0.14657258433246306</c:v>
                </c:pt>
                <c:pt idx="51">
                  <c:v>0.13384440223046015</c:v>
                </c:pt>
                <c:pt idx="52">
                  <c:v>0.12202677119861771</c:v>
                </c:pt>
                <c:pt idx="53">
                  <c:v>0.11106663126273651</c:v>
                </c:pt>
                <c:pt idx="54">
                  <c:v>0.10091363876058387</c:v>
                </c:pt>
                <c:pt idx="55">
                  <c:v>9.1520004161318821E-2</c:v>
                </c:pt>
                <c:pt idx="56">
                  <c:v>8.2840343786173803E-2</c:v>
                </c:pt>
                <c:pt idx="57">
                  <c:v>7.4831543959838112E-2</c:v>
                </c:pt>
                <c:pt idx="58">
                  <c:v>6.745263630190329E-2</c:v>
                </c:pt>
                <c:pt idx="59">
                  <c:v>6.0664683022743984E-2</c:v>
                </c:pt>
                <c:pt idx="60">
                  <c:v>5.4430671222133825E-2</c:v>
                </c:pt>
                <c:pt idx="61">
                  <c:v>4.8715415304909762E-2</c:v>
                </c:pt>
                <c:pt idx="62">
                  <c:v>4.3485466728756424E-2</c:v>
                </c:pt>
                <c:pt idx="63">
                  <c:v>3.8709030386904715E-2</c:v>
                </c:pt>
                <c:pt idx="64">
                  <c:v>3.4355887005091519E-2</c:v>
                </c:pt>
                <c:pt idx="65">
                  <c:v>3.0397320999085237E-2</c:v>
                </c:pt>
                <c:pt idx="66">
                  <c:v>2.6806053297773514E-2</c:v>
                </c:pt>
                <c:pt idx="67">
                  <c:v>2.3556178688360022E-2</c:v>
                </c:pt>
                <c:pt idx="68">
                  <c:v>2.0623107285584381E-2</c:v>
                </c:pt>
                <c:pt idx="69">
                  <c:v>1.7983509766877587E-2</c:v>
                </c:pt>
                <c:pt idx="70">
                  <c:v>1.561526605068872E-2</c:v>
                </c:pt>
                <c:pt idx="71">
                  <c:v>1.3497417126461844E-2</c:v>
                </c:pt>
                <c:pt idx="72">
                  <c:v>1.1610119772414525E-2</c:v>
                </c:pt>
                <c:pt idx="73">
                  <c:v>9.9346039218044784E-3</c:v>
                </c:pt>
                <c:pt idx="74">
                  <c:v>8.4531324601465306E-3</c:v>
                </c:pt>
                <c:pt idx="75">
                  <c:v>7.1489632551750507E-3</c:v>
                </c:pt>
                <c:pt idx="76">
                  <c:v>6.006313238515238E-3</c:v>
                </c:pt>
                <c:pt idx="77">
                  <c:v>5.0103243732626257E-3</c:v>
                </c:pt>
                <c:pt idx="78">
                  <c:v>4.1470313551734929E-3</c:v>
                </c:pt>
                <c:pt idx="79">
                  <c:v>3.4033309071068588E-3</c:v>
                </c:pt>
                <c:pt idx="80">
                  <c:v>2.7669525368686039E-3</c:v>
                </c:pt>
                <c:pt idx="81">
                  <c:v>2.2264306378000625E-3</c:v>
                </c:pt>
                <c:pt idx="82">
                  <c:v>1.7710778194095335E-3</c:v>
                </c:pt>
                <c:pt idx="83">
                  <c:v>1.3909593621190867E-3</c:v>
                </c:pt>
                <c:pt idx="84">
                  <c:v>1.0768686958131657E-3</c:v>
                </c:pt>
                <c:pt idx="85">
                  <c:v>8.2030380631464329E-4</c:v>
                </c:pt>
                <c:pt idx="86">
                  <c:v>6.1344447711726897E-4</c:v>
                </c:pt>
                <c:pt idx="87">
                  <c:v>4.4913027554824417E-4</c:v>
                </c:pt>
                <c:pt idx="88">
                  <c:v>3.2083919281355441E-4</c:v>
                </c:pt>
                <c:pt idx="89">
                  <c:v>2.2266684575949827E-4</c:v>
                </c:pt>
                <c:pt idx="90">
                  <c:v>1.4930614414557656E-4</c:v>
                </c:pt>
                <c:pt idx="91">
                  <c:v>9.6027319945401858E-5</c:v>
                </c:pt>
                <c:pt idx="92">
                  <c:v>5.8658203356510084E-5</c:v>
                </c:pt>
                <c:pt idx="93">
                  <c:v>3.3564611630085343E-5</c:v>
                </c:pt>
                <c:pt idx="94">
                  <c:v>1.763068777963741E-5</c:v>
                </c:pt>
                <c:pt idx="95">
                  <c:v>8.2389798846428782E-6</c:v>
                </c:pt>
                <c:pt idx="96">
                  <c:v>3.2499748106274495E-6</c:v>
                </c:pt>
                <c:pt idx="97">
                  <c:v>9.8066440370892119E-7</c:v>
                </c:pt>
                <c:pt idx="98">
                  <c:v>1.8145887370672789E-7</c:v>
                </c:pt>
                <c:pt idx="99">
                  <c:v>1.0168880549835934E-8</c:v>
                </c:pt>
                <c:pt idx="100">
                  <c:v>5.708845702535418E-10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39680"/>
        <c:axId val="2090550560"/>
      </c:scatterChart>
      <c:valAx>
        <c:axId val="2090539680"/>
        <c:scaling>
          <c:orientation val="minMax"/>
          <c:max val="1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2090550560"/>
        <c:crossesAt val="0"/>
        <c:crossBetween val="midCat"/>
        <c:majorUnit val="0.5"/>
      </c:valAx>
      <c:valAx>
        <c:axId val="2090550560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f(p</a:t>
                </a:r>
                <a:r>
                  <a:rPr lang="el-GR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nl-NL"/>
            </a:p>
          </c:txPr>
        </c:title>
        <c:numFmt formatCode="#,##0" sourceLinked="0"/>
        <c:majorTickMark val="none"/>
        <c:minorTickMark val="none"/>
        <c:tickLblPos val="none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nl-NL"/>
          </a:p>
        </c:txPr>
        <c:crossAx val="20905396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54253226074715"/>
          <c:y val="0.3348016070053591"/>
          <c:w val="0.23987683919726419"/>
          <c:h val="0.11497459241463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nl-NL"/>
        </a:p>
      </c:txPr>
    </c:legend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'In-Sample Fit'!$B$17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numRef>
              <c:f>'In-Sample Fit'!$A$18:$A$24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'In-Sample Fit'!$B$18:$B$24</c:f>
              <c:numCache>
                <c:formatCode>General</c:formatCode>
                <c:ptCount val="7"/>
                <c:pt idx="0">
                  <c:v>3464</c:v>
                </c:pt>
                <c:pt idx="1">
                  <c:v>1823</c:v>
                </c:pt>
                <c:pt idx="2">
                  <c:v>1430</c:v>
                </c:pt>
                <c:pt idx="3">
                  <c:v>1085</c:v>
                </c:pt>
                <c:pt idx="4">
                  <c:v>1036</c:v>
                </c:pt>
                <c:pt idx="5">
                  <c:v>1063</c:v>
                </c:pt>
                <c:pt idx="6">
                  <c:v>1203</c:v>
                </c:pt>
              </c:numCache>
            </c:numRef>
          </c:val>
        </c:ser>
        <c:ser>
          <c:idx val="1"/>
          <c:order val="1"/>
          <c:tx>
            <c:strRef>
              <c:f>'In-Sample Fit'!$C$17</c:f>
              <c:strCache>
                <c:ptCount val="1"/>
                <c:pt idx="0">
                  <c:v>Model</c:v>
                </c:pt>
              </c:strCache>
            </c:strRef>
          </c:tx>
          <c:invertIfNegative val="0"/>
          <c:cat>
            <c:numRef>
              <c:f>'In-Sample Fit'!$A$18:$A$24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'In-Sample Fit'!$C$18:$C$24</c:f>
              <c:numCache>
                <c:formatCode>0.0</c:formatCode>
                <c:ptCount val="7"/>
                <c:pt idx="0">
                  <c:v>7586.2904867352081</c:v>
                </c:pt>
                <c:pt idx="1">
                  <c:v>2165.4055725235157</c:v>
                </c:pt>
                <c:pt idx="2">
                  <c:v>849.24767861997509</c:v>
                </c:pt>
                <c:pt idx="3">
                  <c:v>338.63444631909181</c:v>
                </c:pt>
                <c:pt idx="4">
                  <c:v>122.53870026703115</c:v>
                </c:pt>
                <c:pt idx="5">
                  <c:v>35.57695065393608</c:v>
                </c:pt>
                <c:pt idx="6">
                  <c:v>6.3061648810647908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547840"/>
        <c:axId val="2090551104"/>
      </c:barChart>
      <c:catAx>
        <c:axId val="209054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repeat</a:t>
                </a:r>
                <a:r>
                  <a:rPr lang="en-GB" baseline="0"/>
                  <a:t> transactions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551104"/>
        <c:crosses val="autoZero"/>
        <c:auto val="1"/>
        <c:lblAlgn val="ctr"/>
        <c:lblOffset val="100"/>
        <c:noMultiLvlLbl val="0"/>
      </c:catAx>
      <c:valAx>
        <c:axId val="2090551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No. of people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547840"/>
        <c:crosses val="autoZero"/>
        <c:crossBetween val="between"/>
        <c:majorUnit val="1000"/>
      </c:valAx>
    </c:plotArea>
    <c:legend>
      <c:legendPos val="r"/>
      <c:layout>
        <c:manualLayout>
          <c:xMode val="edge"/>
          <c:yMode val="edge"/>
          <c:x val="0.81573753280839922"/>
          <c:y val="0.10146799358413532"/>
          <c:w val="0.12037357830271216"/>
          <c:h val="0.16743438320209986"/>
        </c:manualLayout>
      </c:layout>
      <c:overlay val="1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'Tracking Plots'!$I$6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Plots'!$I$7:$I$17</c:f>
              <c:numCache>
                <c:formatCode>General</c:formatCode>
                <c:ptCount val="11"/>
                <c:pt idx="0">
                  <c:v>5652</c:v>
                </c:pt>
                <c:pt idx="1">
                  <c:v>10326</c:v>
                </c:pt>
                <c:pt idx="2">
                  <c:v>14345</c:v>
                </c:pt>
                <c:pt idx="3">
                  <c:v>17897</c:v>
                </c:pt>
                <c:pt idx="4">
                  <c:v>21452</c:v>
                </c:pt>
                <c:pt idx="5">
                  <c:v>24615</c:v>
                </c:pt>
                <c:pt idx="6">
                  <c:v>27725</c:v>
                </c:pt>
                <c:pt idx="7">
                  <c:v>30663</c:v>
                </c:pt>
                <c:pt idx="8">
                  <c:v>33366</c:v>
                </c:pt>
                <c:pt idx="9">
                  <c:v>35939</c:v>
                </c:pt>
                <c:pt idx="10">
                  <c:v>37875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'Tracking Plots'!$J$6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Plots'!$J$7:$J$17</c:f>
              <c:numCache>
                <c:formatCode>0.0</c:formatCode>
                <c:ptCount val="11"/>
                <c:pt idx="0">
                  <c:v>1139.8569020520194</c:v>
                </c:pt>
                <c:pt idx="1">
                  <c:v>2186.353093492924</c:v>
                </c:pt>
                <c:pt idx="2">
                  <c:v>3147.3235147088253</c:v>
                </c:pt>
                <c:pt idx="3">
                  <c:v>4029.92986626934</c:v>
                </c:pt>
                <c:pt idx="4">
                  <c:v>4840.7198041669762</c:v>
                </c:pt>
                <c:pt idx="5">
                  <c:v>5585.6808123391984</c:v>
                </c:pt>
                <c:pt idx="6">
                  <c:v>6270.2892419434183</c:v>
                </c:pt>
                <c:pt idx="7">
                  <c:v>6899.5549602902756</c:v>
                </c:pt>
                <c:pt idx="8">
                  <c:v>7478.0620113608138</c:v>
                </c:pt>
                <c:pt idx="9">
                  <c:v>8010.0056518655892</c:v>
                </c:pt>
                <c:pt idx="10">
                  <c:v>8499.2260932097051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546752"/>
        <c:axId val="2090542944"/>
      </c:lineChart>
      <c:catAx>
        <c:axId val="209054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542944"/>
        <c:crosses val="autoZero"/>
        <c:auto val="1"/>
        <c:lblAlgn val="ctr"/>
        <c:lblOffset val="100"/>
        <c:noMultiLvlLbl val="0"/>
      </c:catAx>
      <c:valAx>
        <c:axId val="20905429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Cum.</a:t>
                </a:r>
                <a:r>
                  <a:rPr lang="en-GB" baseline="0"/>
                  <a:t> no. of repeat transactions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546752"/>
        <c:crosses val="autoZero"/>
        <c:crossBetween val="between"/>
        <c:majorUnit val="10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958333333333341"/>
          <c:y val="0.51350503062117281"/>
          <c:w val="0.15652777777777779"/>
          <c:h val="0.1674343832021003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'Tracking Plots'!$I$6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Plots'!$I$7:$I$17</c:f>
              <c:numCache>
                <c:formatCode>General</c:formatCode>
                <c:ptCount val="11"/>
                <c:pt idx="0">
                  <c:v>5652</c:v>
                </c:pt>
                <c:pt idx="1">
                  <c:v>10326</c:v>
                </c:pt>
                <c:pt idx="2">
                  <c:v>14345</c:v>
                </c:pt>
                <c:pt idx="3">
                  <c:v>17897</c:v>
                </c:pt>
                <c:pt idx="4">
                  <c:v>21452</c:v>
                </c:pt>
                <c:pt idx="5">
                  <c:v>24615</c:v>
                </c:pt>
                <c:pt idx="6">
                  <c:v>27725</c:v>
                </c:pt>
                <c:pt idx="7">
                  <c:v>30663</c:v>
                </c:pt>
                <c:pt idx="8">
                  <c:v>33366</c:v>
                </c:pt>
                <c:pt idx="9">
                  <c:v>35939</c:v>
                </c:pt>
                <c:pt idx="10">
                  <c:v>37875</c:v>
                </c:pt>
              </c:numCache>
            </c:numRef>
          </c:val>
        </c:ser>
        <c:ser>
          <c:idx val="1"/>
          <c:order val="1"/>
          <c:tx>
            <c:strRef>
              <c:f>'Tracking Plots'!$J$6</c:f>
              <c:strCache>
                <c:ptCount val="1"/>
                <c:pt idx="0">
                  <c:v>Model</c:v>
                </c:pt>
              </c:strCache>
            </c:strRef>
          </c:tx>
          <c:invertIfNegative val="0"/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Plots'!$J$7:$J$17</c:f>
              <c:numCache>
                <c:formatCode>0.0</c:formatCode>
                <c:ptCount val="11"/>
                <c:pt idx="0">
                  <c:v>1139.8569020520194</c:v>
                </c:pt>
                <c:pt idx="1">
                  <c:v>2186.353093492924</c:v>
                </c:pt>
                <c:pt idx="2">
                  <c:v>3147.3235147088253</c:v>
                </c:pt>
                <c:pt idx="3">
                  <c:v>4029.92986626934</c:v>
                </c:pt>
                <c:pt idx="4">
                  <c:v>4840.7198041669762</c:v>
                </c:pt>
                <c:pt idx="5">
                  <c:v>5585.6808123391984</c:v>
                </c:pt>
                <c:pt idx="6">
                  <c:v>6270.2892419434183</c:v>
                </c:pt>
                <c:pt idx="7">
                  <c:v>6899.5549602902756</c:v>
                </c:pt>
                <c:pt idx="8">
                  <c:v>7478.0620113608138</c:v>
                </c:pt>
                <c:pt idx="9">
                  <c:v>8010.0056518655892</c:v>
                </c:pt>
                <c:pt idx="10">
                  <c:v>8499.2260932097051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552192"/>
        <c:axId val="2090548384"/>
      </c:barChart>
      <c:catAx>
        <c:axId val="20905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548384"/>
        <c:crosses val="autoZero"/>
        <c:auto val="1"/>
        <c:lblAlgn val="ctr"/>
        <c:lblOffset val="100"/>
        <c:noMultiLvlLbl val="0"/>
      </c:catAx>
      <c:valAx>
        <c:axId val="2090548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0552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795975503062157"/>
          <c:y val="0.10146799358413532"/>
          <c:w val="0.12037357830271216"/>
          <c:h val="0.1674343832021003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'Tracking Plots'!$L$6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Plots'!$L$7:$L$17</c:f>
              <c:numCache>
                <c:formatCode>General</c:formatCode>
                <c:ptCount val="11"/>
                <c:pt idx="0">
                  <c:v>5652</c:v>
                </c:pt>
                <c:pt idx="1">
                  <c:v>4674</c:v>
                </c:pt>
                <c:pt idx="2">
                  <c:v>4019</c:v>
                </c:pt>
                <c:pt idx="3">
                  <c:v>3552</c:v>
                </c:pt>
                <c:pt idx="4">
                  <c:v>3555</c:v>
                </c:pt>
                <c:pt idx="5">
                  <c:v>3163</c:v>
                </c:pt>
                <c:pt idx="6">
                  <c:v>3110</c:v>
                </c:pt>
                <c:pt idx="7">
                  <c:v>2938</c:v>
                </c:pt>
                <c:pt idx="8">
                  <c:v>2703</c:v>
                </c:pt>
                <c:pt idx="9">
                  <c:v>2573</c:v>
                </c:pt>
                <c:pt idx="10">
                  <c:v>1936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'Tracking Plots'!$M$6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Plots'!$M$7:$M$17</c:f>
              <c:numCache>
                <c:formatCode>0.0</c:formatCode>
                <c:ptCount val="11"/>
                <c:pt idx="0">
                  <c:v>1139.8569020520194</c:v>
                </c:pt>
                <c:pt idx="1">
                  <c:v>1046.4961914409046</c:v>
                </c:pt>
                <c:pt idx="2">
                  <c:v>960.9704212159013</c:v>
                </c:pt>
                <c:pt idx="3">
                  <c:v>882.60635156051467</c:v>
                </c:pt>
                <c:pt idx="4">
                  <c:v>810.78993789763626</c:v>
                </c:pt>
                <c:pt idx="5">
                  <c:v>744.96100817222214</c:v>
                </c:pt>
                <c:pt idx="6">
                  <c:v>684.60842960421996</c:v>
                </c:pt>
                <c:pt idx="7">
                  <c:v>629.26571834685728</c:v>
                </c:pt>
                <c:pt idx="8">
                  <c:v>578.50705107053818</c:v>
                </c:pt>
                <c:pt idx="9">
                  <c:v>531.94364050477543</c:v>
                </c:pt>
                <c:pt idx="10">
                  <c:v>489.2204413441159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548928"/>
        <c:axId val="2090540224"/>
      </c:lineChart>
      <c:catAx>
        <c:axId val="209054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540224"/>
        <c:crosses val="autoZero"/>
        <c:auto val="1"/>
        <c:lblAlgn val="ctr"/>
        <c:lblOffset val="100"/>
        <c:noMultiLvlLbl val="0"/>
      </c:catAx>
      <c:valAx>
        <c:axId val="20905402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No.</a:t>
                </a:r>
                <a:r>
                  <a:rPr lang="en-GB" baseline="0"/>
                  <a:t> of repeat transactions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548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51388888888889"/>
          <c:y val="0.5366531787693205"/>
          <c:w val="0.15652777777777779"/>
          <c:h val="0.1674343832021003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'Tracking Plots'!$L$6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Plots'!$L$7:$L$17</c:f>
              <c:numCache>
                <c:formatCode>General</c:formatCode>
                <c:ptCount val="11"/>
                <c:pt idx="0">
                  <c:v>5652</c:v>
                </c:pt>
                <c:pt idx="1">
                  <c:v>4674</c:v>
                </c:pt>
                <c:pt idx="2">
                  <c:v>4019</c:v>
                </c:pt>
                <c:pt idx="3">
                  <c:v>3552</c:v>
                </c:pt>
                <c:pt idx="4">
                  <c:v>3555</c:v>
                </c:pt>
                <c:pt idx="5">
                  <c:v>3163</c:v>
                </c:pt>
                <c:pt idx="6">
                  <c:v>3110</c:v>
                </c:pt>
                <c:pt idx="7">
                  <c:v>2938</c:v>
                </c:pt>
                <c:pt idx="8">
                  <c:v>2703</c:v>
                </c:pt>
                <c:pt idx="9">
                  <c:v>2573</c:v>
                </c:pt>
                <c:pt idx="10">
                  <c:v>1936</c:v>
                </c:pt>
              </c:numCache>
            </c:numRef>
          </c:val>
        </c:ser>
        <c:ser>
          <c:idx val="1"/>
          <c:order val="1"/>
          <c:tx>
            <c:strRef>
              <c:f>'Tracking Plots'!$M$6</c:f>
              <c:strCache>
                <c:ptCount val="1"/>
                <c:pt idx="0">
                  <c:v>Model</c:v>
                </c:pt>
              </c:strCache>
            </c:strRef>
          </c:tx>
          <c:invertIfNegative val="0"/>
          <c:cat>
            <c:numRef>
              <c:f>'Tracking Plots'!$H$7:$H$17</c:f>
              <c:numCache>
                <c:formatCode>General</c:formatCode>
                <c:ptCount val="1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</c:numCache>
            </c:numRef>
          </c:cat>
          <c:val>
            <c:numRef>
              <c:f>'Tracking Plots'!$M$7:$M$17</c:f>
              <c:numCache>
                <c:formatCode>0.0</c:formatCode>
                <c:ptCount val="11"/>
                <c:pt idx="0">
                  <c:v>1139.8569020520194</c:v>
                </c:pt>
                <c:pt idx="1">
                  <c:v>1046.4961914409046</c:v>
                </c:pt>
                <c:pt idx="2">
                  <c:v>960.9704212159013</c:v>
                </c:pt>
                <c:pt idx="3">
                  <c:v>882.60635156051467</c:v>
                </c:pt>
                <c:pt idx="4">
                  <c:v>810.78993789763626</c:v>
                </c:pt>
                <c:pt idx="5">
                  <c:v>744.96100817222214</c:v>
                </c:pt>
                <c:pt idx="6">
                  <c:v>684.60842960421996</c:v>
                </c:pt>
                <c:pt idx="7">
                  <c:v>629.26571834685728</c:v>
                </c:pt>
                <c:pt idx="8">
                  <c:v>578.50705107053818</c:v>
                </c:pt>
                <c:pt idx="9">
                  <c:v>531.94364050477543</c:v>
                </c:pt>
                <c:pt idx="10">
                  <c:v>489.2204413441159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545664"/>
        <c:axId val="2090549472"/>
      </c:barChart>
      <c:catAx>
        <c:axId val="209054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549472"/>
        <c:crosses val="autoZero"/>
        <c:auto val="1"/>
        <c:lblAlgn val="ctr"/>
        <c:lblOffset val="100"/>
        <c:noMultiLvlLbl val="0"/>
      </c:catAx>
      <c:valAx>
        <c:axId val="2090549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0545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240419947506556"/>
          <c:y val="8.2949475065616798E-2"/>
          <c:w val="0.12037357830271216"/>
          <c:h val="0.1674343832021003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6885389326334"/>
          <c:y val="3.7887139107611566E-2"/>
          <c:w val="0.80435892388451469"/>
          <c:h val="0.7711981272611198"/>
        </c:manualLayout>
      </c:layout>
      <c:lineChart>
        <c:grouping val="standard"/>
        <c:varyColors val="0"/>
        <c:ser>
          <c:idx val="0"/>
          <c:order val="0"/>
          <c:tx>
            <c:strRef>
              <c:f>'Conditional Expectations (II)'!$U$2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'Conditional Expectations (II)'!$T$3:$T$9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'Conditional Expectations (II)'!$U$3:$U$9</c:f>
              <c:numCache>
                <c:formatCode>0.000</c:formatCode>
                <c:ptCount val="7"/>
                <c:pt idx="0">
                  <c:v>0.17436489607390301</c:v>
                </c:pt>
                <c:pt idx="1">
                  <c:v>0.43280307185957212</c:v>
                </c:pt>
                <c:pt idx="2">
                  <c:v>0.81258741258741263</c:v>
                </c:pt>
                <c:pt idx="3">
                  <c:v>1.3898617511520737</c:v>
                </c:pt>
                <c:pt idx="4">
                  <c:v>2.0617760617760617</c:v>
                </c:pt>
                <c:pt idx="5">
                  <c:v>2.6425211665098778</c:v>
                </c:pt>
                <c:pt idx="6">
                  <c:v>3.5344970906068163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'Conditional Expectations (II)'!$V$2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cat>
            <c:numRef>
              <c:f>'Conditional Expectations (II)'!$T$3:$T$9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'Conditional Expectations (II)'!$V$3:$V$9</c:f>
              <c:numCache>
                <c:formatCode>0.000</c:formatCode>
                <c:ptCount val="7"/>
                <c:pt idx="0">
                  <c:v>7.2863325845706248E-2</c:v>
                </c:pt>
                <c:pt idx="1">
                  <c:v>0.3248914650668106</c:v>
                </c:pt>
                <c:pt idx="2">
                  <c:v>0.7089574708138342</c:v>
                </c:pt>
                <c:pt idx="3">
                  <c:v>1.3336919475169939</c:v>
                </c:pt>
                <c:pt idx="4">
                  <c:v>2.0312399770104608</c:v>
                </c:pt>
                <c:pt idx="5">
                  <c:v>2.7845284527540515</c:v>
                </c:pt>
                <c:pt idx="6">
                  <c:v>3.7525489757750106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536960"/>
        <c:axId val="2090543488"/>
      </c:lineChart>
      <c:catAx>
        <c:axId val="209053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 of repeat</a:t>
                </a:r>
                <a:r>
                  <a:rPr lang="en-GB" baseline="0"/>
                  <a:t> transactions (1996-2001)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9055664916885404"/>
              <c:y val="0.913490813648294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0543488"/>
        <c:crosses val="autoZero"/>
        <c:auto val="1"/>
        <c:lblAlgn val="ctr"/>
        <c:lblOffset val="100"/>
        <c:noMultiLvlLbl val="0"/>
      </c:catAx>
      <c:valAx>
        <c:axId val="2090543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No. of repeat transactions (2002-2006)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90536960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18791666666666676"/>
          <c:y val="8.7579104695246449E-2"/>
          <c:w val="0.15652777777777779"/>
          <c:h val="0.1674343832021000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4663167104115"/>
          <c:y val="6.991891937074747E-2"/>
          <c:w val="0.81547003499562554"/>
          <c:h val="0.76000835882775797"/>
        </c:manualLayout>
      </c:layout>
      <c:lineChart>
        <c:grouping val="standard"/>
        <c:varyColors val="0"/>
        <c:ser>
          <c:idx val="0"/>
          <c:order val="0"/>
          <c:tx>
            <c:strRef>
              <c:f>'Conditional Expectations (II)'!$U$12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'Conditional Expectations (II)'!$T$13:$T$19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'Conditional Expectations (II)'!$U$13:$U$19</c:f>
              <c:numCache>
                <c:formatCode>0.000</c:formatCode>
                <c:ptCount val="7"/>
                <c:pt idx="0">
                  <c:v>0.17436489607390301</c:v>
                </c:pt>
                <c:pt idx="1">
                  <c:v>0.21814848762603117</c:v>
                </c:pt>
                <c:pt idx="2">
                  <c:v>0.38988764044943819</c:v>
                </c:pt>
                <c:pt idx="3">
                  <c:v>0.48725212464589235</c:v>
                </c:pt>
                <c:pt idx="4">
                  <c:v>0.80886850152905199</c:v>
                </c:pt>
                <c:pt idx="5">
                  <c:v>1.6522887323943662</c:v>
                </c:pt>
                <c:pt idx="6">
                  <c:v>2.9468858678469809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'Conditional Expectations (II)'!$V$12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cat>
            <c:numRef>
              <c:f>'Conditional Expectations (II)'!$T$13:$T$19</c:f>
              <c:numCache>
                <c:formatCode>General</c:formatCode>
                <c:ptCount val="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</c:numCache>
            </c:numRef>
          </c:cat>
          <c:val>
            <c:numRef>
              <c:f>'Conditional Expectations (II)'!$V$13:$V$19</c:f>
              <c:numCache>
                <c:formatCode>0.000</c:formatCode>
                <c:ptCount val="7"/>
                <c:pt idx="0">
                  <c:v>7.2863325845706248E-2</c:v>
                </c:pt>
                <c:pt idx="1">
                  <c:v>8.5695814916892057E-2</c:v>
                </c:pt>
                <c:pt idx="2">
                  <c:v>0.17984886530699004</c:v>
                </c:pt>
                <c:pt idx="3">
                  <c:v>0.40412697657935598</c:v>
                </c:pt>
                <c:pt idx="4">
                  <c:v>0.85111086542591352</c:v>
                </c:pt>
                <c:pt idx="5">
                  <c:v>1.7263661414776723</c:v>
                </c:pt>
                <c:pt idx="6">
                  <c:v>3.0272289453318018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541312"/>
        <c:axId val="2090537504"/>
      </c:lineChart>
      <c:catAx>
        <c:axId val="20905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No.</a:t>
                </a:r>
                <a:r>
                  <a:rPr lang="en-GB" baseline="0"/>
                  <a:t> of repeat transactions (1996-2001)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8500109361329834"/>
              <c:y val="0.9226962234816189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0537504"/>
        <c:crosses val="autoZero"/>
        <c:auto val="1"/>
        <c:lblAlgn val="ctr"/>
        <c:lblOffset val="100"/>
        <c:noMultiLvlLbl val="0"/>
      </c:catAx>
      <c:valAx>
        <c:axId val="2090537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No.</a:t>
                </a:r>
                <a:r>
                  <a:rPr lang="en-GB" baseline="0"/>
                  <a:t> of repeat transactions (2002-2006)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9249781277340341E-2"/>
              <c:y val="9.6356219803734669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090541312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902777777777773"/>
          <c:y val="5.5171697287839022E-2"/>
          <c:w val="0.15652777777777779"/>
          <c:h val="0.1674343832021000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1</xdr:row>
      <xdr:rowOff>100011</xdr:rowOff>
    </xdr:from>
    <xdr:to>
      <xdr:col>15</xdr:col>
      <xdr:colOff>600074</xdr:colOff>
      <xdr:row>21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22</xdr:row>
      <xdr:rowOff>76200</xdr:rowOff>
    </xdr:from>
    <xdr:to>
      <xdr:col>16</xdr:col>
      <xdr:colOff>0</xdr:colOff>
      <xdr:row>42</xdr:row>
      <xdr:rowOff>157164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15</xdr:row>
      <xdr:rowOff>180975</xdr:rowOff>
    </xdr:from>
    <xdr:to>
      <xdr:col>11</xdr:col>
      <xdr:colOff>123825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17</xdr:row>
      <xdr:rowOff>152400</xdr:rowOff>
    </xdr:from>
    <xdr:to>
      <xdr:col>7</xdr:col>
      <xdr:colOff>466725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32</xdr:row>
      <xdr:rowOff>152400</xdr:rowOff>
    </xdr:from>
    <xdr:to>
      <xdr:col>7</xdr:col>
      <xdr:colOff>457200</xdr:colOff>
      <xdr:row>47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17</xdr:row>
      <xdr:rowOff>161925</xdr:rowOff>
    </xdr:from>
    <xdr:to>
      <xdr:col>15</xdr:col>
      <xdr:colOff>390525</xdr:colOff>
      <xdr:row>32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32</xdr:row>
      <xdr:rowOff>142875</xdr:rowOff>
    </xdr:from>
    <xdr:to>
      <xdr:col>15</xdr:col>
      <xdr:colOff>381000</xdr:colOff>
      <xdr:row>47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257175</xdr:colOff>
      <xdr:row>0</xdr:row>
      <xdr:rowOff>38100</xdr:rowOff>
    </xdr:from>
    <xdr:to>
      <xdr:col>29</xdr:col>
      <xdr:colOff>561975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257175</xdr:colOff>
      <xdr:row>15</xdr:row>
      <xdr:rowOff>76200</xdr:rowOff>
    </xdr:from>
    <xdr:to>
      <xdr:col>29</xdr:col>
      <xdr:colOff>561975</xdr:colOff>
      <xdr:row>31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GBB_2011-01-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0547.406277430557" createdVersion="3" refreshedVersion="3" minRefreshableVersion="3" recordCount="22">
  <cacheSource type="worksheet">
    <worksheetSource ref="A1:G23" sheet="Conditional Expectations (II)" r:id="rId2"/>
  </cacheSource>
  <cacheFields count="7">
    <cacheField name="p1x" numFmtId="0">
      <sharedItems containsSemiMixedTypes="0" containsString="0" containsNumber="1" containsInteger="1" minValue="0" maxValue="6" count="7">
        <n v="6"/>
        <n v="5"/>
        <n v="4"/>
        <n v="3"/>
        <n v="2"/>
        <n v="1"/>
        <n v="0"/>
      </sharedItems>
    </cacheField>
    <cacheField name="tx" numFmtId="0">
      <sharedItems containsSemiMixedTypes="0" containsString="0" containsNumber="1" containsInteger="1" minValue="0" maxValue="6" count="7">
        <n v="6"/>
        <n v="5"/>
        <n v="4"/>
        <n v="3"/>
        <n v="2"/>
        <n v="1"/>
        <n v="0"/>
      </sharedItems>
    </cacheField>
    <cacheField name="n" numFmtId="0">
      <sharedItems containsSemiMixedTypes="0" containsString="0" containsNumber="1" containsInteger="1" minValue="6" maxValue="6"/>
    </cacheField>
    <cacheField name="# donors" numFmtId="0">
      <sharedItems containsSemiMixedTypes="0" containsString="0" containsNumber="1" containsInteger="1" minValue="78" maxValue="3464"/>
    </cacheField>
    <cacheField name="CE" numFmtId="164">
      <sharedItems containsSemiMixedTypes="0" containsString="0" containsNumber="1" minValue="7.2863325845706248E-2" maxValue="3.7525489757750106"/>
    </cacheField>
    <cacheField name="Exp Tot" numFmtId="166">
      <sharedItems containsSemiMixedTypes="0" containsString="0" containsNumber="1" minValue="65.473035313796402" maxValue="4514.3164178573379"/>
    </cacheField>
    <cacheField name="Act Tot" numFmtId="0">
      <sharedItems containsSemiMixedTypes="0" containsString="0" containsNumber="1" containsInteger="1" minValue="44" maxValue="42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n v="6"/>
    <n v="1203"/>
    <n v="3.7525489757750106"/>
    <n v="4514.3164178573379"/>
    <n v="4252"/>
  </r>
  <r>
    <x v="1"/>
    <x v="0"/>
    <n v="6"/>
    <n v="728"/>
    <n v="3.2316163562710765"/>
    <n v="2352.6167073653437"/>
    <n v="2227"/>
  </r>
  <r>
    <x v="2"/>
    <x v="0"/>
    <n v="6"/>
    <n v="512"/>
    <n v="2.7106837367674648"/>
    <n v="1387.870073224942"/>
    <n v="1393"/>
  </r>
  <r>
    <x v="3"/>
    <x v="0"/>
    <n v="6"/>
    <n v="357"/>
    <n v="2.1897511172647417"/>
    <n v="781.74114886351276"/>
    <n v="817"/>
  </r>
  <r>
    <x v="4"/>
    <x v="0"/>
    <n v="6"/>
    <n v="234"/>
    <n v="1.6688184977641389"/>
    <n v="390.50352847680853"/>
    <n v="442"/>
  </r>
  <r>
    <x v="5"/>
    <x v="0"/>
    <n v="6"/>
    <n v="129"/>
    <n v="1.1478858782677865"/>
    <n v="148.07727829654448"/>
    <n v="190"/>
  </r>
  <r>
    <x v="1"/>
    <x v="1"/>
    <n v="6"/>
    <n v="335"/>
    <n v="1.8129463818275007"/>
    <n v="607.33703791221274"/>
    <n v="582"/>
  </r>
  <r>
    <x v="2"/>
    <x v="1"/>
    <n v="6"/>
    <n v="284"/>
    <n v="2.0300285039522277"/>
    <n v="576.52809512243266"/>
    <n v="542"/>
  </r>
  <r>
    <x v="3"/>
    <x v="1"/>
    <n v="6"/>
    <n v="225"/>
    <n v="1.8047063965642964"/>
    <n v="406.05893922696669"/>
    <n v="373"/>
  </r>
  <r>
    <x v="4"/>
    <x v="1"/>
    <n v="6"/>
    <n v="173"/>
    <n v="1.4430445866668975"/>
    <n v="249.64671349337326"/>
    <n v="244"/>
  </r>
  <r>
    <x v="5"/>
    <x v="1"/>
    <n v="6"/>
    <n v="119"/>
    <n v="1.0216903442323562"/>
    <n v="121.58115096365039"/>
    <n v="136"/>
  </r>
  <r>
    <x v="2"/>
    <x v="2"/>
    <n v="6"/>
    <n v="240"/>
    <n v="0.5831935326477603"/>
    <n v="139.96644783546247"/>
    <n v="201"/>
  </r>
  <r>
    <x v="3"/>
    <x v="2"/>
    <n v="6"/>
    <n v="181"/>
    <n v="1.0345748347086743"/>
    <n v="187.25804508227006"/>
    <n v="170"/>
  </r>
  <r>
    <x v="4"/>
    <x v="2"/>
    <n v="6"/>
    <n v="155"/>
    <n v="1.0576063081097971"/>
    <n v="163.92897775701854"/>
    <n v="114"/>
  </r>
  <r>
    <x v="5"/>
    <x v="2"/>
    <n v="6"/>
    <n v="78"/>
    <n v="0.83939788863841536"/>
    <n v="65.473035313796402"/>
    <n v="44"/>
  </r>
  <r>
    <x v="3"/>
    <x v="3"/>
    <n v="6"/>
    <n v="322"/>
    <n v="0.22359512386083441"/>
    <n v="71.997629883188679"/>
    <n v="148"/>
  </r>
  <r>
    <x v="4"/>
    <x v="3"/>
    <n v="6"/>
    <n v="255"/>
    <n v="0.53611262114758274"/>
    <n v="136.70871839263359"/>
    <n v="118"/>
  </r>
  <r>
    <x v="5"/>
    <x v="3"/>
    <n v="6"/>
    <n v="129"/>
    <n v="0.59385501697056653"/>
    <n v="76.607297189203081"/>
    <n v="78"/>
  </r>
  <r>
    <x v="4"/>
    <x v="4"/>
    <n v="6"/>
    <n v="613"/>
    <n v="0.11912111768996571"/>
    <n v="73.021245143948974"/>
    <n v="244"/>
  </r>
  <r>
    <x v="5"/>
    <x v="4"/>
    <n v="6"/>
    <n v="277"/>
    <n v="0.31423915154971893"/>
    <n v="87.04424497927215"/>
    <n v="103"/>
  </r>
  <r>
    <x v="5"/>
    <x v="5"/>
    <n v="6"/>
    <n v="1091"/>
    <n v="8.5695814916892057E-2"/>
    <n v="93.494134074329239"/>
    <n v="238"/>
  </r>
  <r>
    <x v="6"/>
    <x v="6"/>
    <n v="6"/>
    <n v="3464"/>
    <n v="7.2863325845706248E-2"/>
    <n v="252.39856072952645"/>
    <n v="6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I12" firstHeaderRow="1" firstDataRow="2" firstDataCol="1"/>
  <pivotFields count="7"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164" showAll="0"/>
    <pivotField numFmtId="166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ct Tot" fld="6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I12" firstHeaderRow="1" firstDataRow="2" firstDataCol="1"/>
  <pivotFields count="7"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164" showAll="0"/>
    <pivotField dataField="1" numFmtId="166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 Tot" fld="5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I12" firstHeaderRow="1" firstDataRow="2" firstDataCol="1"/>
  <pivotFields count="7">
    <pivotField axis="axisRow" showAll="0">
      <items count="8"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8"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numFmtId="164" showAll="0"/>
    <pivotField numFmtId="166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# donors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/>
  </sheetViews>
  <sheetFormatPr defaultRowHeight="14.5" x14ac:dyDescent="0.35"/>
  <cols>
    <col min="1" max="1" width="120" customWidth="1"/>
  </cols>
  <sheetData>
    <row r="1" spans="1:1" ht="43.5" x14ac:dyDescent="0.35">
      <c r="A1" s="17" t="s">
        <v>52</v>
      </c>
    </row>
    <row r="2" spans="1:1" x14ac:dyDescent="0.35">
      <c r="A2" s="17"/>
    </row>
    <row r="3" spans="1:1" ht="29" x14ac:dyDescent="0.35">
      <c r="A3" s="17" t="s">
        <v>54</v>
      </c>
    </row>
    <row r="5" spans="1:1" x14ac:dyDescent="0.35">
      <c r="A5" s="17" t="s">
        <v>48</v>
      </c>
    </row>
    <row r="7" spans="1:1" x14ac:dyDescent="0.35">
      <c r="A7" t="s">
        <v>49</v>
      </c>
    </row>
    <row r="8" spans="1:1" x14ac:dyDescent="0.35">
      <c r="A8" t="s">
        <v>50</v>
      </c>
    </row>
    <row r="10" spans="1:1" x14ac:dyDescent="0.35">
      <c r="A10" t="s">
        <v>53</v>
      </c>
    </row>
    <row r="13" spans="1:1" x14ac:dyDescent="0.35">
      <c r="A13" s="18" t="s">
        <v>51</v>
      </c>
    </row>
    <row r="15" spans="1:1" ht="29" x14ac:dyDescent="0.35">
      <c r="A15" s="17" t="s">
        <v>55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I1" workbookViewId="0">
      <selection activeCell="T39" sqref="T39"/>
    </sheetView>
  </sheetViews>
  <sheetFormatPr defaultRowHeight="14.5" x14ac:dyDescent="0.35"/>
  <cols>
    <col min="11" max="17" width="9.26953125" bestFit="1" customWidth="1"/>
    <col min="18" max="18" width="9.5429687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21</v>
      </c>
      <c r="F1" s="1" t="s">
        <v>28</v>
      </c>
      <c r="G1" s="1" t="s">
        <v>29</v>
      </c>
      <c r="I1" t="s">
        <v>32</v>
      </c>
      <c r="T1" t="s">
        <v>22</v>
      </c>
    </row>
    <row r="2" spans="1:22" x14ac:dyDescent="0.35">
      <c r="A2">
        <f>'Conditional Expectations (I)'!A11</f>
        <v>4</v>
      </c>
      <c r="B2">
        <f>'Conditional Expectations (I)'!B11</f>
        <v>4</v>
      </c>
      <c r="C2">
        <f>'Conditional Expectations (I)'!C11</f>
        <v>4</v>
      </c>
      <c r="D2">
        <f>'Conditional Expectations (I)'!D11</f>
        <v>18</v>
      </c>
      <c r="E2" s="2">
        <f>'Conditional Expectations (I)'!G11</f>
        <v>1.8530264848875697</v>
      </c>
      <c r="F2" s="5">
        <f>D2*E2</f>
        <v>33.354476727976255</v>
      </c>
      <c r="G2">
        <v>4252</v>
      </c>
      <c r="K2" t="s">
        <v>1</v>
      </c>
      <c r="T2" s="1" t="s">
        <v>13</v>
      </c>
      <c r="U2" s="1" t="s">
        <v>15</v>
      </c>
      <c r="V2" s="1" t="s">
        <v>16</v>
      </c>
    </row>
    <row r="3" spans="1:22" x14ac:dyDescent="0.35">
      <c r="A3">
        <f>'Conditional Expectations (I)'!A12</f>
        <v>3</v>
      </c>
      <c r="B3">
        <f>'Conditional Expectations (I)'!B12</f>
        <v>3</v>
      </c>
      <c r="C3">
        <f>'Conditional Expectations (I)'!C12</f>
        <v>4</v>
      </c>
      <c r="D3">
        <f>'Conditional Expectations (I)'!D12</f>
        <v>34</v>
      </c>
      <c r="E3" s="2">
        <f>'Conditional Expectations (I)'!G12</f>
        <v>1.2628836729903468</v>
      </c>
      <c r="F3" s="5">
        <f t="shared" ref="F3:F23" si="0">D3*E3</f>
        <v>42.938044881671793</v>
      </c>
      <c r="G3">
        <v>2227</v>
      </c>
      <c r="K3">
        <v>0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T3">
        <v>0</v>
      </c>
      <c r="U3" s="2">
        <f>R4/R30</f>
        <v>0.17436489607390301</v>
      </c>
      <c r="V3" s="2">
        <f>R17/R30</f>
        <v>7.2863325845706248E-2</v>
      </c>
    </row>
    <row r="4" spans="1:22" x14ac:dyDescent="0.35">
      <c r="A4">
        <f>'Conditional Expectations (I)'!A13</f>
        <v>3</v>
      </c>
      <c r="B4">
        <f>'Conditional Expectations (I)'!B13</f>
        <v>4</v>
      </c>
      <c r="C4">
        <f>'Conditional Expectations (I)'!C13</f>
        <v>4</v>
      </c>
      <c r="D4">
        <f>'Conditional Expectations (I)'!D13</f>
        <v>36</v>
      </c>
      <c r="E4" s="2">
        <f>'Conditional Expectations (I)'!G13</f>
        <v>1.4544183818939669</v>
      </c>
      <c r="F4" s="5">
        <f t="shared" si="0"/>
        <v>52.35906174818281</v>
      </c>
      <c r="G4">
        <v>1393</v>
      </c>
      <c r="I4" t="s">
        <v>0</v>
      </c>
      <c r="J4">
        <v>0</v>
      </c>
      <c r="K4">
        <f>'Pivot Table I'!B5</f>
        <v>604</v>
      </c>
      <c r="L4">
        <f>'Pivot Table I'!C5</f>
        <v>0</v>
      </c>
      <c r="M4">
        <f>'Pivot Table I'!D5</f>
        <v>0</v>
      </c>
      <c r="N4">
        <f>'Pivot Table I'!E5</f>
        <v>0</v>
      </c>
      <c r="O4">
        <f>'Pivot Table I'!F5</f>
        <v>0</v>
      </c>
      <c r="P4">
        <f>'Pivot Table I'!G5</f>
        <v>0</v>
      </c>
      <c r="Q4">
        <f>'Pivot Table I'!H5</f>
        <v>0</v>
      </c>
      <c r="R4">
        <f>'Pivot Table I'!I5</f>
        <v>604</v>
      </c>
      <c r="T4">
        <v>1</v>
      </c>
      <c r="U4" s="2">
        <f t="shared" ref="U4:U9" si="1">R5/R31</f>
        <v>0.43280307185957212</v>
      </c>
      <c r="V4" s="2">
        <f t="shared" ref="V4:V9" si="2">R18/R31</f>
        <v>0.3248914650668106</v>
      </c>
    </row>
    <row r="5" spans="1:22" x14ac:dyDescent="0.35">
      <c r="A5">
        <f>'Conditional Expectations (I)'!A14</f>
        <v>2</v>
      </c>
      <c r="B5">
        <f>'Conditional Expectations (I)'!B14</f>
        <v>2</v>
      </c>
      <c r="C5">
        <f>'Conditional Expectations (I)'!C14</f>
        <v>4</v>
      </c>
      <c r="D5">
        <f>'Conditional Expectations (I)'!D14</f>
        <v>64</v>
      </c>
      <c r="E5" s="2">
        <f>'Conditional Expectations (I)'!G14</f>
        <v>0.78974692601439955</v>
      </c>
      <c r="F5" s="5">
        <f t="shared" si="0"/>
        <v>50.543803264921571</v>
      </c>
      <c r="G5">
        <v>817</v>
      </c>
      <c r="J5">
        <v>1</v>
      </c>
      <c r="K5">
        <f>'Pivot Table I'!B6</f>
        <v>0</v>
      </c>
      <c r="L5">
        <f>'Pivot Table I'!C6</f>
        <v>238</v>
      </c>
      <c r="M5">
        <f>'Pivot Table I'!D6</f>
        <v>103</v>
      </c>
      <c r="N5">
        <f>'Pivot Table I'!E6</f>
        <v>78</v>
      </c>
      <c r="O5">
        <f>'Pivot Table I'!F6</f>
        <v>44</v>
      </c>
      <c r="P5">
        <f>'Pivot Table I'!G6</f>
        <v>136</v>
      </c>
      <c r="Q5">
        <f>'Pivot Table I'!H6</f>
        <v>190</v>
      </c>
      <c r="R5">
        <f>'Pivot Table I'!I6</f>
        <v>789</v>
      </c>
      <c r="T5">
        <v>2</v>
      </c>
      <c r="U5" s="2">
        <f t="shared" si="1"/>
        <v>0.81258741258741263</v>
      </c>
      <c r="V5" s="2">
        <f t="shared" si="2"/>
        <v>0.7089574708138342</v>
      </c>
    </row>
    <row r="6" spans="1:22" x14ac:dyDescent="0.35">
      <c r="A6">
        <f>'Conditional Expectations (I)'!A15</f>
        <v>3</v>
      </c>
      <c r="B6">
        <f>'Conditional Expectations (I)'!B15</f>
        <v>4</v>
      </c>
      <c r="C6">
        <f>'Conditional Expectations (I)'!C15</f>
        <v>4</v>
      </c>
      <c r="D6">
        <f>'Conditional Expectations (I)'!D15</f>
        <v>14</v>
      </c>
      <c r="E6" s="2">
        <f>'Conditional Expectations (I)'!G15</f>
        <v>1.4544183818939669</v>
      </c>
      <c r="F6" s="5">
        <f t="shared" si="0"/>
        <v>20.361857346515535</v>
      </c>
      <c r="G6">
        <v>442</v>
      </c>
      <c r="J6">
        <v>2</v>
      </c>
      <c r="K6">
        <f>'Pivot Table I'!B7</f>
        <v>0</v>
      </c>
      <c r="L6">
        <f>'Pivot Table I'!C7</f>
        <v>0</v>
      </c>
      <c r="M6">
        <f>'Pivot Table I'!D7</f>
        <v>244</v>
      </c>
      <c r="N6">
        <f>'Pivot Table I'!E7</f>
        <v>118</v>
      </c>
      <c r="O6">
        <f>'Pivot Table I'!F7</f>
        <v>114</v>
      </c>
      <c r="P6">
        <f>'Pivot Table I'!G7</f>
        <v>244</v>
      </c>
      <c r="Q6">
        <f>'Pivot Table I'!H7</f>
        <v>442</v>
      </c>
      <c r="R6">
        <f>'Pivot Table I'!I7</f>
        <v>1162</v>
      </c>
      <c r="T6">
        <v>3</v>
      </c>
      <c r="U6" s="2">
        <f t="shared" si="1"/>
        <v>1.3898617511520737</v>
      </c>
      <c r="V6" s="2">
        <f t="shared" si="2"/>
        <v>1.3336919475169939</v>
      </c>
    </row>
    <row r="7" spans="1:22" x14ac:dyDescent="0.35">
      <c r="A7">
        <f>'Conditional Expectations (I)'!A16</f>
        <v>2</v>
      </c>
      <c r="B7">
        <f>'Conditional Expectations (I)'!B16</f>
        <v>3</v>
      </c>
      <c r="C7">
        <f>'Conditional Expectations (I)'!C16</f>
        <v>4</v>
      </c>
      <c r="D7">
        <f>'Conditional Expectations (I)'!D16</f>
        <v>62</v>
      </c>
      <c r="E7" s="2">
        <f>'Conditional Expectations (I)'!G16</f>
        <v>0.93682195263820978</v>
      </c>
      <c r="F7" s="5">
        <f t="shared" si="0"/>
        <v>58.082961063569009</v>
      </c>
      <c r="G7">
        <v>190</v>
      </c>
      <c r="J7">
        <v>3</v>
      </c>
      <c r="K7">
        <f>'Pivot Table I'!B8</f>
        <v>0</v>
      </c>
      <c r="L7">
        <f>'Pivot Table I'!C8</f>
        <v>0</v>
      </c>
      <c r="M7">
        <f>'Pivot Table I'!D8</f>
        <v>0</v>
      </c>
      <c r="N7">
        <f>'Pivot Table I'!E8</f>
        <v>148</v>
      </c>
      <c r="O7">
        <f>'Pivot Table I'!F8</f>
        <v>170</v>
      </c>
      <c r="P7">
        <f>'Pivot Table I'!G8</f>
        <v>373</v>
      </c>
      <c r="Q7">
        <f>'Pivot Table I'!H8</f>
        <v>817</v>
      </c>
      <c r="R7">
        <f>'Pivot Table I'!I8</f>
        <v>1508</v>
      </c>
      <c r="T7">
        <v>4</v>
      </c>
      <c r="U7" s="2">
        <f t="shared" si="1"/>
        <v>2.0617760617760617</v>
      </c>
      <c r="V7" s="2">
        <f t="shared" si="2"/>
        <v>2.0312399770104608</v>
      </c>
    </row>
    <row r="8" spans="1:22" x14ac:dyDescent="0.35">
      <c r="A8">
        <f>'Conditional Expectations (I)'!A17</f>
        <v>2</v>
      </c>
      <c r="B8">
        <f>'Conditional Expectations (I)'!B17</f>
        <v>4</v>
      </c>
      <c r="C8">
        <f>'Conditional Expectations (I)'!C17</f>
        <v>4</v>
      </c>
      <c r="D8">
        <f>'Conditional Expectations (I)'!D17</f>
        <v>18</v>
      </c>
      <c r="E8" s="2">
        <f>'Conditional Expectations (I)'!G17</f>
        <v>1.0558102789003636</v>
      </c>
      <c r="F8" s="5">
        <f t="shared" si="0"/>
        <v>19.004585020206544</v>
      </c>
      <c r="G8">
        <v>582</v>
      </c>
      <c r="J8">
        <v>4</v>
      </c>
      <c r="K8">
        <f>'Pivot Table I'!B9</f>
        <v>0</v>
      </c>
      <c r="L8">
        <f>'Pivot Table I'!C9</f>
        <v>0</v>
      </c>
      <c r="M8">
        <f>'Pivot Table I'!D9</f>
        <v>0</v>
      </c>
      <c r="N8">
        <f>'Pivot Table I'!E9</f>
        <v>0</v>
      </c>
      <c r="O8">
        <f>'Pivot Table I'!F9</f>
        <v>201</v>
      </c>
      <c r="P8">
        <f>'Pivot Table I'!G9</f>
        <v>542</v>
      </c>
      <c r="Q8">
        <f>'Pivot Table I'!H9</f>
        <v>1393</v>
      </c>
      <c r="R8">
        <f>'Pivot Table I'!I9</f>
        <v>2136</v>
      </c>
      <c r="T8">
        <v>5</v>
      </c>
      <c r="U8" s="2">
        <f t="shared" si="1"/>
        <v>2.6425211665098778</v>
      </c>
      <c r="V8" s="2">
        <f t="shared" si="2"/>
        <v>2.7845284527540515</v>
      </c>
    </row>
    <row r="9" spans="1:22" x14ac:dyDescent="0.35">
      <c r="A9">
        <f>'Conditional Expectations (I)'!A18</f>
        <v>1</v>
      </c>
      <c r="B9">
        <f>'Conditional Expectations (I)'!B18</f>
        <v>1</v>
      </c>
      <c r="C9">
        <f>'Conditional Expectations (I)'!C18</f>
        <v>4</v>
      </c>
      <c r="D9">
        <f>'Conditional Expectations (I)'!D18</f>
        <v>302</v>
      </c>
      <c r="E9" s="2">
        <f>'Conditional Expectations (I)'!G18</f>
        <v>0.44456380860404854</v>
      </c>
      <c r="F9" s="5">
        <f t="shared" si="0"/>
        <v>134.25827019842265</v>
      </c>
      <c r="G9">
        <v>542</v>
      </c>
      <c r="J9">
        <v>5</v>
      </c>
      <c r="K9">
        <f>'Pivot Table I'!B10</f>
        <v>0</v>
      </c>
      <c r="L9">
        <f>'Pivot Table I'!C10</f>
        <v>0</v>
      </c>
      <c r="M9">
        <f>'Pivot Table I'!D10</f>
        <v>0</v>
      </c>
      <c r="N9">
        <f>'Pivot Table I'!E10</f>
        <v>0</v>
      </c>
      <c r="O9">
        <f>'Pivot Table I'!F10</f>
        <v>0</v>
      </c>
      <c r="P9">
        <f>'Pivot Table I'!G10</f>
        <v>582</v>
      </c>
      <c r="Q9">
        <f>'Pivot Table I'!H10</f>
        <v>2227</v>
      </c>
      <c r="R9">
        <f>'Pivot Table I'!I10</f>
        <v>2809</v>
      </c>
      <c r="T9">
        <v>6</v>
      </c>
      <c r="U9" s="2">
        <f t="shared" si="1"/>
        <v>3.5344970906068163</v>
      </c>
      <c r="V9" s="2">
        <f t="shared" si="2"/>
        <v>3.7525489757750106</v>
      </c>
    </row>
    <row r="10" spans="1:22" x14ac:dyDescent="0.35">
      <c r="A10">
        <f>'Conditional Expectations (I)'!A19</f>
        <v>3</v>
      </c>
      <c r="B10">
        <f>'Conditional Expectations (I)'!B19</f>
        <v>4</v>
      </c>
      <c r="C10">
        <f>'Conditional Expectations (I)'!C19</f>
        <v>4</v>
      </c>
      <c r="D10">
        <f>'Conditional Expectations (I)'!D19</f>
        <v>16</v>
      </c>
      <c r="E10" s="2">
        <f>'Conditional Expectations (I)'!G19</f>
        <v>1.4544183818939669</v>
      </c>
      <c r="F10" s="5">
        <f t="shared" si="0"/>
        <v>23.27069411030347</v>
      </c>
      <c r="G10">
        <v>373</v>
      </c>
      <c r="J10">
        <v>6</v>
      </c>
      <c r="K10">
        <f>'Pivot Table I'!B11</f>
        <v>0</v>
      </c>
      <c r="L10">
        <f>'Pivot Table I'!C11</f>
        <v>0</v>
      </c>
      <c r="M10">
        <f>'Pivot Table I'!D11</f>
        <v>0</v>
      </c>
      <c r="N10">
        <f>'Pivot Table I'!E11</f>
        <v>0</v>
      </c>
      <c r="O10">
        <f>'Pivot Table I'!F11</f>
        <v>0</v>
      </c>
      <c r="P10">
        <f>'Pivot Table I'!G11</f>
        <v>0</v>
      </c>
      <c r="Q10">
        <f>'Pivot Table I'!H11</f>
        <v>4252</v>
      </c>
      <c r="R10">
        <f>'Pivot Table I'!I11</f>
        <v>4252</v>
      </c>
    </row>
    <row r="11" spans="1:22" x14ac:dyDescent="0.35">
      <c r="A11">
        <f>'Conditional Expectations (I)'!A20</f>
        <v>2</v>
      </c>
      <c r="B11">
        <f>'Conditional Expectations (I)'!B20</f>
        <v>3</v>
      </c>
      <c r="C11">
        <f>'Conditional Expectations (I)'!C20</f>
        <v>4</v>
      </c>
      <c r="D11">
        <f>'Conditional Expectations (I)'!D20</f>
        <v>118</v>
      </c>
      <c r="E11" s="2">
        <f>'Conditional Expectations (I)'!G20</f>
        <v>0.93682195263820978</v>
      </c>
      <c r="F11" s="5">
        <f t="shared" si="0"/>
        <v>110.54499041130876</v>
      </c>
      <c r="G11">
        <v>244</v>
      </c>
      <c r="K11">
        <f>'Pivot Table I'!B12</f>
        <v>604</v>
      </c>
      <c r="L11">
        <f>'Pivot Table I'!C12</f>
        <v>238</v>
      </c>
      <c r="M11">
        <f>'Pivot Table I'!D12</f>
        <v>347</v>
      </c>
      <c r="N11">
        <f>'Pivot Table I'!E12</f>
        <v>344</v>
      </c>
      <c r="O11">
        <f>'Pivot Table I'!F12</f>
        <v>529</v>
      </c>
      <c r="P11">
        <f>'Pivot Table I'!G12</f>
        <v>1877</v>
      </c>
      <c r="Q11">
        <f>'Pivot Table I'!H12</f>
        <v>9321</v>
      </c>
      <c r="R11">
        <f>'Pivot Table I'!I12</f>
        <v>13260</v>
      </c>
      <c r="T11" t="s">
        <v>34</v>
      </c>
    </row>
    <row r="12" spans="1:22" x14ac:dyDescent="0.35">
      <c r="A12">
        <f>'Conditional Expectations (I)'!A21</f>
        <v>2</v>
      </c>
      <c r="B12">
        <f>'Conditional Expectations (I)'!B21</f>
        <v>4</v>
      </c>
      <c r="C12">
        <f>'Conditional Expectations (I)'!C21</f>
        <v>4</v>
      </c>
      <c r="D12">
        <f>'Conditional Expectations (I)'!D21</f>
        <v>36</v>
      </c>
      <c r="E12" s="2">
        <f>'Conditional Expectations (I)'!G21</f>
        <v>1.0558102789003636</v>
      </c>
      <c r="F12" s="5">
        <f t="shared" si="0"/>
        <v>38.009170040413089</v>
      </c>
      <c r="G12">
        <v>136</v>
      </c>
      <c r="T12" s="1" t="s">
        <v>1</v>
      </c>
      <c r="U12" s="1" t="s">
        <v>15</v>
      </c>
      <c r="V12" s="1" t="s">
        <v>16</v>
      </c>
    </row>
    <row r="13" spans="1:22" x14ac:dyDescent="0.35">
      <c r="A13">
        <f>'Conditional Expectations (I)'!A22</f>
        <v>1</v>
      </c>
      <c r="B13">
        <f>'Conditional Expectations (I)'!B22</f>
        <v>2</v>
      </c>
      <c r="C13">
        <f>'Conditional Expectations (I)'!C22</f>
        <v>4</v>
      </c>
      <c r="D13">
        <f>'Conditional Expectations (I)'!D22</f>
        <v>342</v>
      </c>
      <c r="E13" s="2">
        <f>'Conditional Expectations (I)'!G22</f>
        <v>0.52140351667476448</v>
      </c>
      <c r="F13" s="5">
        <f t="shared" si="0"/>
        <v>178.32000270276944</v>
      </c>
      <c r="G13">
        <v>201</v>
      </c>
      <c r="T13">
        <v>1995</v>
      </c>
      <c r="U13" s="2">
        <f>K11/K37</f>
        <v>0.17436489607390301</v>
      </c>
      <c r="V13" s="2">
        <f>K24/K37</f>
        <v>7.2863325845706248E-2</v>
      </c>
    </row>
    <row r="14" spans="1:22" x14ac:dyDescent="0.35">
      <c r="A14">
        <f>'Conditional Expectations (I)'!A23</f>
        <v>2</v>
      </c>
      <c r="B14">
        <f>'Conditional Expectations (I)'!B23</f>
        <v>4</v>
      </c>
      <c r="C14">
        <f>'Conditional Expectations (I)'!C23</f>
        <v>4</v>
      </c>
      <c r="D14">
        <f>'Conditional Expectations (I)'!D23</f>
        <v>44</v>
      </c>
      <c r="E14" s="2">
        <f>'Conditional Expectations (I)'!G23</f>
        <v>1.0558102789003636</v>
      </c>
      <c r="F14" s="5">
        <f t="shared" si="0"/>
        <v>46.455652271615996</v>
      </c>
      <c r="G14">
        <v>170</v>
      </c>
      <c r="I14" t="s">
        <v>33</v>
      </c>
      <c r="T14">
        <v>1996</v>
      </c>
      <c r="U14" s="2">
        <f>L11/L37</f>
        <v>0.21814848762603117</v>
      </c>
      <c r="V14" s="2">
        <f>L24/L37</f>
        <v>8.5695814916892057E-2</v>
      </c>
    </row>
    <row r="15" spans="1:22" x14ac:dyDescent="0.35">
      <c r="A15">
        <f>'Conditional Expectations (I)'!A24</f>
        <v>1</v>
      </c>
      <c r="B15">
        <f>'Conditional Expectations (I)'!B24</f>
        <v>3</v>
      </c>
      <c r="C15">
        <f>'Conditional Expectations (I)'!C24</f>
        <v>4</v>
      </c>
      <c r="D15">
        <f>'Conditional Expectations (I)'!D24</f>
        <v>292</v>
      </c>
      <c r="E15" s="2">
        <f>'Conditional Expectations (I)'!G24</f>
        <v>0.59247202996716652</v>
      </c>
      <c r="F15" s="5">
        <f t="shared" si="0"/>
        <v>173.00183275041263</v>
      </c>
      <c r="G15">
        <v>114</v>
      </c>
      <c r="K15" t="s">
        <v>1</v>
      </c>
      <c r="T15">
        <v>1997</v>
      </c>
      <c r="U15" s="2">
        <f>M11/M37</f>
        <v>0.38988764044943819</v>
      </c>
      <c r="V15" s="2">
        <f>M24/M37</f>
        <v>0.17984886530699004</v>
      </c>
    </row>
    <row r="16" spans="1:22" x14ac:dyDescent="0.35">
      <c r="A16">
        <f>'Conditional Expectations (I)'!A25</f>
        <v>1</v>
      </c>
      <c r="B16">
        <f>'Conditional Expectations (I)'!B25</f>
        <v>4</v>
      </c>
      <c r="C16">
        <f>'Conditional Expectations (I)'!C25</f>
        <v>4</v>
      </c>
      <c r="D16">
        <f>'Conditional Expectations (I)'!D25</f>
        <v>216</v>
      </c>
      <c r="E16" s="2">
        <f>'Conditional Expectations (I)'!G25</f>
        <v>0.65720217590676067</v>
      </c>
      <c r="F16" s="5">
        <f t="shared" si="0"/>
        <v>141.95566999586029</v>
      </c>
      <c r="G16">
        <v>44</v>
      </c>
      <c r="K16">
        <v>0</v>
      </c>
      <c r="L16">
        <v>1</v>
      </c>
      <c r="M16">
        <v>2</v>
      </c>
      <c r="N16">
        <v>3</v>
      </c>
      <c r="O16">
        <v>4</v>
      </c>
      <c r="P16">
        <v>5</v>
      </c>
      <c r="Q16">
        <v>6</v>
      </c>
      <c r="T16">
        <v>1998</v>
      </c>
      <c r="U16" s="2">
        <f>N11/N37</f>
        <v>0.48725212464589235</v>
      </c>
      <c r="V16" s="2">
        <f>N24/N37</f>
        <v>0.40412697657935598</v>
      </c>
    </row>
    <row r="17" spans="1:22" x14ac:dyDescent="0.35">
      <c r="A17">
        <f>'Conditional Expectations (I)'!A26</f>
        <v>0</v>
      </c>
      <c r="B17">
        <f>'Conditional Expectations (I)'!B26</f>
        <v>0</v>
      </c>
      <c r="C17">
        <f>'Conditional Expectations (I)'!C26</f>
        <v>4</v>
      </c>
      <c r="D17">
        <f>'Conditional Expectations (I)'!D26</f>
        <v>4482</v>
      </c>
      <c r="E17" s="2">
        <f>'Conditional Expectations (I)'!G26</f>
        <v>0.1704750153836086</v>
      </c>
      <c r="F17" s="5">
        <f t="shared" si="0"/>
        <v>764.06901894933378</v>
      </c>
      <c r="G17">
        <v>148</v>
      </c>
      <c r="I17" t="s">
        <v>0</v>
      </c>
      <c r="J17">
        <v>0</v>
      </c>
      <c r="K17" s="5">
        <f>'Pivot Table II'!B5</f>
        <v>252.39856072952645</v>
      </c>
      <c r="L17" s="5">
        <f>'Pivot Table II'!C5</f>
        <v>0</v>
      </c>
      <c r="M17" s="5">
        <f>'Pivot Table II'!D5</f>
        <v>0</v>
      </c>
      <c r="N17" s="5">
        <f>'Pivot Table II'!E5</f>
        <v>0</v>
      </c>
      <c r="O17" s="5">
        <f>'Pivot Table II'!F5</f>
        <v>0</v>
      </c>
      <c r="P17" s="5">
        <f>'Pivot Table II'!G5</f>
        <v>0</v>
      </c>
      <c r="Q17" s="5">
        <f>'Pivot Table II'!H5</f>
        <v>0</v>
      </c>
      <c r="R17" s="5">
        <f>'Pivot Table II'!I5</f>
        <v>252.39856072952645</v>
      </c>
      <c r="T17">
        <v>1999</v>
      </c>
      <c r="U17" s="2">
        <f>O11/O37</f>
        <v>0.80886850152905199</v>
      </c>
      <c r="V17" s="2">
        <f>O24/O37</f>
        <v>0.85111086542591352</v>
      </c>
    </row>
    <row r="18" spans="1:22" x14ac:dyDescent="0.35">
      <c r="A18" t="e">
        <f>'Conditional Expectations (I)'!#REF!</f>
        <v>#REF!</v>
      </c>
      <c r="B18" t="e">
        <f>'Conditional Expectations (I)'!#REF!</f>
        <v>#REF!</v>
      </c>
      <c r="C18" t="e">
        <f>'Conditional Expectations (I)'!#REF!</f>
        <v>#REF!</v>
      </c>
      <c r="D18" t="e">
        <f>'Conditional Expectations (I)'!#REF!</f>
        <v>#REF!</v>
      </c>
      <c r="E18" s="2" t="e">
        <f>'Conditional Expectations (I)'!#REF!</f>
        <v>#REF!</v>
      </c>
      <c r="F18" s="5" t="e">
        <f t="shared" si="0"/>
        <v>#REF!</v>
      </c>
      <c r="G18">
        <v>118</v>
      </c>
      <c r="J18">
        <v>1</v>
      </c>
      <c r="K18" s="5">
        <f>'Pivot Table II'!B6</f>
        <v>0</v>
      </c>
      <c r="L18" s="5">
        <f>'Pivot Table II'!C6</f>
        <v>93.494134074329239</v>
      </c>
      <c r="M18" s="5">
        <f>'Pivot Table II'!D6</f>
        <v>87.04424497927215</v>
      </c>
      <c r="N18" s="5">
        <f>'Pivot Table II'!E6</f>
        <v>76.607297189203081</v>
      </c>
      <c r="O18" s="5">
        <f>'Pivot Table II'!F6</f>
        <v>65.473035313796402</v>
      </c>
      <c r="P18" s="5">
        <f>'Pivot Table II'!G6</f>
        <v>121.58115096365039</v>
      </c>
      <c r="Q18" s="5">
        <f>'Pivot Table II'!H6</f>
        <v>148.07727829654448</v>
      </c>
      <c r="R18" s="5">
        <f>'Pivot Table II'!I6</f>
        <v>592.27714081679574</v>
      </c>
      <c r="T18">
        <v>2000</v>
      </c>
      <c r="U18" s="2">
        <f>P11/P37</f>
        <v>1.6522887323943662</v>
      </c>
      <c r="V18" s="2">
        <f>P24/P37</f>
        <v>1.7263661414776723</v>
      </c>
    </row>
    <row r="19" spans="1:22" x14ac:dyDescent="0.35">
      <c r="A19" t="e">
        <f>'Conditional Expectations (I)'!#REF!</f>
        <v>#REF!</v>
      </c>
      <c r="B19" t="e">
        <f>'Conditional Expectations (I)'!#REF!</f>
        <v>#REF!</v>
      </c>
      <c r="C19" t="e">
        <f>'Conditional Expectations (I)'!#REF!</f>
        <v>#REF!</v>
      </c>
      <c r="D19" t="e">
        <f>'Conditional Expectations (I)'!#REF!</f>
        <v>#REF!</v>
      </c>
      <c r="E19" s="2" t="e">
        <f>'Conditional Expectations (I)'!#REF!</f>
        <v>#REF!</v>
      </c>
      <c r="F19" s="5" t="e">
        <f t="shared" si="0"/>
        <v>#REF!</v>
      </c>
      <c r="G19">
        <v>78</v>
      </c>
      <c r="J19">
        <v>2</v>
      </c>
      <c r="K19" s="5">
        <f>'Pivot Table II'!B7</f>
        <v>0</v>
      </c>
      <c r="L19" s="5">
        <f>'Pivot Table II'!C7</f>
        <v>0</v>
      </c>
      <c r="M19" s="5">
        <f>'Pivot Table II'!D7</f>
        <v>73.021245143948974</v>
      </c>
      <c r="N19" s="5">
        <f>'Pivot Table II'!E7</f>
        <v>136.70871839263359</v>
      </c>
      <c r="O19" s="5">
        <f>'Pivot Table II'!F7</f>
        <v>163.92897775701854</v>
      </c>
      <c r="P19" s="5">
        <f>'Pivot Table II'!G7</f>
        <v>249.64671349337326</v>
      </c>
      <c r="Q19" s="5">
        <f>'Pivot Table II'!H7</f>
        <v>390.50352847680853</v>
      </c>
      <c r="R19" s="5">
        <f>'Pivot Table II'!I7</f>
        <v>1013.8091832637829</v>
      </c>
      <c r="T19">
        <v>2001</v>
      </c>
      <c r="U19" s="2">
        <f>Q11/Q37</f>
        <v>2.9468858678469809</v>
      </c>
      <c r="V19" s="2">
        <f>Q24/Q37</f>
        <v>3.0272289453318018</v>
      </c>
    </row>
    <row r="20" spans="1:22" x14ac:dyDescent="0.35">
      <c r="A20" t="e">
        <f>'Conditional Expectations (I)'!#REF!</f>
        <v>#REF!</v>
      </c>
      <c r="B20" t="e">
        <f>'Conditional Expectations (I)'!#REF!</f>
        <v>#REF!</v>
      </c>
      <c r="C20" t="e">
        <f>'Conditional Expectations (I)'!#REF!</f>
        <v>#REF!</v>
      </c>
      <c r="D20" t="e">
        <f>'Conditional Expectations (I)'!#REF!</f>
        <v>#REF!</v>
      </c>
      <c r="E20" s="2" t="e">
        <f>'Conditional Expectations (I)'!#REF!</f>
        <v>#REF!</v>
      </c>
      <c r="F20" s="5" t="e">
        <f t="shared" si="0"/>
        <v>#REF!</v>
      </c>
      <c r="G20">
        <v>244</v>
      </c>
      <c r="J20">
        <v>3</v>
      </c>
      <c r="K20" s="5">
        <f>'Pivot Table II'!B8</f>
        <v>0</v>
      </c>
      <c r="L20" s="5">
        <f>'Pivot Table II'!C8</f>
        <v>0</v>
      </c>
      <c r="M20" s="5">
        <f>'Pivot Table II'!D8</f>
        <v>0</v>
      </c>
      <c r="N20" s="5">
        <f>'Pivot Table II'!E8</f>
        <v>71.997629883188679</v>
      </c>
      <c r="O20" s="5">
        <f>'Pivot Table II'!F8</f>
        <v>187.25804508227006</v>
      </c>
      <c r="P20" s="5">
        <f>'Pivot Table II'!G8</f>
        <v>406.05893922696669</v>
      </c>
      <c r="Q20" s="5">
        <f>'Pivot Table II'!H8</f>
        <v>781.74114886351276</v>
      </c>
      <c r="R20" s="5">
        <f>'Pivot Table II'!I8</f>
        <v>1447.0557630559383</v>
      </c>
    </row>
    <row r="21" spans="1:22" x14ac:dyDescent="0.35">
      <c r="A21" t="e">
        <f>'Conditional Expectations (I)'!#REF!</f>
        <v>#REF!</v>
      </c>
      <c r="B21" t="e">
        <f>'Conditional Expectations (I)'!#REF!</f>
        <v>#REF!</v>
      </c>
      <c r="C21" t="e">
        <f>'Conditional Expectations (I)'!#REF!</f>
        <v>#REF!</v>
      </c>
      <c r="D21" t="e">
        <f>'Conditional Expectations (I)'!#REF!</f>
        <v>#REF!</v>
      </c>
      <c r="E21" s="2" t="e">
        <f>'Conditional Expectations (I)'!#REF!</f>
        <v>#REF!</v>
      </c>
      <c r="F21" s="5" t="e">
        <f t="shared" si="0"/>
        <v>#REF!</v>
      </c>
      <c r="G21">
        <v>103</v>
      </c>
      <c r="J21">
        <v>4</v>
      </c>
      <c r="K21" s="5">
        <f>'Pivot Table II'!B9</f>
        <v>0</v>
      </c>
      <c r="L21" s="5">
        <f>'Pivot Table II'!C9</f>
        <v>0</v>
      </c>
      <c r="M21" s="5">
        <f>'Pivot Table II'!D9</f>
        <v>0</v>
      </c>
      <c r="N21" s="5">
        <f>'Pivot Table II'!E9</f>
        <v>0</v>
      </c>
      <c r="O21" s="5">
        <f>'Pivot Table II'!F9</f>
        <v>139.96644783546247</v>
      </c>
      <c r="P21" s="5">
        <f>'Pivot Table II'!G9</f>
        <v>576.52809512243266</v>
      </c>
      <c r="Q21" s="5">
        <f>'Pivot Table II'!H9</f>
        <v>1387.870073224942</v>
      </c>
      <c r="R21" s="5">
        <f>'Pivot Table II'!I9</f>
        <v>2104.3646161828374</v>
      </c>
    </row>
    <row r="22" spans="1:22" x14ac:dyDescent="0.35">
      <c r="A22" t="e">
        <f>'Conditional Expectations (I)'!#REF!</f>
        <v>#REF!</v>
      </c>
      <c r="B22" t="e">
        <f>'Conditional Expectations (I)'!#REF!</f>
        <v>#REF!</v>
      </c>
      <c r="C22" t="e">
        <f>'Conditional Expectations (I)'!#REF!</f>
        <v>#REF!</v>
      </c>
      <c r="D22" t="e">
        <f>'Conditional Expectations (I)'!#REF!</f>
        <v>#REF!</v>
      </c>
      <c r="E22" s="2" t="e">
        <f>'Conditional Expectations (I)'!#REF!</f>
        <v>#REF!</v>
      </c>
      <c r="F22" s="5" t="e">
        <f t="shared" si="0"/>
        <v>#REF!</v>
      </c>
      <c r="G22">
        <v>238</v>
      </c>
      <c r="J22">
        <v>5</v>
      </c>
      <c r="K22" s="5">
        <f>'Pivot Table II'!B10</f>
        <v>0</v>
      </c>
      <c r="L22" s="5">
        <f>'Pivot Table II'!C10</f>
        <v>0</v>
      </c>
      <c r="M22" s="5">
        <f>'Pivot Table II'!D10</f>
        <v>0</v>
      </c>
      <c r="N22" s="5">
        <f>'Pivot Table II'!E10</f>
        <v>0</v>
      </c>
      <c r="O22" s="5">
        <f>'Pivot Table II'!F10</f>
        <v>0</v>
      </c>
      <c r="P22" s="5">
        <f>'Pivot Table II'!G10</f>
        <v>607.33703791221274</v>
      </c>
      <c r="Q22" s="5">
        <f>'Pivot Table II'!H10</f>
        <v>2352.6167073653437</v>
      </c>
      <c r="R22" s="5">
        <f>'Pivot Table II'!I10</f>
        <v>2959.9537452775567</v>
      </c>
    </row>
    <row r="23" spans="1:22" x14ac:dyDescent="0.35">
      <c r="A23" t="e">
        <f>'Conditional Expectations (I)'!#REF!</f>
        <v>#REF!</v>
      </c>
      <c r="B23" t="e">
        <f>'Conditional Expectations (I)'!#REF!</f>
        <v>#REF!</v>
      </c>
      <c r="C23" t="e">
        <f>'Conditional Expectations (I)'!#REF!</f>
        <v>#REF!</v>
      </c>
      <c r="D23" t="e">
        <f>'Conditional Expectations (I)'!#REF!</f>
        <v>#REF!</v>
      </c>
      <c r="E23" s="2" t="e">
        <f>'Conditional Expectations (I)'!#REF!</f>
        <v>#REF!</v>
      </c>
      <c r="F23" s="5" t="e">
        <f t="shared" si="0"/>
        <v>#REF!</v>
      </c>
      <c r="G23">
        <v>604</v>
      </c>
      <c r="J23">
        <v>6</v>
      </c>
      <c r="K23" s="5">
        <f>'Pivot Table II'!B11</f>
        <v>0</v>
      </c>
      <c r="L23" s="5">
        <f>'Pivot Table II'!C11</f>
        <v>0</v>
      </c>
      <c r="M23" s="5">
        <f>'Pivot Table II'!D11</f>
        <v>0</v>
      </c>
      <c r="N23" s="5">
        <f>'Pivot Table II'!E11</f>
        <v>0</v>
      </c>
      <c r="O23" s="5">
        <f>'Pivot Table II'!F11</f>
        <v>0</v>
      </c>
      <c r="P23" s="5">
        <f>'Pivot Table II'!G11</f>
        <v>0</v>
      </c>
      <c r="Q23" s="5">
        <f>'Pivot Table II'!H11</f>
        <v>4514.3164178573379</v>
      </c>
      <c r="R23" s="5">
        <f>'Pivot Table II'!I11</f>
        <v>4514.3164178573379</v>
      </c>
    </row>
    <row r="24" spans="1:22" x14ac:dyDescent="0.35">
      <c r="K24" s="5">
        <f>'Pivot Table II'!B12</f>
        <v>252.39856072952645</v>
      </c>
      <c r="L24" s="5">
        <f>'Pivot Table II'!C12</f>
        <v>93.494134074329239</v>
      </c>
      <c r="M24" s="5">
        <f>'Pivot Table II'!D12</f>
        <v>160.06549012322114</v>
      </c>
      <c r="N24" s="5">
        <f>'Pivot Table II'!E12</f>
        <v>285.31364546502533</v>
      </c>
      <c r="O24" s="5">
        <f>'Pivot Table II'!F12</f>
        <v>556.62650598854748</v>
      </c>
      <c r="P24" s="5">
        <f>'Pivot Table II'!G12</f>
        <v>1961.1519367186359</v>
      </c>
      <c r="Q24" s="5">
        <f>'Pivot Table II'!H12</f>
        <v>9575.1251540844896</v>
      </c>
      <c r="R24" s="5">
        <f>'Pivot Table II'!I12</f>
        <v>12884.175427183774</v>
      </c>
    </row>
    <row r="27" spans="1:22" x14ac:dyDescent="0.35">
      <c r="I27" t="s">
        <v>23</v>
      </c>
    </row>
    <row r="28" spans="1:22" x14ac:dyDescent="0.35">
      <c r="K28" t="s">
        <v>1</v>
      </c>
    </row>
    <row r="29" spans="1:22" x14ac:dyDescent="0.35">
      <c r="K29">
        <v>0</v>
      </c>
      <c r="L29">
        <v>1</v>
      </c>
      <c r="M29">
        <v>2</v>
      </c>
      <c r="N29">
        <v>3</v>
      </c>
      <c r="O29">
        <v>4</v>
      </c>
      <c r="P29">
        <v>5</v>
      </c>
      <c r="Q29">
        <v>6</v>
      </c>
    </row>
    <row r="30" spans="1:22" x14ac:dyDescent="0.35">
      <c r="I30" t="s">
        <v>0</v>
      </c>
      <c r="J30">
        <v>0</v>
      </c>
      <c r="K30" s="6">
        <f>'Pivot Table III'!B5</f>
        <v>3464</v>
      </c>
      <c r="L30" s="6">
        <f>'Pivot Table III'!C5</f>
        <v>0</v>
      </c>
      <c r="M30" s="6">
        <f>'Pivot Table III'!D5</f>
        <v>0</v>
      </c>
      <c r="N30" s="6">
        <f>'Pivot Table III'!E5</f>
        <v>0</v>
      </c>
      <c r="O30" s="6">
        <f>'Pivot Table III'!F5</f>
        <v>0</v>
      </c>
      <c r="P30" s="6">
        <f>'Pivot Table III'!G5</f>
        <v>0</v>
      </c>
      <c r="Q30" s="6">
        <f>'Pivot Table III'!H5</f>
        <v>0</v>
      </c>
      <c r="R30" s="6">
        <f>'Pivot Table III'!I5</f>
        <v>3464</v>
      </c>
    </row>
    <row r="31" spans="1:22" x14ac:dyDescent="0.35">
      <c r="J31">
        <v>1</v>
      </c>
      <c r="K31" s="6">
        <f>'Pivot Table III'!B6</f>
        <v>0</v>
      </c>
      <c r="L31" s="6">
        <f>'Pivot Table III'!C6</f>
        <v>1091</v>
      </c>
      <c r="M31" s="6">
        <f>'Pivot Table III'!D6</f>
        <v>277</v>
      </c>
      <c r="N31" s="6">
        <f>'Pivot Table III'!E6</f>
        <v>129</v>
      </c>
      <c r="O31" s="6">
        <f>'Pivot Table III'!F6</f>
        <v>78</v>
      </c>
      <c r="P31" s="6">
        <f>'Pivot Table III'!G6</f>
        <v>119</v>
      </c>
      <c r="Q31" s="6">
        <f>'Pivot Table III'!H6</f>
        <v>129</v>
      </c>
      <c r="R31" s="6">
        <f>'Pivot Table III'!I6</f>
        <v>1823</v>
      </c>
    </row>
    <row r="32" spans="1:22" x14ac:dyDescent="0.35">
      <c r="J32">
        <v>2</v>
      </c>
      <c r="K32" s="6">
        <f>'Pivot Table III'!B7</f>
        <v>0</v>
      </c>
      <c r="L32" s="6">
        <f>'Pivot Table III'!C7</f>
        <v>0</v>
      </c>
      <c r="M32" s="6">
        <f>'Pivot Table III'!D7</f>
        <v>613</v>
      </c>
      <c r="N32" s="6">
        <f>'Pivot Table III'!E7</f>
        <v>255</v>
      </c>
      <c r="O32" s="6">
        <f>'Pivot Table III'!F7</f>
        <v>155</v>
      </c>
      <c r="P32" s="6">
        <f>'Pivot Table III'!G7</f>
        <v>173</v>
      </c>
      <c r="Q32" s="6">
        <f>'Pivot Table III'!H7</f>
        <v>234</v>
      </c>
      <c r="R32" s="6">
        <f>'Pivot Table III'!I7</f>
        <v>1430</v>
      </c>
    </row>
    <row r="33" spans="10:18" x14ac:dyDescent="0.35">
      <c r="J33">
        <v>3</v>
      </c>
      <c r="K33" s="6">
        <f>'Pivot Table III'!B8</f>
        <v>0</v>
      </c>
      <c r="L33" s="6">
        <f>'Pivot Table III'!C8</f>
        <v>0</v>
      </c>
      <c r="M33" s="6">
        <f>'Pivot Table III'!D8</f>
        <v>0</v>
      </c>
      <c r="N33" s="6">
        <f>'Pivot Table III'!E8</f>
        <v>322</v>
      </c>
      <c r="O33" s="6">
        <f>'Pivot Table III'!F8</f>
        <v>181</v>
      </c>
      <c r="P33" s="6">
        <f>'Pivot Table III'!G8</f>
        <v>225</v>
      </c>
      <c r="Q33" s="6">
        <f>'Pivot Table III'!H8</f>
        <v>357</v>
      </c>
      <c r="R33" s="6">
        <f>'Pivot Table III'!I8</f>
        <v>1085</v>
      </c>
    </row>
    <row r="34" spans="10:18" x14ac:dyDescent="0.35">
      <c r="J34">
        <v>4</v>
      </c>
      <c r="K34" s="6">
        <f>'Pivot Table III'!B9</f>
        <v>0</v>
      </c>
      <c r="L34" s="6">
        <f>'Pivot Table III'!C9</f>
        <v>0</v>
      </c>
      <c r="M34" s="6">
        <f>'Pivot Table III'!D9</f>
        <v>0</v>
      </c>
      <c r="N34" s="6">
        <f>'Pivot Table III'!E9</f>
        <v>0</v>
      </c>
      <c r="O34" s="6">
        <f>'Pivot Table III'!F9</f>
        <v>240</v>
      </c>
      <c r="P34" s="6">
        <f>'Pivot Table III'!G9</f>
        <v>284</v>
      </c>
      <c r="Q34" s="6">
        <f>'Pivot Table III'!H9</f>
        <v>512</v>
      </c>
      <c r="R34" s="6">
        <f>'Pivot Table III'!I9</f>
        <v>1036</v>
      </c>
    </row>
    <row r="35" spans="10:18" x14ac:dyDescent="0.35">
      <c r="J35">
        <v>5</v>
      </c>
      <c r="K35" s="6">
        <f>'Pivot Table III'!B10</f>
        <v>0</v>
      </c>
      <c r="L35" s="6">
        <f>'Pivot Table III'!C10</f>
        <v>0</v>
      </c>
      <c r="M35" s="6">
        <f>'Pivot Table III'!D10</f>
        <v>0</v>
      </c>
      <c r="N35" s="6">
        <f>'Pivot Table III'!E10</f>
        <v>0</v>
      </c>
      <c r="O35" s="6">
        <f>'Pivot Table III'!F10</f>
        <v>0</v>
      </c>
      <c r="P35" s="6">
        <f>'Pivot Table III'!G10</f>
        <v>335</v>
      </c>
      <c r="Q35" s="6">
        <f>'Pivot Table III'!H10</f>
        <v>728</v>
      </c>
      <c r="R35" s="6">
        <f>'Pivot Table III'!I10</f>
        <v>1063</v>
      </c>
    </row>
    <row r="36" spans="10:18" x14ac:dyDescent="0.35">
      <c r="J36">
        <v>6</v>
      </c>
      <c r="K36" s="6">
        <f>'Pivot Table III'!B11</f>
        <v>0</v>
      </c>
      <c r="L36" s="6">
        <f>'Pivot Table III'!C11</f>
        <v>0</v>
      </c>
      <c r="M36" s="6">
        <f>'Pivot Table III'!D11</f>
        <v>0</v>
      </c>
      <c r="N36" s="6">
        <f>'Pivot Table III'!E11</f>
        <v>0</v>
      </c>
      <c r="O36" s="6">
        <f>'Pivot Table III'!F11</f>
        <v>0</v>
      </c>
      <c r="P36" s="6">
        <f>'Pivot Table III'!G11</f>
        <v>0</v>
      </c>
      <c r="Q36" s="6">
        <f>'Pivot Table III'!H11</f>
        <v>1203</v>
      </c>
      <c r="R36" s="6">
        <f>'Pivot Table III'!I11</f>
        <v>1203</v>
      </c>
    </row>
    <row r="37" spans="10:18" x14ac:dyDescent="0.35">
      <c r="K37" s="6">
        <f>'Pivot Table III'!B12</f>
        <v>3464</v>
      </c>
      <c r="L37" s="6">
        <f>'Pivot Table III'!C12</f>
        <v>1091</v>
      </c>
      <c r="M37" s="6">
        <f>'Pivot Table III'!D12</f>
        <v>890</v>
      </c>
      <c r="N37" s="6">
        <f>'Pivot Table III'!E12</f>
        <v>706</v>
      </c>
      <c r="O37" s="6">
        <f>'Pivot Table III'!F12</f>
        <v>654</v>
      </c>
      <c r="P37" s="6">
        <f>'Pivot Table III'!G12</f>
        <v>1136</v>
      </c>
      <c r="Q37" s="6">
        <f>'Pivot Table III'!H12</f>
        <v>3163</v>
      </c>
      <c r="R37" s="6">
        <f>'Pivot Table III'!I12</f>
        <v>11104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"/>
  <sheetViews>
    <sheetView workbookViewId="0"/>
  </sheetViews>
  <sheetFormatPr defaultRowHeight="14.5" x14ac:dyDescent="0.35"/>
  <cols>
    <col min="1" max="1" width="13.81640625" bestFit="1" customWidth="1"/>
    <col min="2" max="2" width="16.26953125" bestFit="1" customWidth="1"/>
    <col min="3" max="6" width="4" customWidth="1"/>
    <col min="7" max="8" width="5" customWidth="1"/>
    <col min="9" max="9" width="11.26953125" bestFit="1" customWidth="1"/>
  </cols>
  <sheetData>
    <row r="3" spans="1:9" x14ac:dyDescent="0.35">
      <c r="A3" s="12" t="s">
        <v>30</v>
      </c>
      <c r="B3" s="12" t="s">
        <v>24</v>
      </c>
    </row>
    <row r="4" spans="1:9" x14ac:dyDescent="0.35">
      <c r="A4" s="12" t="s">
        <v>25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 t="s">
        <v>26</v>
      </c>
    </row>
    <row r="5" spans="1:9" x14ac:dyDescent="0.35">
      <c r="A5" s="11">
        <v>0</v>
      </c>
      <c r="B5" s="6">
        <v>604</v>
      </c>
      <c r="C5" s="6"/>
      <c r="D5" s="6"/>
      <c r="E5" s="6"/>
      <c r="F5" s="6"/>
      <c r="G5" s="6"/>
      <c r="H5" s="6"/>
      <c r="I5" s="6">
        <v>604</v>
      </c>
    </row>
    <row r="6" spans="1:9" x14ac:dyDescent="0.35">
      <c r="A6" s="11">
        <v>1</v>
      </c>
      <c r="B6" s="6"/>
      <c r="C6" s="6">
        <v>238</v>
      </c>
      <c r="D6" s="6">
        <v>103</v>
      </c>
      <c r="E6" s="6">
        <v>78</v>
      </c>
      <c r="F6" s="6">
        <v>44</v>
      </c>
      <c r="G6" s="6">
        <v>136</v>
      </c>
      <c r="H6" s="6">
        <v>190</v>
      </c>
      <c r="I6" s="6">
        <v>789</v>
      </c>
    </row>
    <row r="7" spans="1:9" x14ac:dyDescent="0.35">
      <c r="A7" s="11">
        <v>2</v>
      </c>
      <c r="B7" s="6"/>
      <c r="C7" s="6"/>
      <c r="D7" s="6">
        <v>244</v>
      </c>
      <c r="E7" s="6">
        <v>118</v>
      </c>
      <c r="F7" s="6">
        <v>114</v>
      </c>
      <c r="G7" s="6">
        <v>244</v>
      </c>
      <c r="H7" s="6">
        <v>442</v>
      </c>
      <c r="I7" s="6">
        <v>1162</v>
      </c>
    </row>
    <row r="8" spans="1:9" x14ac:dyDescent="0.35">
      <c r="A8" s="11">
        <v>3</v>
      </c>
      <c r="B8" s="6"/>
      <c r="C8" s="6"/>
      <c r="D8" s="6"/>
      <c r="E8" s="6">
        <v>148</v>
      </c>
      <c r="F8" s="6">
        <v>170</v>
      </c>
      <c r="G8" s="6">
        <v>373</v>
      </c>
      <c r="H8" s="6">
        <v>817</v>
      </c>
      <c r="I8" s="6">
        <v>1508</v>
      </c>
    </row>
    <row r="9" spans="1:9" x14ac:dyDescent="0.35">
      <c r="A9" s="11">
        <v>4</v>
      </c>
      <c r="B9" s="6"/>
      <c r="C9" s="6"/>
      <c r="D9" s="6"/>
      <c r="E9" s="6"/>
      <c r="F9" s="6">
        <v>201</v>
      </c>
      <c r="G9" s="6">
        <v>542</v>
      </c>
      <c r="H9" s="6">
        <v>1393</v>
      </c>
      <c r="I9" s="6">
        <v>2136</v>
      </c>
    </row>
    <row r="10" spans="1:9" x14ac:dyDescent="0.35">
      <c r="A10" s="11">
        <v>5</v>
      </c>
      <c r="B10" s="6"/>
      <c r="C10" s="6"/>
      <c r="D10" s="6"/>
      <c r="E10" s="6"/>
      <c r="F10" s="6"/>
      <c r="G10" s="6">
        <v>582</v>
      </c>
      <c r="H10" s="6">
        <v>2227</v>
      </c>
      <c r="I10" s="6">
        <v>2809</v>
      </c>
    </row>
    <row r="11" spans="1:9" x14ac:dyDescent="0.35">
      <c r="A11" s="11">
        <v>6</v>
      </c>
      <c r="B11" s="6"/>
      <c r="C11" s="6"/>
      <c r="D11" s="6"/>
      <c r="E11" s="6"/>
      <c r="F11" s="6"/>
      <c r="G11" s="6"/>
      <c r="H11" s="6">
        <v>4252</v>
      </c>
      <c r="I11" s="6">
        <v>4252</v>
      </c>
    </row>
    <row r="12" spans="1:9" x14ac:dyDescent="0.35">
      <c r="A12" s="11" t="s">
        <v>26</v>
      </c>
      <c r="B12" s="6">
        <v>604</v>
      </c>
      <c r="C12" s="6">
        <v>238</v>
      </c>
      <c r="D12" s="6">
        <v>347</v>
      </c>
      <c r="E12" s="6">
        <v>344</v>
      </c>
      <c r="F12" s="6">
        <v>529</v>
      </c>
      <c r="G12" s="6">
        <v>1877</v>
      </c>
      <c r="H12" s="6">
        <v>9321</v>
      </c>
      <c r="I12" s="6">
        <v>13260</v>
      </c>
    </row>
  </sheetData>
  <pageMargins left="0.7" right="0.7" top="0.75" bottom="0.75" header="0.3" footer="0.3"/>
  <pageSetup paperSize="9" orientation="portrait" horizontalDpi="1200" verticalDpi="120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"/>
  <sheetViews>
    <sheetView workbookViewId="0"/>
  </sheetViews>
  <sheetFormatPr defaultRowHeight="14.5" x14ac:dyDescent="0.35"/>
  <cols>
    <col min="1" max="1" width="14.1796875" bestFit="1" customWidth="1"/>
    <col min="2" max="2" width="16.26953125" bestFit="1" customWidth="1"/>
    <col min="3" max="8" width="12" customWidth="1"/>
    <col min="9" max="9" width="12" bestFit="1" customWidth="1"/>
  </cols>
  <sheetData>
    <row r="3" spans="1:9" x14ac:dyDescent="0.35">
      <c r="A3" s="12" t="s">
        <v>31</v>
      </c>
      <c r="B3" s="12" t="s">
        <v>24</v>
      </c>
    </row>
    <row r="4" spans="1:9" x14ac:dyDescent="0.35">
      <c r="A4" s="12" t="s">
        <v>25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 t="s">
        <v>26</v>
      </c>
    </row>
    <row r="5" spans="1:9" x14ac:dyDescent="0.35">
      <c r="A5" s="11">
        <v>0</v>
      </c>
      <c r="B5" s="6">
        <v>252.39856072952645</v>
      </c>
      <c r="C5" s="6"/>
      <c r="D5" s="6"/>
      <c r="E5" s="6"/>
      <c r="F5" s="6"/>
      <c r="G5" s="6"/>
      <c r="H5" s="6"/>
      <c r="I5" s="6">
        <v>252.39856072952645</v>
      </c>
    </row>
    <row r="6" spans="1:9" x14ac:dyDescent="0.35">
      <c r="A6" s="11">
        <v>1</v>
      </c>
      <c r="B6" s="6"/>
      <c r="C6" s="6">
        <v>93.494134074329239</v>
      </c>
      <c r="D6" s="6">
        <v>87.04424497927215</v>
      </c>
      <c r="E6" s="6">
        <v>76.607297189203081</v>
      </c>
      <c r="F6" s="6">
        <v>65.473035313796402</v>
      </c>
      <c r="G6" s="6">
        <v>121.58115096365039</v>
      </c>
      <c r="H6" s="6">
        <v>148.07727829654448</v>
      </c>
      <c r="I6" s="6">
        <v>592.27714081679574</v>
      </c>
    </row>
    <row r="7" spans="1:9" x14ac:dyDescent="0.35">
      <c r="A7" s="11">
        <v>2</v>
      </c>
      <c r="B7" s="6"/>
      <c r="C7" s="6"/>
      <c r="D7" s="6">
        <v>73.021245143948974</v>
      </c>
      <c r="E7" s="6">
        <v>136.70871839263359</v>
      </c>
      <c r="F7" s="6">
        <v>163.92897775701854</v>
      </c>
      <c r="G7" s="6">
        <v>249.64671349337326</v>
      </c>
      <c r="H7" s="6">
        <v>390.50352847680853</v>
      </c>
      <c r="I7" s="6">
        <v>1013.8091832637829</v>
      </c>
    </row>
    <row r="8" spans="1:9" x14ac:dyDescent="0.35">
      <c r="A8" s="11">
        <v>3</v>
      </c>
      <c r="B8" s="6"/>
      <c r="C8" s="6"/>
      <c r="D8" s="6"/>
      <c r="E8" s="6">
        <v>71.997629883188679</v>
      </c>
      <c r="F8" s="6">
        <v>187.25804508227006</v>
      </c>
      <c r="G8" s="6">
        <v>406.05893922696669</v>
      </c>
      <c r="H8" s="6">
        <v>781.74114886351276</v>
      </c>
      <c r="I8" s="6">
        <v>1447.0557630559383</v>
      </c>
    </row>
    <row r="9" spans="1:9" x14ac:dyDescent="0.35">
      <c r="A9" s="11">
        <v>4</v>
      </c>
      <c r="B9" s="6"/>
      <c r="C9" s="6"/>
      <c r="D9" s="6"/>
      <c r="E9" s="6"/>
      <c r="F9" s="6">
        <v>139.96644783546247</v>
      </c>
      <c r="G9" s="6">
        <v>576.52809512243266</v>
      </c>
      <c r="H9" s="6">
        <v>1387.870073224942</v>
      </c>
      <c r="I9" s="6">
        <v>2104.3646161828374</v>
      </c>
    </row>
    <row r="10" spans="1:9" x14ac:dyDescent="0.35">
      <c r="A10" s="11">
        <v>5</v>
      </c>
      <c r="B10" s="6"/>
      <c r="C10" s="6"/>
      <c r="D10" s="6"/>
      <c r="E10" s="6"/>
      <c r="F10" s="6"/>
      <c r="G10" s="6">
        <v>607.33703791221274</v>
      </c>
      <c r="H10" s="6">
        <v>2352.6167073653437</v>
      </c>
      <c r="I10" s="6">
        <v>2959.9537452775567</v>
      </c>
    </row>
    <row r="11" spans="1:9" x14ac:dyDescent="0.35">
      <c r="A11" s="11">
        <v>6</v>
      </c>
      <c r="B11" s="6"/>
      <c r="C11" s="6"/>
      <c r="D11" s="6"/>
      <c r="E11" s="6"/>
      <c r="F11" s="6"/>
      <c r="G11" s="6"/>
      <c r="H11" s="6">
        <v>4514.3164178573379</v>
      </c>
      <c r="I11" s="6">
        <v>4514.3164178573379</v>
      </c>
    </row>
    <row r="12" spans="1:9" x14ac:dyDescent="0.35">
      <c r="A12" s="11" t="s">
        <v>26</v>
      </c>
      <c r="B12" s="6">
        <v>252.39856072952645</v>
      </c>
      <c r="C12" s="6">
        <v>93.494134074329239</v>
      </c>
      <c r="D12" s="6">
        <v>160.06549012322114</v>
      </c>
      <c r="E12" s="6">
        <v>285.31364546502533</v>
      </c>
      <c r="F12" s="6">
        <v>556.62650598854748</v>
      </c>
      <c r="G12" s="6">
        <v>1961.1519367186359</v>
      </c>
      <c r="H12" s="6">
        <v>9575.1251540844896</v>
      </c>
      <c r="I12" s="6">
        <v>12884.175427183774</v>
      </c>
    </row>
  </sheetData>
  <pageMargins left="0.7" right="0.7" top="0.75" bottom="0.75" header="0.3" footer="0.3"/>
  <pageSetup paperSize="9" orientation="portrait" horizontalDpi="1200" verticalDpi="12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"/>
  <sheetViews>
    <sheetView workbookViewId="0"/>
  </sheetViews>
  <sheetFormatPr defaultRowHeight="14.5" x14ac:dyDescent="0.35"/>
  <cols>
    <col min="1" max="1" width="15.26953125" bestFit="1" customWidth="1"/>
    <col min="2" max="2" width="16.26953125" bestFit="1" customWidth="1"/>
    <col min="3" max="3" width="5" customWidth="1"/>
    <col min="4" max="6" width="4" customWidth="1"/>
    <col min="7" max="8" width="5" customWidth="1"/>
    <col min="9" max="9" width="11.26953125" bestFit="1" customWidth="1"/>
  </cols>
  <sheetData>
    <row r="3" spans="1:9" x14ac:dyDescent="0.35">
      <c r="A3" s="12" t="s">
        <v>27</v>
      </c>
      <c r="B3" s="12" t="s">
        <v>24</v>
      </c>
    </row>
    <row r="4" spans="1:9" x14ac:dyDescent="0.35">
      <c r="A4" s="12" t="s">
        <v>25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 t="s">
        <v>26</v>
      </c>
    </row>
    <row r="5" spans="1:9" x14ac:dyDescent="0.35">
      <c r="A5" s="11">
        <v>0</v>
      </c>
      <c r="B5" s="6">
        <v>3464</v>
      </c>
      <c r="C5" s="6"/>
      <c r="D5" s="6"/>
      <c r="E5" s="6"/>
      <c r="F5" s="6"/>
      <c r="G5" s="6"/>
      <c r="H5" s="6"/>
      <c r="I5" s="6">
        <v>3464</v>
      </c>
    </row>
    <row r="6" spans="1:9" x14ac:dyDescent="0.35">
      <c r="A6" s="11">
        <v>1</v>
      </c>
      <c r="B6" s="6"/>
      <c r="C6" s="6">
        <v>1091</v>
      </c>
      <c r="D6" s="6">
        <v>277</v>
      </c>
      <c r="E6" s="6">
        <v>129</v>
      </c>
      <c r="F6" s="6">
        <v>78</v>
      </c>
      <c r="G6" s="6">
        <v>119</v>
      </c>
      <c r="H6" s="6">
        <v>129</v>
      </c>
      <c r="I6" s="6">
        <v>1823</v>
      </c>
    </row>
    <row r="7" spans="1:9" x14ac:dyDescent="0.35">
      <c r="A7" s="11">
        <v>2</v>
      </c>
      <c r="B7" s="6"/>
      <c r="C7" s="6"/>
      <c r="D7" s="6">
        <v>613</v>
      </c>
      <c r="E7" s="6">
        <v>255</v>
      </c>
      <c r="F7" s="6">
        <v>155</v>
      </c>
      <c r="G7" s="6">
        <v>173</v>
      </c>
      <c r="H7" s="6">
        <v>234</v>
      </c>
      <c r="I7" s="6">
        <v>1430</v>
      </c>
    </row>
    <row r="8" spans="1:9" x14ac:dyDescent="0.35">
      <c r="A8" s="11">
        <v>3</v>
      </c>
      <c r="B8" s="6"/>
      <c r="C8" s="6"/>
      <c r="D8" s="6"/>
      <c r="E8" s="6">
        <v>322</v>
      </c>
      <c r="F8" s="6">
        <v>181</v>
      </c>
      <c r="G8" s="6">
        <v>225</v>
      </c>
      <c r="H8" s="6">
        <v>357</v>
      </c>
      <c r="I8" s="6">
        <v>1085</v>
      </c>
    </row>
    <row r="9" spans="1:9" x14ac:dyDescent="0.35">
      <c r="A9" s="11">
        <v>4</v>
      </c>
      <c r="B9" s="6"/>
      <c r="C9" s="6"/>
      <c r="D9" s="6"/>
      <c r="E9" s="6"/>
      <c r="F9" s="6">
        <v>240</v>
      </c>
      <c r="G9" s="6">
        <v>284</v>
      </c>
      <c r="H9" s="6">
        <v>512</v>
      </c>
      <c r="I9" s="6">
        <v>1036</v>
      </c>
    </row>
    <row r="10" spans="1:9" x14ac:dyDescent="0.35">
      <c r="A10" s="11">
        <v>5</v>
      </c>
      <c r="B10" s="6"/>
      <c r="C10" s="6"/>
      <c r="D10" s="6"/>
      <c r="E10" s="6"/>
      <c r="F10" s="6"/>
      <c r="G10" s="6">
        <v>335</v>
      </c>
      <c r="H10" s="6">
        <v>728</v>
      </c>
      <c r="I10" s="6">
        <v>1063</v>
      </c>
    </row>
    <row r="11" spans="1:9" x14ac:dyDescent="0.35">
      <c r="A11" s="11">
        <v>6</v>
      </c>
      <c r="B11" s="6"/>
      <c r="C11" s="6"/>
      <c r="D11" s="6"/>
      <c r="E11" s="6"/>
      <c r="F11" s="6"/>
      <c r="G11" s="6"/>
      <c r="H11" s="6">
        <v>1203</v>
      </c>
      <c r="I11" s="6">
        <v>1203</v>
      </c>
    </row>
    <row r="12" spans="1:9" x14ac:dyDescent="0.35">
      <c r="A12" s="11" t="s">
        <v>26</v>
      </c>
      <c r="B12" s="6">
        <v>3464</v>
      </c>
      <c r="C12" s="6">
        <v>1091</v>
      </c>
      <c r="D12" s="6">
        <v>890</v>
      </c>
      <c r="E12" s="6">
        <v>706</v>
      </c>
      <c r="F12" s="6">
        <v>654</v>
      </c>
      <c r="G12" s="6">
        <v>1136</v>
      </c>
      <c r="H12" s="6">
        <v>3163</v>
      </c>
      <c r="I12" s="6">
        <v>11104</v>
      </c>
    </row>
  </sheetData>
  <pageMargins left="0.7" right="0.7" top="0.75" bottom="0.75" header="0.3" footer="0.3"/>
  <pageSetup paperSize="9" orientation="portrait" horizontalDpi="1200" verticalDpi="12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E10" sqref="E10"/>
    </sheetView>
  </sheetViews>
  <sheetFormatPr defaultRowHeight="14.5" x14ac:dyDescent="0.35"/>
  <cols>
    <col min="1" max="1" width="11" bestFit="1" customWidth="1"/>
    <col min="6" max="6" width="10.81640625" bestFit="1" customWidth="1"/>
  </cols>
  <sheetData>
    <row r="1" spans="1:14" x14ac:dyDescent="0.35">
      <c r="A1" t="s">
        <v>35</v>
      </c>
      <c r="B1" s="2">
        <f>H1+B6</f>
        <v>1.648742639627939</v>
      </c>
      <c r="D1" s="1" t="s">
        <v>5</v>
      </c>
      <c r="E1" s="2">
        <f>EXP(GAMMALN(B1)+GAMMALN(B2)-GAMMALN(B1+B2))</f>
        <v>0.88896044440339494</v>
      </c>
      <c r="G1" t="s">
        <v>4</v>
      </c>
      <c r="H1" s="2">
        <f>'Parameter Estimation'!B1</f>
        <v>0.64874263962793899</v>
      </c>
      <c r="J1" s="1" t="s">
        <v>5</v>
      </c>
      <c r="K1" s="2">
        <f>EXP(GAMMALN(H1)+GAMMALN(H2)-GAMMALN(H1+H2))</f>
        <v>0.48947433696743675</v>
      </c>
    </row>
    <row r="2" spans="1:14" x14ac:dyDescent="0.35">
      <c r="A2" t="s">
        <v>6</v>
      </c>
      <c r="B2" s="2">
        <v>0.74971424306189594</v>
      </c>
      <c r="D2" s="1"/>
      <c r="E2" s="2"/>
      <c r="G2" t="s">
        <v>6</v>
      </c>
      <c r="H2" s="2">
        <f>'Parameter Estimation'!B2</f>
        <v>5.1522650486944688</v>
      </c>
      <c r="J2" s="1"/>
      <c r="K2" s="2"/>
    </row>
    <row r="3" spans="1:14" x14ac:dyDescent="0.35">
      <c r="A3" t="s">
        <v>36</v>
      </c>
      <c r="B3" s="2">
        <f>H3+B7</f>
        <v>37.226909078078627</v>
      </c>
      <c r="D3" s="1" t="s">
        <v>8</v>
      </c>
      <c r="E3" s="3">
        <f>EXP(GAMMALN(B3)+GAMMALN(B4)-GAMMALN(B3+B4))</f>
        <v>6.5713457517971926E-5</v>
      </c>
      <c r="G3" t="s">
        <v>7</v>
      </c>
      <c r="H3" s="2">
        <f>'Parameter Estimation'!B3</f>
        <v>37.226909078078627</v>
      </c>
      <c r="J3" s="1" t="s">
        <v>8</v>
      </c>
      <c r="K3" s="3">
        <f>EXP(GAMMALN(H3)+GAMMALN(H4)-GAMMALN(H3+H4))</f>
        <v>5.3696245585527273E-57</v>
      </c>
    </row>
    <row r="4" spans="1:14" x14ac:dyDescent="0.35">
      <c r="A4" t="s">
        <v>9</v>
      </c>
      <c r="B4" s="2">
        <v>2.7834080163589801</v>
      </c>
      <c r="G4" t="s">
        <v>9</v>
      </c>
      <c r="H4" s="2">
        <f>'Parameter Estimation'!B4</f>
        <v>416.28279825967843</v>
      </c>
    </row>
    <row r="5" spans="1:14" x14ac:dyDescent="0.35">
      <c r="B5" s="2"/>
      <c r="H5" s="2"/>
    </row>
    <row r="6" spans="1:14" x14ac:dyDescent="0.35">
      <c r="A6" t="s">
        <v>37</v>
      </c>
      <c r="B6" s="6">
        <v>1</v>
      </c>
      <c r="H6" s="2"/>
    </row>
    <row r="7" spans="1:14" x14ac:dyDescent="0.35">
      <c r="A7" t="s">
        <v>38</v>
      </c>
      <c r="B7" s="6">
        <v>0</v>
      </c>
      <c r="H7" s="2"/>
    </row>
    <row r="9" spans="1:14" x14ac:dyDescent="0.35">
      <c r="A9" s="1" t="s">
        <v>0</v>
      </c>
      <c r="B9" s="1" t="s">
        <v>1</v>
      </c>
      <c r="C9" s="1" t="s">
        <v>2</v>
      </c>
      <c r="D9" s="1" t="s">
        <v>3</v>
      </c>
      <c r="E9" s="9" t="s">
        <v>39</v>
      </c>
      <c r="F9" s="1" t="s">
        <v>12</v>
      </c>
      <c r="G9" s="1" t="s">
        <v>11</v>
      </c>
      <c r="I9">
        <v>0</v>
      </c>
      <c r="J9">
        <v>1</v>
      </c>
      <c r="K9">
        <v>2</v>
      </c>
      <c r="L9">
        <v>3</v>
      </c>
      <c r="M9">
        <v>4</v>
      </c>
      <c r="N9">
        <v>5</v>
      </c>
    </row>
    <row r="10" spans="1:14" x14ac:dyDescent="0.35">
      <c r="A10">
        <v>6</v>
      </c>
      <c r="B10">
        <v>6</v>
      </c>
      <c r="C10">
        <v>6</v>
      </c>
      <c r="D10">
        <v>1203</v>
      </c>
      <c r="E10" s="13">
        <f>$E$1/$K$1*$E$3/$K$3*F10/'Parameter Estimation'!F9</f>
        <v>6.5162419865860837E+48</v>
      </c>
      <c r="F10" s="4">
        <f>SUM(H10:N10)</f>
        <v>7.9524580075443609E-7</v>
      </c>
      <c r="G10">
        <f t="shared" ref="G10:G31" si="0">C10-B10-1</f>
        <v>-1</v>
      </c>
      <c r="H10" s="4">
        <f t="shared" ref="H10:H31" si="1">EXP(GAMMALN($B$1+A10)+GAMMALN($B$2+C10-A10)-GAMMALN($B$1+$B$2+C10))/$E$1*EXP(GAMMALN($B$3)+GAMMALN($B$4+C10)-GAMMALN($B$3+$B$4+C10))/$E$3</f>
        <v>7.9524580075443609E-7</v>
      </c>
      <c r="I10">
        <f t="shared" ref="I10:N19" si="2">IF(I$9&lt;=$G10,EXP(GAMMALN($B$1+$A10)+GAMMALN($B$2+$B10-$A10+I$9)-GAMMALN($B$1+$B$2+$B10+I$9))/$E$1*EXP(GAMMALN($B$3+1)+GAMMALN($B$4+$B10+I$9)-GAMMALN($B$3+$B$4+$B10+I$9+1))/$E$3,0)</f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</row>
    <row r="11" spans="1:14" x14ac:dyDescent="0.35">
      <c r="A11">
        <v>5</v>
      </c>
      <c r="B11">
        <v>6</v>
      </c>
      <c r="C11">
        <v>6</v>
      </c>
      <c r="D11">
        <v>728</v>
      </c>
      <c r="E11" s="13">
        <f>$E$1/$K$1*$E$3/$K$3*F11/'Parameter Estimation'!F10</f>
        <v>4.5182730438619962E+47</v>
      </c>
      <c r="F11" s="4">
        <f t="shared" ref="F11:F31" si="3">SUM(H11:N11)</f>
        <v>8.967215846305146E-8</v>
      </c>
      <c r="G11">
        <f t="shared" si="0"/>
        <v>-1</v>
      </c>
      <c r="H11" s="4">
        <f t="shared" si="1"/>
        <v>8.967215846305146E-8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</row>
    <row r="12" spans="1:14" x14ac:dyDescent="0.35">
      <c r="A12">
        <v>4</v>
      </c>
      <c r="B12">
        <v>6</v>
      </c>
      <c r="C12">
        <v>6</v>
      </c>
      <c r="D12">
        <v>512</v>
      </c>
      <c r="E12" s="13">
        <f>$E$1/$K$1*$E$3/$K$3*F12/'Parameter Estimation'!F11</f>
        <v>1.6118098931876614E+47</v>
      </c>
      <c r="F12" s="4">
        <f t="shared" si="3"/>
        <v>2.7776208419939424E-8</v>
      </c>
      <c r="G12">
        <f t="shared" si="0"/>
        <v>-1</v>
      </c>
      <c r="H12" s="4">
        <f t="shared" si="1"/>
        <v>2.7776208419939424E-8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</row>
    <row r="13" spans="1:14" x14ac:dyDescent="0.35">
      <c r="A13">
        <v>3</v>
      </c>
      <c r="B13">
        <v>6</v>
      </c>
      <c r="C13">
        <v>6</v>
      </c>
      <c r="D13">
        <v>357</v>
      </c>
      <c r="E13" s="13">
        <f>$E$1/$K$1*$E$3/$K$3*F13/'Parameter Estimation'!F12</f>
        <v>3.0702423690969791E+46</v>
      </c>
      <c r="F13" s="4">
        <f t="shared" si="3"/>
        <v>1.642952553653865E-8</v>
      </c>
      <c r="G13">
        <f t="shared" si="0"/>
        <v>-1</v>
      </c>
      <c r="H13" s="4">
        <f t="shared" si="1"/>
        <v>1.642952553653865E-8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</row>
    <row r="14" spans="1:14" x14ac:dyDescent="0.35">
      <c r="A14">
        <v>2</v>
      </c>
      <c r="B14">
        <v>6</v>
      </c>
      <c r="C14">
        <v>6</v>
      </c>
      <c r="D14">
        <v>234</v>
      </c>
      <c r="E14" s="13">
        <f>$E$1/$K$1*$E$3/$K$3*F14/'Parameter Estimation'!F13</f>
        <v>9.7976250928591671E+46</v>
      </c>
      <c r="F14" s="4">
        <f t="shared" si="3"/>
        <v>1.6884179564221072E-8</v>
      </c>
      <c r="G14">
        <f t="shared" si="0"/>
        <v>-1</v>
      </c>
      <c r="H14" s="4">
        <f t="shared" si="1"/>
        <v>1.6884179564221072E-8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</row>
    <row r="15" spans="1:14" x14ac:dyDescent="0.35">
      <c r="A15">
        <v>1</v>
      </c>
      <c r="B15">
        <v>6</v>
      </c>
      <c r="C15">
        <v>6</v>
      </c>
      <c r="D15">
        <v>129</v>
      </c>
      <c r="E15" s="13">
        <f>$E$1/$K$1*$E$3/$K$3*F15/'Parameter Estimation'!F14</f>
        <v>6.7115748056405695E+46</v>
      </c>
      <c r="F15" s="4">
        <f t="shared" si="3"/>
        <v>3.0276640304269122E-8</v>
      </c>
      <c r="G15">
        <f t="shared" si="0"/>
        <v>-1</v>
      </c>
      <c r="H15" s="4">
        <f t="shared" si="1"/>
        <v>3.0276640304269122E-8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</row>
    <row r="16" spans="1:14" x14ac:dyDescent="0.35">
      <c r="A16">
        <v>5</v>
      </c>
      <c r="B16">
        <v>5</v>
      </c>
      <c r="C16">
        <v>6</v>
      </c>
      <c r="D16">
        <v>335</v>
      </c>
      <c r="E16" s="13">
        <f>$E$1/$K$1*$E$3/$K$3*F16/'Parameter Estimation'!F15</f>
        <v>1.0797942392277586E+49</v>
      </c>
      <c r="F16" s="4">
        <f t="shared" si="3"/>
        <v>4.3221061179973124E-6</v>
      </c>
      <c r="G16">
        <f t="shared" si="0"/>
        <v>0</v>
      </c>
      <c r="H16" s="4">
        <f t="shared" si="1"/>
        <v>8.967215846305146E-8</v>
      </c>
      <c r="I16" s="4">
        <f t="shared" si="2"/>
        <v>4.2324339595342613E-6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</row>
    <row r="17" spans="1:14" x14ac:dyDescent="0.35">
      <c r="A17">
        <v>4</v>
      </c>
      <c r="B17">
        <v>5</v>
      </c>
      <c r="C17">
        <v>6</v>
      </c>
      <c r="D17">
        <v>284</v>
      </c>
      <c r="E17" s="13">
        <f>$E$1/$K$1*$E$3/$K$3*F17/'Parameter Estimation'!F16</f>
        <v>2.2965958815243434E+47</v>
      </c>
      <c r="F17" s="4">
        <f t="shared" si="3"/>
        <v>5.8951467390093961E-7</v>
      </c>
      <c r="G17">
        <f t="shared" si="0"/>
        <v>0</v>
      </c>
      <c r="H17" s="4">
        <f t="shared" si="1"/>
        <v>2.7776208419939424E-8</v>
      </c>
      <c r="I17" s="4">
        <f t="shared" si="2"/>
        <v>5.617384654810002E-7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</row>
    <row r="18" spans="1:14" x14ac:dyDescent="0.35">
      <c r="A18">
        <v>3</v>
      </c>
      <c r="B18">
        <v>5</v>
      </c>
      <c r="C18">
        <v>6</v>
      </c>
      <c r="D18">
        <v>225</v>
      </c>
      <c r="E18" s="13">
        <f>$E$1/$K$1*$E$3/$K$3*F18/'Parameter Estimation'!F17</f>
        <v>1.3222308323895771E+48</v>
      </c>
      <c r="F18" s="4">
        <f t="shared" si="3"/>
        <v>2.2785912491881478E-7</v>
      </c>
      <c r="G18">
        <f t="shared" si="0"/>
        <v>0</v>
      </c>
      <c r="H18" s="4">
        <f t="shared" si="1"/>
        <v>1.642952553653865E-8</v>
      </c>
      <c r="I18" s="4">
        <f t="shared" si="2"/>
        <v>2.1142959938227614E-7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</row>
    <row r="19" spans="1:14" x14ac:dyDescent="0.35">
      <c r="A19">
        <v>2</v>
      </c>
      <c r="B19">
        <v>5</v>
      </c>
      <c r="C19">
        <v>6</v>
      </c>
      <c r="D19">
        <v>173</v>
      </c>
      <c r="E19" s="13">
        <f>$E$1/$K$1*$E$3/$K$3*F19/'Parameter Estimation'!F18</f>
        <v>3.9063303189593007E+47</v>
      </c>
      <c r="F19" s="4">
        <f t="shared" si="3"/>
        <v>1.7621878829003617E-7</v>
      </c>
      <c r="G19">
        <f t="shared" si="0"/>
        <v>0</v>
      </c>
      <c r="H19" s="4">
        <f t="shared" si="1"/>
        <v>1.6884179564221072E-8</v>
      </c>
      <c r="I19" s="4">
        <f t="shared" si="2"/>
        <v>1.5933460872581509E-7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</row>
    <row r="20" spans="1:14" x14ac:dyDescent="0.35">
      <c r="A20">
        <v>1</v>
      </c>
      <c r="B20">
        <v>5</v>
      </c>
      <c r="C20">
        <v>6</v>
      </c>
      <c r="D20">
        <v>119</v>
      </c>
      <c r="E20" s="13">
        <f>$E$1/$K$1*$E$3/$K$3*F20/'Parameter Estimation'!F19</f>
        <v>6.3916649784536257E+47</v>
      </c>
      <c r="F20" s="4">
        <f t="shared" si="3"/>
        <v>2.558399860266026E-7</v>
      </c>
      <c r="G20">
        <f t="shared" si="0"/>
        <v>0</v>
      </c>
      <c r="H20" s="4">
        <f t="shared" si="1"/>
        <v>3.0276640304269122E-8</v>
      </c>
      <c r="I20" s="4">
        <f t="shared" ref="I20:N31" si="4">IF(I$9&lt;=$G20,EXP(GAMMALN($B$1+$A20)+GAMMALN($B$2+$B20-$A20+I$9)-GAMMALN($B$1+$B$2+$B20+I$9))/$E$1*EXP(GAMMALN($B$3+1)+GAMMALN($B$4+$B20+I$9)-GAMMALN($B$3+$B$4+$B20+I$9+1))/$E$3,0)</f>
        <v>2.255633457223335E-7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</row>
    <row r="21" spans="1:14" x14ac:dyDescent="0.35">
      <c r="A21">
        <v>4</v>
      </c>
      <c r="B21">
        <v>4</v>
      </c>
      <c r="C21">
        <v>6</v>
      </c>
      <c r="D21">
        <v>240</v>
      </c>
      <c r="E21" s="13">
        <f>$E$1/$K$1*$E$3/$K$3*F21/'Parameter Estimation'!F20</f>
        <v>1.4804105594664558E+49</v>
      </c>
      <c r="F21" s="4">
        <f t="shared" si="3"/>
        <v>3.2400548380697414E-5</v>
      </c>
      <c r="G21">
        <f t="shared" si="0"/>
        <v>1</v>
      </c>
      <c r="H21" s="4">
        <f t="shared" si="1"/>
        <v>2.7776208419939424E-8</v>
      </c>
      <c r="I21" s="4">
        <f t="shared" si="4"/>
        <v>3.1811033706796473E-5</v>
      </c>
      <c r="J21" s="4">
        <f t="shared" si="4"/>
        <v>5.617384654810002E-7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</row>
    <row r="22" spans="1:14" x14ac:dyDescent="0.35">
      <c r="A22">
        <v>3</v>
      </c>
      <c r="B22">
        <v>4</v>
      </c>
      <c r="C22">
        <v>6</v>
      </c>
      <c r="D22">
        <v>181</v>
      </c>
      <c r="E22" s="13">
        <f>$E$1/$K$1*$E$3/$K$3*F22/'Parameter Estimation'!F21</f>
        <v>1.3386180179088059E+49</v>
      </c>
      <c r="F22" s="4">
        <f t="shared" si="3"/>
        <v>5.3581033447657905E-6</v>
      </c>
      <c r="G22">
        <f t="shared" si="0"/>
        <v>1</v>
      </c>
      <c r="H22" s="4">
        <f t="shared" si="1"/>
        <v>1.642952553653865E-8</v>
      </c>
      <c r="I22" s="4">
        <f t="shared" si="4"/>
        <v>5.1302442198469762E-6</v>
      </c>
      <c r="J22" s="4">
        <f t="shared" si="4"/>
        <v>2.1142959938227614E-7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</row>
    <row r="23" spans="1:14" x14ac:dyDescent="0.35">
      <c r="A23">
        <v>2</v>
      </c>
      <c r="B23">
        <v>4</v>
      </c>
      <c r="C23">
        <v>6</v>
      </c>
      <c r="D23">
        <v>155</v>
      </c>
      <c r="E23" s="13">
        <f>$E$1/$K$1*$E$3/$K$3*F23/'Parameter Estimation'!F22</f>
        <v>1.3687691094819652E+48</v>
      </c>
      <c r="F23" s="4">
        <f t="shared" si="3"/>
        <v>2.6363707552611968E-6</v>
      </c>
      <c r="G23">
        <f t="shared" si="0"/>
        <v>1</v>
      </c>
      <c r="H23" s="4">
        <f t="shared" si="1"/>
        <v>1.6884179564221072E-8</v>
      </c>
      <c r="I23" s="4">
        <f t="shared" si="4"/>
        <v>2.4601519669711608E-6</v>
      </c>
      <c r="J23" s="4">
        <f t="shared" si="4"/>
        <v>1.5933460872581509E-7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</row>
    <row r="24" spans="1:14" x14ac:dyDescent="0.35">
      <c r="A24">
        <v>1</v>
      </c>
      <c r="B24">
        <v>4</v>
      </c>
      <c r="C24">
        <v>6</v>
      </c>
      <c r="D24">
        <v>78</v>
      </c>
      <c r="E24" s="13">
        <f>$E$1/$K$1*$E$3/$K$3*F24/'Parameter Estimation'!F23</f>
        <v>1.6181780166891608E+48</v>
      </c>
      <c r="F24" s="4">
        <f t="shared" si="3"/>
        <v>2.809774370768323E-6</v>
      </c>
      <c r="G24">
        <f t="shared" si="0"/>
        <v>1</v>
      </c>
      <c r="H24" s="4">
        <f t="shared" si="1"/>
        <v>3.0276640304269122E-8</v>
      </c>
      <c r="I24" s="4">
        <f t="shared" si="4"/>
        <v>2.5539343847417205E-6</v>
      </c>
      <c r="J24" s="4">
        <f t="shared" si="4"/>
        <v>2.255633457223335E-7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</row>
    <row r="25" spans="1:14" x14ac:dyDescent="0.35">
      <c r="A25">
        <v>3</v>
      </c>
      <c r="B25">
        <v>3</v>
      </c>
      <c r="C25">
        <v>6</v>
      </c>
      <c r="D25">
        <v>322</v>
      </c>
      <c r="E25" s="13">
        <f>$E$1/$K$1*$E$3/$K$3*F25/'Parameter Estimation'!F24</f>
        <v>8.6551303817566641E+48</v>
      </c>
      <c r="F25" s="4">
        <f t="shared" si="3"/>
        <v>2.8647217152508696E-4</v>
      </c>
      <c r="G25">
        <f t="shared" si="0"/>
        <v>2</v>
      </c>
      <c r="H25" s="4">
        <f t="shared" si="1"/>
        <v>1.642952553653865E-8</v>
      </c>
      <c r="I25" s="4">
        <f t="shared" si="4"/>
        <v>2.8111406818032115E-4</v>
      </c>
      <c r="J25" s="4">
        <f t="shared" si="4"/>
        <v>5.1302442198469762E-6</v>
      </c>
      <c r="K25" s="4">
        <f t="shared" si="4"/>
        <v>2.1142959938227614E-7</v>
      </c>
      <c r="L25">
        <f t="shared" si="4"/>
        <v>0</v>
      </c>
      <c r="M25">
        <f t="shared" si="4"/>
        <v>0</v>
      </c>
      <c r="N25">
        <f t="shared" si="4"/>
        <v>0</v>
      </c>
    </row>
    <row r="26" spans="1:14" x14ac:dyDescent="0.35">
      <c r="A26">
        <v>2</v>
      </c>
      <c r="B26">
        <v>3</v>
      </c>
      <c r="C26">
        <v>6</v>
      </c>
      <c r="D26">
        <v>255</v>
      </c>
      <c r="E26" s="13" t="e">
        <f>$E$1/$K$1*$E$3/$K$3*F26/'Parameter Estimation'!F25</f>
        <v>#DIV/0!</v>
      </c>
      <c r="F26" s="4">
        <f t="shared" si="3"/>
        <v>6.0397424810131528E-5</v>
      </c>
      <c r="G26">
        <f t="shared" si="0"/>
        <v>2</v>
      </c>
      <c r="H26" s="4">
        <f t="shared" si="1"/>
        <v>1.6884179564221072E-8</v>
      </c>
      <c r="I26" s="4">
        <f t="shared" si="4"/>
        <v>5.7761054054870333E-5</v>
      </c>
      <c r="J26" s="4">
        <f t="shared" si="4"/>
        <v>2.4601519669711608E-6</v>
      </c>
      <c r="K26" s="4">
        <f t="shared" si="4"/>
        <v>1.5933460872581509E-7</v>
      </c>
      <c r="L26">
        <f t="shared" si="4"/>
        <v>0</v>
      </c>
      <c r="M26">
        <f t="shared" si="4"/>
        <v>0</v>
      </c>
      <c r="N26">
        <f t="shared" si="4"/>
        <v>0</v>
      </c>
    </row>
    <row r="27" spans="1:14" x14ac:dyDescent="0.35">
      <c r="A27">
        <v>1</v>
      </c>
      <c r="B27">
        <v>3</v>
      </c>
      <c r="C27">
        <v>6</v>
      </c>
      <c r="D27">
        <v>129</v>
      </c>
      <c r="E27" s="13" t="e">
        <f>$E$1/$K$1*$E$3/$K$3*F27/'Parameter Estimation'!F26</f>
        <v>#DIV/0!</v>
      </c>
      <c r="F27" s="4">
        <f t="shared" si="3"/>
        <v>4.09657422107662E-5</v>
      </c>
      <c r="G27">
        <f t="shared" si="0"/>
        <v>2</v>
      </c>
      <c r="H27" s="4">
        <f t="shared" si="1"/>
        <v>3.0276640304269122E-8</v>
      </c>
      <c r="I27" s="4">
        <f t="shared" si="4"/>
        <v>3.815596783999788E-5</v>
      </c>
      <c r="J27" s="4">
        <f t="shared" si="4"/>
        <v>2.5539343847417205E-6</v>
      </c>
      <c r="K27" s="4">
        <f t="shared" si="4"/>
        <v>2.255633457223335E-7</v>
      </c>
      <c r="L27">
        <f t="shared" si="4"/>
        <v>0</v>
      </c>
      <c r="M27">
        <f t="shared" si="4"/>
        <v>0</v>
      </c>
      <c r="N27">
        <f t="shared" si="4"/>
        <v>0</v>
      </c>
    </row>
    <row r="28" spans="1:14" x14ac:dyDescent="0.35">
      <c r="A28">
        <v>2</v>
      </c>
      <c r="B28">
        <v>2</v>
      </c>
      <c r="C28">
        <v>6</v>
      </c>
      <c r="D28">
        <v>613</v>
      </c>
      <c r="E28" s="13" t="e">
        <f>$E$1/$K$1*$E$3/$K$3*F28/'Parameter Estimation'!F27</f>
        <v>#DIV/0!</v>
      </c>
      <c r="F28" s="4">
        <f t="shared" si="3"/>
        <v>3.1074146169262134E-3</v>
      </c>
      <c r="G28">
        <f t="shared" si="0"/>
        <v>3</v>
      </c>
      <c r="H28" s="4">
        <f t="shared" si="1"/>
        <v>1.6884179564221072E-8</v>
      </c>
      <c r="I28" s="4">
        <f t="shared" si="4"/>
        <v>3.0470171921160821E-3</v>
      </c>
      <c r="J28" s="4">
        <f t="shared" si="4"/>
        <v>5.7761054054870333E-5</v>
      </c>
      <c r="K28" s="4">
        <f t="shared" si="4"/>
        <v>2.4601519669711608E-6</v>
      </c>
      <c r="L28" s="4">
        <f t="shared" si="4"/>
        <v>1.5933460872581509E-7</v>
      </c>
      <c r="M28">
        <f t="shared" si="4"/>
        <v>0</v>
      </c>
      <c r="N28">
        <f t="shared" si="4"/>
        <v>0</v>
      </c>
    </row>
    <row r="29" spans="1:14" x14ac:dyDescent="0.35">
      <c r="A29">
        <v>1</v>
      </c>
      <c r="B29">
        <v>2</v>
      </c>
      <c r="C29">
        <v>6</v>
      </c>
      <c r="D29">
        <v>277</v>
      </c>
      <c r="E29" s="13" t="e">
        <f>$E$1/$K$1*$E$3/$K$3*F29/'Parameter Estimation'!F28</f>
        <v>#DIV/0!</v>
      </c>
      <c r="F29" s="4">
        <f t="shared" si="3"/>
        <v>9.0340973869687806E-4</v>
      </c>
      <c r="G29">
        <f t="shared" si="0"/>
        <v>3</v>
      </c>
      <c r="H29" s="4">
        <f t="shared" si="1"/>
        <v>3.0276640304269122E-8</v>
      </c>
      <c r="I29" s="4">
        <f t="shared" si="4"/>
        <v>8.6244399648611179E-4</v>
      </c>
      <c r="J29" s="4">
        <f t="shared" si="4"/>
        <v>3.815596783999788E-5</v>
      </c>
      <c r="K29" s="4">
        <f t="shared" si="4"/>
        <v>2.5539343847417205E-6</v>
      </c>
      <c r="L29" s="4">
        <f t="shared" si="4"/>
        <v>2.255633457223335E-7</v>
      </c>
      <c r="M29">
        <f t="shared" si="4"/>
        <v>0</v>
      </c>
      <c r="N29">
        <f t="shared" si="4"/>
        <v>0</v>
      </c>
    </row>
    <row r="30" spans="1:14" x14ac:dyDescent="0.35">
      <c r="A30">
        <v>1</v>
      </c>
      <c r="B30">
        <v>1</v>
      </c>
      <c r="C30">
        <v>6</v>
      </c>
      <c r="D30">
        <v>1091</v>
      </c>
      <c r="E30" s="13" t="e">
        <f>$E$1/$K$1*$E$3/$K$3*F30/'Parameter Estimation'!F29</f>
        <v>#DIV/0!</v>
      </c>
      <c r="F30" s="4">
        <f t="shared" si="3"/>
        <v>4.4313399750726193E-2</v>
      </c>
      <c r="G30">
        <f t="shared" si="0"/>
        <v>4</v>
      </c>
      <c r="H30" s="4">
        <f t="shared" si="1"/>
        <v>3.0276640304269122E-8</v>
      </c>
      <c r="I30" s="4">
        <f t="shared" si="4"/>
        <v>4.3409990012029311E-2</v>
      </c>
      <c r="J30" s="4">
        <f t="shared" si="4"/>
        <v>8.6244399648611179E-4</v>
      </c>
      <c r="K30" s="4">
        <f t="shared" si="4"/>
        <v>3.815596783999788E-5</v>
      </c>
      <c r="L30" s="4">
        <f t="shared" si="4"/>
        <v>2.5539343847417205E-6</v>
      </c>
      <c r="M30" s="4">
        <f t="shared" si="4"/>
        <v>2.255633457223335E-7</v>
      </c>
      <c r="N30">
        <f t="shared" si="4"/>
        <v>0</v>
      </c>
    </row>
    <row r="31" spans="1:14" x14ac:dyDescent="0.35">
      <c r="A31">
        <v>0</v>
      </c>
      <c r="B31">
        <v>0</v>
      </c>
      <c r="C31">
        <v>6</v>
      </c>
      <c r="D31">
        <v>3464</v>
      </c>
      <c r="E31" s="13" t="e">
        <f>$E$1/$K$1*$E$3/$K$3*F31/'Parameter Estimation'!F30</f>
        <v>#DIV/0!</v>
      </c>
      <c r="F31" s="4">
        <f t="shared" si="3"/>
        <v>0.95115754098906913</v>
      </c>
      <c r="G31">
        <f t="shared" si="0"/>
        <v>5</v>
      </c>
      <c r="H31" s="4">
        <f t="shared" si="1"/>
        <v>1.0558472001961565E-7</v>
      </c>
      <c r="I31" s="4">
        <f t="shared" si="4"/>
        <v>0.93043274289005795</v>
      </c>
      <c r="J31" s="4">
        <f t="shared" si="4"/>
        <v>1.9739337735898706E-2</v>
      </c>
      <c r="K31" s="4">
        <f t="shared" si="4"/>
        <v>9.1526142905815002E-4</v>
      </c>
      <c r="L31" s="4">
        <f t="shared" si="4"/>
        <v>6.3635163976307396E-5</v>
      </c>
      <c r="M31" s="4">
        <f t="shared" si="4"/>
        <v>5.808380221471447E-6</v>
      </c>
      <c r="N31" s="4">
        <f t="shared" si="4"/>
        <v>6.4980513643525911E-7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7" sqref="A2:D17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>
        <v>4</v>
      </c>
      <c r="B2">
        <v>4</v>
      </c>
      <c r="C2">
        <v>4</v>
      </c>
      <c r="D2">
        <v>18</v>
      </c>
    </row>
    <row r="3" spans="1:4" x14ac:dyDescent="0.35">
      <c r="A3">
        <v>3</v>
      </c>
      <c r="B3">
        <v>3</v>
      </c>
      <c r="C3">
        <v>4</v>
      </c>
      <c r="D3">
        <v>34</v>
      </c>
    </row>
    <row r="4" spans="1:4" x14ac:dyDescent="0.35">
      <c r="A4">
        <v>3</v>
      </c>
      <c r="B4">
        <v>4</v>
      </c>
      <c r="C4">
        <v>4</v>
      </c>
      <c r="D4">
        <v>36</v>
      </c>
    </row>
    <row r="5" spans="1:4" x14ac:dyDescent="0.35">
      <c r="A5">
        <v>2</v>
      </c>
      <c r="B5">
        <v>2</v>
      </c>
      <c r="C5">
        <v>4</v>
      </c>
      <c r="D5">
        <v>64</v>
      </c>
    </row>
    <row r="6" spans="1:4" x14ac:dyDescent="0.35">
      <c r="A6">
        <v>3</v>
      </c>
      <c r="B6">
        <v>4</v>
      </c>
      <c r="C6">
        <v>4</v>
      </c>
      <c r="D6">
        <v>14</v>
      </c>
    </row>
    <row r="7" spans="1:4" x14ac:dyDescent="0.35">
      <c r="A7">
        <v>2</v>
      </c>
      <c r="B7">
        <v>3</v>
      </c>
      <c r="C7">
        <v>4</v>
      </c>
      <c r="D7">
        <v>62</v>
      </c>
    </row>
    <row r="8" spans="1:4" x14ac:dyDescent="0.35">
      <c r="A8">
        <v>2</v>
      </c>
      <c r="B8">
        <v>4</v>
      </c>
      <c r="C8">
        <v>4</v>
      </c>
      <c r="D8">
        <v>18</v>
      </c>
    </row>
    <row r="9" spans="1:4" x14ac:dyDescent="0.35">
      <c r="A9">
        <v>1</v>
      </c>
      <c r="B9">
        <v>1</v>
      </c>
      <c r="C9">
        <v>4</v>
      </c>
      <c r="D9">
        <v>302</v>
      </c>
    </row>
    <row r="10" spans="1:4" x14ac:dyDescent="0.35">
      <c r="A10">
        <v>3</v>
      </c>
      <c r="B10">
        <v>4</v>
      </c>
      <c r="C10">
        <v>4</v>
      </c>
      <c r="D10">
        <v>16</v>
      </c>
    </row>
    <row r="11" spans="1:4" x14ac:dyDescent="0.35">
      <c r="A11">
        <v>2</v>
      </c>
      <c r="B11">
        <v>3</v>
      </c>
      <c r="C11">
        <v>4</v>
      </c>
      <c r="D11">
        <v>118</v>
      </c>
    </row>
    <row r="12" spans="1:4" x14ac:dyDescent="0.35">
      <c r="A12">
        <v>2</v>
      </c>
      <c r="B12">
        <v>4</v>
      </c>
      <c r="C12">
        <v>4</v>
      </c>
      <c r="D12">
        <v>36</v>
      </c>
    </row>
    <row r="13" spans="1:4" x14ac:dyDescent="0.35">
      <c r="A13">
        <v>1</v>
      </c>
      <c r="B13">
        <v>2</v>
      </c>
      <c r="C13">
        <v>4</v>
      </c>
      <c r="D13">
        <v>342</v>
      </c>
    </row>
    <row r="14" spans="1:4" x14ac:dyDescent="0.35">
      <c r="A14">
        <v>2</v>
      </c>
      <c r="B14">
        <v>4</v>
      </c>
      <c r="C14">
        <v>4</v>
      </c>
      <c r="D14">
        <v>44</v>
      </c>
    </row>
    <row r="15" spans="1:4" x14ac:dyDescent="0.35">
      <c r="A15">
        <v>1</v>
      </c>
      <c r="B15">
        <v>3</v>
      </c>
      <c r="C15">
        <v>4</v>
      </c>
      <c r="D15">
        <v>292</v>
      </c>
    </row>
    <row r="16" spans="1:4" x14ac:dyDescent="0.35">
      <c r="A16">
        <v>1</v>
      </c>
      <c r="B16">
        <v>4</v>
      </c>
      <c r="C16">
        <v>4</v>
      </c>
      <c r="D16">
        <v>216</v>
      </c>
    </row>
    <row r="17" spans="1:4" x14ac:dyDescent="0.35">
      <c r="A17">
        <v>0</v>
      </c>
      <c r="B17">
        <v>0</v>
      </c>
      <c r="C17">
        <v>4</v>
      </c>
      <c r="D17">
        <v>4482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110" zoomScaleNormal="110" workbookViewId="0">
      <selection activeCell="A8" sqref="A8:D24"/>
    </sheetView>
  </sheetViews>
  <sheetFormatPr defaultRowHeight="14.5" x14ac:dyDescent="0.35"/>
  <cols>
    <col min="6" max="6" width="10.81640625" bestFit="1" customWidth="1"/>
  </cols>
  <sheetData>
    <row r="1" spans="1:14" x14ac:dyDescent="0.35">
      <c r="A1" t="s">
        <v>4</v>
      </c>
      <c r="B1" s="23">
        <v>0.64874263962793899</v>
      </c>
      <c r="D1" s="1" t="s">
        <v>5</v>
      </c>
      <c r="E1" s="2">
        <f>EXP(GAMMALN(B1)+GAMMALN(B2)-GAMMALN(B1+B2))</f>
        <v>0.48947433696743675</v>
      </c>
    </row>
    <row r="2" spans="1:14" x14ac:dyDescent="0.35">
      <c r="A2" t="s">
        <v>6</v>
      </c>
      <c r="B2" s="23">
        <v>5.1522650486944688</v>
      </c>
      <c r="D2" s="1"/>
      <c r="E2" s="2"/>
      <c r="G2" t="s">
        <v>59</v>
      </c>
    </row>
    <row r="3" spans="1:14" x14ac:dyDescent="0.35">
      <c r="A3" t="s">
        <v>7</v>
      </c>
      <c r="B3" s="23">
        <v>37.226909078078627</v>
      </c>
      <c r="D3" s="1" t="s">
        <v>8</v>
      </c>
      <c r="E3" s="3">
        <f>EXP(GAMMALN(B3)+GAMMALN(B4)-GAMMALN(B3+B4))</f>
        <v>5.3696245585527273E-57</v>
      </c>
    </row>
    <row r="4" spans="1:14" x14ac:dyDescent="0.35">
      <c r="A4" t="s">
        <v>9</v>
      </c>
      <c r="B4" s="23">
        <v>416.28279825967843</v>
      </c>
    </row>
    <row r="6" spans="1:14" x14ac:dyDescent="0.35">
      <c r="A6" t="s">
        <v>10</v>
      </c>
      <c r="B6" s="19">
        <f>SUM(E9:E30)</f>
        <v>-7130.7944480991109</v>
      </c>
    </row>
    <row r="8" spans="1:14" x14ac:dyDescent="0.35">
      <c r="A8" s="1" t="s">
        <v>0</v>
      </c>
      <c r="B8" s="1" t="s">
        <v>1</v>
      </c>
      <c r="C8" s="1" t="s">
        <v>2</v>
      </c>
      <c r="D8" s="1" t="s">
        <v>3</v>
      </c>
      <c r="F8" s="1" t="s">
        <v>12</v>
      </c>
      <c r="G8" s="1" t="s">
        <v>11</v>
      </c>
      <c r="I8">
        <v>0</v>
      </c>
      <c r="J8">
        <v>1</v>
      </c>
      <c r="K8">
        <v>2</v>
      </c>
      <c r="L8">
        <v>3</v>
      </c>
      <c r="M8">
        <v>4</v>
      </c>
      <c r="N8">
        <v>5</v>
      </c>
    </row>
    <row r="9" spans="1:14" x14ac:dyDescent="0.35">
      <c r="A9">
        <v>4</v>
      </c>
      <c r="B9">
        <v>4</v>
      </c>
      <c r="C9">
        <v>4</v>
      </c>
      <c r="D9">
        <v>18</v>
      </c>
      <c r="E9" s="5">
        <f>D9*LN(F9)</f>
        <v>-106.37803228914383</v>
      </c>
      <c r="F9" s="4">
        <f>SUM(H9:N9)</f>
        <v>2.7124833924585933E-3</v>
      </c>
      <c r="G9">
        <f t="shared" ref="G9:G30" si="0">C9-B9-1</f>
        <v>-1</v>
      </c>
      <c r="H9" s="4">
        <f>EXP(GAMMALN($B$1+A9)+GAMMALN($B$2+C9-A9)-GAMMALN($B$1+$B$2+C9))/$E$1*EXP(GAMMALN($B$3)+GAMMALN($B$4+C9)-GAMMALN($B$3+$B$4+C9))/$E$3</f>
        <v>2.7124833924585933E-3</v>
      </c>
      <c r="I9">
        <f t="shared" ref="I9:N24" si="1">IF(I$8&lt;=$G9,EXP(GAMMALN($B$1+$A9)+GAMMALN($B$2+$B9-$A9+I$8)-GAMMALN($B$1+$B$2+$B9+I$8))/$E$1*EXP(GAMMALN($B$3+1)+GAMMALN($B$4+$B9+I$8)-GAMMALN($B$3+$B$4+$B9+I$8+1))/$E$3,0)</f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</row>
    <row r="10" spans="1:14" x14ac:dyDescent="0.35">
      <c r="A10">
        <v>3</v>
      </c>
      <c r="B10">
        <v>3</v>
      </c>
      <c r="C10">
        <v>4</v>
      </c>
      <c r="D10">
        <v>34</v>
      </c>
      <c r="E10" s="5">
        <f t="shared" ref="E10:E30" si="2">D10*LN(F10)</f>
        <v>-184.4033699396893</v>
      </c>
      <c r="F10" s="4">
        <f t="shared" ref="F10:F30" si="3">SUM(H10:N10)</f>
        <v>4.4111117330217619E-3</v>
      </c>
      <c r="G10">
        <f t="shared" si="0"/>
        <v>0</v>
      </c>
      <c r="H10" s="4">
        <f t="shared" ref="H10:H30" si="4">EXP(GAMMALN($B$1+A10)+GAMMALN($B$2+C10-A10)-GAMMALN($B$1+$B$2+C10))/$E$1*EXP(GAMMALN($B$3)+GAMMALN($B$4+C10)-GAMMALN($B$3+$B$4+C10))/$E$3</f>
        <v>3.830205294926935E-3</v>
      </c>
      <c r="I10">
        <f t="shared" si="1"/>
        <v>5.8090643809482676E-4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1:14" x14ac:dyDescent="0.35">
      <c r="A11">
        <v>3</v>
      </c>
      <c r="B11">
        <v>4</v>
      </c>
      <c r="C11">
        <v>4</v>
      </c>
      <c r="D11">
        <v>36</v>
      </c>
      <c r="E11" s="5">
        <f t="shared" si="2"/>
        <v>-200.33412751503033</v>
      </c>
      <c r="F11" s="4">
        <f t="shared" si="3"/>
        <v>3.830205294926935E-3</v>
      </c>
      <c r="G11">
        <f t="shared" si="0"/>
        <v>-1</v>
      </c>
      <c r="H11" s="4">
        <f t="shared" si="4"/>
        <v>3.830205294926935E-3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1:14" x14ac:dyDescent="0.35">
      <c r="A12">
        <v>2</v>
      </c>
      <c r="B12">
        <v>2</v>
      </c>
      <c r="C12">
        <v>4</v>
      </c>
      <c r="D12">
        <v>64</v>
      </c>
      <c r="E12" s="5">
        <f t="shared" si="2"/>
        <v>-283.63202380287504</v>
      </c>
      <c r="F12" s="4">
        <f t="shared" si="3"/>
        <v>1.1893653125799491E-2</v>
      </c>
      <c r="G12">
        <f t="shared" si="0"/>
        <v>1</v>
      </c>
      <c r="H12" s="4">
        <f t="shared" si="4"/>
        <v>8.8964619713350155E-3</v>
      </c>
      <c r="I12">
        <f t="shared" si="1"/>
        <v>1.8672271131191874E-3</v>
      </c>
      <c r="J12">
        <f t="shared" si="1"/>
        <v>1.1299640413452887E-3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1:14" x14ac:dyDescent="0.35">
      <c r="A13">
        <v>3</v>
      </c>
      <c r="B13">
        <v>4</v>
      </c>
      <c r="C13">
        <v>4</v>
      </c>
      <c r="D13">
        <v>14</v>
      </c>
      <c r="E13" s="5">
        <f t="shared" si="2"/>
        <v>-77.907716255845116</v>
      </c>
      <c r="F13" s="4">
        <f t="shared" si="3"/>
        <v>3.830205294926935E-3</v>
      </c>
      <c r="G13">
        <f t="shared" si="0"/>
        <v>-1</v>
      </c>
      <c r="H13" s="4">
        <f t="shared" si="4"/>
        <v>3.830205294926935E-3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1:14" x14ac:dyDescent="0.35">
      <c r="A14">
        <v>2</v>
      </c>
      <c r="B14">
        <v>3</v>
      </c>
      <c r="C14">
        <v>4</v>
      </c>
      <c r="D14">
        <v>62</v>
      </c>
      <c r="E14" s="5">
        <f t="shared" si="2"/>
        <v>-285.35692635559684</v>
      </c>
      <c r="F14" s="4">
        <f t="shared" si="3"/>
        <v>1.0026426012680304E-2</v>
      </c>
      <c r="G14">
        <f t="shared" si="0"/>
        <v>0</v>
      </c>
      <c r="H14" s="4">
        <f t="shared" si="4"/>
        <v>8.8964619713350155E-3</v>
      </c>
      <c r="I14">
        <f t="shared" si="1"/>
        <v>1.1299640413452887E-3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1:14" x14ac:dyDescent="0.35">
      <c r="A15">
        <v>2</v>
      </c>
      <c r="B15">
        <v>4</v>
      </c>
      <c r="C15">
        <v>4</v>
      </c>
      <c r="D15">
        <v>18</v>
      </c>
      <c r="E15" s="5">
        <f t="shared" si="2"/>
        <v>-84.997829026642208</v>
      </c>
      <c r="F15" s="4">
        <f t="shared" si="3"/>
        <v>8.8964619713350155E-3</v>
      </c>
      <c r="G15">
        <f t="shared" si="0"/>
        <v>-1</v>
      </c>
      <c r="H15" s="4">
        <f t="shared" si="4"/>
        <v>8.8964619713350155E-3</v>
      </c>
      <c r="I15" s="4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1:14" x14ac:dyDescent="0.35">
      <c r="A16">
        <v>1</v>
      </c>
      <c r="B16">
        <v>1</v>
      </c>
      <c r="C16">
        <v>4</v>
      </c>
      <c r="D16">
        <v>302</v>
      </c>
      <c r="E16" s="5">
        <f t="shared" si="2"/>
        <v>-864.86378751751442</v>
      </c>
      <c r="F16" s="4">
        <f t="shared" si="3"/>
        <v>5.7052272163515452E-2</v>
      </c>
      <c r="G16">
        <f t="shared" si="0"/>
        <v>2</v>
      </c>
      <c r="H16" s="4">
        <f t="shared" si="4"/>
        <v>3.8592957133065778E-2</v>
      </c>
      <c r="I16" s="4">
        <f t="shared" si="1"/>
        <v>8.4078449753726744E-3</v>
      </c>
      <c r="J16">
        <f t="shared" si="1"/>
        <v>5.8350216472048341E-3</v>
      </c>
      <c r="K16">
        <f t="shared" si="1"/>
        <v>4.2164484078721642E-3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1:14" x14ac:dyDescent="0.35">
      <c r="A17">
        <v>3</v>
      </c>
      <c r="B17">
        <v>4</v>
      </c>
      <c r="C17">
        <v>4</v>
      </c>
      <c r="D17">
        <v>16</v>
      </c>
      <c r="E17" s="5">
        <f t="shared" si="2"/>
        <v>-89.037390006680141</v>
      </c>
      <c r="F17" s="4">
        <f t="shared" si="3"/>
        <v>3.830205294926935E-3</v>
      </c>
      <c r="G17">
        <f t="shared" si="0"/>
        <v>-1</v>
      </c>
      <c r="H17" s="4">
        <f t="shared" si="4"/>
        <v>3.830205294926935E-3</v>
      </c>
      <c r="I17" s="4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1:14" x14ac:dyDescent="0.35">
      <c r="A18">
        <v>2</v>
      </c>
      <c r="B18">
        <v>3</v>
      </c>
      <c r="C18">
        <v>4</v>
      </c>
      <c r="D18">
        <v>118</v>
      </c>
      <c r="E18" s="5">
        <f t="shared" si="2"/>
        <v>-543.09866628968427</v>
      </c>
      <c r="F18" s="4">
        <f t="shared" si="3"/>
        <v>1.0026426012680304E-2</v>
      </c>
      <c r="G18">
        <f t="shared" si="0"/>
        <v>0</v>
      </c>
      <c r="H18" s="4">
        <f t="shared" si="4"/>
        <v>8.8964619713350155E-3</v>
      </c>
      <c r="I18" s="4">
        <f t="shared" si="1"/>
        <v>1.1299640413452887E-3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1:14" x14ac:dyDescent="0.35">
      <c r="A19">
        <v>2</v>
      </c>
      <c r="B19">
        <v>4</v>
      </c>
      <c r="C19">
        <v>4</v>
      </c>
      <c r="D19">
        <v>36</v>
      </c>
      <c r="E19" s="5">
        <f t="shared" si="2"/>
        <v>-169.99565805328442</v>
      </c>
      <c r="F19" s="4">
        <f t="shared" si="3"/>
        <v>8.8964619713350155E-3</v>
      </c>
      <c r="G19">
        <f t="shared" si="0"/>
        <v>-1</v>
      </c>
      <c r="H19" s="4">
        <f t="shared" si="4"/>
        <v>8.8964619713350155E-3</v>
      </c>
      <c r="I19" s="4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1:14" x14ac:dyDescent="0.35">
      <c r="A20">
        <v>1</v>
      </c>
      <c r="B20">
        <v>2</v>
      </c>
      <c r="C20">
        <v>4</v>
      </c>
      <c r="D20">
        <v>342</v>
      </c>
      <c r="E20" s="5">
        <f t="shared" si="2"/>
        <v>-1033.9405648828281</v>
      </c>
      <c r="F20" s="4">
        <f t="shared" si="3"/>
        <v>4.8644427188142776E-2</v>
      </c>
      <c r="G20">
        <f t="shared" si="0"/>
        <v>1</v>
      </c>
      <c r="H20" s="4">
        <f t="shared" si="4"/>
        <v>3.8592957133065778E-2</v>
      </c>
      <c r="I20" s="4">
        <f t="shared" si="1"/>
        <v>5.8350216472048341E-3</v>
      </c>
      <c r="J20" s="4">
        <f t="shared" si="1"/>
        <v>4.2164484078721642E-3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1:14" x14ac:dyDescent="0.35">
      <c r="A21">
        <v>2</v>
      </c>
      <c r="B21">
        <v>4</v>
      </c>
      <c r="C21">
        <v>4</v>
      </c>
      <c r="D21">
        <v>44</v>
      </c>
      <c r="E21" s="5">
        <f t="shared" si="2"/>
        <v>-207.7724709540143</v>
      </c>
      <c r="F21" s="4">
        <f t="shared" si="3"/>
        <v>8.8964619713350155E-3</v>
      </c>
      <c r="G21">
        <f t="shared" si="0"/>
        <v>-1</v>
      </c>
      <c r="H21" s="4">
        <f t="shared" si="4"/>
        <v>8.8964619713350155E-3</v>
      </c>
      <c r="I21" s="4">
        <f t="shared" si="1"/>
        <v>0</v>
      </c>
      <c r="J21" s="4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1:14" x14ac:dyDescent="0.35">
      <c r="A22">
        <v>1</v>
      </c>
      <c r="B22">
        <v>3</v>
      </c>
      <c r="C22">
        <v>4</v>
      </c>
      <c r="D22">
        <v>292</v>
      </c>
      <c r="E22" s="5">
        <f t="shared" si="2"/>
        <v>-920.09125391305599</v>
      </c>
      <c r="F22" s="4">
        <f t="shared" si="3"/>
        <v>4.2809405540937942E-2</v>
      </c>
      <c r="G22">
        <f t="shared" si="0"/>
        <v>0</v>
      </c>
      <c r="H22" s="4">
        <f t="shared" si="4"/>
        <v>3.8592957133065778E-2</v>
      </c>
      <c r="I22" s="4">
        <f t="shared" si="1"/>
        <v>4.2164484078721642E-3</v>
      </c>
      <c r="J22" s="4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1:14" x14ac:dyDescent="0.35">
      <c r="A23">
        <v>1</v>
      </c>
      <c r="B23">
        <v>4</v>
      </c>
      <c r="C23">
        <v>4</v>
      </c>
      <c r="D23">
        <v>216</v>
      </c>
      <c r="E23" s="5">
        <f t="shared" si="2"/>
        <v>-703.01206299989769</v>
      </c>
      <c r="F23" s="4">
        <f t="shared" si="3"/>
        <v>3.8592957133065778E-2</v>
      </c>
      <c r="G23">
        <f t="shared" si="0"/>
        <v>-1</v>
      </c>
      <c r="H23" s="4">
        <f t="shared" si="4"/>
        <v>3.8592957133065778E-2</v>
      </c>
      <c r="I23" s="4">
        <f t="shared" si="1"/>
        <v>0</v>
      </c>
      <c r="J23" s="4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1:14" x14ac:dyDescent="0.35">
      <c r="A24">
        <v>0</v>
      </c>
      <c r="B24">
        <v>0</v>
      </c>
      <c r="C24">
        <v>4</v>
      </c>
      <c r="D24">
        <v>4482</v>
      </c>
      <c r="E24" s="5">
        <f t="shared" si="2"/>
        <v>-1375.9725682973292</v>
      </c>
      <c r="F24" s="4">
        <f t="shared" si="3"/>
        <v>0.73565083589902003</v>
      </c>
      <c r="G24">
        <f>C24-B24-1</f>
        <v>3</v>
      </c>
      <c r="H24" s="4">
        <f t="shared" si="4"/>
        <v>0.48496891732304559</v>
      </c>
      <c r="I24" s="4">
        <f t="shared" si="1"/>
        <v>8.2086245290334911E-2</v>
      </c>
      <c r="J24" s="4">
        <f t="shared" si="1"/>
        <v>6.6774469805620004E-2</v>
      </c>
      <c r="K24" s="4">
        <f t="shared" si="1"/>
        <v>5.5335656307503062E-2</v>
      </c>
      <c r="L24">
        <f t="shared" si="1"/>
        <v>4.6485547172516538E-2</v>
      </c>
      <c r="M24">
        <f t="shared" si="1"/>
        <v>0</v>
      </c>
      <c r="N24">
        <f t="shared" si="1"/>
        <v>0</v>
      </c>
    </row>
    <row r="25" spans="1:14" x14ac:dyDescent="0.35">
      <c r="E25" s="5"/>
      <c r="F25" s="4"/>
      <c r="H25" s="4"/>
      <c r="I25" s="4"/>
      <c r="J25" s="4"/>
      <c r="K25" s="4"/>
    </row>
    <row r="26" spans="1:14" x14ac:dyDescent="0.35">
      <c r="E26" s="5"/>
      <c r="F26" s="4"/>
      <c r="H26" s="4"/>
      <c r="I26" s="4"/>
      <c r="J26" s="4"/>
      <c r="K26" s="4"/>
    </row>
    <row r="27" spans="1:14" x14ac:dyDescent="0.35">
      <c r="E27" s="5"/>
      <c r="F27" s="4"/>
      <c r="H27" s="4"/>
      <c r="I27" s="4"/>
      <c r="J27" s="4"/>
      <c r="K27" s="4"/>
      <c r="L27" s="4"/>
    </row>
    <row r="28" spans="1:14" x14ac:dyDescent="0.35">
      <c r="E28" s="5"/>
      <c r="F28" s="4"/>
      <c r="H28" s="4"/>
      <c r="I28" s="4"/>
      <c r="J28" s="4"/>
      <c r="K28" s="4"/>
      <c r="L28" s="4"/>
    </row>
    <row r="29" spans="1:14" x14ac:dyDescent="0.35">
      <c r="E29" s="5"/>
      <c r="F29" s="4"/>
      <c r="H29" s="4"/>
      <c r="I29" s="4"/>
      <c r="J29" s="4"/>
      <c r="K29" s="4"/>
      <c r="L29" s="4"/>
      <c r="M29" s="4"/>
    </row>
    <row r="30" spans="1:14" x14ac:dyDescent="0.35">
      <c r="E30" s="5"/>
      <c r="F30" s="4"/>
      <c r="H30" s="4"/>
      <c r="I30" s="4"/>
      <c r="J30" s="4"/>
      <c r="K30" s="4"/>
      <c r="L30" s="4"/>
      <c r="M30" s="4"/>
      <c r="N30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G20" sqref="G20"/>
    </sheetView>
  </sheetViews>
  <sheetFormatPr defaultRowHeight="14.5" x14ac:dyDescent="0.35"/>
  <cols>
    <col min="3" max="3" width="17.7265625" bestFit="1" customWidth="1"/>
    <col min="4" max="4" width="18.26953125" bestFit="1" customWidth="1"/>
  </cols>
  <sheetData>
    <row r="1" spans="1:4" x14ac:dyDescent="0.35">
      <c r="A1" t="s">
        <v>63</v>
      </c>
    </row>
    <row r="2" spans="1:4" x14ac:dyDescent="0.35">
      <c r="C2" t="s">
        <v>65</v>
      </c>
      <c r="D2" t="s">
        <v>64</v>
      </c>
    </row>
    <row r="3" spans="1:4" x14ac:dyDescent="0.35">
      <c r="B3" t="s">
        <v>43</v>
      </c>
      <c r="C3" s="2">
        <f>'Parameter Estimation'!B1</f>
        <v>0.64874263962793899</v>
      </c>
      <c r="D3" s="2">
        <f>'Parameter Estimation'!B3</f>
        <v>37.226909078078627</v>
      </c>
    </row>
    <row r="4" spans="1:4" x14ac:dyDescent="0.35">
      <c r="B4" t="s">
        <v>44</v>
      </c>
      <c r="C4" s="2">
        <f>'Parameter Estimation'!B2</f>
        <v>5.1522650486944688</v>
      </c>
      <c r="D4" s="2">
        <f>'Parameter Estimation'!B4</f>
        <v>416.28279825967843</v>
      </c>
    </row>
    <row r="5" spans="1:4" x14ac:dyDescent="0.35">
      <c r="B5" t="s">
        <v>62</v>
      </c>
    </row>
    <row r="6" spans="1:4" x14ac:dyDescent="0.35">
      <c r="B6" s="25">
        <v>4.0000000000000001E-3</v>
      </c>
      <c r="C6" s="4">
        <f t="shared" ref="C6:D25" si="0">_xlfn.BETA.DIST($B6,C$3,C$4,FALSE,0)</f>
        <v>13.974505945246953</v>
      </c>
      <c r="D6" s="4">
        <f t="shared" si="0"/>
        <v>4.7559206475557024E-32</v>
      </c>
    </row>
    <row r="7" spans="1:4" x14ac:dyDescent="0.35">
      <c r="B7" s="25">
        <v>0.01</v>
      </c>
      <c r="C7" s="4">
        <f t="shared" si="0"/>
        <v>9.8778167509948123</v>
      </c>
      <c r="D7" s="4">
        <f t="shared" si="0"/>
        <v>1.0083453998378642E-18</v>
      </c>
    </row>
    <row r="8" spans="1:4" x14ac:dyDescent="0.35">
      <c r="B8" s="25">
        <v>0.02</v>
      </c>
      <c r="C8" s="4">
        <f t="shared" si="0"/>
        <v>7.4235926492636546</v>
      </c>
      <c r="D8" s="4">
        <f t="shared" si="0"/>
        <v>1.1966423459424794E-9</v>
      </c>
    </row>
    <row r="9" spans="1:4" x14ac:dyDescent="0.35">
      <c r="B9" s="25">
        <v>0.03</v>
      </c>
      <c r="C9" s="4">
        <f t="shared" si="0"/>
        <v>6.1697160375671762</v>
      </c>
      <c r="D9" s="4">
        <f t="shared" si="0"/>
        <v>4.0494405424547025E-5</v>
      </c>
    </row>
    <row r="10" spans="1:4" x14ac:dyDescent="0.35">
      <c r="B10" s="25">
        <v>0.04</v>
      </c>
      <c r="C10" s="4">
        <f t="shared" si="0"/>
        <v>5.3418569179160951</v>
      </c>
      <c r="D10" s="4">
        <f t="shared" si="0"/>
        <v>1.8389017881053869E-2</v>
      </c>
    </row>
    <row r="11" spans="1:4" x14ac:dyDescent="0.35">
      <c r="B11" s="25">
        <v>0.05</v>
      </c>
      <c r="C11" s="4">
        <f t="shared" si="0"/>
        <v>4.7289959284705514</v>
      </c>
      <c r="D11" s="4">
        <f t="shared" si="0"/>
        <v>0.77047257984809214</v>
      </c>
    </row>
    <row r="12" spans="1:4" x14ac:dyDescent="0.35">
      <c r="B12" s="25">
        <v>6.0000000000000005E-2</v>
      </c>
      <c r="C12" s="4">
        <f t="shared" si="0"/>
        <v>4.2449557309704788</v>
      </c>
      <c r="D12" s="4">
        <f t="shared" si="0"/>
        <v>7.0260682965376295</v>
      </c>
    </row>
    <row r="13" spans="1:4" x14ac:dyDescent="0.35">
      <c r="B13" s="25">
        <v>7.0000000000000007E-2</v>
      </c>
      <c r="C13" s="4">
        <f t="shared" si="0"/>
        <v>3.8465442780862911</v>
      </c>
      <c r="D13" s="4">
        <f t="shared" si="0"/>
        <v>22.031215722792808</v>
      </c>
    </row>
    <row r="14" spans="1:4" x14ac:dyDescent="0.35">
      <c r="B14" s="25">
        <v>0.08</v>
      </c>
      <c r="C14" s="4">
        <f t="shared" si="0"/>
        <v>3.5091768051803132</v>
      </c>
      <c r="D14" s="4">
        <f t="shared" si="0"/>
        <v>31.196392787151204</v>
      </c>
    </row>
    <row r="15" spans="1:4" x14ac:dyDescent="0.35">
      <c r="B15" s="25">
        <v>0.09</v>
      </c>
      <c r="C15" s="4">
        <f t="shared" si="0"/>
        <v>3.2175780744151088</v>
      </c>
      <c r="D15" s="4">
        <f t="shared" si="0"/>
        <v>23.773292887479055</v>
      </c>
    </row>
    <row r="16" spans="1:4" x14ac:dyDescent="0.35">
      <c r="B16" s="25">
        <v>9.9999999999999992E-2</v>
      </c>
      <c r="C16" s="4">
        <f t="shared" si="0"/>
        <v>2.9616259369189688</v>
      </c>
      <c r="D16" s="4">
        <f t="shared" si="0"/>
        <v>10.986219693331698</v>
      </c>
    </row>
    <row r="17" spans="2:4" x14ac:dyDescent="0.35">
      <c r="B17" s="25">
        <v>0.10999999999999999</v>
      </c>
      <c r="C17" s="4">
        <f t="shared" si="0"/>
        <v>2.7342727971161924</v>
      </c>
      <c r="D17" s="4">
        <f t="shared" si="0"/>
        <v>3.3513237334237447</v>
      </c>
    </row>
    <row r="18" spans="2:4" x14ac:dyDescent="0.35">
      <c r="B18" s="25">
        <v>0.11999999999999998</v>
      </c>
      <c r="C18" s="4">
        <f t="shared" si="0"/>
        <v>2.5304151441121254</v>
      </c>
      <c r="D18" s="4">
        <f t="shared" si="0"/>
        <v>0.71820353879717092</v>
      </c>
    </row>
    <row r="19" spans="2:4" x14ac:dyDescent="0.35">
      <c r="B19" s="25">
        <v>0.12999999999999998</v>
      </c>
      <c r="C19" s="4">
        <f t="shared" si="0"/>
        <v>2.3462371062341054</v>
      </c>
      <c r="D19" s="4">
        <f t="shared" si="0"/>
        <v>0.1133309297074899</v>
      </c>
    </row>
    <row r="20" spans="2:4" x14ac:dyDescent="0.35">
      <c r="B20" s="25">
        <v>0.13999999999999999</v>
      </c>
      <c r="C20" s="4">
        <f t="shared" si="0"/>
        <v>2.1788086660339463</v>
      </c>
      <c r="D20" s="4">
        <f t="shared" si="0"/>
        <v>1.3653613508921128E-2</v>
      </c>
    </row>
    <row r="21" spans="2:4" x14ac:dyDescent="0.35">
      <c r="B21" s="25">
        <v>0.15</v>
      </c>
      <c r="C21" s="4">
        <f t="shared" si="0"/>
        <v>2.0258288651074845</v>
      </c>
      <c r="D21" s="4">
        <f t="shared" si="0"/>
        <v>1.292060942679221E-3</v>
      </c>
    </row>
    <row r="22" spans="2:4" x14ac:dyDescent="0.35">
      <c r="B22" s="25">
        <v>0.16</v>
      </c>
      <c r="C22" s="4">
        <f t="shared" si="0"/>
        <v>1.885455615404986</v>
      </c>
      <c r="D22" s="4">
        <f t="shared" si="0"/>
        <v>9.8236545730043796E-5</v>
      </c>
    </row>
    <row r="23" spans="2:4" x14ac:dyDescent="0.35">
      <c r="B23" s="25">
        <v>0.17</v>
      </c>
      <c r="C23" s="4">
        <f t="shared" si="0"/>
        <v>1.7561893739730923</v>
      </c>
      <c r="D23" s="4">
        <f t="shared" si="0"/>
        <v>6.111149161488227E-6</v>
      </c>
    </row>
    <row r="24" spans="2:4" x14ac:dyDescent="0.35">
      <c r="B24" s="25">
        <v>0.18000000000000002</v>
      </c>
      <c r="C24" s="4">
        <f t="shared" si="0"/>
        <v>1.6367914917419746</v>
      </c>
      <c r="D24" s="4">
        <f t="shared" si="0"/>
        <v>3.156866961648365E-7</v>
      </c>
    </row>
    <row r="25" spans="2:4" x14ac:dyDescent="0.35">
      <c r="B25" s="25">
        <v>0.19000000000000003</v>
      </c>
      <c r="C25" s="4">
        <f t="shared" si="0"/>
        <v>1.5262255582402962</v>
      </c>
      <c r="D25" s="4">
        <f t="shared" si="0"/>
        <v>1.3706637116147745E-8</v>
      </c>
    </row>
    <row r="26" spans="2:4" x14ac:dyDescent="0.35">
      <c r="B26" s="25">
        <v>0.20000000000000004</v>
      </c>
      <c r="C26" s="4">
        <f t="shared" ref="C26:D45" si="1">_xlfn.BETA.DIST($B26,C$3,C$4,FALSE,0)</f>
        <v>1.4236143992253534</v>
      </c>
      <c r="D26" s="4">
        <f t="shared" si="1"/>
        <v>5.0520995795109304E-10</v>
      </c>
    </row>
    <row r="27" spans="2:4" x14ac:dyDescent="0.35">
      <c r="B27" s="25">
        <v>0.21000000000000005</v>
      </c>
      <c r="C27" s="4">
        <f t="shared" si="1"/>
        <v>1.3282079760562957</v>
      </c>
      <c r="D27" s="4">
        <f t="shared" si="1"/>
        <v>1.5938523953179066E-11</v>
      </c>
    </row>
    <row r="28" spans="2:4" x14ac:dyDescent="0.35">
      <c r="B28" s="25">
        <v>0.22000000000000006</v>
      </c>
      <c r="C28" s="4">
        <f t="shared" si="1"/>
        <v>1.2393590339661935</v>
      </c>
      <c r="D28" s="4">
        <f t="shared" si="1"/>
        <v>4.3331825266881425E-13</v>
      </c>
    </row>
    <row r="29" spans="2:4" x14ac:dyDescent="0.35">
      <c r="B29" s="25">
        <v>0.23000000000000007</v>
      </c>
      <c r="C29" s="4">
        <f t="shared" si="1"/>
        <v>1.1565043594337558</v>
      </c>
      <c r="D29" s="4">
        <f t="shared" si="1"/>
        <v>1.0208904670193487E-14</v>
      </c>
    </row>
    <row r="30" spans="2:4" x14ac:dyDescent="0.35">
      <c r="B30" s="25">
        <v>0.24000000000000007</v>
      </c>
      <c r="C30" s="4">
        <f t="shared" si="1"/>
        <v>1.0791501648298869</v>
      </c>
      <c r="D30" s="4">
        <f t="shared" si="1"/>
        <v>2.0939204220732606E-16</v>
      </c>
    </row>
    <row r="31" spans="2:4" x14ac:dyDescent="0.35">
      <c r="B31" s="25">
        <v>0.25000000000000006</v>
      </c>
      <c r="C31" s="4">
        <f t="shared" si="1"/>
        <v>1.0068605553517782</v>
      </c>
      <c r="D31" s="4">
        <f t="shared" si="1"/>
        <v>3.7529723415041195E-18</v>
      </c>
    </row>
    <row r="32" spans="2:4" x14ac:dyDescent="0.35">
      <c r="B32" s="25">
        <v>0.26000000000000006</v>
      </c>
      <c r="C32" s="4">
        <f t="shared" si="1"/>
        <v>0.93924832908298928</v>
      </c>
      <c r="D32" s="4">
        <f t="shared" si="1"/>
        <v>5.8956459338807985E-20</v>
      </c>
    </row>
    <row r="33" spans="2:4" x14ac:dyDescent="0.35">
      <c r="B33" s="25">
        <v>0.27000000000000007</v>
      </c>
      <c r="C33" s="4">
        <f t="shared" si="1"/>
        <v>0.87596756498586803</v>
      </c>
      <c r="D33" s="4">
        <f t="shared" si="1"/>
        <v>8.1368771157731859E-22</v>
      </c>
    </row>
    <row r="34" spans="2:4" x14ac:dyDescent="0.35">
      <c r="B34" s="25">
        <v>0.28000000000000008</v>
      </c>
      <c r="C34" s="4">
        <f t="shared" si="1"/>
        <v>0.81670759659074688</v>
      </c>
      <c r="D34" s="4">
        <f t="shared" si="1"/>
        <v>9.8841708355700759E-24</v>
      </c>
    </row>
    <row r="35" spans="2:4" x14ac:dyDescent="0.35">
      <c r="B35" s="25">
        <v>0.29000000000000009</v>
      </c>
      <c r="C35" s="4">
        <f t="shared" si="1"/>
        <v>0.76118807085937479</v>
      </c>
      <c r="D35" s="4">
        <f t="shared" si="1"/>
        <v>1.0581520237396825E-25</v>
      </c>
    </row>
    <row r="36" spans="2:4" x14ac:dyDescent="0.35">
      <c r="B36" s="25">
        <v>0.3000000000000001</v>
      </c>
      <c r="C36" s="4">
        <f t="shared" si="1"/>
        <v>0.70915486507336944</v>
      </c>
      <c r="D36" s="4">
        <f t="shared" si="1"/>
        <v>9.9920803101883273E-28</v>
      </c>
    </row>
    <row r="37" spans="2:4" x14ac:dyDescent="0.35">
      <c r="B37" s="25">
        <v>0.31000000000000011</v>
      </c>
      <c r="C37" s="4">
        <f t="shared" si="1"/>
        <v>0.6603766882064297</v>
      </c>
      <c r="D37" s="4">
        <f t="shared" si="1"/>
        <v>8.3264881262088567E-30</v>
      </c>
    </row>
    <row r="38" spans="2:4" x14ac:dyDescent="0.35">
      <c r="B38" s="25">
        <v>0.32000000000000012</v>
      </c>
      <c r="C38" s="4">
        <f t="shared" si="1"/>
        <v>0.61464223287025155</v>
      </c>
      <c r="D38" s="4">
        <f t="shared" si="1"/>
        <v>6.1235310072862612E-32</v>
      </c>
    </row>
    <row r="39" spans="2:4" x14ac:dyDescent="0.35">
      <c r="B39" s="25">
        <v>0.33000000000000013</v>
      </c>
      <c r="C39" s="4">
        <f t="shared" si="1"/>
        <v>0.57175777354477264</v>
      </c>
      <c r="D39" s="4">
        <f t="shared" si="1"/>
        <v>3.9733949384821709E-34</v>
      </c>
    </row>
    <row r="40" spans="2:4" x14ac:dyDescent="0.35">
      <c r="B40" s="25">
        <v>0.34000000000000014</v>
      </c>
      <c r="C40" s="4">
        <f t="shared" si="1"/>
        <v>0.53154512916859342</v>
      </c>
      <c r="D40" s="4">
        <f t="shared" si="1"/>
        <v>2.2734530734164634E-36</v>
      </c>
    </row>
    <row r="41" spans="2:4" x14ac:dyDescent="0.35">
      <c r="B41" s="25">
        <v>0.35000000000000014</v>
      </c>
      <c r="C41" s="4">
        <f t="shared" si="1"/>
        <v>0.49383992521358855</v>
      </c>
      <c r="D41" s="4">
        <f t="shared" si="1"/>
        <v>1.1460031342751076E-38</v>
      </c>
    </row>
    <row r="42" spans="2:4" x14ac:dyDescent="0.35">
      <c r="B42" s="25">
        <v>0.36000000000000015</v>
      </c>
      <c r="C42" s="4">
        <f t="shared" si="1"/>
        <v>0.45849010347882629</v>
      </c>
      <c r="D42" s="4">
        <f t="shared" si="1"/>
        <v>5.0832837557320807E-41</v>
      </c>
    </row>
    <row r="43" spans="2:4" x14ac:dyDescent="0.35">
      <c r="B43" s="25">
        <v>0.37000000000000016</v>
      </c>
      <c r="C43" s="4">
        <f t="shared" si="1"/>
        <v>0.42535463800654649</v>
      </c>
      <c r="D43" s="4">
        <f t="shared" si="1"/>
        <v>1.9811669591047278E-43</v>
      </c>
    </row>
    <row r="44" spans="2:4" x14ac:dyDescent="0.35">
      <c r="B44" s="25">
        <v>0.38000000000000017</v>
      </c>
      <c r="C44" s="4">
        <f t="shared" si="1"/>
        <v>0.39430242346982441</v>
      </c>
      <c r="D44" s="4">
        <f t="shared" si="1"/>
        <v>6.7725857623462558E-46</v>
      </c>
    </row>
    <row r="45" spans="2:4" x14ac:dyDescent="0.35">
      <c r="B45" s="25">
        <v>0.39000000000000018</v>
      </c>
      <c r="C45" s="4">
        <f t="shared" si="1"/>
        <v>0.36521130863865481</v>
      </c>
      <c r="D45" s="4">
        <f t="shared" si="1"/>
        <v>2.0265809653940311E-48</v>
      </c>
    </row>
    <row r="46" spans="2:4" x14ac:dyDescent="0.35">
      <c r="B46" s="25">
        <v>0.40000000000000019</v>
      </c>
      <c r="C46" s="4">
        <f t="shared" ref="C46:D65" si="2">_xlfn.BETA.DIST($B46,C$3,C$4,FALSE,0)</f>
        <v>0.33796725249212889</v>
      </c>
      <c r="D46" s="4">
        <f t="shared" si="2"/>
        <v>5.2960251045628797E-51</v>
      </c>
    </row>
    <row r="47" spans="2:4" x14ac:dyDescent="0.35">
      <c r="B47" s="25">
        <v>0.4100000000000002</v>
      </c>
      <c r="C47" s="4">
        <f t="shared" si="2"/>
        <v>0.3124635845035536</v>
      </c>
      <c r="D47" s="4">
        <f t="shared" si="2"/>
        <v>1.2055750234484192E-53</v>
      </c>
    </row>
    <row r="48" spans="2:4" x14ac:dyDescent="0.35">
      <c r="B48" s="25">
        <v>0.42000000000000021</v>
      </c>
      <c r="C48" s="4">
        <f t="shared" si="2"/>
        <v>0.28860035380471394</v>
      </c>
      <c r="D48" s="4">
        <f t="shared" si="2"/>
        <v>2.3837326987987677E-56</v>
      </c>
    </row>
    <row r="49" spans="2:4" x14ac:dyDescent="0.35">
      <c r="B49" s="25">
        <v>0.43000000000000022</v>
      </c>
      <c r="C49" s="4">
        <f t="shared" si="2"/>
        <v>0.26628375450367753</v>
      </c>
      <c r="D49" s="4">
        <f t="shared" si="2"/>
        <v>4.0811079550267564E-59</v>
      </c>
    </row>
    <row r="50" spans="2:4" x14ac:dyDescent="0.35">
      <c r="B50" s="25">
        <v>0.44000000000000022</v>
      </c>
      <c r="C50" s="4">
        <f t="shared" si="2"/>
        <v>0.24542561651664935</v>
      </c>
      <c r="D50" s="4">
        <f t="shared" si="2"/>
        <v>6.0293129690110288E-62</v>
      </c>
    </row>
    <row r="51" spans="2:4" x14ac:dyDescent="0.35">
      <c r="B51" s="25">
        <v>0.45000000000000023</v>
      </c>
      <c r="C51" s="4">
        <f t="shared" si="2"/>
        <v>0.22594295297792144</v>
      </c>
      <c r="D51" s="4">
        <f t="shared" si="2"/>
        <v>7.6578791175494829E-65</v>
      </c>
    </row>
    <row r="52" spans="2:4" x14ac:dyDescent="0.35">
      <c r="B52" s="25">
        <v>0.46000000000000024</v>
      </c>
      <c r="C52" s="4">
        <f t="shared" si="2"/>
        <v>0.20775755669012017</v>
      </c>
      <c r="D52" s="4">
        <f t="shared" si="2"/>
        <v>8.3281100888338538E-68</v>
      </c>
    </row>
    <row r="53" spans="2:4" x14ac:dyDescent="0.35">
      <c r="B53" s="25">
        <v>0.47000000000000025</v>
      </c>
      <c r="C53" s="4">
        <f t="shared" si="2"/>
        <v>0.19079563922998796</v>
      </c>
      <c r="D53" s="4">
        <f t="shared" si="2"/>
        <v>7.7212314669011075E-71</v>
      </c>
    </row>
    <row r="54" spans="2:4" x14ac:dyDescent="0.35">
      <c r="B54" s="25">
        <v>0.48000000000000026</v>
      </c>
      <c r="C54" s="4">
        <f t="shared" si="2"/>
        <v>0.17498750728020118</v>
      </c>
      <c r="D54" s="4">
        <f t="shared" si="2"/>
        <v>6.0741458486912133E-74</v>
      </c>
    </row>
    <row r="55" spans="2:4" x14ac:dyDescent="0.35">
      <c r="B55" s="25">
        <v>0.49000000000000027</v>
      </c>
      <c r="C55" s="4">
        <f t="shared" si="2"/>
        <v>0.16026727155260775</v>
      </c>
      <c r="D55" s="4">
        <f t="shared" si="2"/>
        <v>4.0340573998614152E-77</v>
      </c>
    </row>
    <row r="56" spans="2:4" x14ac:dyDescent="0.35">
      <c r="B56" s="25">
        <v>0.50000000000000022</v>
      </c>
      <c r="C56" s="4">
        <f t="shared" si="2"/>
        <v>0.14657258433246306</v>
      </c>
      <c r="D56" s="4">
        <f t="shared" si="2"/>
        <v>2.2495250658779614E-80</v>
      </c>
    </row>
    <row r="57" spans="2:4" x14ac:dyDescent="0.35">
      <c r="B57" s="25">
        <v>0.51000000000000023</v>
      </c>
      <c r="C57" s="4">
        <f t="shared" si="2"/>
        <v>0.13384440223046015</v>
      </c>
      <c r="D57" s="4">
        <f t="shared" si="2"/>
        <v>1.0471011561030036E-83</v>
      </c>
    </row>
    <row r="58" spans="2:4" x14ac:dyDescent="0.35">
      <c r="B58" s="25">
        <v>0.52000000000000024</v>
      </c>
      <c r="C58" s="4">
        <f t="shared" si="2"/>
        <v>0.12202677119861771</v>
      </c>
      <c r="D58" s="4">
        <f t="shared" si="2"/>
        <v>4.0430035047636419E-87</v>
      </c>
    </row>
    <row r="59" spans="2:4" x14ac:dyDescent="0.35">
      <c r="B59" s="25">
        <v>0.53000000000000025</v>
      </c>
      <c r="C59" s="4">
        <f t="shared" si="2"/>
        <v>0.11106663126273651</v>
      </c>
      <c r="D59" s="4">
        <f t="shared" si="2"/>
        <v>1.2861865522276938E-90</v>
      </c>
    </row>
    <row r="60" spans="2:4" x14ac:dyDescent="0.35">
      <c r="B60" s="25">
        <v>0.54000000000000026</v>
      </c>
      <c r="C60" s="4">
        <f t="shared" si="2"/>
        <v>0.10091363876058387</v>
      </c>
      <c r="D60" s="4">
        <f t="shared" si="2"/>
        <v>3.3468619323377104E-94</v>
      </c>
    </row>
    <row r="61" spans="2:4" x14ac:dyDescent="0.35">
      <c r="B61" s="25">
        <v>0.55000000000000027</v>
      </c>
      <c r="C61" s="4">
        <f t="shared" si="2"/>
        <v>9.1520004161318821E-2</v>
      </c>
      <c r="D61" s="4">
        <f t="shared" si="2"/>
        <v>7.0684006330902102E-98</v>
      </c>
    </row>
    <row r="62" spans="2:4" x14ac:dyDescent="0.35">
      <c r="B62" s="25">
        <v>0.56000000000000028</v>
      </c>
      <c r="C62" s="4">
        <f t="shared" si="2"/>
        <v>8.2840343786173803E-2</v>
      </c>
      <c r="D62" s="4">
        <f t="shared" si="2"/>
        <v>1.201479617620331E-101</v>
      </c>
    </row>
    <row r="63" spans="2:4" x14ac:dyDescent="0.35">
      <c r="B63" s="25">
        <v>0.57000000000000028</v>
      </c>
      <c r="C63" s="4">
        <f t="shared" si="2"/>
        <v>7.4831543959838112E-2</v>
      </c>
      <c r="D63" s="4">
        <f t="shared" si="2"/>
        <v>1.6289631289815424E-105</v>
      </c>
    </row>
    <row r="64" spans="2:4" x14ac:dyDescent="0.35">
      <c r="B64" s="25">
        <v>0.58000000000000029</v>
      </c>
      <c r="C64" s="4">
        <f t="shared" si="2"/>
        <v>6.745263630190329E-2</v>
      </c>
      <c r="D64" s="4">
        <f t="shared" si="2"/>
        <v>1.7445948310455741E-109</v>
      </c>
    </row>
    <row r="65" spans="2:4" x14ac:dyDescent="0.35">
      <c r="B65" s="25">
        <v>0.5900000000000003</v>
      </c>
      <c r="C65" s="4">
        <f t="shared" si="2"/>
        <v>6.0664683022743984E-2</v>
      </c>
      <c r="D65" s="4">
        <f t="shared" si="2"/>
        <v>1.4605930388608767E-113</v>
      </c>
    </row>
    <row r="66" spans="2:4" x14ac:dyDescent="0.35">
      <c r="B66" s="25">
        <v>0.60000000000000031</v>
      </c>
      <c r="C66" s="4">
        <f t="shared" ref="C66:D85" si="3">_xlfn.BETA.DIST($B66,C$3,C$4,FALSE,0)</f>
        <v>5.4430671222133825E-2</v>
      </c>
      <c r="D66" s="4">
        <f t="shared" si="3"/>
        <v>9.4519465409003765E-118</v>
      </c>
    </row>
    <row r="67" spans="2:4" x14ac:dyDescent="0.35">
      <c r="B67" s="25">
        <v>0.61000000000000032</v>
      </c>
      <c r="C67" s="4">
        <f t="shared" si="3"/>
        <v>4.8715415304909762E-2</v>
      </c>
      <c r="D67" s="4">
        <f t="shared" si="3"/>
        <v>4.6707350091120766E-122</v>
      </c>
    </row>
    <row r="68" spans="2:4" x14ac:dyDescent="0.35">
      <c r="B68" s="25">
        <v>0.62000000000000033</v>
      </c>
      <c r="C68" s="4">
        <f t="shared" si="3"/>
        <v>4.3485466728756424E-2</v>
      </c>
      <c r="D68" s="4">
        <f t="shared" si="3"/>
        <v>1.7394214401718225E-126</v>
      </c>
    </row>
    <row r="69" spans="2:4" x14ac:dyDescent="0.35">
      <c r="B69" s="25">
        <v>0.63000000000000034</v>
      </c>
      <c r="C69" s="4">
        <f t="shared" si="3"/>
        <v>3.8709030386904715E-2</v>
      </c>
      <c r="D69" s="4">
        <f t="shared" si="3"/>
        <v>4.8126922914055515E-131</v>
      </c>
    </row>
    <row r="70" spans="2:4" x14ac:dyDescent="0.35">
      <c r="B70" s="25">
        <v>0.64000000000000035</v>
      </c>
      <c r="C70" s="4">
        <f t="shared" si="3"/>
        <v>3.4355887005091519E-2</v>
      </c>
      <c r="D70" s="4">
        <f t="shared" si="3"/>
        <v>9.7412918874156837E-136</v>
      </c>
    </row>
    <row r="71" spans="2:4" x14ac:dyDescent="0.35">
      <c r="B71" s="25">
        <v>0.65000000000000036</v>
      </c>
      <c r="C71" s="4">
        <f t="shared" si="3"/>
        <v>3.0397320999085237E-2</v>
      </c>
      <c r="D71" s="4">
        <f t="shared" si="3"/>
        <v>1.4183613947668522E-140</v>
      </c>
    </row>
    <row r="72" spans="2:4" x14ac:dyDescent="0.35">
      <c r="B72" s="25">
        <v>0.66000000000000036</v>
      </c>
      <c r="C72" s="4">
        <f t="shared" si="3"/>
        <v>2.6806053297773514E-2</v>
      </c>
      <c r="D72" s="4">
        <f t="shared" si="3"/>
        <v>1.4586270554029399E-145</v>
      </c>
    </row>
    <row r="73" spans="2:4" x14ac:dyDescent="0.35">
      <c r="B73" s="25">
        <v>0.67000000000000037</v>
      </c>
      <c r="C73" s="4">
        <f t="shared" si="3"/>
        <v>2.3556178688360022E-2</v>
      </c>
      <c r="D73" s="4">
        <f t="shared" si="3"/>
        <v>1.0384973661457345E-150</v>
      </c>
    </row>
    <row r="74" spans="2:4" x14ac:dyDescent="0.35">
      <c r="B74" s="25">
        <v>0.68000000000000038</v>
      </c>
      <c r="C74" s="4">
        <f t="shared" si="3"/>
        <v>2.0623107285584381E-2</v>
      </c>
      <c r="D74" s="4">
        <f t="shared" si="3"/>
        <v>5.0080651033619148E-156</v>
      </c>
    </row>
    <row r="75" spans="2:4" x14ac:dyDescent="0.35">
      <c r="B75" s="25">
        <v>0.69000000000000039</v>
      </c>
      <c r="C75" s="4">
        <f t="shared" si="3"/>
        <v>1.7983509766877587E-2</v>
      </c>
      <c r="D75" s="4">
        <f t="shared" si="3"/>
        <v>1.597046842966597E-161</v>
      </c>
    </row>
    <row r="76" spans="2:4" x14ac:dyDescent="0.35">
      <c r="B76" s="25">
        <v>0.7000000000000004</v>
      </c>
      <c r="C76" s="4">
        <f t="shared" si="3"/>
        <v>1.561526605068872E-2</v>
      </c>
      <c r="D76" s="4">
        <f t="shared" si="3"/>
        <v>3.2801096957828246E-167</v>
      </c>
    </row>
    <row r="77" spans="2:4" x14ac:dyDescent="0.35">
      <c r="B77" s="25">
        <v>0.71000000000000041</v>
      </c>
      <c r="C77" s="4">
        <f t="shared" si="3"/>
        <v>1.3497417126461844E-2</v>
      </c>
      <c r="D77" s="4">
        <f t="shared" si="3"/>
        <v>4.2144608058351936E-173</v>
      </c>
    </row>
    <row r="78" spans="2:4" x14ac:dyDescent="0.35">
      <c r="B78" s="25">
        <v>0.72000000000000042</v>
      </c>
      <c r="C78" s="4">
        <f t="shared" si="3"/>
        <v>1.1610119772414525E-2</v>
      </c>
      <c r="D78" s="4">
        <f t="shared" si="3"/>
        <v>3.2801496588469708E-179</v>
      </c>
    </row>
    <row r="79" spans="2:4" x14ac:dyDescent="0.35">
      <c r="B79" s="25">
        <v>0.73000000000000043</v>
      </c>
      <c r="C79" s="4">
        <f t="shared" si="3"/>
        <v>9.9346039218044784E-3</v>
      </c>
      <c r="D79" s="4">
        <f t="shared" si="3"/>
        <v>1.4921708357445622E-185</v>
      </c>
    </row>
    <row r="80" spans="2:4" x14ac:dyDescent="0.35">
      <c r="B80" s="25">
        <v>0.74000000000000044</v>
      </c>
      <c r="C80" s="4">
        <f t="shared" si="3"/>
        <v>8.4531324601465306E-3</v>
      </c>
      <c r="D80" s="4">
        <f t="shared" si="3"/>
        <v>3.8125923148527729E-192</v>
      </c>
    </row>
    <row r="81" spans="2:4" x14ac:dyDescent="0.35">
      <c r="B81" s="25">
        <v>0.75000000000000044</v>
      </c>
      <c r="C81" s="4">
        <f t="shared" si="3"/>
        <v>7.1489632551750507E-3</v>
      </c>
      <c r="D81" s="4">
        <f t="shared" si="3"/>
        <v>5.2330382430678017E-199</v>
      </c>
    </row>
    <row r="82" spans="2:4" x14ac:dyDescent="0.35">
      <c r="B82" s="25">
        <v>0.76000000000000045</v>
      </c>
      <c r="C82" s="4">
        <f t="shared" si="3"/>
        <v>6.006313238515238E-3</v>
      </c>
      <c r="D82" s="4">
        <f t="shared" si="3"/>
        <v>3.670211158026848E-206</v>
      </c>
    </row>
    <row r="83" spans="2:4" x14ac:dyDescent="0.35">
      <c r="B83" s="25">
        <v>0.77000000000000046</v>
      </c>
      <c r="C83" s="4">
        <f t="shared" si="3"/>
        <v>5.0103243732626257E-3</v>
      </c>
      <c r="D83" s="4">
        <f t="shared" si="3"/>
        <v>1.2431272608757194E-213</v>
      </c>
    </row>
    <row r="84" spans="2:4" x14ac:dyDescent="0.35">
      <c r="B84" s="25">
        <v>0.78000000000000047</v>
      </c>
      <c r="C84" s="4">
        <f t="shared" si="3"/>
        <v>4.1470313551734929E-3</v>
      </c>
      <c r="D84" s="4">
        <f t="shared" si="3"/>
        <v>1.907338965921556E-221</v>
      </c>
    </row>
    <row r="85" spans="2:4" x14ac:dyDescent="0.35">
      <c r="B85" s="25">
        <v>0.79000000000000048</v>
      </c>
      <c r="C85" s="4">
        <f t="shared" si="3"/>
        <v>3.4033309071068588E-3</v>
      </c>
      <c r="D85" s="4">
        <f t="shared" si="3"/>
        <v>1.2323501823823392E-229</v>
      </c>
    </row>
    <row r="86" spans="2:4" x14ac:dyDescent="0.35">
      <c r="B86" s="25">
        <v>0.80000000000000049</v>
      </c>
      <c r="C86" s="4">
        <f t="shared" ref="C86:D106" si="4">_xlfn.BETA.DIST($B86,C$3,C$4,FALSE,0)</f>
        <v>2.7669525368686039E-3</v>
      </c>
      <c r="D86" s="4">
        <f t="shared" si="4"/>
        <v>3.0838024465367487E-238</v>
      </c>
    </row>
    <row r="87" spans="2:4" x14ac:dyDescent="0.35">
      <c r="B87" s="25">
        <v>0.8100000000000005</v>
      </c>
      <c r="C87" s="4">
        <f t="shared" si="4"/>
        <v>2.2264306378000625E-3</v>
      </c>
      <c r="D87" s="4">
        <f t="shared" si="4"/>
        <v>2.7134907627738979E-247</v>
      </c>
    </row>
    <row r="88" spans="2:4" x14ac:dyDescent="0.35">
      <c r="B88" s="25">
        <v>0.82000000000000051</v>
      </c>
      <c r="C88" s="4">
        <f t="shared" si="4"/>
        <v>1.7710778194095335E-3</v>
      </c>
      <c r="D88" s="4">
        <f t="shared" si="4"/>
        <v>7.5037839932338028E-257</v>
      </c>
    </row>
    <row r="89" spans="2:4" x14ac:dyDescent="0.35">
      <c r="B89" s="25">
        <v>0.83000000000000052</v>
      </c>
      <c r="C89" s="4">
        <f t="shared" si="4"/>
        <v>1.3909593621190867E-3</v>
      </c>
      <c r="D89" s="4">
        <f t="shared" si="4"/>
        <v>5.7171574813216281E-267</v>
      </c>
    </row>
    <row r="90" spans="2:4" x14ac:dyDescent="0.35">
      <c r="B90" s="25">
        <v>0.84000000000000052</v>
      </c>
      <c r="C90" s="4">
        <f t="shared" si="4"/>
        <v>1.0768686958131657E-3</v>
      </c>
      <c r="D90" s="4">
        <f t="shared" si="4"/>
        <v>1.027183366503744E-277</v>
      </c>
    </row>
    <row r="91" spans="2:4" x14ac:dyDescent="0.35">
      <c r="B91" s="25">
        <v>0.85000000000000053</v>
      </c>
      <c r="C91" s="4">
        <f t="shared" si="4"/>
        <v>8.2030380631464329E-4</v>
      </c>
      <c r="D91" s="4">
        <f t="shared" si="4"/>
        <v>3.6140525918517279E-289</v>
      </c>
    </row>
    <row r="92" spans="2:4" x14ac:dyDescent="0.35">
      <c r="B92" s="25">
        <v>0.86000000000000054</v>
      </c>
      <c r="C92" s="4">
        <f t="shared" si="4"/>
        <v>6.1344447711726897E-4</v>
      </c>
      <c r="D92" s="4">
        <f t="shared" si="4"/>
        <v>1.9897509860158779E-301</v>
      </c>
    </row>
    <row r="93" spans="2:4" x14ac:dyDescent="0.35">
      <c r="B93" s="25">
        <v>0.87000000000000055</v>
      </c>
      <c r="C93" s="4">
        <f t="shared" si="4"/>
        <v>4.4913027554824417E-4</v>
      </c>
      <c r="D93" s="4">
        <f t="shared" si="4"/>
        <v>0</v>
      </c>
    </row>
    <row r="94" spans="2:4" x14ac:dyDescent="0.35">
      <c r="B94" s="25">
        <v>0.88000000000000056</v>
      </c>
      <c r="C94" s="4">
        <f t="shared" si="4"/>
        <v>3.2083919281355441E-4</v>
      </c>
      <c r="D94" s="4">
        <f t="shared" si="4"/>
        <v>0</v>
      </c>
    </row>
    <row r="95" spans="2:4" x14ac:dyDescent="0.35">
      <c r="B95" s="25">
        <v>0.89000000000000057</v>
      </c>
      <c r="C95" s="4">
        <f t="shared" si="4"/>
        <v>2.2266684575949827E-4</v>
      </c>
      <c r="D95" s="4">
        <f t="shared" si="4"/>
        <v>0</v>
      </c>
    </row>
    <row r="96" spans="2:4" x14ac:dyDescent="0.35">
      <c r="B96" s="25">
        <v>0.90000000000000058</v>
      </c>
      <c r="C96" s="4">
        <f t="shared" si="4"/>
        <v>1.4930614414557656E-4</v>
      </c>
      <c r="D96" s="4">
        <f t="shared" si="4"/>
        <v>0</v>
      </c>
    </row>
    <row r="97" spans="2:4" x14ac:dyDescent="0.35">
      <c r="B97" s="25">
        <v>0.91000000000000059</v>
      </c>
      <c r="C97" s="4">
        <f t="shared" si="4"/>
        <v>9.6027319945401858E-5</v>
      </c>
      <c r="D97" s="4">
        <f t="shared" si="4"/>
        <v>0</v>
      </c>
    </row>
    <row r="98" spans="2:4" x14ac:dyDescent="0.35">
      <c r="B98" s="25">
        <v>0.9200000000000006</v>
      </c>
      <c r="C98" s="4">
        <f t="shared" si="4"/>
        <v>5.8658203356510084E-5</v>
      </c>
      <c r="D98" s="4">
        <f t="shared" si="4"/>
        <v>0</v>
      </c>
    </row>
    <row r="99" spans="2:4" x14ac:dyDescent="0.35">
      <c r="B99" s="25">
        <v>0.9300000000000006</v>
      </c>
      <c r="C99" s="4">
        <f t="shared" si="4"/>
        <v>3.3564611630085343E-5</v>
      </c>
      <c r="D99" s="4">
        <f t="shared" si="4"/>
        <v>0</v>
      </c>
    </row>
    <row r="100" spans="2:4" x14ac:dyDescent="0.35">
      <c r="B100" s="25">
        <v>0.94000000000000061</v>
      </c>
      <c r="C100" s="4">
        <f t="shared" si="4"/>
        <v>1.763068777963741E-5</v>
      </c>
      <c r="D100" s="4">
        <f t="shared" si="4"/>
        <v>0</v>
      </c>
    </row>
    <row r="101" spans="2:4" x14ac:dyDescent="0.35">
      <c r="B101" s="25">
        <v>0.95000000000000062</v>
      </c>
      <c r="C101" s="4">
        <f t="shared" si="4"/>
        <v>8.2389798846428782E-6</v>
      </c>
      <c r="D101" s="4">
        <f t="shared" si="4"/>
        <v>0</v>
      </c>
    </row>
    <row r="102" spans="2:4" x14ac:dyDescent="0.35">
      <c r="B102" s="25">
        <v>0.96000000000000063</v>
      </c>
      <c r="C102" s="4">
        <f t="shared" si="4"/>
        <v>3.2499748106274495E-6</v>
      </c>
      <c r="D102" s="4">
        <f t="shared" si="4"/>
        <v>0</v>
      </c>
    </row>
    <row r="103" spans="2:4" x14ac:dyDescent="0.35">
      <c r="B103" s="25">
        <v>0.97000000000000064</v>
      </c>
      <c r="C103" s="4">
        <f t="shared" si="4"/>
        <v>9.8066440370892119E-7</v>
      </c>
      <c r="D103" s="4">
        <f t="shared" si="4"/>
        <v>0</v>
      </c>
    </row>
    <row r="104" spans="2:4" x14ac:dyDescent="0.35">
      <c r="B104" s="25">
        <v>0.98000000000000065</v>
      </c>
      <c r="C104" s="4">
        <f t="shared" si="4"/>
        <v>1.8145887370672789E-7</v>
      </c>
      <c r="D104" s="4">
        <f t="shared" si="4"/>
        <v>0</v>
      </c>
    </row>
    <row r="105" spans="2:4" x14ac:dyDescent="0.35">
      <c r="B105" s="25">
        <v>0.99000000000000066</v>
      </c>
      <c r="C105" s="4">
        <f t="shared" si="4"/>
        <v>1.0168880549835934E-8</v>
      </c>
      <c r="D105" s="4">
        <f t="shared" si="4"/>
        <v>0</v>
      </c>
    </row>
    <row r="106" spans="2:4" x14ac:dyDescent="0.35">
      <c r="B106" s="25">
        <v>0.995</v>
      </c>
      <c r="C106" s="4">
        <f t="shared" si="4"/>
        <v>5.708845702535418E-10</v>
      </c>
      <c r="D106" s="4">
        <f t="shared" si="4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A11" zoomScale="115" zoomScaleNormal="115" workbookViewId="0">
      <selection activeCell="A10" sqref="A10:D26"/>
    </sheetView>
  </sheetViews>
  <sheetFormatPr defaultRowHeight="14.5" x14ac:dyDescent="0.35"/>
  <cols>
    <col min="6" max="6" width="10.81640625" bestFit="1" customWidth="1"/>
    <col min="7" max="8" width="10.81640625" customWidth="1"/>
  </cols>
  <sheetData>
    <row r="1" spans="1:18" x14ac:dyDescent="0.35">
      <c r="A1" t="s">
        <v>4</v>
      </c>
      <c r="B1" s="2">
        <v>0.64874263962793899</v>
      </c>
      <c r="D1" s="1" t="s">
        <v>5</v>
      </c>
      <c r="E1" s="2">
        <f>EXP(GAMMALN(B1)+GAMMALN(B2)-GAMMALN(B1+B2))</f>
        <v>0.48947433696743675</v>
      </c>
    </row>
    <row r="2" spans="1:18" x14ac:dyDescent="0.35">
      <c r="A2" t="s">
        <v>6</v>
      </c>
      <c r="B2" s="2">
        <v>5.1522650486944688</v>
      </c>
      <c r="D2" s="1"/>
      <c r="E2" s="2"/>
    </row>
    <row r="3" spans="1:18" x14ac:dyDescent="0.35">
      <c r="A3" t="s">
        <v>7</v>
      </c>
      <c r="B3" s="2">
        <v>37.226909078078627</v>
      </c>
      <c r="D3" s="1" t="s">
        <v>8</v>
      </c>
      <c r="E3" s="3">
        <f>EXP(GAMMALN(B3)+GAMMALN(B4)-GAMMALN(B3+B4))</f>
        <v>5.3696245585527273E-57</v>
      </c>
    </row>
    <row r="4" spans="1:18" x14ac:dyDescent="0.35">
      <c r="A4" t="s">
        <v>9</v>
      </c>
      <c r="B4" s="2">
        <v>416.28279825967843</v>
      </c>
    </row>
    <row r="5" spans="1:18" x14ac:dyDescent="0.35">
      <c r="B5" s="2"/>
    </row>
    <row r="6" spans="1:18" x14ac:dyDescent="0.35">
      <c r="A6" s="1" t="s">
        <v>20</v>
      </c>
      <c r="B6" s="6">
        <v>5</v>
      </c>
      <c r="E6">
        <f>B4/(B3-1)*EXP(GAMMALN(B3+B4)-GAMMALN(B4+1))*(EXP(GAMMALN(1+B4+C11)-GAMMALN(B3+B4+C11))-EXP(GAMMALN(1+B4+C11+B6)-GAMMALN(B3+B4+C11+B6)))</f>
        <v>2.7767414649576767</v>
      </c>
    </row>
    <row r="8" spans="1:18" x14ac:dyDescent="0.35">
      <c r="A8" t="s">
        <v>10</v>
      </c>
      <c r="B8" s="5">
        <f>SUM(E11:E26)</f>
        <v>-7130.7944480991109</v>
      </c>
    </row>
    <row r="10" spans="1:18" x14ac:dyDescent="0.35">
      <c r="A10" s="1" t="s">
        <v>0</v>
      </c>
      <c r="B10" s="1" t="s">
        <v>1</v>
      </c>
      <c r="C10" s="1" t="s">
        <v>2</v>
      </c>
      <c r="D10" s="1" t="s">
        <v>3</v>
      </c>
      <c r="F10" s="1" t="s">
        <v>12</v>
      </c>
      <c r="G10" s="9" t="s">
        <v>21</v>
      </c>
      <c r="H10" s="1"/>
      <c r="I10" s="1" t="s">
        <v>11</v>
      </c>
      <c r="K10">
        <v>0</v>
      </c>
      <c r="L10">
        <v>1</v>
      </c>
      <c r="M10">
        <v>2</v>
      </c>
      <c r="N10">
        <v>3</v>
      </c>
      <c r="O10">
        <v>4</v>
      </c>
      <c r="P10">
        <v>5</v>
      </c>
      <c r="Q10" t="s">
        <v>56</v>
      </c>
    </row>
    <row r="11" spans="1:18" x14ac:dyDescent="0.35">
      <c r="A11">
        <v>4</v>
      </c>
      <c r="B11">
        <v>4</v>
      </c>
      <c r="C11">
        <v>4</v>
      </c>
      <c r="D11">
        <v>18</v>
      </c>
      <c r="E11">
        <f>D11*LN(F11)</f>
        <v>-106.37803228914383</v>
      </c>
      <c r="F11">
        <f>SUM(J11:P11)</f>
        <v>2.7124833924585933E-3</v>
      </c>
      <c r="G11">
        <f>H11*$E$6/F11</f>
        <v>1.8530264848875697</v>
      </c>
      <c r="H11">
        <f>EXP(GAMMALN($B$1+A11+1)+GAMMALN($B$2+C11-A11)-GAMMALN($B$1+$B$2+C11+1))/$E$1</f>
        <v>1.8101445991552075E-3</v>
      </c>
      <c r="I11">
        <f t="shared" ref="I11:I26" si="0">C11-B11-1</f>
        <v>-1</v>
      </c>
      <c r="J11">
        <f>EXP(GAMMALN($B$1+A11)+GAMMALN($B$2+C11-A11)-GAMMALN($B$1+$B$2+C11))/$E$1*EXP(GAMMALN($B$3)+GAMMALN($B$4+C11)-GAMMALN($B$3+$B$4+C11))/$E$3</f>
        <v>2.7124833924585933E-3</v>
      </c>
      <c r="K11">
        <f t="shared" ref="K11:P20" si="1">IF(K$10&lt;=$I11,EXP(GAMMALN($B$1+$A11)+GAMMALN($B$2+$B11-$A11+K$10)-GAMMALN($B$1+$B$2+$B11+K$10))/$E$1*EXP(GAMMALN($B$3+1)+GAMMALN($B$4+$B11+K$10)-GAMMALN($B$3+$B$4+$B11+K$10+1))/$E$3,0)</f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>J11/F11</f>
        <v>1</v>
      </c>
    </row>
    <row r="12" spans="1:18" x14ac:dyDescent="0.35">
      <c r="A12">
        <v>3</v>
      </c>
      <c r="B12">
        <v>3</v>
      </c>
      <c r="C12">
        <v>4</v>
      </c>
      <c r="D12">
        <v>34</v>
      </c>
      <c r="E12" s="5">
        <f t="shared" ref="E12:E26" si="2">D12*LN(F12)</f>
        <v>-184.4033699396893</v>
      </c>
      <c r="F12" s="4">
        <f t="shared" ref="F12:F26" si="3">SUM(J12:P12)</f>
        <v>4.4111117330217619E-3</v>
      </c>
      <c r="G12" s="10">
        <f t="shared" ref="G12:G26" si="4">H12*$E$6/F12</f>
        <v>1.2628836729903468</v>
      </c>
      <c r="H12" s="4">
        <f t="shared" ref="H12:H26" si="5">EXP(GAMMALN($B$1+A12+1)+GAMMALN($B$2+C12-A12)-GAMMALN($B$1+$B$2+C12+1))/$E$1</f>
        <v>2.0062080167244688E-3</v>
      </c>
      <c r="I12">
        <f t="shared" si="0"/>
        <v>0</v>
      </c>
      <c r="J12" s="4">
        <f t="shared" ref="J12:J26" si="6">EXP(GAMMALN($B$1+A12)+GAMMALN($B$2+C12-A12)-GAMMALN($B$1+$B$2+C12))/$E$1*EXP(GAMMALN($B$3)+GAMMALN($B$4+C12)-GAMMALN($B$3+$B$4+C12))/$E$3</f>
        <v>3.830205294926935E-3</v>
      </c>
      <c r="K12">
        <f t="shared" si="1"/>
        <v>5.8090643809482676E-4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 s="2">
        <f t="shared" ref="Q12:Q26" si="7">J12/F12</f>
        <v>0.86830838272670863</v>
      </c>
    </row>
    <row r="13" spans="1:18" x14ac:dyDescent="0.35">
      <c r="A13">
        <v>3</v>
      </c>
      <c r="B13">
        <v>4</v>
      </c>
      <c r="C13">
        <v>4</v>
      </c>
      <c r="D13">
        <v>36</v>
      </c>
      <c r="E13" s="21">
        <f t="shared" si="2"/>
        <v>-200.33412751503033</v>
      </c>
      <c r="F13" s="22">
        <f t="shared" si="3"/>
        <v>3.830205294926935E-3</v>
      </c>
      <c r="G13" s="23">
        <f t="shared" si="4"/>
        <v>1.4544183818939669</v>
      </c>
      <c r="H13" s="22">
        <f>EXP(GAMMALN($B$1+A13+1)+GAMMALN($B$2+C13-A13)-GAMMALN($B$1+$B$2+C13+1))/$E$1</f>
        <v>2.0062080167244688E-3</v>
      </c>
      <c r="I13" s="20">
        <f t="shared" si="0"/>
        <v>-1</v>
      </c>
      <c r="J13" s="22">
        <f t="shared" si="6"/>
        <v>3.830205294926935E-3</v>
      </c>
      <c r="K13" s="20">
        <f t="shared" si="1"/>
        <v>0</v>
      </c>
      <c r="L13" s="20">
        <f t="shared" si="1"/>
        <v>0</v>
      </c>
      <c r="M13" s="20">
        <f t="shared" si="1"/>
        <v>0</v>
      </c>
      <c r="N13" s="20">
        <f t="shared" si="1"/>
        <v>0</v>
      </c>
      <c r="O13" s="20">
        <f t="shared" si="1"/>
        <v>0</v>
      </c>
      <c r="P13" s="20">
        <f t="shared" si="1"/>
        <v>0</v>
      </c>
      <c r="Q13" s="23">
        <f t="shared" si="7"/>
        <v>1</v>
      </c>
      <c r="R13" t="s">
        <v>58</v>
      </c>
    </row>
    <row r="14" spans="1:18" x14ac:dyDescent="0.35">
      <c r="A14">
        <v>2</v>
      </c>
      <c r="B14">
        <v>2</v>
      </c>
      <c r="C14">
        <v>4</v>
      </c>
      <c r="D14">
        <v>64</v>
      </c>
      <c r="E14" s="5">
        <f t="shared" si="2"/>
        <v>-283.63202380287504</v>
      </c>
      <c r="F14" s="4">
        <f t="shared" si="3"/>
        <v>1.1893653125799491E-2</v>
      </c>
      <c r="G14" s="10">
        <f t="shared" si="4"/>
        <v>0.78974692601439955</v>
      </c>
      <c r="H14" s="4">
        <f t="shared" si="5"/>
        <v>3.382733363447962E-3</v>
      </c>
      <c r="I14">
        <f t="shared" si="0"/>
        <v>1</v>
      </c>
      <c r="J14" s="4">
        <f t="shared" si="6"/>
        <v>8.8964619713350155E-3</v>
      </c>
      <c r="K14">
        <f t="shared" si="1"/>
        <v>1.8672271131191874E-3</v>
      </c>
      <c r="L14">
        <f t="shared" si="1"/>
        <v>1.1299640413452887E-3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 s="2">
        <f t="shared" si="7"/>
        <v>0.74800079313200885</v>
      </c>
    </row>
    <row r="15" spans="1:18" x14ac:dyDescent="0.35">
      <c r="A15">
        <v>3</v>
      </c>
      <c r="B15">
        <v>4</v>
      </c>
      <c r="C15">
        <v>4</v>
      </c>
      <c r="D15">
        <v>14</v>
      </c>
      <c r="E15" s="5">
        <f t="shared" si="2"/>
        <v>-77.907716255845116</v>
      </c>
      <c r="F15" s="4">
        <f t="shared" si="3"/>
        <v>3.830205294926935E-3</v>
      </c>
      <c r="G15" s="10">
        <f t="shared" si="4"/>
        <v>1.4544183818939669</v>
      </c>
      <c r="H15" s="4">
        <f t="shared" si="5"/>
        <v>2.0062080167244688E-3</v>
      </c>
      <c r="I15">
        <f t="shared" si="0"/>
        <v>-1</v>
      </c>
      <c r="J15" s="4">
        <f t="shared" si="6"/>
        <v>3.830205294926935E-3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 s="2">
        <f t="shared" si="7"/>
        <v>1</v>
      </c>
    </row>
    <row r="16" spans="1:18" x14ac:dyDescent="0.35">
      <c r="A16">
        <v>2</v>
      </c>
      <c r="B16">
        <v>3</v>
      </c>
      <c r="C16">
        <v>4</v>
      </c>
      <c r="D16">
        <v>62</v>
      </c>
      <c r="E16" s="5">
        <f t="shared" si="2"/>
        <v>-285.35692635559684</v>
      </c>
      <c r="F16" s="4">
        <f t="shared" si="3"/>
        <v>1.0026426012680304E-2</v>
      </c>
      <c r="G16" s="10">
        <f t="shared" si="4"/>
        <v>0.93682195263820978</v>
      </c>
      <c r="H16" s="4">
        <f t="shared" si="5"/>
        <v>3.382733363447962E-3</v>
      </c>
      <c r="I16">
        <f t="shared" si="0"/>
        <v>0</v>
      </c>
      <c r="J16" s="4">
        <f t="shared" si="6"/>
        <v>8.8964619713350155E-3</v>
      </c>
      <c r="K16">
        <f t="shared" si="1"/>
        <v>1.1299640413452887E-3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 s="2">
        <f t="shared" si="7"/>
        <v>0.88730141329360668</v>
      </c>
    </row>
    <row r="17" spans="1:18" x14ac:dyDescent="0.35">
      <c r="A17">
        <v>2</v>
      </c>
      <c r="B17">
        <v>4</v>
      </c>
      <c r="C17">
        <v>4</v>
      </c>
      <c r="D17">
        <v>18</v>
      </c>
      <c r="E17" s="21">
        <f t="shared" si="2"/>
        <v>-84.997829026642208</v>
      </c>
      <c r="F17" s="22">
        <f t="shared" si="3"/>
        <v>8.8964619713350155E-3</v>
      </c>
      <c r="G17" s="23">
        <f t="shared" si="4"/>
        <v>1.0558102789003636</v>
      </c>
      <c r="H17" s="22">
        <f t="shared" si="5"/>
        <v>3.382733363447962E-3</v>
      </c>
      <c r="I17" s="20">
        <f t="shared" si="0"/>
        <v>-1</v>
      </c>
      <c r="J17" s="22">
        <f t="shared" si="6"/>
        <v>8.8964619713350155E-3</v>
      </c>
      <c r="K17" s="22">
        <f t="shared" si="1"/>
        <v>0</v>
      </c>
      <c r="L17" s="20">
        <f t="shared" si="1"/>
        <v>0</v>
      </c>
      <c r="M17" s="20">
        <f t="shared" si="1"/>
        <v>0</v>
      </c>
      <c r="N17" s="20">
        <f t="shared" si="1"/>
        <v>0</v>
      </c>
      <c r="O17" s="20">
        <f t="shared" si="1"/>
        <v>0</v>
      </c>
      <c r="P17" s="20">
        <f t="shared" si="1"/>
        <v>0</v>
      </c>
      <c r="Q17" s="23">
        <f t="shared" si="7"/>
        <v>1</v>
      </c>
      <c r="R17" t="s">
        <v>57</v>
      </c>
    </row>
    <row r="18" spans="1:18" x14ac:dyDescent="0.35">
      <c r="A18">
        <v>1</v>
      </c>
      <c r="B18">
        <v>1</v>
      </c>
      <c r="C18">
        <v>4</v>
      </c>
      <c r="D18">
        <v>302</v>
      </c>
      <c r="E18" s="5">
        <f t="shared" si="2"/>
        <v>-864.86378751751442</v>
      </c>
      <c r="F18" s="4">
        <f t="shared" si="3"/>
        <v>5.7052272163515452E-2</v>
      </c>
      <c r="G18" s="10">
        <f t="shared" si="4"/>
        <v>0.44456380860404854</v>
      </c>
      <c r="H18" s="4">
        <f t="shared" si="5"/>
        <v>9.1342228733252845E-3</v>
      </c>
      <c r="I18">
        <f t="shared" si="0"/>
        <v>2</v>
      </c>
      <c r="J18" s="4">
        <f t="shared" si="6"/>
        <v>3.8592957133065778E-2</v>
      </c>
      <c r="K18" s="4">
        <f t="shared" si="1"/>
        <v>8.4078449753726744E-3</v>
      </c>
      <c r="L18">
        <f t="shared" si="1"/>
        <v>5.8350216472048341E-3</v>
      </c>
      <c r="M18">
        <f t="shared" si="1"/>
        <v>4.2164484078721642E-3</v>
      </c>
      <c r="N18">
        <f t="shared" si="1"/>
        <v>0</v>
      </c>
      <c r="O18">
        <f t="shared" si="1"/>
        <v>0</v>
      </c>
      <c r="P18">
        <f t="shared" si="1"/>
        <v>0</v>
      </c>
      <c r="Q18" s="2">
        <f t="shared" si="7"/>
        <v>0.67644908203578469</v>
      </c>
    </row>
    <row r="19" spans="1:18" x14ac:dyDescent="0.35">
      <c r="A19">
        <v>3</v>
      </c>
      <c r="B19">
        <v>4</v>
      </c>
      <c r="C19">
        <v>4</v>
      </c>
      <c r="D19">
        <v>16</v>
      </c>
      <c r="E19" s="5">
        <f t="shared" si="2"/>
        <v>-89.037390006680141</v>
      </c>
      <c r="F19" s="4">
        <f t="shared" si="3"/>
        <v>3.830205294926935E-3</v>
      </c>
      <c r="G19" s="10">
        <f t="shared" si="4"/>
        <v>1.4544183818939669</v>
      </c>
      <c r="H19" s="4">
        <f t="shared" si="5"/>
        <v>2.0062080167244688E-3</v>
      </c>
      <c r="I19">
        <f t="shared" si="0"/>
        <v>-1</v>
      </c>
      <c r="J19" s="4">
        <f t="shared" si="6"/>
        <v>3.830205294926935E-3</v>
      </c>
      <c r="K19" s="4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 s="2">
        <f t="shared" si="7"/>
        <v>1</v>
      </c>
    </row>
    <row r="20" spans="1:18" x14ac:dyDescent="0.35">
      <c r="A20">
        <v>2</v>
      </c>
      <c r="B20">
        <v>3</v>
      </c>
      <c r="C20">
        <v>4</v>
      </c>
      <c r="D20">
        <v>118</v>
      </c>
      <c r="E20" s="5">
        <f t="shared" si="2"/>
        <v>-543.09866628968427</v>
      </c>
      <c r="F20" s="4">
        <f t="shared" si="3"/>
        <v>1.0026426012680304E-2</v>
      </c>
      <c r="G20" s="10">
        <f t="shared" si="4"/>
        <v>0.93682195263820978</v>
      </c>
      <c r="H20" s="4">
        <f t="shared" si="5"/>
        <v>3.382733363447962E-3</v>
      </c>
      <c r="I20">
        <f t="shared" si="0"/>
        <v>0</v>
      </c>
      <c r="J20" s="4">
        <f t="shared" si="6"/>
        <v>8.8964619713350155E-3</v>
      </c>
      <c r="K20" s="4">
        <f t="shared" si="1"/>
        <v>1.1299640413452887E-3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  <c r="Q20" s="2">
        <f t="shared" si="7"/>
        <v>0.88730141329360668</v>
      </c>
    </row>
    <row r="21" spans="1:18" x14ac:dyDescent="0.35">
      <c r="A21">
        <v>2</v>
      </c>
      <c r="B21">
        <v>4</v>
      </c>
      <c r="C21">
        <v>4</v>
      </c>
      <c r="D21">
        <v>36</v>
      </c>
      <c r="E21" s="5">
        <f t="shared" si="2"/>
        <v>-169.99565805328442</v>
      </c>
      <c r="F21" s="4">
        <f t="shared" si="3"/>
        <v>8.8964619713350155E-3</v>
      </c>
      <c r="G21" s="10">
        <f t="shared" si="4"/>
        <v>1.0558102789003636</v>
      </c>
      <c r="H21" s="4">
        <f t="shared" si="5"/>
        <v>3.382733363447962E-3</v>
      </c>
      <c r="I21">
        <f t="shared" si="0"/>
        <v>-1</v>
      </c>
      <c r="J21" s="4">
        <f t="shared" si="6"/>
        <v>8.8964619713350155E-3</v>
      </c>
      <c r="K21" s="4">
        <f t="shared" ref="K21:P26" si="8">IF(K$10&lt;=$I21,EXP(GAMMALN($B$1+$A21)+GAMMALN($B$2+$B21-$A21+K$10)-GAMMALN($B$1+$B$2+$B21+K$10))/$E$1*EXP(GAMMALN($B$3+1)+GAMMALN($B$4+$B21+K$10)-GAMMALN($B$3+$B$4+$B21+K$10+1))/$E$3,0)</f>
        <v>0</v>
      </c>
      <c r="L21">
        <f t="shared" si="8"/>
        <v>0</v>
      </c>
      <c r="M21">
        <f t="shared" si="8"/>
        <v>0</v>
      </c>
      <c r="N21">
        <f t="shared" si="8"/>
        <v>0</v>
      </c>
      <c r="O21">
        <f t="shared" si="8"/>
        <v>0</v>
      </c>
      <c r="P21">
        <f t="shared" si="8"/>
        <v>0</v>
      </c>
      <c r="Q21" s="2">
        <f t="shared" si="7"/>
        <v>1</v>
      </c>
    </row>
    <row r="22" spans="1:18" x14ac:dyDescent="0.35">
      <c r="A22">
        <v>1</v>
      </c>
      <c r="B22">
        <v>2</v>
      </c>
      <c r="C22">
        <v>4</v>
      </c>
      <c r="D22">
        <v>342</v>
      </c>
      <c r="E22">
        <f t="shared" si="2"/>
        <v>-1033.9405648828281</v>
      </c>
      <c r="F22">
        <f t="shared" si="3"/>
        <v>4.8644427188142776E-2</v>
      </c>
      <c r="G22">
        <f t="shared" si="4"/>
        <v>0.52140351667476448</v>
      </c>
      <c r="H22">
        <f t="shared" si="5"/>
        <v>9.1342228733252845E-3</v>
      </c>
      <c r="I22">
        <f t="shared" si="0"/>
        <v>1</v>
      </c>
      <c r="J22">
        <f t="shared" si="6"/>
        <v>3.8592957133065778E-2</v>
      </c>
      <c r="K22">
        <f t="shared" si="8"/>
        <v>5.8350216472048341E-3</v>
      </c>
      <c r="L22">
        <f t="shared" si="8"/>
        <v>4.2164484078721642E-3</v>
      </c>
      <c r="M22">
        <f t="shared" si="8"/>
        <v>0</v>
      </c>
      <c r="N22">
        <f t="shared" si="8"/>
        <v>0</v>
      </c>
      <c r="O22">
        <f t="shared" si="8"/>
        <v>0</v>
      </c>
      <c r="P22">
        <f t="shared" si="8"/>
        <v>0</v>
      </c>
      <c r="Q22">
        <f t="shared" si="7"/>
        <v>0.793368518531408</v>
      </c>
    </row>
    <row r="23" spans="1:18" x14ac:dyDescent="0.35">
      <c r="A23">
        <v>2</v>
      </c>
      <c r="B23">
        <v>4</v>
      </c>
      <c r="C23">
        <v>4</v>
      </c>
      <c r="D23">
        <v>44</v>
      </c>
      <c r="E23">
        <f t="shared" si="2"/>
        <v>-207.7724709540143</v>
      </c>
      <c r="F23">
        <f t="shared" si="3"/>
        <v>8.8964619713350155E-3</v>
      </c>
      <c r="G23">
        <f t="shared" si="4"/>
        <v>1.0558102789003636</v>
      </c>
      <c r="H23">
        <f t="shared" si="5"/>
        <v>3.382733363447962E-3</v>
      </c>
      <c r="I23">
        <f t="shared" si="0"/>
        <v>-1</v>
      </c>
      <c r="J23">
        <f t="shared" si="6"/>
        <v>8.8964619713350155E-3</v>
      </c>
      <c r="K23">
        <f t="shared" si="8"/>
        <v>0</v>
      </c>
      <c r="L23">
        <f t="shared" si="8"/>
        <v>0</v>
      </c>
      <c r="M23">
        <f t="shared" si="8"/>
        <v>0</v>
      </c>
      <c r="N23">
        <f t="shared" si="8"/>
        <v>0</v>
      </c>
      <c r="O23">
        <f t="shared" si="8"/>
        <v>0</v>
      </c>
      <c r="P23">
        <f t="shared" si="8"/>
        <v>0</v>
      </c>
      <c r="Q23">
        <f t="shared" si="7"/>
        <v>1</v>
      </c>
    </row>
    <row r="24" spans="1:18" x14ac:dyDescent="0.35">
      <c r="A24">
        <v>1</v>
      </c>
      <c r="B24">
        <v>3</v>
      </c>
      <c r="C24">
        <v>4</v>
      </c>
      <c r="D24">
        <v>292</v>
      </c>
      <c r="E24">
        <f t="shared" si="2"/>
        <v>-920.09125391305599</v>
      </c>
      <c r="F24">
        <f t="shared" si="3"/>
        <v>4.2809405540937942E-2</v>
      </c>
      <c r="G24">
        <f t="shared" si="4"/>
        <v>0.59247202996716652</v>
      </c>
      <c r="H24">
        <f t="shared" si="5"/>
        <v>9.1342228733252845E-3</v>
      </c>
      <c r="I24">
        <f t="shared" si="0"/>
        <v>0</v>
      </c>
      <c r="J24">
        <f t="shared" si="6"/>
        <v>3.8592957133065778E-2</v>
      </c>
      <c r="K24">
        <f t="shared" si="8"/>
        <v>4.2164484078721642E-3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si="7"/>
        <v>0.90150649478558997</v>
      </c>
    </row>
    <row r="25" spans="1:18" x14ac:dyDescent="0.35">
      <c r="A25">
        <v>1</v>
      </c>
      <c r="B25">
        <v>4</v>
      </c>
      <c r="C25">
        <v>4</v>
      </c>
      <c r="D25">
        <v>216</v>
      </c>
      <c r="E25">
        <f t="shared" si="2"/>
        <v>-703.01206299989769</v>
      </c>
      <c r="F25">
        <f t="shared" si="3"/>
        <v>3.8592957133065778E-2</v>
      </c>
      <c r="G25">
        <f t="shared" si="4"/>
        <v>0.65720217590676067</v>
      </c>
      <c r="H25">
        <f t="shared" si="5"/>
        <v>9.1342228733252845E-3</v>
      </c>
      <c r="I25">
        <f t="shared" si="0"/>
        <v>-1</v>
      </c>
      <c r="J25">
        <f t="shared" si="6"/>
        <v>3.8592957133065778E-2</v>
      </c>
      <c r="K25">
        <f t="shared" si="8"/>
        <v>0</v>
      </c>
      <c r="L25">
        <f t="shared" si="8"/>
        <v>0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7"/>
        <v>1</v>
      </c>
    </row>
    <row r="26" spans="1:18" x14ac:dyDescent="0.35">
      <c r="A26">
        <v>0</v>
      </c>
      <c r="B26">
        <v>0</v>
      </c>
      <c r="C26">
        <v>4</v>
      </c>
      <c r="D26">
        <v>4482</v>
      </c>
      <c r="E26" s="21">
        <f t="shared" si="2"/>
        <v>-1375.9725682973292</v>
      </c>
      <c r="F26" s="22">
        <f t="shared" si="3"/>
        <v>0.73565083589902003</v>
      </c>
      <c r="G26" s="23">
        <f t="shared" si="4"/>
        <v>0.1704750153836086</v>
      </c>
      <c r="H26" s="22">
        <f t="shared" si="5"/>
        <v>4.5164481155166337E-2</v>
      </c>
      <c r="I26" s="20">
        <f t="shared" si="0"/>
        <v>3</v>
      </c>
      <c r="J26" s="22">
        <f t="shared" si="6"/>
        <v>0.48496891732304559</v>
      </c>
      <c r="K26" s="22">
        <f t="shared" si="8"/>
        <v>8.2086245290334911E-2</v>
      </c>
      <c r="L26" s="22">
        <f t="shared" si="8"/>
        <v>6.6774469805620004E-2</v>
      </c>
      <c r="M26" s="22">
        <f t="shared" si="8"/>
        <v>5.5335656307503062E-2</v>
      </c>
      <c r="N26" s="20">
        <f t="shared" si="8"/>
        <v>4.6485547172516538E-2</v>
      </c>
      <c r="O26" s="20">
        <f t="shared" si="8"/>
        <v>0</v>
      </c>
      <c r="P26" s="20">
        <f t="shared" si="8"/>
        <v>0</v>
      </c>
      <c r="Q26" s="23">
        <f t="shared" si="7"/>
        <v>0.65923790697577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tabSelected="1" topLeftCell="A19" zoomScale="110" zoomScaleNormal="110" workbookViewId="0">
      <selection activeCell="I32" sqref="I32"/>
    </sheetView>
  </sheetViews>
  <sheetFormatPr defaultRowHeight="14.5" x14ac:dyDescent="0.35"/>
  <cols>
    <col min="6" max="6" width="10.81640625" bestFit="1" customWidth="1"/>
    <col min="7" max="7" width="10.81640625" customWidth="1"/>
  </cols>
  <sheetData>
    <row r="1" spans="1:13" x14ac:dyDescent="0.35">
      <c r="A1" t="s">
        <v>4</v>
      </c>
      <c r="B1" s="2">
        <v>0.66376734067114884</v>
      </c>
      <c r="D1" s="1" t="s">
        <v>5</v>
      </c>
      <c r="E1" s="2">
        <f>EXP(GAMMALN(B1)+GAMMALN(B2)-GAMMALN(B1+B2))</f>
        <v>0.46223442737994341</v>
      </c>
    </row>
    <row r="2" spans="1:13" x14ac:dyDescent="0.35">
      <c r="A2" t="s">
        <v>6</v>
      </c>
      <c r="B2" s="2">
        <v>5.2423191466573904</v>
      </c>
      <c r="D2" s="1"/>
      <c r="E2" s="2"/>
    </row>
    <row r="3" spans="1:13" x14ac:dyDescent="0.35">
      <c r="A3" t="s">
        <v>7</v>
      </c>
      <c r="B3" s="2">
        <v>215.54535131873604</v>
      </c>
      <c r="D3" s="1" t="s">
        <v>8</v>
      </c>
      <c r="E3" s="3">
        <f>EXP(GAMMALN(B3)+GAMMALN(B4)-GAMMALN(B3+B4))</f>
        <v>0</v>
      </c>
    </row>
    <row r="4" spans="1:13" x14ac:dyDescent="0.35">
      <c r="A4" t="s">
        <v>9</v>
      </c>
      <c r="B4" s="2">
        <v>2330.8500364830479</v>
      </c>
      <c r="F4" t="s">
        <v>38</v>
      </c>
      <c r="G4">
        <v>500</v>
      </c>
    </row>
    <row r="5" spans="1:13" x14ac:dyDescent="0.35">
      <c r="B5" s="2"/>
      <c r="F5" t="s">
        <v>60</v>
      </c>
      <c r="G5">
        <f>(B1/(B1+B2))*(B4/(B3+B4))*I29/(1+B6)+1</f>
        <v>1.5577334448085358</v>
      </c>
    </row>
    <row r="6" spans="1:13" x14ac:dyDescent="0.35">
      <c r="A6" t="s">
        <v>40</v>
      </c>
      <c r="B6" s="2">
        <v>0.1</v>
      </c>
      <c r="F6" t="s">
        <v>61</v>
      </c>
      <c r="G6" s="24">
        <f>G5*G4</f>
        <v>778.86672240426788</v>
      </c>
    </row>
    <row r="8" spans="1:13" x14ac:dyDescent="0.35">
      <c r="A8" t="s">
        <v>10</v>
      </c>
      <c r="B8" s="5" t="e">
        <f>SUM(E11:E26)</f>
        <v>#DIV/0!</v>
      </c>
    </row>
    <row r="10" spans="1:13" x14ac:dyDescent="0.35">
      <c r="A10" s="1" t="s">
        <v>0</v>
      </c>
      <c r="B10" s="1" t="s">
        <v>1</v>
      </c>
      <c r="C10" s="1" t="s">
        <v>2</v>
      </c>
      <c r="D10" s="1" t="s">
        <v>3</v>
      </c>
      <c r="F10" s="1" t="s">
        <v>12</v>
      </c>
      <c r="G10" s="9" t="s">
        <v>41</v>
      </c>
      <c r="H10" s="1" t="s">
        <v>11</v>
      </c>
      <c r="J10">
        <v>0</v>
      </c>
      <c r="K10">
        <v>1</v>
      </c>
      <c r="L10">
        <v>2</v>
      </c>
      <c r="M10">
        <v>3</v>
      </c>
    </row>
    <row r="11" spans="1:13" x14ac:dyDescent="0.35">
      <c r="A11">
        <v>4</v>
      </c>
      <c r="B11">
        <v>4</v>
      </c>
      <c r="C11">
        <v>4</v>
      </c>
      <c r="D11">
        <v>18</v>
      </c>
      <c r="E11" s="5" t="e">
        <f>D11*LN(F11)</f>
        <v>#DIV/0!</v>
      </c>
      <c r="F11" s="4" t="e">
        <f>SUM(I11:M11)</f>
        <v>#DIV/0!</v>
      </c>
      <c r="G11" s="10" t="e">
        <f>EXP(GAMMALN($B$1+A11+1)+GAMMALN($B$2+C11-A11)-GAMMALN($B$1+$B$2+C11+1))*EXP(GAMMALN($B$3)+GAMMALN($B$4+C11+1)-GAMMALN($B$3+$B$4+C11+1))/($E$1*$E$3*(1+$B$6))*$D$29/F11</f>
        <v>#DIV/0!</v>
      </c>
      <c r="H11">
        <f t="shared" ref="H11:H26" si="0">C11-B11-1</f>
        <v>-1</v>
      </c>
      <c r="I11" s="4" t="e">
        <f t="shared" ref="I11:I26" si="1">EXP(GAMMALN($B$1+A11)+GAMMALN($B$2+C11-A11)-GAMMALN($B$1+$B$2+C11))/$E$1*EXP(GAMMALN($B$3)+GAMMALN($B$4+C11)-GAMMALN($B$3+$B$4+C11))/$E$3</f>
        <v>#DIV/0!</v>
      </c>
      <c r="J11">
        <f t="shared" ref="J11:M26" si="2">IF(J$10&lt;=$H11,EXP(GAMMALN($B$1+$A11)+GAMMALN($B$2+$B11-$A11+J$10)-GAMMALN($B$1+$B$2+$B11+J$10))/$E$1*EXP(GAMMALN($B$3+1)+GAMMALN($B$4+$B11+J$10)-GAMMALN($B$3+$B$4+$B11+J$10+1))/$E$3,0)</f>
        <v>0</v>
      </c>
      <c r="K11">
        <f t="shared" si="2"/>
        <v>0</v>
      </c>
      <c r="L11">
        <f t="shared" si="2"/>
        <v>0</v>
      </c>
      <c r="M11">
        <f t="shared" si="2"/>
        <v>0</v>
      </c>
    </row>
    <row r="12" spans="1:13" x14ac:dyDescent="0.35">
      <c r="A12">
        <v>3</v>
      </c>
      <c r="B12">
        <v>3</v>
      </c>
      <c r="C12">
        <v>4</v>
      </c>
      <c r="D12">
        <v>34</v>
      </c>
      <c r="E12" s="5" t="e">
        <f t="shared" ref="E12:E26" si="3">D12*LN(F12)</f>
        <v>#DIV/0!</v>
      </c>
      <c r="F12" s="4" t="e">
        <f>SUM(I12:M12)</f>
        <v>#DIV/0!</v>
      </c>
      <c r="G12" s="10" t="e">
        <f>EXP(GAMMALN($B$1+A12+1)+GAMMALN($B$2+C12-A12)-GAMMALN($B$1+$B$2+C12+1))*EXP(GAMMALN($B$3)+GAMMALN($B$4+C12+1)-GAMMALN($B$3+$B$4+C12+1))/($E$1*$E$3*(1+$B$6))*$D$29/F12</f>
        <v>#DIV/0!</v>
      </c>
      <c r="H12">
        <f t="shared" si="0"/>
        <v>0</v>
      </c>
      <c r="I12" s="4" t="e">
        <f t="shared" si="1"/>
        <v>#DIV/0!</v>
      </c>
      <c r="J12" t="e">
        <f t="shared" si="2"/>
        <v>#DIV/0!</v>
      </c>
      <c r="K12">
        <f t="shared" si="2"/>
        <v>0</v>
      </c>
      <c r="L12">
        <f t="shared" si="2"/>
        <v>0</v>
      </c>
      <c r="M12">
        <f t="shared" si="2"/>
        <v>0</v>
      </c>
    </row>
    <row r="13" spans="1:13" x14ac:dyDescent="0.35">
      <c r="A13">
        <v>3</v>
      </c>
      <c r="B13">
        <v>4</v>
      </c>
      <c r="C13">
        <v>4</v>
      </c>
      <c r="D13">
        <v>36</v>
      </c>
      <c r="E13" s="5" t="e">
        <f t="shared" si="3"/>
        <v>#DIV/0!</v>
      </c>
      <c r="F13" s="4" t="e">
        <f>SUM(I13:M13)</f>
        <v>#DIV/0!</v>
      </c>
      <c r="G13" s="10" t="e">
        <f>EXP(GAMMALN($B$1+A13+1)+GAMMALN($B$2+C13-A13)-GAMMALN($B$1+$B$2+C13+1))*EXP(GAMMALN($B$3)+GAMMALN($B$4+C13+1)-GAMMALN($B$3+$B$4+C13+1))/($E$1*$E$3*(1+$B$6))*$D$29/F13</f>
        <v>#DIV/0!</v>
      </c>
      <c r="H13">
        <f t="shared" si="0"/>
        <v>-1</v>
      </c>
      <c r="I13" s="4" t="e">
        <f t="shared" si="1"/>
        <v>#DIV/0!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</row>
    <row r="14" spans="1:13" x14ac:dyDescent="0.35">
      <c r="A14">
        <v>2</v>
      </c>
      <c r="B14">
        <v>2</v>
      </c>
      <c r="C14">
        <v>4</v>
      </c>
      <c r="D14">
        <v>64</v>
      </c>
      <c r="E14" s="5" t="e">
        <f t="shared" si="3"/>
        <v>#DIV/0!</v>
      </c>
      <c r="F14" s="4" t="e">
        <f>SUM(I14:M14)</f>
        <v>#DIV/0!</v>
      </c>
      <c r="G14" s="10" t="e">
        <f>EXP(GAMMALN($B$1+A14+1)+GAMMALN($B$2+C14-A14)-GAMMALN($B$1+$B$2+C14+1))*EXP(GAMMALN($B$3)+GAMMALN($B$4+C14+1)-GAMMALN($B$3+$B$4+C14+1))/($E$1*$E$3*(1+$B$6))*$D$29/F14</f>
        <v>#DIV/0!</v>
      </c>
      <c r="H14">
        <f t="shared" si="0"/>
        <v>1</v>
      </c>
      <c r="I14" s="4" t="e">
        <f t="shared" si="1"/>
        <v>#DIV/0!</v>
      </c>
      <c r="J14" t="e">
        <f t="shared" si="2"/>
        <v>#DIV/0!</v>
      </c>
      <c r="K14" t="e">
        <f t="shared" si="2"/>
        <v>#DIV/0!</v>
      </c>
      <c r="L14">
        <f t="shared" si="2"/>
        <v>0</v>
      </c>
      <c r="M14">
        <f t="shared" si="2"/>
        <v>0</v>
      </c>
    </row>
    <row r="15" spans="1:13" x14ac:dyDescent="0.35">
      <c r="A15">
        <v>3</v>
      </c>
      <c r="B15">
        <v>4</v>
      </c>
      <c r="C15">
        <v>4</v>
      </c>
      <c r="D15">
        <v>14</v>
      </c>
      <c r="E15" s="5" t="e">
        <f t="shared" si="3"/>
        <v>#DIV/0!</v>
      </c>
      <c r="F15" s="4" t="e">
        <f>SUM(I15:M15)</f>
        <v>#DIV/0!</v>
      </c>
      <c r="G15" s="10" t="e">
        <f>EXP(GAMMALN($B$1+A15+1)+GAMMALN($B$2+C15-A15)-GAMMALN($B$1+$B$2+C15+1))*EXP(GAMMALN($B$3)+GAMMALN($B$4+C15+1)-GAMMALN($B$3+$B$4+C15+1))/($E$1*$E$3*(1+$B$6))*$D$29/F15</f>
        <v>#DIV/0!</v>
      </c>
      <c r="H15">
        <f t="shared" si="0"/>
        <v>-1</v>
      </c>
      <c r="I15" s="4" t="e">
        <f t="shared" si="1"/>
        <v>#DIV/0!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</row>
    <row r="16" spans="1:13" x14ac:dyDescent="0.35">
      <c r="A16">
        <v>2</v>
      </c>
      <c r="B16">
        <v>3</v>
      </c>
      <c r="C16">
        <v>4</v>
      </c>
      <c r="D16">
        <v>62</v>
      </c>
      <c r="E16" s="5" t="e">
        <f t="shared" si="3"/>
        <v>#DIV/0!</v>
      </c>
      <c r="F16" s="4" t="e">
        <f>SUM(I16:M16)</f>
        <v>#DIV/0!</v>
      </c>
      <c r="G16" s="10" t="e">
        <f>EXP(GAMMALN($B$1+A16+1)+GAMMALN($B$2+C16-A16)-GAMMALN($B$1+$B$2+C16+1))*EXP(GAMMALN($B$3)+GAMMALN($B$4+C16+1)-GAMMALN($B$3+$B$4+C16+1))/($E$1*$E$3*(1+$B$6))*$D$29/F16</f>
        <v>#DIV/0!</v>
      </c>
      <c r="H16">
        <f t="shared" si="0"/>
        <v>0</v>
      </c>
      <c r="I16" s="4" t="e">
        <f t="shared" si="1"/>
        <v>#DIV/0!</v>
      </c>
      <c r="J16" t="e">
        <f t="shared" si="2"/>
        <v>#DIV/0!</v>
      </c>
      <c r="K16">
        <f t="shared" si="2"/>
        <v>0</v>
      </c>
      <c r="L16">
        <f t="shared" si="2"/>
        <v>0</v>
      </c>
      <c r="M16">
        <f t="shared" si="2"/>
        <v>0</v>
      </c>
    </row>
    <row r="17" spans="1:13" x14ac:dyDescent="0.35">
      <c r="A17">
        <v>2</v>
      </c>
      <c r="B17">
        <v>4</v>
      </c>
      <c r="C17">
        <v>4</v>
      </c>
      <c r="D17">
        <v>18</v>
      </c>
      <c r="E17" s="5" t="e">
        <f t="shared" si="3"/>
        <v>#DIV/0!</v>
      </c>
      <c r="F17" s="4" t="e">
        <f>SUM(I17:M17)</f>
        <v>#DIV/0!</v>
      </c>
      <c r="G17" s="10" t="e">
        <f>EXP(GAMMALN($B$1+A17+1)+GAMMALN($B$2+C17-A17)-GAMMALN($B$1+$B$2+C17+1))*EXP(GAMMALN($B$3)+GAMMALN($B$4+C17+1)-GAMMALN($B$3+$B$4+C17+1))/($E$1*$E$3*(1+$B$6))*$D$29/F17</f>
        <v>#DIV/0!</v>
      </c>
      <c r="H17">
        <f t="shared" si="0"/>
        <v>-1</v>
      </c>
      <c r="I17" s="4" t="e">
        <f t="shared" si="1"/>
        <v>#DIV/0!</v>
      </c>
      <c r="J17" s="4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</row>
    <row r="18" spans="1:13" x14ac:dyDescent="0.35">
      <c r="A18">
        <v>1</v>
      </c>
      <c r="B18">
        <v>1</v>
      </c>
      <c r="C18">
        <v>4</v>
      </c>
      <c r="D18">
        <v>302</v>
      </c>
      <c r="E18" s="5" t="e">
        <f t="shared" si="3"/>
        <v>#DIV/0!</v>
      </c>
      <c r="F18" s="4" t="e">
        <f>SUM(I18:M18)</f>
        <v>#DIV/0!</v>
      </c>
      <c r="G18" s="10" t="e">
        <f>EXP(GAMMALN($B$1+A18+1)+GAMMALN($B$2+C18-A18)-GAMMALN($B$1+$B$2+C18+1))*EXP(GAMMALN($B$3)+GAMMALN($B$4+C18+1)-GAMMALN($B$3+$B$4+C18+1))/($E$1*$E$3*(1+$B$6))*$D$29/F18</f>
        <v>#DIV/0!</v>
      </c>
      <c r="H18">
        <f t="shared" si="0"/>
        <v>2</v>
      </c>
      <c r="I18" s="4" t="e">
        <f t="shared" si="1"/>
        <v>#DIV/0!</v>
      </c>
      <c r="J18" s="4" t="e">
        <f t="shared" si="2"/>
        <v>#DIV/0!</v>
      </c>
      <c r="K18" t="e">
        <f t="shared" si="2"/>
        <v>#DIV/0!</v>
      </c>
      <c r="L18" t="e">
        <f t="shared" si="2"/>
        <v>#DIV/0!</v>
      </c>
      <c r="M18">
        <f t="shared" si="2"/>
        <v>0</v>
      </c>
    </row>
    <row r="19" spans="1:13" x14ac:dyDescent="0.35">
      <c r="A19">
        <v>3</v>
      </c>
      <c r="B19">
        <v>4</v>
      </c>
      <c r="C19">
        <v>4</v>
      </c>
      <c r="D19">
        <v>16</v>
      </c>
      <c r="E19" s="5" t="e">
        <f t="shared" si="3"/>
        <v>#DIV/0!</v>
      </c>
      <c r="F19" s="4" t="e">
        <f>SUM(I19:M19)</f>
        <v>#DIV/0!</v>
      </c>
      <c r="G19" s="10" t="e">
        <f>EXP(GAMMALN($B$1+A19+1)+GAMMALN($B$2+C19-A19)-GAMMALN($B$1+$B$2+C19+1))*EXP(GAMMALN($B$3)+GAMMALN($B$4+C19+1)-GAMMALN($B$3+$B$4+C19+1))/($E$1*$E$3*(1+$B$6))*$D$29/F19</f>
        <v>#DIV/0!</v>
      </c>
      <c r="H19">
        <f t="shared" si="0"/>
        <v>-1</v>
      </c>
      <c r="I19" s="4" t="e">
        <f t="shared" si="1"/>
        <v>#DIV/0!</v>
      </c>
      <c r="J19" s="4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</row>
    <row r="20" spans="1:13" x14ac:dyDescent="0.35">
      <c r="A20">
        <v>2</v>
      </c>
      <c r="B20">
        <v>3</v>
      </c>
      <c r="C20">
        <v>4</v>
      </c>
      <c r="D20">
        <v>118</v>
      </c>
      <c r="E20" s="5" t="e">
        <f t="shared" si="3"/>
        <v>#DIV/0!</v>
      </c>
      <c r="F20" s="4" t="e">
        <f>SUM(I20:M20)</f>
        <v>#DIV/0!</v>
      </c>
      <c r="G20" s="10" t="e">
        <f>EXP(GAMMALN($B$1+A20+1)+GAMMALN($B$2+C20-A20)-GAMMALN($B$1+$B$2+C20+1))*EXP(GAMMALN($B$3)+GAMMALN($B$4+C20+1)-GAMMALN($B$3+$B$4+C20+1))/($E$1*$E$3*(1+$B$6))*$D$29/F20</f>
        <v>#DIV/0!</v>
      </c>
      <c r="H20">
        <f t="shared" si="0"/>
        <v>0</v>
      </c>
      <c r="I20" s="4" t="e">
        <f t="shared" si="1"/>
        <v>#DIV/0!</v>
      </c>
      <c r="J20" s="4" t="e">
        <f t="shared" si="2"/>
        <v>#DIV/0!</v>
      </c>
      <c r="K20">
        <f t="shared" si="2"/>
        <v>0</v>
      </c>
      <c r="L20">
        <f t="shared" si="2"/>
        <v>0</v>
      </c>
      <c r="M20">
        <f t="shared" si="2"/>
        <v>0</v>
      </c>
    </row>
    <row r="21" spans="1:13" x14ac:dyDescent="0.35">
      <c r="A21">
        <v>2</v>
      </c>
      <c r="B21">
        <v>4</v>
      </c>
      <c r="C21">
        <v>4</v>
      </c>
      <c r="D21">
        <v>36</v>
      </c>
      <c r="E21" s="5" t="e">
        <f t="shared" si="3"/>
        <v>#DIV/0!</v>
      </c>
      <c r="F21" s="4" t="e">
        <f>SUM(I21:M21)</f>
        <v>#DIV/0!</v>
      </c>
      <c r="G21" s="10" t="e">
        <f>EXP(GAMMALN($B$1+A21+1)+GAMMALN($B$2+C21-A21)-GAMMALN($B$1+$B$2+C21+1))*EXP(GAMMALN($B$3)+GAMMALN($B$4+C21+1)-GAMMALN($B$3+$B$4+C21+1))/($E$1*$E$3*(1+$B$6))*$D$29/F21</f>
        <v>#DIV/0!</v>
      </c>
      <c r="H21">
        <f t="shared" si="0"/>
        <v>-1</v>
      </c>
      <c r="I21" s="4" t="e">
        <f t="shared" si="1"/>
        <v>#DIV/0!</v>
      </c>
      <c r="J21" s="4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</row>
    <row r="22" spans="1:13" x14ac:dyDescent="0.35">
      <c r="A22">
        <v>1</v>
      </c>
      <c r="B22">
        <v>2</v>
      </c>
      <c r="C22">
        <v>4</v>
      </c>
      <c r="D22">
        <v>342</v>
      </c>
      <c r="E22" s="5" t="e">
        <f t="shared" si="3"/>
        <v>#DIV/0!</v>
      </c>
      <c r="F22" s="4" t="e">
        <f>SUM(I22:M22)</f>
        <v>#DIV/0!</v>
      </c>
      <c r="G22" s="10" t="e">
        <f>EXP(GAMMALN($B$1+A22+1)+GAMMALN($B$2+C22-A22)-GAMMALN($B$1+$B$2+C22+1))*EXP(GAMMALN($B$3)+GAMMALN($B$4+C22+1)-GAMMALN($B$3+$B$4+C22+1))/($E$1*$E$3*(1+$B$6))*$D$29/F22</f>
        <v>#DIV/0!</v>
      </c>
      <c r="H22">
        <f t="shared" si="0"/>
        <v>1</v>
      </c>
      <c r="I22" s="4" t="e">
        <f t="shared" si="1"/>
        <v>#DIV/0!</v>
      </c>
      <c r="J22" s="4" t="e">
        <f t="shared" si="2"/>
        <v>#DIV/0!</v>
      </c>
      <c r="K22" s="4" t="e">
        <f t="shared" si="2"/>
        <v>#DIV/0!</v>
      </c>
      <c r="L22">
        <f t="shared" si="2"/>
        <v>0</v>
      </c>
      <c r="M22">
        <f t="shared" si="2"/>
        <v>0</v>
      </c>
    </row>
    <row r="23" spans="1:13" x14ac:dyDescent="0.35">
      <c r="A23">
        <v>2</v>
      </c>
      <c r="B23">
        <v>4</v>
      </c>
      <c r="C23">
        <v>4</v>
      </c>
      <c r="D23">
        <v>44</v>
      </c>
      <c r="E23" s="5" t="e">
        <f t="shared" si="3"/>
        <v>#DIV/0!</v>
      </c>
      <c r="F23" s="4" t="e">
        <f>SUM(I23:M23)</f>
        <v>#DIV/0!</v>
      </c>
      <c r="G23" s="10" t="e">
        <f>EXP(GAMMALN($B$1+A23+1)+GAMMALN($B$2+C23-A23)-GAMMALN($B$1+$B$2+C23+1))*EXP(GAMMALN($B$3)+GAMMALN($B$4+C23+1)-GAMMALN($B$3+$B$4+C23+1))/($E$1*$E$3*(1+$B$6))*$D$29/F23</f>
        <v>#DIV/0!</v>
      </c>
      <c r="H23">
        <f t="shared" si="0"/>
        <v>-1</v>
      </c>
      <c r="I23" s="4" t="e">
        <f t="shared" si="1"/>
        <v>#DIV/0!</v>
      </c>
      <c r="J23" s="4">
        <f t="shared" si="2"/>
        <v>0</v>
      </c>
      <c r="K23" s="4">
        <f t="shared" si="2"/>
        <v>0</v>
      </c>
      <c r="L23">
        <f t="shared" si="2"/>
        <v>0</v>
      </c>
      <c r="M23">
        <f t="shared" si="2"/>
        <v>0</v>
      </c>
    </row>
    <row r="24" spans="1:13" x14ac:dyDescent="0.35">
      <c r="A24">
        <v>1</v>
      </c>
      <c r="B24">
        <v>3</v>
      </c>
      <c r="C24">
        <v>4</v>
      </c>
      <c r="D24">
        <v>292</v>
      </c>
      <c r="E24" s="5" t="e">
        <f t="shared" si="3"/>
        <v>#DIV/0!</v>
      </c>
      <c r="F24" s="4" t="e">
        <f>SUM(I24:M24)</f>
        <v>#DIV/0!</v>
      </c>
      <c r="G24" s="10" t="e">
        <f>EXP(GAMMALN($B$1+A24+1)+GAMMALN($B$2+C24-A24)-GAMMALN($B$1+$B$2+C24+1))*EXP(GAMMALN($B$3)+GAMMALN($B$4+C24+1)-GAMMALN($B$3+$B$4+C24+1))/($E$1*$E$3*(1+$B$6))*$D$29/F24</f>
        <v>#DIV/0!</v>
      </c>
      <c r="H24">
        <f t="shared" si="0"/>
        <v>0</v>
      </c>
      <c r="I24" s="4" t="e">
        <f t="shared" si="1"/>
        <v>#DIV/0!</v>
      </c>
      <c r="J24" s="4" t="e">
        <f t="shared" si="2"/>
        <v>#DIV/0!</v>
      </c>
      <c r="K24" s="4">
        <f t="shared" si="2"/>
        <v>0</v>
      </c>
      <c r="L24">
        <f t="shared" si="2"/>
        <v>0</v>
      </c>
      <c r="M24">
        <f t="shared" si="2"/>
        <v>0</v>
      </c>
    </row>
    <row r="25" spans="1:13" x14ac:dyDescent="0.35">
      <c r="A25">
        <v>1</v>
      </c>
      <c r="B25">
        <v>4</v>
      </c>
      <c r="C25">
        <v>4</v>
      </c>
      <c r="D25">
        <v>216</v>
      </c>
      <c r="E25" s="5" t="e">
        <f t="shared" si="3"/>
        <v>#DIV/0!</v>
      </c>
      <c r="F25" s="4" t="e">
        <f>SUM(I25:M25)</f>
        <v>#DIV/0!</v>
      </c>
      <c r="G25" s="10" t="e">
        <f>EXP(GAMMALN($B$1+A25+1)+GAMMALN($B$2+C25-A25)-GAMMALN($B$1+$B$2+C25+1))*EXP(GAMMALN($B$3)+GAMMALN($B$4+C25+1)-GAMMALN($B$3+$B$4+C25+1))/($E$1*$E$3*(1+$B$6))*$D$29/F25</f>
        <v>#DIV/0!</v>
      </c>
      <c r="H25">
        <f t="shared" si="0"/>
        <v>-1</v>
      </c>
      <c r="I25" s="4" t="e">
        <f t="shared" si="1"/>
        <v>#DIV/0!</v>
      </c>
      <c r="J25" s="4">
        <f t="shared" si="2"/>
        <v>0</v>
      </c>
      <c r="K25" s="4">
        <f t="shared" si="2"/>
        <v>0</v>
      </c>
      <c r="L25">
        <f t="shared" si="2"/>
        <v>0</v>
      </c>
      <c r="M25">
        <f t="shared" si="2"/>
        <v>0</v>
      </c>
    </row>
    <row r="26" spans="1:13" x14ac:dyDescent="0.35">
      <c r="A26">
        <v>0</v>
      </c>
      <c r="B26">
        <v>0</v>
      </c>
      <c r="C26">
        <v>4</v>
      </c>
      <c r="D26">
        <v>4482</v>
      </c>
      <c r="E26" s="5" t="e">
        <f t="shared" si="3"/>
        <v>#DIV/0!</v>
      </c>
      <c r="F26" s="4" t="e">
        <f>SUM(I26:M26)</f>
        <v>#DIV/0!</v>
      </c>
      <c r="G26" s="10" t="e">
        <f>EXP(GAMMALN($B$1+A26+1)+GAMMALN($B$2+C26-A26)-GAMMALN($B$1+$B$2+C26+1))*EXP(GAMMALN($B$3)+GAMMALN($B$4+C26+1)-GAMMALN($B$3+$B$4+C26+1))/($E$1*$E$3*(1+$B$6))*$D$29/F26</f>
        <v>#DIV/0!</v>
      </c>
      <c r="H26">
        <f t="shared" si="0"/>
        <v>3</v>
      </c>
      <c r="I26" s="4" t="e">
        <f t="shared" si="1"/>
        <v>#DIV/0!</v>
      </c>
      <c r="J26" s="4" t="e">
        <f t="shared" si="2"/>
        <v>#DIV/0!</v>
      </c>
      <c r="K26" s="4" t="e">
        <f t="shared" si="2"/>
        <v>#DIV/0!</v>
      </c>
      <c r="L26" s="4" t="e">
        <f t="shared" si="2"/>
        <v>#DIV/0!</v>
      </c>
      <c r="M26" t="e">
        <f t="shared" si="2"/>
        <v>#DIV/0!</v>
      </c>
    </row>
    <row r="28" spans="1:13" x14ac:dyDescent="0.35">
      <c r="E28" s="1" t="s">
        <v>47</v>
      </c>
      <c r="J28" s="1" t="s">
        <v>47</v>
      </c>
    </row>
    <row r="29" spans="1:13" x14ac:dyDescent="0.35">
      <c r="C29" s="14" t="s">
        <v>42</v>
      </c>
      <c r="D29" s="2">
        <f>SUM(F29:F179)</f>
        <v>5.9679665043303078</v>
      </c>
      <c r="E29">
        <v>0</v>
      </c>
      <c r="F29">
        <v>1</v>
      </c>
      <c r="H29" s="14" t="s">
        <v>42</v>
      </c>
      <c r="I29">
        <f>SUM(K29:K179)</f>
        <v>5.9636864539019463</v>
      </c>
      <c r="J29">
        <v>0</v>
      </c>
      <c r="K29">
        <v>1</v>
      </c>
    </row>
    <row r="30" spans="1:13" x14ac:dyDescent="0.35">
      <c r="C30" s="1" t="s">
        <v>43</v>
      </c>
      <c r="D30">
        <v>1</v>
      </c>
      <c r="E30">
        <f t="shared" ref="E30:E93" si="4">E29+1</f>
        <v>1</v>
      </c>
      <c r="F30" s="16">
        <f>F29*($D$30+E30-1)*($D$31+E30-1)*$D$33/(($D$32+E30-1)*E30)</f>
        <v>0.83228967306237867</v>
      </c>
      <c r="H30" s="1" t="s">
        <v>43</v>
      </c>
      <c r="I30">
        <v>1</v>
      </c>
      <c r="J30">
        <f t="shared" ref="J30:J93" si="5">J29+1</f>
        <v>1</v>
      </c>
      <c r="K30" s="16">
        <f>K29*($I$30+J30-1)*($I$31+J30-1)*$I$33/(($I$32+J30-1)*J30)</f>
        <v>0.83216907735682566</v>
      </c>
    </row>
    <row r="31" spans="1:13" x14ac:dyDescent="0.35">
      <c r="C31" s="1" t="s">
        <v>44</v>
      </c>
      <c r="D31" s="15">
        <f>B4+C11+1</f>
        <v>2335.8500364830479</v>
      </c>
      <c r="E31">
        <f t="shared" si="4"/>
        <v>2</v>
      </c>
      <c r="F31" s="16">
        <f t="shared" ref="F31:F94" si="6">F30*($D$30+E31-1)*($D$31+E31-1)*$D$33/(($D$32+E31-1)*E31)</f>
        <v>0.69273114337128749</v>
      </c>
      <c r="H31" s="1" t="s">
        <v>44</v>
      </c>
      <c r="I31" s="2">
        <f>B4+1</f>
        <v>2331.8500364830479</v>
      </c>
      <c r="J31">
        <f t="shared" si="5"/>
        <v>2</v>
      </c>
      <c r="K31" s="16">
        <f t="shared" ref="K31:K94" si="7">K30*($I$30+J31-1)*($I$31+J31-1)*$I$33/(($I$32+J31-1)*J31)</f>
        <v>0.69253049184822713</v>
      </c>
    </row>
    <row r="32" spans="1:13" x14ac:dyDescent="0.35">
      <c r="C32" s="1" t="s">
        <v>45</v>
      </c>
      <c r="D32" s="15">
        <f>B3+B4+C11+1</f>
        <v>2551.3953878017837</v>
      </c>
      <c r="E32">
        <f t="shared" si="4"/>
        <v>3</v>
      </c>
      <c r="F32" s="16">
        <f t="shared" si="6"/>
        <v>0.57659464888498047</v>
      </c>
      <c r="H32" s="1" t="s">
        <v>45</v>
      </c>
      <c r="I32" s="2">
        <f>B3+B4+1</f>
        <v>2547.3953878017837</v>
      </c>
      <c r="J32">
        <f t="shared" si="5"/>
        <v>3</v>
      </c>
      <c r="K32" s="16">
        <f t="shared" si="7"/>
        <v>0.57634425130366818</v>
      </c>
    </row>
    <row r="33" spans="3:11" x14ac:dyDescent="0.35">
      <c r="C33" s="1" t="s">
        <v>46</v>
      </c>
      <c r="D33" s="15">
        <f>1/(1+B6)</f>
        <v>0.90909090909090906</v>
      </c>
      <c r="E33">
        <f t="shared" si="4"/>
        <v>4</v>
      </c>
      <c r="F33" s="16">
        <f t="shared" si="6"/>
        <v>0.47994578002524857</v>
      </c>
      <c r="H33" s="1" t="s">
        <v>46</v>
      </c>
      <c r="I33">
        <f>1/(1+B6)</f>
        <v>0.90909090909090906</v>
      </c>
      <c r="J33">
        <f t="shared" si="5"/>
        <v>4</v>
      </c>
      <c r="K33" s="16">
        <f t="shared" si="7"/>
        <v>0.47966801276787691</v>
      </c>
    </row>
    <row r="34" spans="3:11" x14ac:dyDescent="0.35">
      <c r="E34">
        <f t="shared" si="4"/>
        <v>5</v>
      </c>
      <c r="F34" s="16">
        <f t="shared" si="6"/>
        <v>0.39951161454580836</v>
      </c>
      <c r="J34">
        <f t="shared" si="5"/>
        <v>5</v>
      </c>
      <c r="K34" s="16">
        <f t="shared" si="7"/>
        <v>0.39922273352505711</v>
      </c>
    </row>
    <row r="35" spans="3:11" x14ac:dyDescent="0.35">
      <c r="E35">
        <f t="shared" si="4"/>
        <v>6</v>
      </c>
      <c r="F35" s="16">
        <f t="shared" si="6"/>
        <v>0.33256940326189033</v>
      </c>
      <c r="J35">
        <f t="shared" si="5"/>
        <v>6</v>
      </c>
      <c r="K35" s="16">
        <f t="shared" si="7"/>
        <v>0.33228097092332465</v>
      </c>
    </row>
    <row r="36" spans="3:11" x14ac:dyDescent="0.35">
      <c r="E36">
        <f t="shared" si="4"/>
        <v>7</v>
      </c>
      <c r="F36" s="16">
        <f t="shared" si="6"/>
        <v>0.27685400433611651</v>
      </c>
      <c r="J36">
        <f t="shared" si="5"/>
        <v>7</v>
      </c>
      <c r="K36" s="16">
        <f t="shared" si="7"/>
        <v>0.27657400940325028</v>
      </c>
    </row>
    <row r="37" spans="3:11" x14ac:dyDescent="0.35">
      <c r="E37">
        <f t="shared" si="4"/>
        <v>8</v>
      </c>
      <c r="F37" s="16">
        <f t="shared" si="6"/>
        <v>0.23048090549680619</v>
      </c>
      <c r="J37">
        <f t="shared" si="5"/>
        <v>8</v>
      </c>
      <c r="K37" s="16">
        <f t="shared" si="7"/>
        <v>0.23021463854103952</v>
      </c>
    </row>
    <row r="38" spans="3:11" x14ac:dyDescent="0.35">
      <c r="E38">
        <f t="shared" si="4"/>
        <v>9</v>
      </c>
      <c r="F38" s="16">
        <f t="shared" si="6"/>
        <v>0.19188220685813598</v>
      </c>
      <c r="J38">
        <f t="shared" si="5"/>
        <v>9</v>
      </c>
      <c r="K38" s="16">
        <f t="shared" si="7"/>
        <v>0.19163294222687388</v>
      </c>
    </row>
    <row r="39" spans="3:11" x14ac:dyDescent="0.35">
      <c r="E39">
        <f t="shared" si="4"/>
        <v>10</v>
      </c>
      <c r="F39" s="16">
        <f t="shared" si="6"/>
        <v>0.1597533802415208</v>
      </c>
      <c r="J39">
        <f t="shared" si="5"/>
        <v>10</v>
      </c>
      <c r="K39" s="16">
        <f t="shared" si="7"/>
        <v>0.15952290477002962</v>
      </c>
    </row>
    <row r="40" spans="3:11" x14ac:dyDescent="0.35">
      <c r="E40">
        <f t="shared" si="4"/>
        <v>11</v>
      </c>
      <c r="F40" s="16">
        <f t="shared" si="6"/>
        <v>0.13300898928784233</v>
      </c>
      <c r="J40">
        <f t="shared" si="5"/>
        <v>11</v>
      </c>
      <c r="K40" s="16">
        <f t="shared" si="7"/>
        <v>0.1327980100867342</v>
      </c>
    </row>
    <row r="41" spans="3:11" x14ac:dyDescent="0.35">
      <c r="E41">
        <f t="shared" si="4"/>
        <v>12</v>
      </c>
      <c r="F41" s="16">
        <f t="shared" si="6"/>
        <v>0.11074586084877605</v>
      </c>
      <c r="J41">
        <f t="shared" si="5"/>
        <v>12</v>
      </c>
      <c r="K41" s="16">
        <f t="shared" si="7"/>
        <v>0.11055431792059386</v>
      </c>
    </row>
    <row r="42" spans="3:11" x14ac:dyDescent="0.35">
      <c r="E42">
        <f t="shared" si="4"/>
        <v>13</v>
      </c>
      <c r="F42" s="16">
        <f t="shared" si="6"/>
        <v>9.2212452661048896E-2</v>
      </c>
      <c r="J42">
        <f t="shared" si="5"/>
        <v>13</v>
      </c>
      <c r="K42" s="16">
        <f t="shared" si="7"/>
        <v>9.2039756849156759E-2</v>
      </c>
    </row>
    <row r="43" spans="3:11" x14ac:dyDescent="0.35">
      <c r="E43">
        <f t="shared" si="4"/>
        <v>14</v>
      </c>
      <c r="F43" s="16">
        <f t="shared" si="6"/>
        <v>7.6783373871346844E-2</v>
      </c>
      <c r="J43">
        <f t="shared" si="5"/>
        <v>14</v>
      </c>
      <c r="K43" s="16">
        <f t="shared" si="7"/>
        <v>7.6628586433401286E-2</v>
      </c>
    </row>
    <row r="44" spans="3:11" x14ac:dyDescent="0.35">
      <c r="E44">
        <f t="shared" si="4"/>
        <v>15</v>
      </c>
      <c r="F44" s="16">
        <f t="shared" si="6"/>
        <v>6.393819084673899E-2</v>
      </c>
      <c r="J44">
        <f t="shared" si="5"/>
        <v>15</v>
      </c>
      <c r="K44" s="16">
        <f t="shared" si="7"/>
        <v>6.380015757196314E-2</v>
      </c>
    </row>
    <row r="45" spans="3:11" x14ac:dyDescent="0.35">
      <c r="E45">
        <f t="shared" si="4"/>
        <v>16</v>
      </c>
      <c r="F45" s="16">
        <f t="shared" si="6"/>
        <v>5.3243796904314522E-2</v>
      </c>
      <c r="J45">
        <f t="shared" si="5"/>
        <v>16</v>
      </c>
      <c r="K45" s="16">
        <f t="shared" si="7"/>
        <v>5.312124699560021E-2</v>
      </c>
    </row>
    <row r="46" spans="3:11" x14ac:dyDescent="0.35">
      <c r="E46">
        <f t="shared" si="4"/>
        <v>17</v>
      </c>
      <c r="F46" s="16">
        <f t="shared" si="6"/>
        <v>4.4339746133681732E-2</v>
      </c>
      <c r="J46">
        <f t="shared" si="5"/>
        <v>17</v>
      </c>
      <c r="K46" s="16">
        <f t="shared" si="7"/>
        <v>4.4231363920377229E-2</v>
      </c>
    </row>
    <row r="47" spans="3:11" x14ac:dyDescent="0.35">
      <c r="E47">
        <f t="shared" si="4"/>
        <v>18</v>
      </c>
      <c r="F47" s="16">
        <f t="shared" si="6"/>
        <v>3.692605252990299E-2</v>
      </c>
      <c r="J47">
        <f t="shared" si="5"/>
        <v>18</v>
      </c>
      <c r="K47" s="16">
        <f t="shared" si="7"/>
        <v>3.6830528358481843E-2</v>
      </c>
    </row>
    <row r="48" spans="3:11" x14ac:dyDescent="0.35">
      <c r="E48">
        <f t="shared" si="4"/>
        <v>19</v>
      </c>
      <c r="F48" s="16">
        <f t="shared" si="6"/>
        <v>3.0753039661793428E-2</v>
      </c>
      <c r="J48">
        <f t="shared" si="5"/>
        <v>19</v>
      </c>
      <c r="K48" s="16">
        <f t="shared" si="7"/>
        <v>3.0669104943428532E-2</v>
      </c>
    </row>
    <row r="49" spans="5:11" x14ac:dyDescent="0.35">
      <c r="E49">
        <f t="shared" si="4"/>
        <v>20</v>
      </c>
      <c r="F49" s="16">
        <f t="shared" si="6"/>
        <v>2.5612895946321469E-2</v>
      </c>
      <c r="J49">
        <f t="shared" si="5"/>
        <v>20</v>
      </c>
      <c r="K49" s="16">
        <f t="shared" si="7"/>
        <v>2.5539346253308965E-2</v>
      </c>
    </row>
    <row r="50" spans="5:11" x14ac:dyDescent="0.35">
      <c r="E50">
        <f t="shared" si="4"/>
        <v>21</v>
      </c>
      <c r="F50" s="16">
        <f t="shared" si="6"/>
        <v>2.1332648673528576E-2</v>
      </c>
      <c r="J50">
        <f t="shared" si="5"/>
        <v>21</v>
      </c>
      <c r="K50" s="16">
        <f t="shared" si="7"/>
        <v>2.1268357914575254E-2</v>
      </c>
    </row>
    <row r="51" spans="5:11" x14ac:dyDescent="0.35">
      <c r="E51">
        <f t="shared" si="4"/>
        <v>22</v>
      </c>
      <c r="F51" s="16">
        <f t="shared" si="6"/>
        <v>1.7768318213833564E-2</v>
      </c>
      <c r="J51">
        <f t="shared" si="5"/>
        <v>22</v>
      </c>
      <c r="K51" s="16">
        <f t="shared" si="7"/>
        <v>1.7712246236380791E-2</v>
      </c>
    </row>
    <row r="52" spans="5:11" x14ac:dyDescent="0.35">
      <c r="E52">
        <f t="shared" si="4"/>
        <v>23</v>
      </c>
      <c r="F52" s="16">
        <f t="shared" si="6"/>
        <v>1.4800053991391211E-2</v>
      </c>
      <c r="J52">
        <f t="shared" si="5"/>
        <v>23</v>
      </c>
      <c r="K52" s="16">
        <f t="shared" si="7"/>
        <v>1.4751249421144147E-2</v>
      </c>
    </row>
    <row r="53" spans="5:11" x14ac:dyDescent="0.35">
      <c r="E53">
        <f t="shared" si="4"/>
        <v>24</v>
      </c>
      <c r="F53" s="16">
        <f t="shared" si="6"/>
        <v>1.2328087195280873E-2</v>
      </c>
      <c r="J53">
        <f t="shared" si="5"/>
        <v>24</v>
      </c>
      <c r="K53" s="16">
        <f t="shared" si="7"/>
        <v>1.2285686899802421E-2</v>
      </c>
    </row>
    <row r="54" spans="5:11" x14ac:dyDescent="0.35">
      <c r="E54">
        <f t="shared" si="4"/>
        <v>25</v>
      </c>
      <c r="F54" s="16">
        <f t="shared" si="6"/>
        <v>1.0269362965089648E-2</v>
      </c>
      <c r="J54">
        <f t="shared" si="5"/>
        <v>25</v>
      </c>
      <c r="K54" s="16">
        <f t="shared" si="7"/>
        <v>1.023258919630673E-2</v>
      </c>
    </row>
    <row r="55" spans="5:11" x14ac:dyDescent="0.35">
      <c r="E55">
        <f t="shared" si="4"/>
        <v>26</v>
      </c>
      <c r="F55" s="16">
        <f t="shared" si="6"/>
        <v>8.5547378768651844E-3</v>
      </c>
      <c r="J55">
        <f t="shared" si="5"/>
        <v>26</v>
      </c>
      <c r="K55" s="16">
        <f t="shared" si="7"/>
        <v>8.5228938878568108E-3</v>
      </c>
    </row>
    <row r="56" spans="5:11" x14ac:dyDescent="0.35">
      <c r="E56">
        <f t="shared" si="4"/>
        <v>27</v>
      </c>
      <c r="F56" s="16">
        <f t="shared" si="6"/>
        <v>7.1266477574441585E-3</v>
      </c>
      <c r="J56">
        <f t="shared" si="5"/>
        <v>27</v>
      </c>
      <c r="K56" s="16">
        <f t="shared" si="7"/>
        <v>7.0991124869079023E-3</v>
      </c>
    </row>
    <row r="57" spans="5:11" x14ac:dyDescent="0.35">
      <c r="E57">
        <f t="shared" si="4"/>
        <v>28</v>
      </c>
      <c r="F57" s="16">
        <f t="shared" si="6"/>
        <v>5.9371668248836577E-3</v>
      </c>
      <c r="J57">
        <f t="shared" si="5"/>
        <v>28</v>
      </c>
      <c r="K57" s="16">
        <f t="shared" si="7"/>
        <v>5.9133890861894824E-3</v>
      </c>
    </row>
    <row r="58" spans="5:11" x14ac:dyDescent="0.35">
      <c r="E58">
        <f t="shared" si="4"/>
        <v>29</v>
      </c>
      <c r="F58" s="16">
        <f t="shared" si="6"/>
        <v>4.946392434718355E-3</v>
      </c>
      <c r="J58">
        <f t="shared" si="5"/>
        <v>29</v>
      </c>
      <c r="K58" s="16">
        <f t="shared" si="7"/>
        <v>4.9258849258565808E-3</v>
      </c>
    </row>
    <row r="59" spans="5:11" x14ac:dyDescent="0.35">
      <c r="E59">
        <f t="shared" si="4"/>
        <v>30</v>
      </c>
      <c r="F59" s="16">
        <f t="shared" si="6"/>
        <v>4.1211007587865518E-3</v>
      </c>
      <c r="J59">
        <f t="shared" si="5"/>
        <v>30</v>
      </c>
      <c r="K59" s="16">
        <f t="shared" si="7"/>
        <v>4.1034341171460077E-3</v>
      </c>
    </row>
    <row r="60" spans="5:11" x14ac:dyDescent="0.35">
      <c r="E60">
        <f t="shared" si="4"/>
        <v>31</v>
      </c>
      <c r="F60" s="16">
        <f t="shared" si="6"/>
        <v>3.4336279118291212E-3</v>
      </c>
      <c r="J60">
        <f t="shared" si="5"/>
        <v>31</v>
      </c>
      <c r="K60" s="16">
        <f t="shared" si="7"/>
        <v>3.4184249675098845E-3</v>
      </c>
    </row>
    <row r="61" spans="5:11" x14ac:dyDescent="0.35">
      <c r="E61">
        <f t="shared" si="4"/>
        <v>32</v>
      </c>
      <c r="F61" s="16">
        <f t="shared" si="6"/>
        <v>2.8609386839303433E-3</v>
      </c>
      <c r="J61">
        <f t="shared" si="5"/>
        <v>32</v>
      </c>
      <c r="K61" s="16">
        <f t="shared" si="7"/>
        <v>2.8478690123633086E-3</v>
      </c>
    </row>
    <row r="62" spans="5:11" x14ac:dyDescent="0.35">
      <c r="E62">
        <f t="shared" si="4"/>
        <v>33</v>
      </c>
      <c r="F62" s="16">
        <f t="shared" si="6"/>
        <v>2.3838513943551807E-3</v>
      </c>
      <c r="J62">
        <f t="shared" si="5"/>
        <v>33</v>
      </c>
      <c r="K62" s="16">
        <f t="shared" si="7"/>
        <v>2.3726262295314126E-3</v>
      </c>
    </row>
    <row r="63" spans="5:11" x14ac:dyDescent="0.35">
      <c r="E63">
        <f t="shared" si="4"/>
        <v>34</v>
      </c>
      <c r="F63" s="16">
        <f t="shared" si="6"/>
        <v>1.9863926708111749E-3</v>
      </c>
      <c r="J63">
        <f t="shared" si="5"/>
        <v>34</v>
      </c>
      <c r="K63" s="16">
        <f t="shared" si="7"/>
        <v>1.9767602113833337E-3</v>
      </c>
    </row>
    <row r="64" spans="5:11" x14ac:dyDescent="0.35">
      <c r="E64">
        <f t="shared" si="4"/>
        <v>35</v>
      </c>
      <c r="F64" s="16">
        <f t="shared" si="6"/>
        <v>1.6552603575389344E-3</v>
      </c>
      <c r="J64">
        <f t="shared" si="5"/>
        <v>35</v>
      </c>
      <c r="K64" s="16">
        <f t="shared" si="7"/>
        <v>1.6470014770513886E-3</v>
      </c>
    </row>
    <row r="65" spans="5:11" x14ac:dyDescent="0.35">
      <c r="E65">
        <f t="shared" si="4"/>
        <v>36</v>
      </c>
      <c r="F65" s="16">
        <f t="shared" si="6"/>
        <v>1.3793764155208056E-3</v>
      </c>
      <c r="J65">
        <f t="shared" si="5"/>
        <v>36</v>
      </c>
      <c r="K65" s="16">
        <f t="shared" si="7"/>
        <v>1.3723007731716124E-3</v>
      </c>
    </row>
    <row r="66" spans="5:11" x14ac:dyDescent="0.35">
      <c r="E66">
        <f t="shared" si="4"/>
        <v>37</v>
      </c>
      <c r="F66" s="16">
        <f t="shared" si="6"/>
        <v>1.1495147229038656E-3</v>
      </c>
      <c r="J66">
        <f t="shared" si="5"/>
        <v>37</v>
      </c>
      <c r="K66" s="16">
        <f t="shared" si="7"/>
        <v>1.1434572610642816E-3</v>
      </c>
    </row>
    <row r="67" spans="5:11" x14ac:dyDescent="0.35">
      <c r="E67">
        <f t="shared" si="4"/>
        <v>38</v>
      </c>
      <c r="F67" s="16">
        <f t="shared" si="6"/>
        <v>9.5799121692240858E-4</v>
      </c>
      <c r="J67">
        <f t="shared" si="5"/>
        <v>38</v>
      </c>
      <c r="K67" s="16">
        <f t="shared" si="7"/>
        <v>9.5280902498467155E-4</v>
      </c>
    </row>
    <row r="68" spans="5:11" x14ac:dyDescent="0.35">
      <c r="E68">
        <f t="shared" si="4"/>
        <v>39</v>
      </c>
      <c r="F68" s="16">
        <f t="shared" si="6"/>
        <v>7.9840592621973727E-4</v>
      </c>
      <c r="J68">
        <f t="shared" si="5"/>
        <v>39</v>
      </c>
      <c r="K68" s="16">
        <f t="shared" si="7"/>
        <v>7.9397544631414584E-4</v>
      </c>
    </row>
    <row r="69" spans="5:11" x14ac:dyDescent="0.35">
      <c r="E69">
        <f t="shared" si="4"/>
        <v>40</v>
      </c>
      <c r="F69" s="16">
        <f t="shared" si="6"/>
        <v>6.6542819606892501E-4</v>
      </c>
      <c r="J69">
        <f t="shared" si="5"/>
        <v>40</v>
      </c>
      <c r="K69" s="16">
        <f t="shared" si="7"/>
        <v>6.6164274409174183E-4</v>
      </c>
    </row>
    <row r="70" spans="5:11" x14ac:dyDescent="0.35">
      <c r="E70">
        <f t="shared" si="4"/>
        <v>41</v>
      </c>
      <c r="F70" s="16">
        <f t="shared" si="6"/>
        <v>5.546178680935894E-4</v>
      </c>
      <c r="J70">
        <f t="shared" si="5"/>
        <v>41</v>
      </c>
      <c r="K70" s="16">
        <f t="shared" si="7"/>
        <v>5.5138544278271386E-4</v>
      </c>
    </row>
    <row r="71" spans="5:11" x14ac:dyDescent="0.35">
      <c r="E71">
        <f t="shared" si="4"/>
        <v>42</v>
      </c>
      <c r="F71" s="16">
        <f t="shared" si="6"/>
        <v>4.6227639019433541E-4</v>
      </c>
      <c r="J71">
        <f t="shared" si="5"/>
        <v>42</v>
      </c>
      <c r="K71" s="16">
        <f t="shared" si="7"/>
        <v>4.5951774327025171E-4</v>
      </c>
    </row>
    <row r="72" spans="5:11" x14ac:dyDescent="0.35">
      <c r="E72">
        <f t="shared" si="4"/>
        <v>43</v>
      </c>
      <c r="F72" s="16">
        <f t="shared" si="6"/>
        <v>3.8532284266800076E-4</v>
      </c>
      <c r="J72">
        <f t="shared" si="5"/>
        <v>43</v>
      </c>
      <c r="K72" s="16">
        <f t="shared" si="7"/>
        <v>3.8296978401191744E-4</v>
      </c>
    </row>
    <row r="73" spans="5:11" x14ac:dyDescent="0.35">
      <c r="E73">
        <f t="shared" si="4"/>
        <v>44</v>
      </c>
      <c r="F73" s="16">
        <f t="shared" si="6"/>
        <v>3.2119070721317697E-4</v>
      </c>
      <c r="J73">
        <f t="shared" si="5"/>
        <v>44</v>
      </c>
      <c r="K73" s="16">
        <f t="shared" si="7"/>
        <v>3.1918462044809435E-4</v>
      </c>
    </row>
    <row r="74" spans="5:11" x14ac:dyDescent="0.35">
      <c r="E74">
        <f t="shared" si="4"/>
        <v>45</v>
      </c>
      <c r="F74" s="16">
        <f t="shared" si="6"/>
        <v>2.6774190513492621E-4</v>
      </c>
      <c r="J74">
        <f t="shared" si="5"/>
        <v>45</v>
      </c>
      <c r="K74" s="16">
        <f t="shared" si="7"/>
        <v>2.6603245063400844E-4</v>
      </c>
    </row>
    <row r="75" spans="5:11" x14ac:dyDescent="0.35">
      <c r="E75">
        <f t="shared" si="4"/>
        <v>46</v>
      </c>
      <c r="F75" s="16">
        <f t="shared" si="6"/>
        <v>2.2319521329223363E-4</v>
      </c>
      <c r="J75">
        <f t="shared" si="5"/>
        <v>46</v>
      </c>
      <c r="K75" s="16">
        <f t="shared" si="7"/>
        <v>2.2173919743402446E-4</v>
      </c>
    </row>
    <row r="76" spans="5:11" x14ac:dyDescent="0.35">
      <c r="E76">
        <f t="shared" si="4"/>
        <v>47</v>
      </c>
      <c r="F76" s="16">
        <f t="shared" si="6"/>
        <v>1.860666508875488E-4</v>
      </c>
      <c r="J76">
        <f t="shared" si="5"/>
        <v>47</v>
      </c>
      <c r="K76" s="16">
        <f t="shared" si="7"/>
        <v>1.8482704221662913E-4</v>
      </c>
    </row>
    <row r="77" spans="5:11" x14ac:dyDescent="0.35">
      <c r="E77">
        <f t="shared" si="4"/>
        <v>48</v>
      </c>
      <c r="F77" s="16">
        <f t="shared" si="6"/>
        <v>1.5511983347914638E-4</v>
      </c>
      <c r="J77">
        <f t="shared" si="5"/>
        <v>48</v>
      </c>
      <c r="K77" s="16">
        <f t="shared" si="7"/>
        <v>1.540649082484535E-4</v>
      </c>
    </row>
    <row r="78" spans="5:11" x14ac:dyDescent="0.35">
      <c r="E78">
        <f t="shared" si="4"/>
        <v>49</v>
      </c>
      <c r="F78" s="16">
        <f t="shared" si="6"/>
        <v>1.2932462624815481E-4</v>
      </c>
      <c r="J78">
        <f t="shared" si="5"/>
        <v>49</v>
      </c>
      <c r="K78" s="16">
        <f t="shared" si="7"/>
        <v>1.2842722757075539E-4</v>
      </c>
    </row>
    <row r="79" spans="5:11" x14ac:dyDescent="0.35">
      <c r="E79">
        <f t="shared" si="4"/>
        <v>50</v>
      </c>
      <c r="F79" s="16">
        <f t="shared" si="6"/>
        <v>1.0782270792456399E-4</v>
      </c>
      <c r="J79">
        <f t="shared" si="5"/>
        <v>50</v>
      </c>
      <c r="K79" s="16">
        <f t="shared" si="7"/>
        <v>1.0705960441918805E-4</v>
      </c>
    </row>
    <row r="80" spans="5:11" x14ac:dyDescent="0.35">
      <c r="E80">
        <f t="shared" si="4"/>
        <v>51</v>
      </c>
      <c r="F80" s="16">
        <f t="shared" si="6"/>
        <v>8.9898889314903374E-5</v>
      </c>
      <c r="J80">
        <f t="shared" si="5"/>
        <v>51</v>
      </c>
      <c r="K80" s="16">
        <f t="shared" si="7"/>
        <v>8.925022067360477E-5</v>
      </c>
    </row>
    <row r="81" spans="5:11" x14ac:dyDescent="0.35">
      <c r="E81">
        <f t="shared" si="4"/>
        <v>52</v>
      </c>
      <c r="F81" s="16">
        <f t="shared" si="6"/>
        <v>7.4957223936783729E-5</v>
      </c>
      <c r="J81">
        <f t="shared" si="5"/>
        <v>52</v>
      </c>
      <c r="K81" s="16">
        <f t="shared" si="7"/>
        <v>7.440602226582607E-5</v>
      </c>
    </row>
    <row r="82" spans="5:11" x14ac:dyDescent="0.35">
      <c r="E82">
        <f t="shared" si="4"/>
        <v>53</v>
      </c>
      <c r="F82" s="16">
        <f t="shared" si="6"/>
        <v>6.2501109390647463E-5</v>
      </c>
      <c r="J82">
        <f t="shared" si="5"/>
        <v>53</v>
      </c>
      <c r="K82" s="16">
        <f t="shared" si="7"/>
        <v>6.2032886474400781E-5</v>
      </c>
    </row>
    <row r="83" spans="5:11" x14ac:dyDescent="0.35">
      <c r="E83">
        <f t="shared" si="4"/>
        <v>54</v>
      </c>
      <c r="F83" s="16">
        <f t="shared" si="6"/>
        <v>5.2116712227540475E-5</v>
      </c>
      <c r="J83">
        <f t="shared" si="5"/>
        <v>54</v>
      </c>
      <c r="K83" s="16">
        <f t="shared" si="7"/>
        <v>5.1719104041426777E-5</v>
      </c>
    </row>
    <row r="84" spans="5:11" x14ac:dyDescent="0.35">
      <c r="E84">
        <f t="shared" si="4"/>
        <v>55</v>
      </c>
      <c r="F84" s="16">
        <f t="shared" si="6"/>
        <v>4.3459160730808774E-5</v>
      </c>
      <c r="J84">
        <f t="shared" si="5"/>
        <v>55</v>
      </c>
      <c r="K84" s="16">
        <f t="shared" si="7"/>
        <v>4.3121621587718996E-5</v>
      </c>
    </row>
    <row r="85" spans="5:11" x14ac:dyDescent="0.35">
      <c r="E85">
        <f t="shared" si="4"/>
        <v>56</v>
      </c>
      <c r="F85" s="16">
        <f t="shared" si="6"/>
        <v>3.6241042986752193E-5</v>
      </c>
      <c r="J85">
        <f t="shared" si="5"/>
        <v>56</v>
      </c>
      <c r="K85" s="16">
        <f t="shared" si="7"/>
        <v>3.5954582648353767E-5</v>
      </c>
    </row>
    <row r="86" spans="5:11" x14ac:dyDescent="0.35">
      <c r="E86">
        <f t="shared" si="4"/>
        <v>57</v>
      </c>
      <c r="F86" s="16">
        <f t="shared" si="6"/>
        <v>3.0222825009613366E-5</v>
      </c>
      <c r="J86">
        <f t="shared" si="5"/>
        <v>57</v>
      </c>
      <c r="K86" s="16">
        <f t="shared" si="7"/>
        <v>2.9979782937199541E-5</v>
      </c>
    </row>
    <row r="87" spans="5:11" x14ac:dyDescent="0.35">
      <c r="E87">
        <f t="shared" si="4"/>
        <v>58</v>
      </c>
      <c r="F87" s="16">
        <f t="shared" si="6"/>
        <v>2.5204868118981565E-5</v>
      </c>
      <c r="J87">
        <f t="shared" si="5"/>
        <v>58</v>
      </c>
      <c r="K87" s="16">
        <f t="shared" si="7"/>
        <v>2.4998719786179634E-5</v>
      </c>
    </row>
    <row r="88" spans="5:11" x14ac:dyDescent="0.35">
      <c r="E88">
        <f t="shared" si="4"/>
        <v>59</v>
      </c>
      <c r="F88" s="16">
        <f t="shared" si="6"/>
        <v>2.1020778414184661E-5</v>
      </c>
      <c r="J88">
        <f t="shared" si="5"/>
        <v>59</v>
      </c>
      <c r="K88" s="16">
        <f t="shared" si="7"/>
        <v>2.084596926430678E-5</v>
      </c>
    </row>
    <row r="89" spans="5:11" x14ac:dyDescent="0.35">
      <c r="E89">
        <f t="shared" si="4"/>
        <v>60</v>
      </c>
      <c r="F89" s="16">
        <f t="shared" si="6"/>
        <v>1.7531865857756623E-5</v>
      </c>
      <c r="J89">
        <f t="shared" si="5"/>
        <v>60</v>
      </c>
      <c r="K89" s="16">
        <f t="shared" si="7"/>
        <v>1.738366907009061E-5</v>
      </c>
    </row>
    <row r="90" spans="5:11" x14ac:dyDescent="0.35">
      <c r="E90">
        <f t="shared" si="4"/>
        <v>61</v>
      </c>
      <c r="F90" s="16">
        <f t="shared" si="6"/>
        <v>1.46225276727627E-5</v>
      </c>
      <c r="J90">
        <f t="shared" si="5"/>
        <v>61</v>
      </c>
      <c r="K90" s="16">
        <f t="shared" si="7"/>
        <v>1.4496922412592525E-5</v>
      </c>
    </row>
    <row r="91" spans="5:11" x14ac:dyDescent="0.35">
      <c r="E91">
        <f t="shared" si="4"/>
        <v>62</v>
      </c>
      <c r="F91" s="16">
        <f t="shared" si="6"/>
        <v>1.2196401728602115E-5</v>
      </c>
      <c r="J91">
        <f t="shared" si="5"/>
        <v>62</v>
      </c>
      <c r="K91" s="16">
        <f t="shared" si="7"/>
        <v>1.2089969002708298E-5</v>
      </c>
    </row>
    <row r="92" spans="5:11" x14ac:dyDescent="0.35">
      <c r="E92">
        <f t="shared" si="4"/>
        <v>63</v>
      </c>
      <c r="F92" s="16">
        <f t="shared" si="6"/>
        <v>1.0173161378973728E-5</v>
      </c>
      <c r="J92">
        <f t="shared" si="5"/>
        <v>63</v>
      </c>
      <c r="K92" s="16">
        <f t="shared" si="7"/>
        <v>1.0082995008765835E-5</v>
      </c>
    </row>
    <row r="93" spans="5:11" x14ac:dyDescent="0.35">
      <c r="E93">
        <f t="shared" si="4"/>
        <v>64</v>
      </c>
      <c r="F93" s="16">
        <f t="shared" si="6"/>
        <v>8.4858446914072362E-6</v>
      </c>
      <c r="J93">
        <f t="shared" si="5"/>
        <v>64</v>
      </c>
      <c r="K93" s="16">
        <f t="shared" si="7"/>
        <v>8.4094752561031065E-6</v>
      </c>
    </row>
    <row r="94" spans="5:11" x14ac:dyDescent="0.35">
      <c r="E94">
        <f t="shared" ref="E94:E157" si="8">E93+1</f>
        <v>65</v>
      </c>
      <c r="F94" s="16">
        <f t="shared" si="6"/>
        <v>7.0786288921933163E-6</v>
      </c>
      <c r="J94">
        <f t="shared" ref="J94:J157" si="9">J93+1</f>
        <v>65</v>
      </c>
      <c r="K94" s="16">
        <f t="shared" si="7"/>
        <v>7.0139587904373696E-6</v>
      </c>
    </row>
    <row r="95" spans="5:11" x14ac:dyDescent="0.35">
      <c r="E95">
        <f t="shared" si="8"/>
        <v>66</v>
      </c>
      <c r="F95" s="16">
        <f t="shared" ref="F95:F158" si="10">F94*($D$30+E95-1)*($D$31+E95-1)*$D$33/(($D$32+E95-1)*E95)</f>
        <v>5.9049757447716973E-6</v>
      </c>
      <c r="J95">
        <f t="shared" si="9"/>
        <v>66</v>
      </c>
      <c r="K95" s="16">
        <f t="shared" ref="K95:K158" si="11">K94*($I$30+J95-1)*($I$31+J95-1)*$I$33/(($I$32+J95-1)*J95)</f>
        <v>5.8502237800772729E-6</v>
      </c>
    </row>
    <row r="96" spans="5:11" x14ac:dyDescent="0.35">
      <c r="E96">
        <f t="shared" si="8"/>
        <v>67</v>
      </c>
      <c r="F96" s="16">
        <f t="shared" si="10"/>
        <v>4.9260859840455485E-6</v>
      </c>
      <c r="J96">
        <f t="shared" si="9"/>
        <v>67</v>
      </c>
      <c r="K96" s="16">
        <f t="shared" si="11"/>
        <v>4.8797401022192393E-6</v>
      </c>
    </row>
    <row r="97" spans="5:11" x14ac:dyDescent="0.35">
      <c r="E97">
        <f t="shared" si="8"/>
        <v>68</v>
      </c>
      <c r="F97" s="16">
        <f t="shared" si="10"/>
        <v>4.1096112602624686E-6</v>
      </c>
      <c r="J97">
        <f t="shared" si="9"/>
        <v>68</v>
      </c>
      <c r="K97" s="16">
        <f t="shared" si="11"/>
        <v>4.0703882597841432E-6</v>
      </c>
    </row>
    <row r="98" spans="5:11" x14ac:dyDescent="0.35">
      <c r="E98">
        <f t="shared" si="8"/>
        <v>69</v>
      </c>
      <c r="F98" s="16">
        <f t="shared" si="10"/>
        <v>3.4285806508555041E-6</v>
      </c>
      <c r="J98">
        <f t="shared" si="9"/>
        <v>69</v>
      </c>
      <c r="K98" s="16">
        <f t="shared" si="11"/>
        <v>3.3953918538396427E-6</v>
      </c>
    </row>
    <row r="99" spans="5:11" x14ac:dyDescent="0.35">
      <c r="E99">
        <f t="shared" si="8"/>
        <v>70</v>
      </c>
      <c r="F99" s="16">
        <f t="shared" si="10"/>
        <v>2.8605059657226156E-6</v>
      </c>
      <c r="J99">
        <f t="shared" si="9"/>
        <v>70</v>
      </c>
      <c r="K99" s="16">
        <f t="shared" si="11"/>
        <v>2.8324279809371514E-6</v>
      </c>
    </row>
    <row r="100" spans="5:11" x14ac:dyDescent="0.35">
      <c r="E100">
        <f t="shared" si="8"/>
        <v>71</v>
      </c>
      <c r="F100" s="16">
        <f t="shared" si="10"/>
        <v>2.3866360412534843E-6</v>
      </c>
      <c r="J100">
        <f t="shared" si="9"/>
        <v>71</v>
      </c>
      <c r="K100" s="16">
        <f t="shared" si="11"/>
        <v>2.3628858746908177E-6</v>
      </c>
    </row>
    <row r="101" spans="5:11" x14ac:dyDescent="0.35">
      <c r="E101">
        <f t="shared" si="8"/>
        <v>72</v>
      </c>
      <c r="F101" s="16">
        <f t="shared" si="10"/>
        <v>1.9913351911637443E-6</v>
      </c>
      <c r="J101">
        <f t="shared" si="9"/>
        <v>72</v>
      </c>
      <c r="K101" s="16">
        <f t="shared" si="11"/>
        <v>1.9712490664585868E-6</v>
      </c>
    </row>
    <row r="102" spans="5:11" x14ac:dyDescent="0.35">
      <c r="E102">
        <f t="shared" si="8"/>
        <v>73</v>
      </c>
      <c r="F102" s="16">
        <f t="shared" si="10"/>
        <v>1.661565124546242E-6</v>
      </c>
      <c r="J102">
        <f t="shared" si="9"/>
        <v>73</v>
      </c>
      <c r="K102" s="16">
        <f t="shared" si="11"/>
        <v>1.644580467410252E-6</v>
      </c>
    </row>
    <row r="103" spans="5:11" x14ac:dyDescent="0.35">
      <c r="E103">
        <f t="shared" si="8"/>
        <v>74</v>
      </c>
      <c r="F103" s="16">
        <f t="shared" si="10"/>
        <v>1.3864530922871728E-6</v>
      </c>
      <c r="J103">
        <f t="shared" si="9"/>
        <v>74</v>
      </c>
      <c r="K103" s="16">
        <f t="shared" si="11"/>
        <v>1.3720932120888219E-6</v>
      </c>
    </row>
    <row r="104" spans="5:11" x14ac:dyDescent="0.35">
      <c r="E104">
        <f t="shared" si="8"/>
        <v>75</v>
      </c>
      <c r="F104" s="16">
        <f t="shared" si="10"/>
        <v>1.1569318976950478E-6</v>
      </c>
      <c r="J104">
        <f t="shared" si="9"/>
        <v>75</v>
      </c>
      <c r="K104" s="16">
        <f t="shared" si="11"/>
        <v>1.14479296710825E-6</v>
      </c>
    </row>
    <row r="105" spans="5:11" x14ac:dyDescent="0.35">
      <c r="E105">
        <f t="shared" si="8"/>
        <v>76</v>
      </c>
      <c r="F105" s="16">
        <f t="shared" si="10"/>
        <v>9.654398020955799E-7</v>
      </c>
      <c r="J105">
        <f t="shared" si="9"/>
        <v>76</v>
      </c>
      <c r="K105" s="16">
        <f t="shared" si="11"/>
        <v>9.5517979390025229E-7</v>
      </c>
    </row>
    <row r="106" spans="5:11" x14ac:dyDescent="0.35">
      <c r="E106">
        <f t="shared" si="8"/>
        <v>77</v>
      </c>
      <c r="F106" s="16">
        <f t="shared" si="10"/>
        <v>8.0567035140474325E-7</v>
      </c>
      <c r="J106">
        <f t="shared" si="9"/>
        <v>77</v>
      </c>
      <c r="K106" s="16">
        <f t="shared" si="11"/>
        <v>7.9699964137550498E-7</v>
      </c>
    </row>
    <row r="107" spans="5:11" x14ac:dyDescent="0.35">
      <c r="E107">
        <f t="shared" si="8"/>
        <v>78</v>
      </c>
      <c r="F107" s="16">
        <f t="shared" si="10"/>
        <v>6.7236381205397572E-7</v>
      </c>
      <c r="J107">
        <f t="shared" si="9"/>
        <v>78</v>
      </c>
      <c r="K107" s="16">
        <f t="shared" si="11"/>
        <v>6.6503719957326526E-7</v>
      </c>
    </row>
    <row r="108" spans="5:11" x14ac:dyDescent="0.35">
      <c r="E108">
        <f t="shared" si="8"/>
        <v>79</v>
      </c>
      <c r="F108" s="16">
        <f t="shared" si="10"/>
        <v>5.6113328969627502E-7</v>
      </c>
      <c r="J108">
        <f t="shared" si="9"/>
        <v>79</v>
      </c>
      <c r="K108" s="16">
        <f t="shared" si="11"/>
        <v>5.5494322427515163E-7</v>
      </c>
    </row>
    <row r="109" spans="5:11" x14ac:dyDescent="0.35">
      <c r="E109">
        <f t="shared" si="8"/>
        <v>80</v>
      </c>
      <c r="F109" s="16">
        <f t="shared" si="10"/>
        <v>4.6831975816910353E-7</v>
      </c>
      <c r="J109">
        <f t="shared" si="9"/>
        <v>80</v>
      </c>
      <c r="K109" s="16">
        <f t="shared" si="11"/>
        <v>4.630905913181987E-7</v>
      </c>
    </row>
    <row r="110" spans="5:11" x14ac:dyDescent="0.35">
      <c r="E110">
        <f t="shared" si="8"/>
        <v>81</v>
      </c>
      <c r="F110" s="16">
        <f t="shared" si="10"/>
        <v>3.9087118779201379E-7</v>
      </c>
      <c r="J110">
        <f t="shared" si="9"/>
        <v>81</v>
      </c>
      <c r="K110" s="16">
        <f t="shared" si="11"/>
        <v>3.8645429640430983E-7</v>
      </c>
    </row>
    <row r="111" spans="5:11" x14ac:dyDescent="0.35">
      <c r="E111">
        <f t="shared" si="8"/>
        <v>82</v>
      </c>
      <c r="F111" s="16">
        <f t="shared" si="10"/>
        <v>3.2624176335323029E-7</v>
      </c>
      <c r="J111">
        <f t="shared" si="9"/>
        <v>82</v>
      </c>
      <c r="K111" s="16">
        <f t="shared" si="11"/>
        <v>3.2251141358496448E-7</v>
      </c>
    </row>
    <row r="112" spans="5:11" x14ac:dyDescent="0.35">
      <c r="E112">
        <f t="shared" si="8"/>
        <v>83</v>
      </c>
      <c r="F112" s="16">
        <f t="shared" si="10"/>
        <v>2.7230784984412091E-7</v>
      </c>
      <c r="J112">
        <f t="shared" si="9"/>
        <v>83</v>
      </c>
      <c r="K112" s="16">
        <f t="shared" si="11"/>
        <v>2.6915768996651334E-7</v>
      </c>
    </row>
    <row r="113" spans="5:11" x14ac:dyDescent="0.35">
      <c r="E113">
        <f t="shared" si="8"/>
        <v>84</v>
      </c>
      <c r="F113" s="16">
        <f t="shared" si="10"/>
        <v>2.2729792041915412E-7</v>
      </c>
      <c r="J113">
        <f t="shared" si="9"/>
        <v>84</v>
      </c>
      <c r="K113" s="16">
        <f t="shared" si="11"/>
        <v>2.2463800774090634E-7</v>
      </c>
    </row>
    <row r="114" spans="5:11" x14ac:dyDescent="0.35">
      <c r="E114">
        <f t="shared" si="8"/>
        <v>85</v>
      </c>
      <c r="F114" s="16">
        <f t="shared" si="10"/>
        <v>1.8973412475571827E-7</v>
      </c>
      <c r="J114">
        <f t="shared" si="9"/>
        <v>85</v>
      </c>
      <c r="K114" s="16">
        <f t="shared" si="11"/>
        <v>1.8748840589641471E-7</v>
      </c>
    </row>
    <row r="115" spans="5:11" x14ac:dyDescent="0.35">
      <c r="E115">
        <f t="shared" si="8"/>
        <v>86</v>
      </c>
      <c r="F115" s="16">
        <f t="shared" si="10"/>
        <v>1.5838356242775346E-7</v>
      </c>
      <c r="J115">
        <f t="shared" si="9"/>
        <v>86</v>
      </c>
      <c r="K115" s="16">
        <f t="shared" si="11"/>
        <v>1.5648773830953177E-7</v>
      </c>
    </row>
    <row r="116" spans="5:11" x14ac:dyDescent="0.35">
      <c r="E116">
        <f t="shared" si="8"/>
        <v>87</v>
      </c>
      <c r="F116" s="16">
        <f t="shared" si="10"/>
        <v>1.3221764797264869E-7</v>
      </c>
      <c r="J116">
        <f t="shared" si="9"/>
        <v>87</v>
      </c>
      <c r="K116" s="16">
        <f t="shared" si="11"/>
        <v>1.3061736519582278E-7</v>
      </c>
    </row>
    <row r="117" spans="5:11" x14ac:dyDescent="0.35">
      <c r="E117">
        <f t="shared" si="8"/>
        <v>88</v>
      </c>
      <c r="F117" s="16">
        <f t="shared" si="10"/>
        <v>1.1037822275521701E-7</v>
      </c>
      <c r="J117">
        <f t="shared" si="9"/>
        <v>88</v>
      </c>
      <c r="K117" s="16">
        <f t="shared" si="11"/>
        <v>1.0902754179372659E-7</v>
      </c>
    </row>
    <row r="118" spans="5:11" x14ac:dyDescent="0.35">
      <c r="E118">
        <f t="shared" si="8"/>
        <v>89</v>
      </c>
      <c r="F118" s="16">
        <f t="shared" si="10"/>
        <v>9.2149292457669174E-8</v>
      </c>
      <c r="J118">
        <f t="shared" si="9"/>
        <v>89</v>
      </c>
      <c r="K118" s="16">
        <f t="shared" si="11"/>
        <v>9.1009390575827731E-8</v>
      </c>
    </row>
    <row r="119" spans="5:11" x14ac:dyDescent="0.35">
      <c r="E119">
        <f t="shared" si="8"/>
        <v>90</v>
      </c>
      <c r="F119" s="16">
        <f t="shared" si="10"/>
        <v>7.6933455500353599E-8</v>
      </c>
      <c r="J119">
        <f t="shared" si="9"/>
        <v>90</v>
      </c>
      <c r="K119" s="16">
        <f t="shared" si="11"/>
        <v>7.5971528644817419E-8</v>
      </c>
    </row>
    <row r="120" spans="5:11" x14ac:dyDescent="0.35">
      <c r="E120">
        <f t="shared" si="8"/>
        <v>91</v>
      </c>
      <c r="F120" s="16">
        <f t="shared" si="10"/>
        <v>6.4232243131851779E-8</v>
      </c>
      <c r="J120">
        <f t="shared" si="9"/>
        <v>91</v>
      </c>
      <c r="K120" s="16">
        <f t="shared" si="11"/>
        <v>6.3420576455883052E-8</v>
      </c>
    </row>
    <row r="121" spans="5:11" x14ac:dyDescent="0.35">
      <c r="E121">
        <f t="shared" si="8"/>
        <v>92</v>
      </c>
      <c r="F121" s="16">
        <f t="shared" si="10"/>
        <v>5.3629721490765587E-8</v>
      </c>
      <c r="J121">
        <f t="shared" si="9"/>
        <v>92</v>
      </c>
      <c r="K121" s="16">
        <f t="shared" si="11"/>
        <v>5.2944902761844935E-8</v>
      </c>
    </row>
    <row r="122" spans="5:11" x14ac:dyDescent="0.35">
      <c r="E122">
        <f t="shared" si="8"/>
        <v>93</v>
      </c>
      <c r="F122" s="16">
        <f t="shared" si="10"/>
        <v>4.4778813944703903E-8</v>
      </c>
      <c r="J122">
        <f t="shared" si="9"/>
        <v>93</v>
      </c>
      <c r="K122" s="16">
        <f t="shared" si="11"/>
        <v>4.420106799113604E-8</v>
      </c>
    </row>
    <row r="123" spans="5:11" x14ac:dyDescent="0.35">
      <c r="E123">
        <f t="shared" si="8"/>
        <v>94</v>
      </c>
      <c r="F123" s="16">
        <f t="shared" si="10"/>
        <v>3.7389892045562635E-8</v>
      </c>
      <c r="J123">
        <f t="shared" si="9"/>
        <v>94</v>
      </c>
      <c r="K123" s="16">
        <f t="shared" si="11"/>
        <v>3.6902517715220464E-8</v>
      </c>
    </row>
    <row r="124" spans="5:11" x14ac:dyDescent="0.35">
      <c r="E124">
        <f t="shared" si="8"/>
        <v>95</v>
      </c>
      <c r="F124" s="16">
        <f t="shared" si="10"/>
        <v>3.1221258496568183E-8</v>
      </c>
      <c r="J124">
        <f t="shared" si="9"/>
        <v>95</v>
      </c>
      <c r="K124" s="16">
        <f t="shared" si="11"/>
        <v>3.0810152418678425E-8</v>
      </c>
    </row>
    <row r="125" spans="5:11" x14ac:dyDescent="0.35">
      <c r="E125">
        <f t="shared" si="8"/>
        <v>96</v>
      </c>
      <c r="F125" s="16">
        <f t="shared" si="10"/>
        <v>2.6071208099362036E-8</v>
      </c>
      <c r="J125">
        <f t="shared" si="9"/>
        <v>96</v>
      </c>
      <c r="K125" s="16">
        <f t="shared" si="11"/>
        <v>2.5724461932770202E-8</v>
      </c>
    </row>
    <row r="126" spans="5:11" x14ac:dyDescent="0.35">
      <c r="E126">
        <f t="shared" si="8"/>
        <v>97</v>
      </c>
      <c r="F126" s="16">
        <f t="shared" si="10"/>
        <v>2.1771404816742536E-8</v>
      </c>
      <c r="J126">
        <f t="shared" si="9"/>
        <v>97</v>
      </c>
      <c r="K126" s="16">
        <f t="shared" si="11"/>
        <v>2.147896469895859E-8</v>
      </c>
    </row>
    <row r="127" spans="5:11" x14ac:dyDescent="0.35">
      <c r="E127">
        <f t="shared" si="8"/>
        <v>98</v>
      </c>
      <c r="F127" s="16">
        <f t="shared" si="10"/>
        <v>1.8181356580412774E-8</v>
      </c>
      <c r="J127">
        <f t="shared" si="9"/>
        <v>98</v>
      </c>
      <c r="K127" s="16">
        <f t="shared" si="11"/>
        <v>1.7934735215100456E-8</v>
      </c>
    </row>
    <row r="128" spans="5:11" x14ac:dyDescent="0.35">
      <c r="E128">
        <f t="shared" si="8"/>
        <v>99</v>
      </c>
      <c r="F128" s="16">
        <f t="shared" si="10"/>
        <v>1.5183805736579407E-8</v>
      </c>
      <c r="J128">
        <f t="shared" si="9"/>
        <v>99</v>
      </c>
      <c r="K128" s="16">
        <f t="shared" si="11"/>
        <v>1.4975839019161036E-8</v>
      </c>
    </row>
    <row r="129" spans="5:11" x14ac:dyDescent="0.35">
      <c r="E129">
        <f t="shared" si="8"/>
        <v>100</v>
      </c>
      <c r="F129" s="16">
        <f t="shared" si="10"/>
        <v>1.2680883258473419E-8</v>
      </c>
      <c r="J129">
        <f t="shared" si="9"/>
        <v>100</v>
      </c>
      <c r="K129" s="16">
        <f t="shared" si="11"/>
        <v>1.2505524579478754E-8</v>
      </c>
    </row>
    <row r="130" spans="5:11" x14ac:dyDescent="0.35">
      <c r="E130">
        <f t="shared" si="8"/>
        <v>101</v>
      </c>
      <c r="F130" s="16">
        <f t="shared" si="10"/>
        <v>1.0590900066466836E-8</v>
      </c>
      <c r="J130">
        <f t="shared" si="9"/>
        <v>101</v>
      </c>
      <c r="K130" s="16">
        <f t="shared" si="11"/>
        <v>1.0443046483611867E-8</v>
      </c>
    </row>
    <row r="131" spans="5:11" x14ac:dyDescent="0.35">
      <c r="E131">
        <f t="shared" si="8"/>
        <v>102</v>
      </c>
      <c r="F131" s="16">
        <f t="shared" si="10"/>
        <v>8.8456698191479549E-9</v>
      </c>
      <c r="J131">
        <f t="shared" si="9"/>
        <v>102</v>
      </c>
      <c r="K131" s="16">
        <f t="shared" si="11"/>
        <v>8.7210151803507504E-9</v>
      </c>
    </row>
    <row r="132" spans="5:11" x14ac:dyDescent="0.35">
      <c r="E132">
        <f t="shared" si="8"/>
        <v>103</v>
      </c>
      <c r="F132" s="16">
        <f t="shared" si="10"/>
        <v>7.3882750690828389E-9</v>
      </c>
      <c r="J132">
        <f t="shared" si="9"/>
        <v>103</v>
      </c>
      <c r="K132" s="16">
        <f t="shared" si="11"/>
        <v>7.2831859239185299E-9</v>
      </c>
    </row>
    <row r="133" spans="5:11" x14ac:dyDescent="0.35">
      <c r="E133">
        <f t="shared" si="8"/>
        <v>104</v>
      </c>
      <c r="F133" s="16">
        <f t="shared" si="10"/>
        <v>6.1712032956852396E-9</v>
      </c>
      <c r="J133">
        <f t="shared" si="9"/>
        <v>104</v>
      </c>
      <c r="K133" s="16">
        <f t="shared" si="11"/>
        <v>6.0826140727333808E-9</v>
      </c>
    </row>
    <row r="134" spans="5:11" x14ac:dyDescent="0.35">
      <c r="E134">
        <f t="shared" si="8"/>
        <v>105</v>
      </c>
      <c r="F134" s="16">
        <f t="shared" si="10"/>
        <v>5.1547915186666658E-9</v>
      </c>
      <c r="J134">
        <f t="shared" si="9"/>
        <v>105</v>
      </c>
      <c r="K134" s="16">
        <f t="shared" si="11"/>
        <v>5.0801159883053201E-9</v>
      </c>
    </row>
    <row r="135" spans="5:11" x14ac:dyDescent="0.35">
      <c r="E135">
        <f t="shared" si="8"/>
        <v>106</v>
      </c>
      <c r="F135" s="16">
        <f t="shared" si="10"/>
        <v>4.3059283624367425E-9</v>
      </c>
      <c r="J135">
        <f t="shared" si="9"/>
        <v>106</v>
      </c>
      <c r="K135" s="16">
        <f t="shared" si="11"/>
        <v>4.2429848637514828E-9</v>
      </c>
    </row>
    <row r="136" spans="5:11" x14ac:dyDescent="0.35">
      <c r="E136">
        <f t="shared" si="8"/>
        <v>107</v>
      </c>
      <c r="F136" s="16">
        <f t="shared" si="10"/>
        <v>3.5969709209434721E-9</v>
      </c>
      <c r="J136">
        <f t="shared" si="9"/>
        <v>107</v>
      </c>
      <c r="K136" s="16">
        <f t="shared" si="11"/>
        <v>3.5439192201694121E-9</v>
      </c>
    </row>
    <row r="137" spans="5:11" x14ac:dyDescent="0.35">
      <c r="E137">
        <f t="shared" si="8"/>
        <v>108</v>
      </c>
      <c r="F137" s="16">
        <f t="shared" si="10"/>
        <v>3.0048408442087394E-9</v>
      </c>
      <c r="J137">
        <f t="shared" si="9"/>
        <v>108</v>
      </c>
      <c r="K137" s="16">
        <f t="shared" si="11"/>
        <v>2.9601288212279102E-9</v>
      </c>
    </row>
    <row r="138" spans="5:11" x14ac:dyDescent="0.35">
      <c r="E138">
        <f t="shared" si="8"/>
        <v>109</v>
      </c>
      <c r="F138" s="16">
        <f t="shared" si="10"/>
        <v>2.5102699660190629E-9</v>
      </c>
      <c r="J138">
        <f t="shared" si="9"/>
        <v>109</v>
      </c>
      <c r="K138" s="16">
        <f t="shared" si="11"/>
        <v>2.4725886039915443E-9</v>
      </c>
    </row>
    <row r="139" spans="5:11" x14ac:dyDescent="0.35">
      <c r="E139">
        <f t="shared" si="8"/>
        <v>110</v>
      </c>
      <c r="F139" s="16">
        <f t="shared" si="10"/>
        <v>2.0971707117958076E-9</v>
      </c>
      <c r="J139">
        <f t="shared" si="9"/>
        <v>110</v>
      </c>
      <c r="K139" s="16">
        <f t="shared" si="11"/>
        <v>2.06541610073087E-9</v>
      </c>
    </row>
    <row r="140" spans="5:11" x14ac:dyDescent="0.35">
      <c r="E140">
        <f t="shared" si="8"/>
        <v>111</v>
      </c>
      <c r="F140" s="16">
        <f t="shared" si="10"/>
        <v>1.7521106291106613E-9</v>
      </c>
      <c r="J140">
        <f t="shared" si="9"/>
        <v>111</v>
      </c>
      <c r="K140" s="16">
        <f t="shared" si="11"/>
        <v>1.725351893632795E-9</v>
      </c>
    </row>
    <row r="141" spans="5:11" x14ac:dyDescent="0.35">
      <c r="E141">
        <f t="shared" si="8"/>
        <v>112</v>
      </c>
      <c r="F141" s="16">
        <f t="shared" si="10"/>
        <v>1.4638738061371594E-9</v>
      </c>
      <c r="J141">
        <f t="shared" si="9"/>
        <v>112</v>
      </c>
      <c r="K141" s="16">
        <f t="shared" si="11"/>
        <v>1.4413260364253553E-9</v>
      </c>
    </row>
    <row r="142" spans="5:11" x14ac:dyDescent="0.35">
      <c r="E142">
        <f t="shared" si="8"/>
        <v>113</v>
      </c>
      <c r="F142" s="16">
        <f t="shared" si="10"/>
        <v>1.2230947985250011E-9</v>
      </c>
      <c r="J142">
        <f t="shared" si="9"/>
        <v>113</v>
      </c>
      <c r="K142" s="16">
        <f t="shared" si="11"/>
        <v>1.2040962061112495E-9</v>
      </c>
    </row>
    <row r="143" spans="5:11" x14ac:dyDescent="0.35">
      <c r="E143">
        <f t="shared" si="8"/>
        <v>114</v>
      </c>
      <c r="F143" s="16">
        <f t="shared" si="10"/>
        <v>1.0219530669655452E-9</v>
      </c>
      <c r="J143">
        <f t="shared" si="9"/>
        <v>114</v>
      </c>
      <c r="K143" s="16">
        <f t="shared" si="11"/>
        <v>1.0059457077620884E-9</v>
      </c>
    </row>
    <row r="144" spans="5:11" x14ac:dyDescent="0.35">
      <c r="E144">
        <f t="shared" si="8"/>
        <v>115</v>
      </c>
      <c r="F144" s="16">
        <f t="shared" si="10"/>
        <v>8.5391791464765818E-10</v>
      </c>
      <c r="J144">
        <f t="shared" si="9"/>
        <v>115</v>
      </c>
      <c r="K144" s="16">
        <f t="shared" si="11"/>
        <v>8.4043142361498512E-10</v>
      </c>
    </row>
    <row r="145" spans="5:11" x14ac:dyDescent="0.35">
      <c r="E145">
        <f t="shared" si="8"/>
        <v>116</v>
      </c>
      <c r="F145" s="16">
        <f t="shared" si="10"/>
        <v>7.1353557139758742E-10</v>
      </c>
      <c r="J145">
        <f t="shared" si="9"/>
        <v>116</v>
      </c>
      <c r="K145" s="16">
        <f t="shared" si="11"/>
        <v>7.0217343953275926E-10</v>
      </c>
    </row>
    <row r="146" spans="5:11" x14ac:dyDescent="0.35">
      <c r="E146">
        <f t="shared" si="8"/>
        <v>117</v>
      </c>
      <c r="F146" s="16">
        <f t="shared" si="10"/>
        <v>5.9625145418964667E-10</v>
      </c>
      <c r="J146">
        <f t="shared" si="9"/>
        <v>117</v>
      </c>
      <c r="K146" s="16">
        <f t="shared" si="11"/>
        <v>5.866794514352139E-10</v>
      </c>
    </row>
    <row r="147" spans="5:11" x14ac:dyDescent="0.35">
      <c r="E147">
        <f t="shared" si="8"/>
        <v>118</v>
      </c>
      <c r="F147" s="16">
        <f t="shared" si="10"/>
        <v>4.9826178746967374E-10</v>
      </c>
      <c r="J147">
        <f t="shared" si="9"/>
        <v>118</v>
      </c>
      <c r="K147" s="16">
        <f t="shared" si="11"/>
        <v>4.9019819677340001E-10</v>
      </c>
    </row>
    <row r="148" spans="5:11" x14ac:dyDescent="0.35">
      <c r="E148">
        <f t="shared" si="8"/>
        <v>119</v>
      </c>
      <c r="F148" s="16">
        <f t="shared" si="10"/>
        <v>4.1638972935005181E-10</v>
      </c>
      <c r="J148">
        <f t="shared" si="9"/>
        <v>119</v>
      </c>
      <c r="K148" s="16">
        <f t="shared" si="11"/>
        <v>4.095971091859315E-10</v>
      </c>
    </row>
    <row r="149" spans="5:11" x14ac:dyDescent="0.35">
      <c r="E149">
        <f t="shared" si="8"/>
        <v>120</v>
      </c>
      <c r="F149" s="16">
        <f t="shared" si="10"/>
        <v>3.4798195290595143E-10</v>
      </c>
      <c r="J149">
        <f t="shared" si="9"/>
        <v>120</v>
      </c>
      <c r="K149" s="16">
        <f t="shared" si="11"/>
        <v>3.4226018957147214E-10</v>
      </c>
    </row>
    <row r="150" spans="5:11" x14ac:dyDescent="0.35">
      <c r="E150">
        <f t="shared" si="8"/>
        <v>121</v>
      </c>
      <c r="F150" s="16">
        <f t="shared" si="10"/>
        <v>2.9082230196037338E-10</v>
      </c>
      <c r="J150">
        <f t="shared" si="9"/>
        <v>121</v>
      </c>
      <c r="K150" s="16">
        <f t="shared" si="11"/>
        <v>2.8600275014110444E-10</v>
      </c>
    </row>
    <row r="151" spans="5:11" x14ac:dyDescent="0.35">
      <c r="E151">
        <f t="shared" si="8"/>
        <v>122</v>
      </c>
      <c r="F151" s="16">
        <f t="shared" si="10"/>
        <v>2.4305969993771123E-10</v>
      </c>
      <c r="J151">
        <f t="shared" si="9"/>
        <v>122</v>
      </c>
      <c r="K151" s="16">
        <f t="shared" si="11"/>
        <v>2.3900024143374852E-10</v>
      </c>
    </row>
    <row r="152" spans="5:11" x14ac:dyDescent="0.35">
      <c r="E152">
        <f t="shared" si="8"/>
        <v>123</v>
      </c>
      <c r="F152" s="16">
        <f t="shared" si="10"/>
        <v>2.031479569815664E-10</v>
      </c>
      <c r="J152">
        <f t="shared" si="9"/>
        <v>123</v>
      </c>
      <c r="K152" s="16">
        <f t="shared" si="11"/>
        <v>1.9972883401429337E-10</v>
      </c>
    </row>
    <row r="153" spans="5:11" x14ac:dyDescent="0.35">
      <c r="E153">
        <f t="shared" si="8"/>
        <v>124</v>
      </c>
      <c r="F153" s="16">
        <f t="shared" si="10"/>
        <v>1.6979550991188637E-10</v>
      </c>
      <c r="J153">
        <f t="shared" si="9"/>
        <v>124</v>
      </c>
      <c r="K153" s="16">
        <f t="shared" si="11"/>
        <v>1.6691581182948255E-10</v>
      </c>
    </row>
    <row r="154" spans="5:11" x14ac:dyDescent="0.35">
      <c r="E154">
        <f t="shared" si="8"/>
        <v>125</v>
      </c>
      <c r="F154" s="16">
        <f t="shared" si="10"/>
        <v>1.4192345453472571E-10</v>
      </c>
      <c r="J154">
        <f t="shared" si="9"/>
        <v>125</v>
      </c>
      <c r="K154" s="16">
        <f t="shared" si="11"/>
        <v>1.3949815564991163E-10</v>
      </c>
    </row>
    <row r="155" spans="5:11" x14ac:dyDescent="0.35">
      <c r="E155">
        <f t="shared" si="8"/>
        <v>126</v>
      </c>
      <c r="F155" s="16">
        <f t="shared" si="10"/>
        <v>1.1863050098901629E-10</v>
      </c>
      <c r="J155">
        <f t="shared" si="9"/>
        <v>126</v>
      </c>
      <c r="K155" s="16">
        <f t="shared" si="11"/>
        <v>1.1658796325307829E-10</v>
      </c>
    </row>
    <row r="156" spans="5:11" x14ac:dyDescent="0.35">
      <c r="E156">
        <f t="shared" si="8"/>
        <v>127</v>
      </c>
      <c r="F156" s="16">
        <f t="shared" si="10"/>
        <v>9.9163709123085004E-11</v>
      </c>
      <c r="J156">
        <f t="shared" si="9"/>
        <v>127</v>
      </c>
      <c r="K156" s="16">
        <f t="shared" si="11"/>
        <v>9.7443576823202014E-11</v>
      </c>
    </row>
    <row r="157" spans="5:11" x14ac:dyDescent="0.35">
      <c r="E157">
        <f t="shared" si="8"/>
        <v>128</v>
      </c>
      <c r="F157" s="16">
        <f t="shared" si="10"/>
        <v>8.2894049767755365E-11</v>
      </c>
      <c r="J157">
        <f t="shared" si="9"/>
        <v>128</v>
      </c>
      <c r="K157" s="16">
        <f t="shared" si="11"/>
        <v>8.1445474816342826E-11</v>
      </c>
    </row>
    <row r="158" spans="5:11" x14ac:dyDescent="0.35">
      <c r="E158">
        <f t="shared" ref="E158:E179" si="12">E157+1</f>
        <v>129</v>
      </c>
      <c r="F158" s="16">
        <f t="shared" si="10"/>
        <v>6.9295995410120559E-11</v>
      </c>
      <c r="J158">
        <f t="shared" ref="J158:J179" si="13">J157+1</f>
        <v>129</v>
      </c>
      <c r="K158" s="16">
        <f t="shared" si="11"/>
        <v>6.8076141401823947E-11</v>
      </c>
    </row>
    <row r="159" spans="5:11" x14ac:dyDescent="0.35">
      <c r="E159">
        <f t="shared" si="12"/>
        <v>130</v>
      </c>
      <c r="F159" s="16">
        <f t="shared" ref="F159:F179" si="14">F158*($D$30+E159-1)*($D$31+E159-1)*$D$33/(($D$32+E159-1)*E159)</f>
        <v>5.7930475342989288E-11</v>
      </c>
      <c r="J159">
        <f t="shared" si="13"/>
        <v>130</v>
      </c>
      <c r="K159" s="16">
        <f t="shared" ref="K159:K179" si="15">K158*($I$30+J159-1)*($I$31+J159-1)*$I$33/(($I$32+J159-1)*J159)</f>
        <v>5.6903256663059046E-11</v>
      </c>
    </row>
    <row r="160" spans="5:11" x14ac:dyDescent="0.35">
      <c r="E160">
        <f t="shared" si="12"/>
        <v>131</v>
      </c>
      <c r="F160" s="16">
        <f t="shared" si="14"/>
        <v>4.8430640183511307E-11</v>
      </c>
      <c r="J160">
        <f t="shared" si="13"/>
        <v>131</v>
      </c>
      <c r="K160" s="16">
        <f t="shared" si="15"/>
        <v>4.7565659293761916E-11</v>
      </c>
    </row>
    <row r="161" spans="5:11" x14ac:dyDescent="0.35">
      <c r="E161">
        <f t="shared" si="12"/>
        <v>132</v>
      </c>
      <c r="F161" s="16">
        <f t="shared" si="14"/>
        <v>4.0489972319953691E-11</v>
      </c>
      <c r="J161">
        <f t="shared" si="13"/>
        <v>132</v>
      </c>
      <c r="K161" s="16">
        <f t="shared" si="15"/>
        <v>3.9761624122380661E-11</v>
      </c>
    </row>
    <row r="162" spans="5:11" x14ac:dyDescent="0.35">
      <c r="E162">
        <f t="shared" si="12"/>
        <v>133</v>
      </c>
      <c r="F162" s="16">
        <f t="shared" si="14"/>
        <v>3.3852355361293887E-11</v>
      </c>
      <c r="J162">
        <f t="shared" si="13"/>
        <v>133</v>
      </c>
      <c r="K162" s="16">
        <f t="shared" si="15"/>
        <v>3.3239072411144405E-11</v>
      </c>
    </row>
    <row r="163" spans="5:11" x14ac:dyDescent="0.35">
      <c r="E163">
        <f t="shared" si="12"/>
        <v>134</v>
      </c>
      <c r="F163" s="16">
        <f t="shared" si="14"/>
        <v>2.8303779536200111E-11</v>
      </c>
      <c r="J163">
        <f t="shared" si="13"/>
        <v>134</v>
      </c>
      <c r="K163" s="16">
        <f t="shared" si="15"/>
        <v>2.7787395986470131E-11</v>
      </c>
    </row>
    <row r="164" spans="5:11" x14ac:dyDescent="0.35">
      <c r="E164">
        <f t="shared" si="12"/>
        <v>135</v>
      </c>
      <c r="F164" s="16">
        <f t="shared" si="14"/>
        <v>2.3665413307185233E-11</v>
      </c>
      <c r="J164">
        <f t="shared" si="13"/>
        <v>135</v>
      </c>
      <c r="K164" s="16">
        <f t="shared" si="15"/>
        <v>2.3230628933900923E-11</v>
      </c>
    </row>
    <row r="165" spans="5:11" x14ac:dyDescent="0.35">
      <c r="E165">
        <f t="shared" si="12"/>
        <v>136</v>
      </c>
      <c r="F165" s="16">
        <f t="shared" si="14"/>
        <v>1.9787815977214369E-11</v>
      </c>
      <c r="J165">
        <f t="shared" si="13"/>
        <v>136</v>
      </c>
      <c r="K165" s="16">
        <f t="shared" si="15"/>
        <v>1.9421744559738504E-11</v>
      </c>
    </row>
    <row r="166" spans="5:11" x14ac:dyDescent="0.35">
      <c r="E166">
        <f t="shared" si="12"/>
        <v>137</v>
      </c>
      <c r="F166" s="16">
        <f t="shared" si="14"/>
        <v>1.6546103225995976E-11</v>
      </c>
      <c r="J166">
        <f t="shared" si="13"/>
        <v>137</v>
      </c>
      <c r="K166" s="16">
        <f t="shared" si="15"/>
        <v>1.6237892023663804E-11</v>
      </c>
    </row>
    <row r="167" spans="5:11" x14ac:dyDescent="0.35">
      <c r="E167">
        <f t="shared" si="12"/>
        <v>138</v>
      </c>
      <c r="F167" s="16">
        <f t="shared" si="14"/>
        <v>1.3835908536812828E-11</v>
      </c>
      <c r="J167">
        <f t="shared" si="13"/>
        <v>138</v>
      </c>
      <c r="K167" s="16">
        <f t="shared" si="15"/>
        <v>1.3576417683949192E-11</v>
      </c>
    </row>
    <row r="168" spans="5:11" x14ac:dyDescent="0.35">
      <c r="E168">
        <f t="shared" si="12"/>
        <v>139</v>
      </c>
      <c r="F168" s="16">
        <f t="shared" si="14"/>
        <v>1.1570009376226124E-11</v>
      </c>
      <c r="J168">
        <f t="shared" si="13"/>
        <v>139</v>
      </c>
      <c r="K168" s="16">
        <f t="shared" si="15"/>
        <v>1.1351541772387997E-11</v>
      </c>
    </row>
    <row r="169" spans="5:11" x14ac:dyDescent="0.35">
      <c r="E169">
        <f t="shared" si="12"/>
        <v>140</v>
      </c>
      <c r="F169" s="16">
        <f t="shared" si="14"/>
        <v>9.6755086147252054E-12</v>
      </c>
      <c r="J169">
        <f t="shared" si="13"/>
        <v>140</v>
      </c>
      <c r="K169" s="16">
        <f t="shared" si="15"/>
        <v>9.4915823668068495E-12</v>
      </c>
    </row>
    <row r="170" spans="5:11" x14ac:dyDescent="0.35">
      <c r="E170">
        <f t="shared" si="12"/>
        <v>141</v>
      </c>
      <c r="F170" s="16">
        <f t="shared" si="14"/>
        <v>8.0914797328253192E-12</v>
      </c>
      <c r="J170">
        <f t="shared" si="13"/>
        <v>141</v>
      </c>
      <c r="K170" s="16">
        <f t="shared" si="15"/>
        <v>7.9366364534656355E-12</v>
      </c>
    </row>
    <row r="171" spans="5:11" x14ac:dyDescent="0.35">
      <c r="E171">
        <f t="shared" si="12"/>
        <v>142</v>
      </c>
      <c r="F171" s="16">
        <f t="shared" si="14"/>
        <v>6.7669994338499022E-12</v>
      </c>
      <c r="J171">
        <f t="shared" si="13"/>
        <v>142</v>
      </c>
      <c r="K171" s="16">
        <f t="shared" si="15"/>
        <v>6.6366427526911043E-12</v>
      </c>
    </row>
    <row r="172" spans="5:11" x14ac:dyDescent="0.35">
      <c r="E172">
        <f t="shared" si="12"/>
        <v>143</v>
      </c>
      <c r="F172" s="16">
        <f t="shared" si="14"/>
        <v>5.6595038738042418E-12</v>
      </c>
      <c r="J172">
        <f t="shared" si="13"/>
        <v>143</v>
      </c>
      <c r="K172" s="16">
        <f t="shared" si="15"/>
        <v>5.5497634052000817E-12</v>
      </c>
    </row>
    <row r="173" spans="5:11" x14ac:dyDescent="0.35">
      <c r="E173">
        <f t="shared" si="12"/>
        <v>144</v>
      </c>
      <c r="F173" s="16">
        <f t="shared" si="14"/>
        <v>4.733415231135894E-12</v>
      </c>
      <c r="J173">
        <f t="shared" si="13"/>
        <v>144</v>
      </c>
      <c r="K173" s="16">
        <f t="shared" si="15"/>
        <v>4.6410319897437068E-12</v>
      </c>
    </row>
    <row r="174" spans="5:11" x14ac:dyDescent="0.35">
      <c r="E174">
        <f t="shared" si="12"/>
        <v>145</v>
      </c>
      <c r="F174" s="16">
        <f t="shared" si="14"/>
        <v>3.9589941176731841E-12</v>
      </c>
      <c r="J174">
        <f t="shared" si="13"/>
        <v>145</v>
      </c>
      <c r="K174" s="16">
        <f t="shared" si="15"/>
        <v>3.8812240037958682E-12</v>
      </c>
    </row>
    <row r="175" spans="5:11" x14ac:dyDescent="0.35">
      <c r="E175">
        <f t="shared" si="12"/>
        <v>146</v>
      </c>
      <c r="F175" s="16">
        <f t="shared" si="14"/>
        <v>3.3113806628649906E-12</v>
      </c>
      <c r="J175">
        <f t="shared" si="13"/>
        <v>146</v>
      </c>
      <c r="K175" s="16">
        <f t="shared" si="15"/>
        <v>3.2459131708361272E-12</v>
      </c>
    </row>
    <row r="176" spans="5:11" x14ac:dyDescent="0.35">
      <c r="E176">
        <f t="shared" si="12"/>
        <v>147</v>
      </c>
      <c r="F176" s="16">
        <f t="shared" si="14"/>
        <v>2.7697932255504115E-12</v>
      </c>
      <c r="J176">
        <f t="shared" si="13"/>
        <v>147</v>
      </c>
      <c r="K176" s="16">
        <f t="shared" si="15"/>
        <v>2.7146829763997798E-12</v>
      </c>
    </row>
    <row r="177" spans="5:11" x14ac:dyDescent="0.35">
      <c r="E177">
        <f t="shared" si="12"/>
        <v>148</v>
      </c>
      <c r="F177" s="16">
        <f t="shared" si="14"/>
        <v>2.3168588003333853E-12</v>
      </c>
      <c r="J177">
        <f t="shared" si="13"/>
        <v>148</v>
      </c>
      <c r="K177" s="16">
        <f t="shared" si="15"/>
        <v>2.2704678775241535E-12</v>
      </c>
    </row>
    <row r="178" spans="5:11" x14ac:dyDescent="0.35">
      <c r="E178">
        <f t="shared" si="12"/>
        <v>149</v>
      </c>
      <c r="F178" s="16">
        <f t="shared" si="14"/>
        <v>1.938053455747577E-12</v>
      </c>
      <c r="J178">
        <f t="shared" si="13"/>
        <v>149</v>
      </c>
      <c r="K178" s="16">
        <f t="shared" si="15"/>
        <v>1.8990028409840091E-12</v>
      </c>
    </row>
    <row r="179" spans="5:11" x14ac:dyDescent="0.35">
      <c r="E179">
        <f t="shared" si="12"/>
        <v>150</v>
      </c>
      <c r="F179" s="16">
        <f t="shared" si="14"/>
        <v>1.6212347077947627E-12</v>
      </c>
      <c r="J179">
        <f t="shared" si="13"/>
        <v>150</v>
      </c>
      <c r="K179" s="16">
        <f t="shared" si="15"/>
        <v>1.5883633820744237E-12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0" zoomScaleNormal="110" workbookViewId="0">
      <selection activeCell="B12" sqref="B12"/>
    </sheetView>
  </sheetViews>
  <sheetFormatPr defaultRowHeight="14.5" x14ac:dyDescent="0.35"/>
  <cols>
    <col min="2" max="3" width="9.7265625" bestFit="1" customWidth="1"/>
    <col min="6" max="6" width="10.81640625" bestFit="1" customWidth="1"/>
  </cols>
  <sheetData>
    <row r="1" spans="1:8" x14ac:dyDescent="0.35">
      <c r="A1" t="s">
        <v>4</v>
      </c>
      <c r="B1" s="23">
        <v>1.2035208304049791</v>
      </c>
      <c r="D1" s="1"/>
      <c r="E1" s="2"/>
    </row>
    <row r="2" spans="1:8" x14ac:dyDescent="0.35">
      <c r="A2" t="s">
        <v>6</v>
      </c>
      <c r="B2" s="23">
        <v>0.74971424306189594</v>
      </c>
      <c r="D2" s="1"/>
      <c r="E2" s="2"/>
    </row>
    <row r="3" spans="1:8" x14ac:dyDescent="0.35">
      <c r="A3" t="s">
        <v>7</v>
      </c>
      <c r="B3" s="23">
        <v>0.65671216914787822</v>
      </c>
      <c r="D3" s="1"/>
      <c r="E3" s="3"/>
    </row>
    <row r="4" spans="1:8" x14ac:dyDescent="0.35">
      <c r="A4" t="s">
        <v>9</v>
      </c>
      <c r="B4" s="23">
        <v>2.7834080163589801</v>
      </c>
    </row>
    <row r="5" spans="1:8" x14ac:dyDescent="0.35">
      <c r="A5" t="s">
        <v>40</v>
      </c>
      <c r="B5">
        <v>0.1</v>
      </c>
    </row>
    <row r="6" spans="1:8" x14ac:dyDescent="0.35">
      <c r="A6" t="s">
        <v>38</v>
      </c>
      <c r="B6">
        <v>50</v>
      </c>
    </row>
    <row r="8" spans="1:8" x14ac:dyDescent="0.35">
      <c r="B8" t="s">
        <v>61</v>
      </c>
      <c r="C8" s="26">
        <f>SUMPRODUCT(B11:B111,C11:C111)*B6</f>
        <v>185.09385484160458</v>
      </c>
    </row>
    <row r="10" spans="1:8" x14ac:dyDescent="0.35">
      <c r="A10" t="s">
        <v>66</v>
      </c>
      <c r="B10" t="s">
        <v>67</v>
      </c>
      <c r="C10" t="s">
        <v>68</v>
      </c>
    </row>
    <row r="11" spans="1:8" x14ac:dyDescent="0.35">
      <c r="A11">
        <v>0</v>
      </c>
      <c r="B11" s="2">
        <v>1</v>
      </c>
      <c r="C11" s="2">
        <f>(1+$B$5)^(-A11)</f>
        <v>1</v>
      </c>
    </row>
    <row r="12" spans="1:8" x14ac:dyDescent="0.35">
      <c r="A12">
        <v>1</v>
      </c>
      <c r="B12" s="2">
        <f>(B1/(B1+B2)*(B4/(B3+B4)))</f>
        <v>0.498542693132555</v>
      </c>
      <c r="C12" s="2">
        <f>(1+$B$5)^(-A12)</f>
        <v>0.90909090909090906</v>
      </c>
    </row>
    <row r="13" spans="1:8" x14ac:dyDescent="0.35">
      <c r="A13" s="1">
        <v>2</v>
      </c>
      <c r="B13" s="3">
        <f>B12*($B$4+A13-1)/($B$4+$B$3+A13-1)</f>
        <v>0.42480616354748224</v>
      </c>
      <c r="C13" s="2">
        <f>(1+$B$5)^(-A13)</f>
        <v>0.82644628099173545</v>
      </c>
      <c r="D13" s="1"/>
      <c r="F13" s="1"/>
      <c r="G13" s="1"/>
    </row>
    <row r="14" spans="1:8" x14ac:dyDescent="0.35">
      <c r="A14">
        <v>3</v>
      </c>
      <c r="B14" s="3">
        <f t="shared" ref="B14:B77" si="0">B13*($B$4+A14-1)/($B$4+$B$3+A14-1)</f>
        <v>0.37352505805391617</v>
      </c>
      <c r="C14" s="2">
        <f t="shared" ref="C14:C77" si="1">(1+$B$5)^(-A14)</f>
        <v>0.75131480090157754</v>
      </c>
      <c r="E14" s="5"/>
      <c r="F14" s="4"/>
      <c r="H14" s="4"/>
    </row>
    <row r="15" spans="1:8" x14ac:dyDescent="0.35">
      <c r="A15">
        <v>4</v>
      </c>
      <c r="B15" s="3">
        <f t="shared" si="0"/>
        <v>0.33543594728581194</v>
      </c>
      <c r="C15" s="2">
        <f t="shared" si="1"/>
        <v>0.68301345536507052</v>
      </c>
      <c r="E15" s="5"/>
      <c r="F15" s="4"/>
      <c r="H15" s="4"/>
    </row>
    <row r="16" spans="1:8" x14ac:dyDescent="0.35">
      <c r="A16">
        <v>5</v>
      </c>
      <c r="B16" s="3">
        <f t="shared" si="0"/>
        <v>0.30582824431061706</v>
      </c>
      <c r="C16" s="2">
        <f t="shared" si="1"/>
        <v>0.62092132305915493</v>
      </c>
      <c r="E16" s="5"/>
      <c r="F16" s="4"/>
      <c r="H16" s="4"/>
    </row>
    <row r="17" spans="1:12" x14ac:dyDescent="0.35">
      <c r="A17" s="1">
        <v>6</v>
      </c>
      <c r="B17" s="3">
        <f t="shared" si="0"/>
        <v>0.28203224078299055</v>
      </c>
      <c r="C17" s="2">
        <f t="shared" si="1"/>
        <v>0.56447393005377722</v>
      </c>
      <c r="E17" s="5"/>
      <c r="F17" s="4"/>
      <c r="H17" s="4"/>
    </row>
    <row r="18" spans="1:12" x14ac:dyDescent="0.35">
      <c r="A18">
        <v>7</v>
      </c>
      <c r="B18" s="3">
        <f t="shared" si="0"/>
        <v>0.26241236296633008</v>
      </c>
      <c r="C18" s="2">
        <f t="shared" si="1"/>
        <v>0.51315811823070645</v>
      </c>
      <c r="E18" s="5"/>
      <c r="F18" s="4"/>
      <c r="H18" s="4"/>
    </row>
    <row r="19" spans="1:12" x14ac:dyDescent="0.35">
      <c r="A19">
        <v>8</v>
      </c>
      <c r="B19" s="3">
        <f t="shared" si="0"/>
        <v>0.24590590623663944</v>
      </c>
      <c r="C19" s="2">
        <f t="shared" si="1"/>
        <v>0.46650738020973315</v>
      </c>
      <c r="E19" s="5"/>
      <c r="F19" s="4"/>
      <c r="H19" s="4"/>
    </row>
    <row r="20" spans="1:12" x14ac:dyDescent="0.35">
      <c r="A20">
        <v>9</v>
      </c>
      <c r="B20" s="3">
        <f t="shared" si="0"/>
        <v>0.23178984814701165</v>
      </c>
      <c r="C20" s="2">
        <f t="shared" si="1"/>
        <v>0.42409761837248466</v>
      </c>
      <c r="E20" s="5"/>
      <c r="F20" s="4"/>
      <c r="H20" s="4"/>
      <c r="I20" s="4"/>
    </row>
    <row r="21" spans="1:12" x14ac:dyDescent="0.35">
      <c r="A21" s="1">
        <v>10</v>
      </c>
      <c r="B21" s="3">
        <f t="shared" si="0"/>
        <v>0.21955369514421175</v>
      </c>
      <c r="C21" s="2">
        <f t="shared" si="1"/>
        <v>0.38554328942953148</v>
      </c>
      <c r="E21" s="5"/>
      <c r="F21" s="4"/>
      <c r="H21" s="4"/>
      <c r="I21" s="4"/>
    </row>
    <row r="22" spans="1:12" x14ac:dyDescent="0.35">
      <c r="A22">
        <v>11</v>
      </c>
      <c r="B22" s="3">
        <f t="shared" si="0"/>
        <v>0.20882584588449549</v>
      </c>
      <c r="C22" s="2">
        <f t="shared" si="1"/>
        <v>0.3504938994813922</v>
      </c>
      <c r="E22" s="5"/>
      <c r="F22" s="4"/>
      <c r="H22" s="4"/>
      <c r="I22" s="4"/>
    </row>
    <row r="23" spans="1:12" x14ac:dyDescent="0.35">
      <c r="A23">
        <v>12</v>
      </c>
      <c r="B23" s="3">
        <f t="shared" si="0"/>
        <v>0.19932880067550965</v>
      </c>
      <c r="C23" s="2">
        <f t="shared" si="1"/>
        <v>0.31863081771035656</v>
      </c>
      <c r="E23" s="5"/>
      <c r="F23" s="4"/>
      <c r="H23" s="4"/>
      <c r="I23" s="4"/>
    </row>
    <row r="24" spans="1:12" x14ac:dyDescent="0.35">
      <c r="A24">
        <v>13</v>
      </c>
      <c r="B24" s="3">
        <f t="shared" si="0"/>
        <v>0.19085078058936214</v>
      </c>
      <c r="C24" s="2">
        <f t="shared" si="1"/>
        <v>0.28966437973668779</v>
      </c>
      <c r="E24" s="5"/>
      <c r="F24" s="4"/>
      <c r="H24" s="4"/>
      <c r="I24" s="4"/>
    </row>
    <row r="25" spans="1:12" x14ac:dyDescent="0.35">
      <c r="A25" s="1">
        <v>14</v>
      </c>
      <c r="B25" s="3">
        <f t="shared" si="0"/>
        <v>0.18322711186369817</v>
      </c>
      <c r="C25" s="2">
        <f t="shared" si="1"/>
        <v>0.26333125430607973</v>
      </c>
      <c r="E25" s="5"/>
      <c r="F25" s="4"/>
      <c r="H25" s="4"/>
      <c r="I25" s="4"/>
      <c r="J25" s="4"/>
    </row>
    <row r="26" spans="1:12" x14ac:dyDescent="0.35">
      <c r="A26">
        <v>15</v>
      </c>
      <c r="B26" s="3">
        <f t="shared" si="0"/>
        <v>0.17632764828209369</v>
      </c>
      <c r="C26" s="2">
        <f t="shared" si="1"/>
        <v>0.23939204936916339</v>
      </c>
      <c r="E26" s="5"/>
      <c r="F26" s="4"/>
      <c r="H26" s="4"/>
      <c r="I26" s="4"/>
      <c r="J26" s="4"/>
    </row>
    <row r="27" spans="1:12" x14ac:dyDescent="0.35">
      <c r="A27">
        <v>16</v>
      </c>
      <c r="B27" s="3">
        <f t="shared" si="0"/>
        <v>0.17004805187929536</v>
      </c>
      <c r="C27" s="2">
        <f t="shared" si="1"/>
        <v>0.21762913579014853</v>
      </c>
      <c r="E27" s="5"/>
      <c r="F27" s="4"/>
      <c r="H27" s="4"/>
      <c r="I27" s="4"/>
      <c r="J27" s="4"/>
    </row>
    <row r="28" spans="1:12" x14ac:dyDescent="0.35">
      <c r="A28">
        <v>17</v>
      </c>
      <c r="B28" s="3">
        <f t="shared" si="0"/>
        <v>0.16430361079851039</v>
      </c>
      <c r="C28" s="2">
        <f t="shared" si="1"/>
        <v>0.19784466890013502</v>
      </c>
      <c r="E28" s="5"/>
      <c r="F28" s="4"/>
      <c r="H28" s="4"/>
      <c r="I28" s="4"/>
      <c r="J28" s="4"/>
    </row>
    <row r="29" spans="1:12" x14ac:dyDescent="0.35">
      <c r="A29" s="1">
        <v>18</v>
      </c>
      <c r="B29" s="3">
        <f t="shared" si="0"/>
        <v>0.15902476802914031</v>
      </c>
      <c r="C29" s="2">
        <f t="shared" si="1"/>
        <v>0.17985878990921364</v>
      </c>
      <c r="E29" s="5"/>
      <c r="F29" s="4"/>
      <c r="H29" s="4"/>
      <c r="I29" s="4"/>
      <c r="J29" s="4"/>
      <c r="K29" s="4"/>
    </row>
    <row r="30" spans="1:12" x14ac:dyDescent="0.35">
      <c r="A30">
        <v>19</v>
      </c>
      <c r="B30" s="3">
        <f t="shared" si="0"/>
        <v>0.15415382983210307</v>
      </c>
      <c r="C30" s="2">
        <f t="shared" si="1"/>
        <v>0.16350799082655781</v>
      </c>
      <c r="E30" s="5"/>
      <c r="F30" s="4"/>
      <c r="H30" s="4"/>
      <c r="I30" s="4"/>
      <c r="J30" s="4"/>
      <c r="K30" s="4"/>
    </row>
    <row r="31" spans="1:12" x14ac:dyDescent="0.35">
      <c r="A31">
        <v>20</v>
      </c>
      <c r="B31" s="3">
        <f t="shared" si="0"/>
        <v>0.14964250390627865</v>
      </c>
      <c r="C31" s="2">
        <f t="shared" si="1"/>
        <v>0.14864362802414349</v>
      </c>
      <c r="E31" s="5"/>
      <c r="F31" s="4"/>
      <c r="H31" s="4"/>
      <c r="I31" s="4"/>
      <c r="J31" s="4"/>
      <c r="K31" s="4"/>
    </row>
    <row r="32" spans="1:12" x14ac:dyDescent="0.35">
      <c r="A32">
        <v>21</v>
      </c>
      <c r="B32" s="3">
        <f t="shared" si="0"/>
        <v>0.14545003165958026</v>
      </c>
      <c r="C32" s="2">
        <f t="shared" si="1"/>
        <v>0.13513057093103953</v>
      </c>
      <c r="E32" s="5"/>
      <c r="F32" s="4"/>
      <c r="H32" s="4"/>
      <c r="I32" s="4"/>
      <c r="J32" s="4"/>
      <c r="K32" s="4"/>
      <c r="L32" s="4"/>
    </row>
    <row r="33" spans="1:14" x14ac:dyDescent="0.35">
      <c r="A33" s="1">
        <v>22</v>
      </c>
      <c r="B33" s="3">
        <f t="shared" si="0"/>
        <v>0.14154175276942843</v>
      </c>
      <c r="C33" s="2">
        <f t="shared" si="1"/>
        <v>0.12284597357367227</v>
      </c>
      <c r="E33" s="5"/>
      <c r="F33" s="4"/>
      <c r="H33" s="4"/>
      <c r="I33" s="4"/>
      <c r="J33" s="4"/>
      <c r="K33" s="4"/>
      <c r="L33" s="4"/>
    </row>
    <row r="34" spans="1:14" x14ac:dyDescent="0.35">
      <c r="A34">
        <v>23</v>
      </c>
      <c r="B34" s="3">
        <f t="shared" si="0"/>
        <v>0.13788798891892751</v>
      </c>
      <c r="C34" s="2">
        <f t="shared" si="1"/>
        <v>0.11167815779424752</v>
      </c>
      <c r="E34" s="5"/>
      <c r="F34" s="4"/>
      <c r="H34" s="4"/>
      <c r="I34" s="4"/>
      <c r="J34" s="4"/>
      <c r="K34" s="4"/>
      <c r="L34" s="4"/>
      <c r="M34" s="4"/>
    </row>
    <row r="35" spans="1:14" x14ac:dyDescent="0.35">
      <c r="A35">
        <v>24</v>
      </c>
      <c r="B35" s="3">
        <f t="shared" si="0"/>
        <v>0.13446316635128941</v>
      </c>
      <c r="C35" s="2">
        <f t="shared" si="1"/>
        <v>0.10152559799477048</v>
      </c>
      <c r="E35" s="5"/>
      <c r="F35" s="4"/>
      <c r="H35" s="4"/>
      <c r="I35" s="4"/>
      <c r="J35" s="4"/>
      <c r="K35" s="4"/>
      <c r="L35" s="4"/>
      <c r="M35" s="4"/>
      <c r="N35" s="4"/>
    </row>
    <row r="36" spans="1:14" x14ac:dyDescent="0.35">
      <c r="A36">
        <v>25</v>
      </c>
      <c r="B36" s="3">
        <f t="shared" si="0"/>
        <v>0.13124511930746899</v>
      </c>
      <c r="C36" s="2">
        <f t="shared" si="1"/>
        <v>9.2295998177064048E-2</v>
      </c>
    </row>
    <row r="37" spans="1:14" x14ac:dyDescent="0.35">
      <c r="A37" s="1">
        <v>26</v>
      </c>
      <c r="B37" s="3">
        <f t="shared" si="0"/>
        <v>0.12821453200937444</v>
      </c>
      <c r="C37" s="2">
        <f t="shared" si="1"/>
        <v>8.3905452888240042E-2</v>
      </c>
    </row>
    <row r="38" spans="1:14" x14ac:dyDescent="0.35">
      <c r="A38">
        <v>27</v>
      </c>
      <c r="B38" s="3">
        <f t="shared" si="0"/>
        <v>0.12535448786208161</v>
      </c>
      <c r="C38" s="2">
        <f t="shared" si="1"/>
        <v>7.6277684443854576E-2</v>
      </c>
    </row>
    <row r="39" spans="1:14" x14ac:dyDescent="0.35">
      <c r="A39">
        <v>28</v>
      </c>
      <c r="B39" s="3">
        <f t="shared" si="0"/>
        <v>0.12265010242816589</v>
      </c>
      <c r="C39" s="2">
        <f t="shared" si="1"/>
        <v>6.9343349494413245E-2</v>
      </c>
    </row>
    <row r="40" spans="1:14" x14ac:dyDescent="0.35">
      <c r="A40">
        <v>29</v>
      </c>
      <c r="B40" s="3">
        <f t="shared" si="0"/>
        <v>0.12008822243735912</v>
      </c>
      <c r="C40" s="2">
        <f t="shared" si="1"/>
        <v>6.3039408631284766E-2</v>
      </c>
    </row>
    <row r="41" spans="1:14" x14ac:dyDescent="0.35">
      <c r="A41" s="1">
        <v>30</v>
      </c>
      <c r="B41" s="3">
        <f t="shared" si="0"/>
        <v>0.11765717728108427</v>
      </c>
      <c r="C41" s="2">
        <f t="shared" si="1"/>
        <v>5.7308553301167964E-2</v>
      </c>
    </row>
    <row r="42" spans="1:14" x14ac:dyDescent="0.35">
      <c r="A42">
        <v>31</v>
      </c>
      <c r="B42" s="3">
        <f t="shared" si="0"/>
        <v>0.11534657254403656</v>
      </c>
      <c r="C42" s="2">
        <f t="shared" si="1"/>
        <v>5.2098684819243603E-2</v>
      </c>
    </row>
    <row r="43" spans="1:14" x14ac:dyDescent="0.35">
      <c r="A43">
        <v>32</v>
      </c>
      <c r="B43" s="3">
        <f t="shared" si="0"/>
        <v>0.11314711744773746</v>
      </c>
      <c r="C43" s="2">
        <f t="shared" si="1"/>
        <v>4.7362440744766907E-2</v>
      </c>
    </row>
    <row r="44" spans="1:14" x14ac:dyDescent="0.35">
      <c r="A44">
        <v>33</v>
      </c>
      <c r="B44" s="3">
        <f t="shared" si="0"/>
        <v>0.11105047983638083</v>
      </c>
      <c r="C44" s="2">
        <f t="shared" si="1"/>
        <v>4.3056764313424457E-2</v>
      </c>
    </row>
    <row r="45" spans="1:14" x14ac:dyDescent="0.35">
      <c r="A45" s="1">
        <v>34</v>
      </c>
      <c r="B45" s="3">
        <f t="shared" si="0"/>
        <v>0.10904916367367325</v>
      </c>
      <c r="C45" s="2">
        <f t="shared" si="1"/>
        <v>3.9142513012204054E-2</v>
      </c>
    </row>
    <row r="46" spans="1:14" x14ac:dyDescent="0.35">
      <c r="A46">
        <v>35</v>
      </c>
      <c r="B46" s="3">
        <f t="shared" si="0"/>
        <v>0.10713640504829838</v>
      </c>
      <c r="C46" s="2">
        <f t="shared" si="1"/>
        <v>3.5584102738367311E-2</v>
      </c>
    </row>
    <row r="47" spans="1:14" x14ac:dyDescent="0.35">
      <c r="A47">
        <v>36</v>
      </c>
      <c r="B47" s="3">
        <f t="shared" si="0"/>
        <v>0.10530608348284969</v>
      </c>
      <c r="C47" s="2">
        <f t="shared" si="1"/>
        <v>3.2349184307606652E-2</v>
      </c>
    </row>
    <row r="48" spans="1:14" x14ac:dyDescent="0.35">
      <c r="A48">
        <v>37</v>
      </c>
      <c r="B48" s="3">
        <f t="shared" si="0"/>
        <v>0.10355264596330831</v>
      </c>
      <c r="C48" s="2">
        <f t="shared" si="1"/>
        <v>2.94083493705515E-2</v>
      </c>
    </row>
    <row r="49" spans="1:3" x14ac:dyDescent="0.35">
      <c r="A49" s="1">
        <v>38</v>
      </c>
      <c r="B49" s="3">
        <f t="shared" si="0"/>
        <v>0.10187104159518039</v>
      </c>
      <c r="C49" s="2">
        <f t="shared" si="1"/>
        <v>2.6734863064137721E-2</v>
      </c>
    </row>
    <row r="50" spans="1:3" x14ac:dyDescent="0.35">
      <c r="A50">
        <v>39</v>
      </c>
      <c r="B50" s="3">
        <f t="shared" si="0"/>
        <v>0.10025666517928568</v>
      </c>
      <c r="C50" s="2">
        <f t="shared" si="1"/>
        <v>2.4304420967397926E-2</v>
      </c>
    </row>
    <row r="51" spans="1:3" x14ac:dyDescent="0.35">
      <c r="A51">
        <v>40</v>
      </c>
      <c r="B51" s="3">
        <f t="shared" si="0"/>
        <v>9.8705308308154466E-2</v>
      </c>
      <c r="C51" s="2">
        <f t="shared" si="1"/>
        <v>2.2094928152179935E-2</v>
      </c>
    </row>
    <row r="52" spans="1:3" x14ac:dyDescent="0.35">
      <c r="A52">
        <v>41</v>
      </c>
      <c r="B52" s="3">
        <f t="shared" si="0"/>
        <v>9.7213116830583826E-2</v>
      </c>
      <c r="C52" s="2">
        <f t="shared" si="1"/>
        <v>2.0086298320163575E-2</v>
      </c>
    </row>
    <row r="53" spans="1:3" x14ac:dyDescent="0.35">
      <c r="A53" s="1">
        <v>42</v>
      </c>
      <c r="B53" s="3">
        <f t="shared" si="0"/>
        <v>9.5776553730462913E-2</v>
      </c>
      <c r="C53" s="2">
        <f t="shared" si="1"/>
        <v>1.8260271200148705E-2</v>
      </c>
    </row>
    <row r="54" spans="1:3" x14ac:dyDescent="0.35">
      <c r="A54">
        <v>43</v>
      </c>
      <c r="B54" s="3">
        <f t="shared" si="0"/>
        <v>9.4392366626708246E-2</v>
      </c>
      <c r="C54" s="2">
        <f t="shared" si="1"/>
        <v>1.6600246545589729E-2</v>
      </c>
    </row>
    <row r="55" spans="1:3" x14ac:dyDescent="0.35">
      <c r="A55">
        <v>44</v>
      </c>
      <c r="B55" s="3">
        <f t="shared" si="0"/>
        <v>9.3057559231920911E-2</v>
      </c>
      <c r="C55" s="2">
        <f t="shared" si="1"/>
        <v>1.5091133223263388E-2</v>
      </c>
    </row>
    <row r="56" spans="1:3" x14ac:dyDescent="0.35">
      <c r="A56">
        <v>45</v>
      </c>
      <c r="B56" s="3">
        <f t="shared" si="0"/>
        <v>9.1769366214284512E-2</v>
      </c>
      <c r="C56" s="2">
        <f t="shared" si="1"/>
        <v>1.3719212021148534E-2</v>
      </c>
    </row>
    <row r="57" spans="1:3" x14ac:dyDescent="0.35">
      <c r="A57" s="1">
        <v>46</v>
      </c>
      <c r="B57" s="3">
        <f t="shared" si="0"/>
        <v>9.0525230995025907E-2</v>
      </c>
      <c r="C57" s="2">
        <f t="shared" si="1"/>
        <v>1.2472010928316847E-2</v>
      </c>
    </row>
    <row r="58" spans="1:3" x14ac:dyDescent="0.35">
      <c r="A58">
        <v>47</v>
      </c>
      <c r="B58" s="3">
        <f t="shared" si="0"/>
        <v>8.9322786086188835E-2</v>
      </c>
      <c r="C58" s="2">
        <f t="shared" si="1"/>
        <v>1.1338191753015316E-2</v>
      </c>
    </row>
    <row r="59" spans="1:3" x14ac:dyDescent="0.35">
      <c r="A59">
        <v>48</v>
      </c>
      <c r="B59" s="3">
        <f t="shared" si="0"/>
        <v>8.81598356334687E-2</v>
      </c>
      <c r="C59" s="2">
        <f t="shared" si="1"/>
        <v>1.0307447048195742E-2</v>
      </c>
    </row>
    <row r="60" spans="1:3" x14ac:dyDescent="0.35">
      <c r="A60">
        <v>49</v>
      </c>
      <c r="B60" s="3">
        <f t="shared" si="0"/>
        <v>8.7034339878758402E-2</v>
      </c>
      <c r="C60" s="2">
        <f t="shared" si="1"/>
        <v>9.3704064074506734E-3</v>
      </c>
    </row>
    <row r="61" spans="1:3" x14ac:dyDescent="0.35">
      <c r="A61" s="1">
        <v>50</v>
      </c>
      <c r="B61" s="3">
        <f t="shared" si="0"/>
        <v>8.5944401298718123E-2</v>
      </c>
      <c r="C61" s="2">
        <f t="shared" si="1"/>
        <v>8.5185512795006111E-3</v>
      </c>
    </row>
    <row r="62" spans="1:3" x14ac:dyDescent="0.35">
      <c r="A62">
        <v>51</v>
      </c>
      <c r="B62" s="3">
        <f t="shared" si="0"/>
        <v>8.488825221059719E-2</v>
      </c>
      <c r="C62" s="2">
        <f t="shared" si="1"/>
        <v>7.744137526818737E-3</v>
      </c>
    </row>
    <row r="63" spans="1:3" x14ac:dyDescent="0.35">
      <c r="A63">
        <v>52</v>
      </c>
      <c r="B63" s="3">
        <f t="shared" si="0"/>
        <v>8.3864243665898314E-2</v>
      </c>
      <c r="C63" s="2">
        <f t="shared" si="1"/>
        <v>7.0401250243806697E-3</v>
      </c>
    </row>
    <row r="64" spans="1:3" x14ac:dyDescent="0.35">
      <c r="A64">
        <v>53</v>
      </c>
      <c r="B64" s="3">
        <f t="shared" si="0"/>
        <v>8.2870835477252727E-2</v>
      </c>
      <c r="C64" s="2">
        <f t="shared" si="1"/>
        <v>6.4001136585278805E-3</v>
      </c>
    </row>
    <row r="65" spans="1:3" x14ac:dyDescent="0.35">
      <c r="A65" s="1">
        <v>54</v>
      </c>
      <c r="B65" s="3">
        <f t="shared" si="0"/>
        <v>8.1906587244851933E-2</v>
      </c>
      <c r="C65" s="2">
        <f t="shared" si="1"/>
        <v>5.8182851441162548E-3</v>
      </c>
    </row>
    <row r="66" spans="1:3" x14ac:dyDescent="0.35">
      <c r="A66">
        <v>55</v>
      </c>
      <c r="B66" s="3">
        <f t="shared" si="0"/>
        <v>8.0970150266597873E-2</v>
      </c>
      <c r="C66" s="2">
        <f t="shared" si="1"/>
        <v>5.2893501310147762E-3</v>
      </c>
    </row>
    <row r="67" spans="1:3" x14ac:dyDescent="0.35">
      <c r="A67">
        <v>56</v>
      </c>
      <c r="B67" s="3">
        <f t="shared" si="0"/>
        <v>8.0060260231310201E-2</v>
      </c>
      <c r="C67" s="2">
        <f t="shared" si="1"/>
        <v>4.808500119104343E-3</v>
      </c>
    </row>
    <row r="68" spans="1:3" x14ac:dyDescent="0.35">
      <c r="A68">
        <v>57</v>
      </c>
      <c r="B68" s="3">
        <f t="shared" si="0"/>
        <v>7.9175730607295963E-2</v>
      </c>
      <c r="C68" s="2">
        <f t="shared" si="1"/>
        <v>4.3713637446403109E-3</v>
      </c>
    </row>
    <row r="69" spans="1:3" x14ac:dyDescent="0.35">
      <c r="A69" s="1">
        <v>58</v>
      </c>
      <c r="B69" s="3">
        <f t="shared" si="0"/>
        <v>7.8315446649696335E-2</v>
      </c>
      <c r="C69" s="2">
        <f t="shared" si="1"/>
        <v>3.9739670405821012E-3</v>
      </c>
    </row>
    <row r="70" spans="1:3" x14ac:dyDescent="0.35">
      <c r="A70">
        <v>59</v>
      </c>
      <c r="B70" s="3">
        <f t="shared" si="0"/>
        <v>7.7478359959569088E-2</v>
      </c>
      <c r="C70" s="2">
        <f t="shared" si="1"/>
        <v>3.6126973096200906E-3</v>
      </c>
    </row>
    <row r="71" spans="1:3" x14ac:dyDescent="0.35">
      <c r="A71">
        <v>60</v>
      </c>
      <c r="B71" s="3">
        <f t="shared" si="0"/>
        <v>7.6663483535886631E-2</v>
      </c>
      <c r="C71" s="2">
        <f t="shared" si="1"/>
        <v>3.2842702814728101E-3</v>
      </c>
    </row>
    <row r="72" spans="1:3" x14ac:dyDescent="0.35">
      <c r="A72">
        <v>61</v>
      </c>
      <c r="B72" s="3">
        <f t="shared" si="0"/>
        <v>7.5869887268728453E-2</v>
      </c>
      <c r="C72" s="2">
        <f t="shared" si="1"/>
        <v>2.9857002558843723E-3</v>
      </c>
    </row>
    <row r="73" spans="1:3" x14ac:dyDescent="0.35">
      <c r="A73" s="1">
        <v>62</v>
      </c>
      <c r="B73" s="3">
        <f t="shared" si="0"/>
        <v>7.5096693828092101E-2</v>
      </c>
      <c r="C73" s="2">
        <f t="shared" si="1"/>
        <v>2.7142729598948834E-3</v>
      </c>
    </row>
    <row r="74" spans="1:3" x14ac:dyDescent="0.35">
      <c r="A74">
        <v>63</v>
      </c>
      <c r="B74" s="3">
        <f t="shared" si="0"/>
        <v>7.4343074908079745E-2</v>
      </c>
      <c r="C74" s="2">
        <f t="shared" si="1"/>
        <v>2.4675208726317125E-3</v>
      </c>
    </row>
    <row r="75" spans="1:3" x14ac:dyDescent="0.35">
      <c r="A75">
        <v>64</v>
      </c>
      <c r="B75" s="3">
        <f t="shared" si="0"/>
        <v>7.3608247790854606E-2</v>
      </c>
      <c r="C75" s="2">
        <f t="shared" si="1"/>
        <v>2.2432007933015567E-3</v>
      </c>
    </row>
    <row r="76" spans="1:3" x14ac:dyDescent="0.35">
      <c r="A76">
        <v>65</v>
      </c>
      <c r="B76" s="3">
        <f t="shared" si="0"/>
        <v>7.2891472198804347E-2</v>
      </c>
      <c r="C76" s="2">
        <f t="shared" si="1"/>
        <v>2.0392734484559606E-3</v>
      </c>
    </row>
    <row r="77" spans="1:3" x14ac:dyDescent="0.35">
      <c r="A77" s="1">
        <v>66</v>
      </c>
      <c r="B77" s="3">
        <f t="shared" si="0"/>
        <v>7.2192047406879511E-2</v>
      </c>
      <c r="C77" s="2">
        <f t="shared" si="1"/>
        <v>1.8538849531417822E-3</v>
      </c>
    </row>
    <row r="78" spans="1:3" x14ac:dyDescent="0.35">
      <c r="A78">
        <v>67</v>
      </c>
      <c r="B78" s="3">
        <f t="shared" ref="B78:B111" si="2">B77*($B$4+A78-1)/($B$4+$B$3+A78-1)</f>
        <v>7.1509309590165687E-2</v>
      </c>
      <c r="C78" s="2">
        <f t="shared" ref="C78:C111" si="3">(1+$B$5)^(-A78)</f>
        <v>1.6853499574016198E-3</v>
      </c>
    </row>
    <row r="79" spans="1:3" x14ac:dyDescent="0.35">
      <c r="A79">
        <v>68</v>
      </c>
      <c r="B79" s="3">
        <f t="shared" si="2"/>
        <v>7.0842629384459746E-2</v>
      </c>
      <c r="C79" s="2">
        <f t="shared" si="3"/>
        <v>1.5321363249105634E-3</v>
      </c>
    </row>
    <row r="80" spans="1:3" x14ac:dyDescent="0.35">
      <c r="A80">
        <v>69</v>
      </c>
      <c r="B80" s="3">
        <f t="shared" si="2"/>
        <v>7.0191409640002395E-2</v>
      </c>
      <c r="C80" s="2">
        <f t="shared" si="3"/>
        <v>1.3928512044641486E-3</v>
      </c>
    </row>
    <row r="81" spans="1:3" x14ac:dyDescent="0.35">
      <c r="A81" s="1">
        <v>70</v>
      </c>
      <c r="B81" s="3">
        <f t="shared" si="2"/>
        <v>6.955508335061758E-2</v>
      </c>
      <c r="C81" s="2">
        <f t="shared" si="3"/>
        <v>1.2662283676946804E-3</v>
      </c>
    </row>
    <row r="82" spans="1:3" x14ac:dyDescent="0.35">
      <c r="A82">
        <v>71</v>
      </c>
      <c r="B82" s="3">
        <f t="shared" si="2"/>
        <v>6.8933111742359512E-2</v>
      </c>
      <c r="C82" s="2">
        <f t="shared" si="3"/>
        <v>1.1511166979042548E-3</v>
      </c>
    </row>
    <row r="83" spans="1:3" x14ac:dyDescent="0.35">
      <c r="A83">
        <v>72</v>
      </c>
      <c r="B83" s="3">
        <f t="shared" si="2"/>
        <v>6.8324982507403612E-2</v>
      </c>
      <c r="C83" s="2">
        <f t="shared" si="3"/>
        <v>1.0464697253675043E-3</v>
      </c>
    </row>
    <row r="84" spans="1:3" x14ac:dyDescent="0.35">
      <c r="A84">
        <v>73</v>
      </c>
      <c r="B84" s="3">
        <f t="shared" si="2"/>
        <v>6.7730208170365264E-2</v>
      </c>
      <c r="C84" s="2">
        <f t="shared" si="3"/>
        <v>9.513361139704584E-4</v>
      </c>
    </row>
    <row r="85" spans="1:3" x14ac:dyDescent="0.35">
      <c r="A85" s="1">
        <v>74</v>
      </c>
      <c r="B85" s="3">
        <f t="shared" si="2"/>
        <v>6.7148324575514104E-2</v>
      </c>
      <c r="C85" s="2">
        <f t="shared" si="3"/>
        <v>8.648510127004167E-4</v>
      </c>
    </row>
    <row r="86" spans="1:3" x14ac:dyDescent="0.35">
      <c r="A86">
        <v>75</v>
      </c>
      <c r="B86" s="3">
        <f t="shared" si="2"/>
        <v>6.6578889484491546E-2</v>
      </c>
      <c r="C86" s="2">
        <f t="shared" si="3"/>
        <v>7.8622819336401516E-4</v>
      </c>
    </row>
    <row r="87" spans="1:3" x14ac:dyDescent="0.35">
      <c r="A87">
        <v>76</v>
      </c>
      <c r="B87" s="3">
        <f t="shared" si="2"/>
        <v>6.6021481275154101E-2</v>
      </c>
      <c r="C87" s="2">
        <f t="shared" si="3"/>
        <v>7.1475290305819553E-4</v>
      </c>
    </row>
    <row r="88" spans="1:3" x14ac:dyDescent="0.35">
      <c r="A88">
        <v>77</v>
      </c>
      <c r="B88" s="3">
        <f t="shared" si="2"/>
        <v>6.5475697733068369E-2</v>
      </c>
      <c r="C88" s="2">
        <f t="shared" si="3"/>
        <v>6.4977536641654132E-4</v>
      </c>
    </row>
    <row r="89" spans="1:3" x14ac:dyDescent="0.35">
      <c r="A89" s="1">
        <v>78</v>
      </c>
      <c r="B89" s="3">
        <f t="shared" si="2"/>
        <v>6.4941154927990588E-2</v>
      </c>
      <c r="C89" s="2">
        <f t="shared" si="3"/>
        <v>5.9070487856049199E-4</v>
      </c>
    </row>
    <row r="90" spans="1:3" x14ac:dyDescent="0.35">
      <c r="A90">
        <v>79</v>
      </c>
      <c r="B90" s="3">
        <f t="shared" si="2"/>
        <v>6.4417486168384316E-2</v>
      </c>
      <c r="C90" s="2">
        <f t="shared" si="3"/>
        <v>5.3700443505499279E-4</v>
      </c>
    </row>
    <row r="91" spans="1:3" x14ac:dyDescent="0.35">
      <c r="A91">
        <v>80</v>
      </c>
      <c r="B91" s="3">
        <f t="shared" si="2"/>
        <v>6.3904341027674894E-2</v>
      </c>
      <c r="C91" s="2">
        <f t="shared" si="3"/>
        <v>4.8818585004999342E-4</v>
      </c>
    </row>
    <row r="92" spans="1:3" x14ac:dyDescent="0.35">
      <c r="A92">
        <v>81</v>
      </c>
      <c r="B92" s="3">
        <f t="shared" si="2"/>
        <v>6.3401384436517688E-2</v>
      </c>
      <c r="C92" s="2">
        <f t="shared" si="3"/>
        <v>4.4380531822726677E-4</v>
      </c>
    </row>
    <row r="93" spans="1:3" x14ac:dyDescent="0.35">
      <c r="A93" s="1">
        <v>82</v>
      </c>
      <c r="B93" s="3">
        <f t="shared" si="2"/>
        <v>6.2908295835876038E-2</v>
      </c>
      <c r="C93" s="2">
        <f t="shared" si="3"/>
        <v>4.0345938020660611E-4</v>
      </c>
    </row>
    <row r="94" spans="1:3" x14ac:dyDescent="0.35">
      <c r="A94">
        <v>83</v>
      </c>
      <c r="B94" s="3">
        <f t="shared" si="2"/>
        <v>6.2424768386171184E-2</v>
      </c>
      <c r="C94" s="2">
        <f t="shared" si="3"/>
        <v>3.6678125473327814E-4</v>
      </c>
    </row>
    <row r="95" spans="1:3" x14ac:dyDescent="0.35">
      <c r="A95">
        <v>84</v>
      </c>
      <c r="B95" s="3">
        <f t="shared" si="2"/>
        <v>6.1950508228185999E-2</v>
      </c>
      <c r="C95" s="2">
        <f t="shared" si="3"/>
        <v>3.3343750430298019E-4</v>
      </c>
    </row>
    <row r="96" spans="1:3" x14ac:dyDescent="0.35">
      <c r="A96">
        <v>85</v>
      </c>
      <c r="B96" s="3">
        <f t="shared" si="2"/>
        <v>6.1485233791782737E-2</v>
      </c>
      <c r="C96" s="2">
        <f t="shared" si="3"/>
        <v>3.0312500391180015E-4</v>
      </c>
    </row>
    <row r="97" spans="1:3" x14ac:dyDescent="0.35">
      <c r="A97" s="1">
        <v>86</v>
      </c>
      <c r="B97" s="3">
        <f t="shared" si="2"/>
        <v>6.1028675148835726E-2</v>
      </c>
      <c r="C97" s="2">
        <f t="shared" si="3"/>
        <v>2.7556818537436372E-4</v>
      </c>
    </row>
    <row r="98" spans="1:3" x14ac:dyDescent="0.35">
      <c r="A98">
        <v>87</v>
      </c>
      <c r="B98" s="3">
        <f t="shared" si="2"/>
        <v>6.0580573407088431E-2</v>
      </c>
      <c r="C98" s="2">
        <f t="shared" si="3"/>
        <v>2.5051653215851246E-4</v>
      </c>
    </row>
    <row r="99" spans="1:3" x14ac:dyDescent="0.35">
      <c r="A99">
        <v>88</v>
      </c>
      <c r="B99" s="3">
        <f t="shared" si="2"/>
        <v>6.0140680141922614E-2</v>
      </c>
      <c r="C99" s="2">
        <f t="shared" si="3"/>
        <v>2.2774230196228408E-4</v>
      </c>
    </row>
    <row r="100" spans="1:3" x14ac:dyDescent="0.35">
      <c r="A100">
        <v>89</v>
      </c>
      <c r="B100" s="3">
        <f t="shared" si="2"/>
        <v>5.9708756863279651E-2</v>
      </c>
      <c r="C100" s="2">
        <f t="shared" si="3"/>
        <v>2.0703845632934911E-4</v>
      </c>
    </row>
    <row r="101" spans="1:3" x14ac:dyDescent="0.35">
      <c r="A101" s="1">
        <v>90</v>
      </c>
      <c r="B101" s="3">
        <f t="shared" si="2"/>
        <v>5.9284574515202658E-2</v>
      </c>
      <c r="C101" s="2">
        <f t="shared" si="3"/>
        <v>1.8821677848122645E-4</v>
      </c>
    </row>
    <row r="102" spans="1:3" x14ac:dyDescent="0.35">
      <c r="A102">
        <v>91</v>
      </c>
      <c r="B102" s="3">
        <f t="shared" si="2"/>
        <v>5.8867913005675544E-2</v>
      </c>
      <c r="C102" s="2">
        <f t="shared" si="3"/>
        <v>1.711061622556604E-4</v>
      </c>
    </row>
    <row r="103" spans="1:3" x14ac:dyDescent="0.35">
      <c r="A103">
        <v>92</v>
      </c>
      <c r="B103" s="3">
        <f t="shared" si="2"/>
        <v>5.8458560764623455E-2</v>
      </c>
      <c r="C103" s="2">
        <f t="shared" si="3"/>
        <v>1.5555105659605491E-4</v>
      </c>
    </row>
    <row r="104" spans="1:3" x14ac:dyDescent="0.35">
      <c r="A104">
        <v>93</v>
      </c>
      <c r="B104" s="3">
        <f t="shared" si="2"/>
        <v>5.8056314328110384E-2</v>
      </c>
      <c r="C104" s="2">
        <f t="shared" si="3"/>
        <v>1.4141005145095899E-4</v>
      </c>
    </row>
    <row r="105" spans="1:3" x14ac:dyDescent="0.35">
      <c r="A105" s="1">
        <v>94</v>
      </c>
      <c r="B105" s="3">
        <f t="shared" si="2"/>
        <v>5.7660977946925797E-2</v>
      </c>
      <c r="C105" s="2">
        <f t="shared" si="3"/>
        <v>1.2855459222814453E-4</v>
      </c>
    </row>
    <row r="106" spans="1:3" x14ac:dyDescent="0.35">
      <c r="A106">
        <v>95</v>
      </c>
      <c r="B106" s="3">
        <f t="shared" si="2"/>
        <v>5.7272363217894029E-2</v>
      </c>
      <c r="C106" s="2">
        <f t="shared" si="3"/>
        <v>1.1686781111649502E-4</v>
      </c>
    </row>
    <row r="107" spans="1:3" x14ac:dyDescent="0.35">
      <c r="A107">
        <v>96</v>
      </c>
      <c r="B107" s="3">
        <f t="shared" si="2"/>
        <v>5.6890288736369921E-2</v>
      </c>
      <c r="C107" s="2">
        <f t="shared" si="3"/>
        <v>1.062434646513591E-4</v>
      </c>
    </row>
    <row r="108" spans="1:3" x14ac:dyDescent="0.35">
      <c r="A108">
        <v>97</v>
      </c>
      <c r="B108" s="3">
        <f t="shared" si="2"/>
        <v>5.6514579768502479E-2</v>
      </c>
      <c r="C108" s="2">
        <f t="shared" si="3"/>
        <v>9.6584967864871916E-5</v>
      </c>
    </row>
    <row r="109" spans="1:3" x14ac:dyDescent="0.35">
      <c r="A109" s="1">
        <v>98</v>
      </c>
      <c r="B109" s="3">
        <f t="shared" si="2"/>
        <v>5.6145067941956402E-2</v>
      </c>
      <c r="C109" s="2">
        <f t="shared" si="3"/>
        <v>8.7804516240792642E-5</v>
      </c>
    </row>
    <row r="110" spans="1:3" x14ac:dyDescent="0.35">
      <c r="A110">
        <v>99</v>
      </c>
      <c r="B110" s="3">
        <f t="shared" si="2"/>
        <v>5.5781590953880182E-2</v>
      </c>
      <c r="C110" s="2">
        <f t="shared" si="3"/>
        <v>7.982228749162966E-5</v>
      </c>
    </row>
    <row r="111" spans="1:3" x14ac:dyDescent="0.35">
      <c r="A111">
        <v>100</v>
      </c>
      <c r="B111" s="3">
        <f t="shared" si="2"/>
        <v>5.5423992295000196E-2</v>
      </c>
      <c r="C111" s="2">
        <f t="shared" si="3"/>
        <v>7.2565715901481509E-5</v>
      </c>
    </row>
    <row r="113" spans="1:1" x14ac:dyDescent="0.35">
      <c r="A113" s="1"/>
    </row>
    <row r="117" spans="1:1" x14ac:dyDescent="0.35">
      <c r="A117" s="1"/>
    </row>
    <row r="121" spans="1:1" x14ac:dyDescent="0.35">
      <c r="A121" s="1"/>
    </row>
    <row r="125" spans="1:1" x14ac:dyDescent="0.35">
      <c r="A125" s="1"/>
    </row>
    <row r="129" spans="1:1" x14ac:dyDescent="0.35">
      <c r="A129" s="1"/>
    </row>
    <row r="133" spans="1:1" x14ac:dyDescent="0.35">
      <c r="A133" s="1"/>
    </row>
    <row r="137" spans="1:1" x14ac:dyDescent="0.35">
      <c r="A137" s="1"/>
    </row>
    <row r="141" spans="1:1" x14ac:dyDescent="0.35">
      <c r="A141" s="1"/>
    </row>
    <row r="145" spans="1:1" x14ac:dyDescent="0.35">
      <c r="A145" s="1"/>
    </row>
    <row r="149" spans="1:1" x14ac:dyDescent="0.35">
      <c r="A149" s="1"/>
    </row>
    <row r="153" spans="1:1" x14ac:dyDescent="0.35">
      <c r="A153" s="1"/>
    </row>
    <row r="157" spans="1:1" x14ac:dyDescent="0.35">
      <c r="A157" s="1"/>
    </row>
    <row r="161" spans="1:1" x14ac:dyDescent="0.35">
      <c r="A161" s="1"/>
    </row>
    <row r="165" spans="1:1" x14ac:dyDescent="0.35">
      <c r="A165" s="1"/>
    </row>
    <row r="169" spans="1:1" x14ac:dyDescent="0.35">
      <c r="A169" s="1"/>
    </row>
    <row r="173" spans="1:1" x14ac:dyDescent="0.35">
      <c r="A173" s="1"/>
    </row>
    <row r="177" spans="1:1" x14ac:dyDescent="0.35">
      <c r="A177" s="1"/>
    </row>
    <row r="181" spans="1:1" x14ac:dyDescent="0.35">
      <c r="A181" s="1"/>
    </row>
    <row r="185" spans="1:1" x14ac:dyDescent="0.35">
      <c r="A185" s="1"/>
    </row>
    <row r="189" spans="1:1" x14ac:dyDescent="0.35">
      <c r="A189" s="1"/>
    </row>
    <row r="193" spans="1:1" x14ac:dyDescent="0.35">
      <c r="A193" s="1"/>
    </row>
    <row r="197" spans="1:1" x14ac:dyDescent="0.35">
      <c r="A197" s="1"/>
    </row>
    <row r="201" spans="1:1" x14ac:dyDescent="0.35">
      <c r="A201" s="1"/>
    </row>
    <row r="205" spans="1:1" x14ac:dyDescent="0.35">
      <c r="A205" s="1"/>
    </row>
    <row r="209" spans="1:1" x14ac:dyDescent="0.35">
      <c r="A209" s="1"/>
    </row>
    <row r="213" spans="1:1" x14ac:dyDescent="0.35">
      <c r="A213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C27" sqref="C27"/>
    </sheetView>
  </sheetViews>
  <sheetFormatPr defaultRowHeight="14.5" x14ac:dyDescent="0.35"/>
  <cols>
    <col min="3" max="3" width="9.54296875" bestFit="1" customWidth="1"/>
  </cols>
  <sheetData>
    <row r="1" spans="1:9" x14ac:dyDescent="0.35">
      <c r="A1" t="s">
        <v>4</v>
      </c>
      <c r="B1" s="2">
        <f>'Parameter Estimation'!B1</f>
        <v>0.64874263962793899</v>
      </c>
      <c r="D1" s="1" t="s">
        <v>5</v>
      </c>
      <c r="E1" s="2">
        <f>EXP(GAMMALN(B1)+GAMMALN(B2)-GAMMALN(B1+B2))</f>
        <v>0.48947433696743675</v>
      </c>
    </row>
    <row r="2" spans="1:9" x14ac:dyDescent="0.35">
      <c r="A2" t="s">
        <v>6</v>
      </c>
      <c r="B2" s="2">
        <f>'Parameter Estimation'!B2</f>
        <v>5.1522650486944688</v>
      </c>
      <c r="D2" s="1"/>
      <c r="E2" s="2"/>
    </row>
    <row r="3" spans="1:9" x14ac:dyDescent="0.35">
      <c r="A3" t="s">
        <v>7</v>
      </c>
      <c r="B3" s="2">
        <f>'Parameter Estimation'!B3</f>
        <v>37.226909078078627</v>
      </c>
      <c r="D3" s="1" t="s">
        <v>8</v>
      </c>
      <c r="E3" s="3">
        <f>EXP(GAMMALN(B3)+GAMMALN(B4)-GAMMALN(B3+B4))</f>
        <v>5.3696245585527273E-57</v>
      </c>
    </row>
    <row r="4" spans="1:9" x14ac:dyDescent="0.35">
      <c r="A4" t="s">
        <v>9</v>
      </c>
      <c r="B4" s="2">
        <f>'Parameter Estimation'!B4</f>
        <v>416.28279825967843</v>
      </c>
    </row>
    <row r="5" spans="1:9" x14ac:dyDescent="0.35">
      <c r="B5" s="2"/>
    </row>
    <row r="6" spans="1:9" x14ac:dyDescent="0.35">
      <c r="A6" s="1" t="s">
        <v>2</v>
      </c>
      <c r="B6" s="6">
        <v>6</v>
      </c>
    </row>
    <row r="8" spans="1:9" x14ac:dyDescent="0.35">
      <c r="A8" s="1" t="s">
        <v>13</v>
      </c>
      <c r="B8" s="1" t="s">
        <v>14</v>
      </c>
      <c r="D8">
        <v>0</v>
      </c>
      <c r="E8">
        <v>1</v>
      </c>
      <c r="F8">
        <v>2</v>
      </c>
      <c r="G8">
        <v>3</v>
      </c>
      <c r="H8">
        <v>4</v>
      </c>
      <c r="I8">
        <v>5</v>
      </c>
    </row>
    <row r="9" spans="1:9" x14ac:dyDescent="0.35">
      <c r="A9">
        <v>0</v>
      </c>
      <c r="B9" s="4">
        <f>SUM(C9:I9)</f>
        <v>0.68320339397831487</v>
      </c>
      <c r="C9" s="4">
        <f t="shared" ref="C9:C15" si="0">COMBIN($B$6,A9)*EXP(GAMMALN($B$1+A9)+GAMMALN($B$2+$B$6-A9)-GAMMALN($B$1+$B$2+$B$6))/$E$1*EXP(GAMMALN($B$3)+GAMMALN($B$4+$B$6)-GAMMALN($B$3+$B$4+$B$6))/$E$3</f>
        <v>0.35928321590817075</v>
      </c>
      <c r="D9" s="4">
        <f>IF($A9&lt;=D$8,COMBIN(D$8,$A9)*EXP(GAMMALN($B$1+$A9)+GAMMALN($B$2+D$8-$A9)-GAMMALN($B$1+$B$2+D$8))/$E$1*EXP(GAMMALN($B$3+1)+GAMMALN($B$4+D$8)-GAMMALN($B$3+$B$4+D$8+1))/$E$3,0)</f>
        <v>8.2086245290334911E-2</v>
      </c>
      <c r="E9" s="4">
        <f t="shared" ref="E9:I15" si="1">IF($A9&lt;=E$8,COMBIN(E$8,$A9)*EXP(GAMMALN($B$1+$A9)+GAMMALN($B$2+E$8-$A9)-GAMMALN($B$1+$B$2+E$8))/$E$1*EXP(GAMMALN($B$3+1)+GAMMALN($B$4+E$8)-GAMMALN($B$3+$B$4+E$8+1))/$E$3,0)</f>
        <v>6.6774469805620004E-2</v>
      </c>
      <c r="F9" s="4">
        <f t="shared" si="1"/>
        <v>5.5335656307503062E-2</v>
      </c>
      <c r="G9" s="4">
        <f t="shared" si="1"/>
        <v>4.6485547172516538E-2</v>
      </c>
      <c r="H9" s="4">
        <f t="shared" si="1"/>
        <v>3.9461225633708769E-2</v>
      </c>
      <c r="I9" s="4">
        <f t="shared" si="1"/>
        <v>3.3777033860460853E-2</v>
      </c>
    </row>
    <row r="10" spans="1:9" x14ac:dyDescent="0.35">
      <c r="A10">
        <v>1</v>
      </c>
      <c r="B10" s="4">
        <f t="shared" ref="B10:B15" si="2">SUM(C10:I10)</f>
        <v>0.19501130876472586</v>
      </c>
      <c r="C10" s="4">
        <f t="shared" si="0"/>
        <v>0.13775192476417142</v>
      </c>
      <c r="D10">
        <f t="shared" ref="D10:D15" si="3">IF($A10&lt;=D$8,COMBIN(D$8,$A10)*EXP(GAMMALN($B$1+$A10)+GAMMALN($B$2+D$8-$A10)-GAMMALN($B$1+$B$2+D$8))/$E$1*EXP(GAMMALN($B$3+1)+GAMMALN($B$4+D$8)-GAMMALN($B$3+$B$4+D$8+1))/$E$3,0)</f>
        <v>0</v>
      </c>
      <c r="E10" s="4">
        <f t="shared" si="1"/>
        <v>8.4078449753726744E-3</v>
      </c>
      <c r="F10" s="4">
        <f t="shared" si="1"/>
        <v>1.1670043294409668E-2</v>
      </c>
      <c r="G10" s="4">
        <f t="shared" si="1"/>
        <v>1.2649345223616494E-2</v>
      </c>
      <c r="H10" s="4">
        <f t="shared" si="1"/>
        <v>1.2561014406500729E-2</v>
      </c>
      <c r="I10" s="4">
        <f t="shared" si="1"/>
        <v>1.1971136100654872E-2</v>
      </c>
    </row>
    <row r="11" spans="1:9" x14ac:dyDescent="0.35">
      <c r="A11">
        <v>2</v>
      </c>
      <c r="B11" s="4">
        <f t="shared" si="2"/>
        <v>7.648123906880179E-2</v>
      </c>
      <c r="C11" s="4">
        <f t="shared" si="0"/>
        <v>6.2038596686485453E-2</v>
      </c>
      <c r="D11">
        <f t="shared" si="3"/>
        <v>0</v>
      </c>
      <c r="E11">
        <f t="shared" si="1"/>
        <v>0</v>
      </c>
      <c r="F11" s="4">
        <f t="shared" si="1"/>
        <v>1.8672271131191874E-3</v>
      </c>
      <c r="G11" s="4">
        <f t="shared" si="1"/>
        <v>3.3898921240358656E-3</v>
      </c>
      <c r="H11" s="4">
        <f t="shared" si="1"/>
        <v>4.3433541489263372E-3</v>
      </c>
      <c r="I11" s="4">
        <f t="shared" si="1"/>
        <v>4.8421689962349383E-3</v>
      </c>
    </row>
    <row r="12" spans="1:9" x14ac:dyDescent="0.35">
      <c r="A12">
        <v>3</v>
      </c>
      <c r="B12" s="4">
        <f t="shared" si="2"/>
        <v>3.0496618004240979E-2</v>
      </c>
      <c r="C12" s="4">
        <f t="shared" si="0"/>
        <v>2.6875847855721981E-2</v>
      </c>
      <c r="D12">
        <f t="shared" si="3"/>
        <v>0</v>
      </c>
      <c r="E12">
        <f t="shared" si="1"/>
        <v>0</v>
      </c>
      <c r="F12">
        <f t="shared" si="1"/>
        <v>0</v>
      </c>
      <c r="G12" s="4">
        <f t="shared" si="1"/>
        <v>5.8090643809482676E-4</v>
      </c>
      <c r="H12" s="4">
        <f t="shared" si="1"/>
        <v>1.2466332580721501E-3</v>
      </c>
      <c r="I12" s="4">
        <f t="shared" si="1"/>
        <v>1.7932304523520185E-3</v>
      </c>
    </row>
    <row r="13" spans="1:9" x14ac:dyDescent="0.35">
      <c r="A13">
        <v>4</v>
      </c>
      <c r="B13" s="4">
        <f t="shared" si="2"/>
        <v>1.1035545773327732E-2</v>
      </c>
      <c r="C13" s="4">
        <f t="shared" si="0"/>
        <v>1.0283076554736937E-2</v>
      </c>
      <c r="D13">
        <f t="shared" si="3"/>
        <v>0</v>
      </c>
      <c r="E13">
        <f t="shared" si="1"/>
        <v>0</v>
      </c>
      <c r="F13">
        <f t="shared" si="1"/>
        <v>0</v>
      </c>
      <c r="G13">
        <f t="shared" si="1"/>
        <v>0</v>
      </c>
      <c r="H13" s="4">
        <f t="shared" si="1"/>
        <v>2.2071088549000081E-4</v>
      </c>
      <c r="I13" s="4">
        <f t="shared" si="1"/>
        <v>5.3175833310079447E-4</v>
      </c>
    </row>
    <row r="14" spans="1:9" x14ac:dyDescent="0.35">
      <c r="A14">
        <v>5</v>
      </c>
      <c r="B14" s="4">
        <f t="shared" si="2"/>
        <v>3.2039761035605259E-3</v>
      </c>
      <c r="C14" s="4">
        <f t="shared" si="0"/>
        <v>3.1080180108110267E-3</v>
      </c>
      <c r="D14">
        <f t="shared" si="3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 s="4">
        <f t="shared" si="1"/>
        <v>9.5958092749499397E-5</v>
      </c>
    </row>
    <row r="15" spans="1:9" x14ac:dyDescent="0.35">
      <c r="A15">
        <v>6</v>
      </c>
      <c r="B15" s="4">
        <f t="shared" si="2"/>
        <v>5.6791830701231904E-4</v>
      </c>
      <c r="C15" s="4">
        <f t="shared" si="0"/>
        <v>5.6791830701231904E-4</v>
      </c>
      <c r="D15">
        <f t="shared" si="3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</row>
    <row r="17" spans="1:3" x14ac:dyDescent="0.35">
      <c r="A17" s="1" t="s">
        <v>13</v>
      </c>
      <c r="B17" s="1" t="s">
        <v>15</v>
      </c>
      <c r="C17" s="7" t="s">
        <v>16</v>
      </c>
    </row>
    <row r="18" spans="1:3" x14ac:dyDescent="0.35">
      <c r="A18">
        <v>0</v>
      </c>
      <c r="B18">
        <v>3464</v>
      </c>
      <c r="C18" s="5">
        <f>$B$25*B9</f>
        <v>7586.2904867352081</v>
      </c>
    </row>
    <row r="19" spans="1:3" x14ac:dyDescent="0.35">
      <c r="A19">
        <v>1</v>
      </c>
      <c r="B19">
        <v>1823</v>
      </c>
      <c r="C19" s="5">
        <f t="shared" ref="C19:C24" si="4">$B$25*B10</f>
        <v>2165.4055725235157</v>
      </c>
    </row>
    <row r="20" spans="1:3" x14ac:dyDescent="0.35">
      <c r="A20">
        <v>2</v>
      </c>
      <c r="B20">
        <v>1430</v>
      </c>
      <c r="C20" s="5">
        <f t="shared" si="4"/>
        <v>849.24767861997509</v>
      </c>
    </row>
    <row r="21" spans="1:3" x14ac:dyDescent="0.35">
      <c r="A21">
        <v>3</v>
      </c>
      <c r="B21">
        <v>1085</v>
      </c>
      <c r="C21" s="5">
        <f t="shared" si="4"/>
        <v>338.63444631909181</v>
      </c>
    </row>
    <row r="22" spans="1:3" x14ac:dyDescent="0.35">
      <c r="A22">
        <v>4</v>
      </c>
      <c r="B22">
        <v>1036</v>
      </c>
      <c r="C22" s="5">
        <f t="shared" si="4"/>
        <v>122.53870026703115</v>
      </c>
    </row>
    <row r="23" spans="1:3" x14ac:dyDescent="0.35">
      <c r="A23">
        <v>5</v>
      </c>
      <c r="B23">
        <v>1063</v>
      </c>
      <c r="C23" s="5">
        <f t="shared" si="4"/>
        <v>35.57695065393608</v>
      </c>
    </row>
    <row r="24" spans="1:3" x14ac:dyDescent="0.35">
      <c r="A24">
        <v>6</v>
      </c>
      <c r="B24">
        <v>1203</v>
      </c>
      <c r="C24" s="5">
        <f t="shared" si="4"/>
        <v>6.3061648810647908</v>
      </c>
    </row>
    <row r="25" spans="1:3" x14ac:dyDescent="0.35">
      <c r="B25">
        <f>SUM(B18:B24)</f>
        <v>11104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opLeftCell="A13" workbookViewId="0">
      <selection activeCell="Q11" sqref="Q11"/>
    </sheetView>
  </sheetViews>
  <sheetFormatPr defaultRowHeight="14.5" x14ac:dyDescent="0.35"/>
  <sheetData>
    <row r="1" spans="1:13" x14ac:dyDescent="0.35">
      <c r="A1" s="1" t="s">
        <v>4</v>
      </c>
      <c r="B1" s="2">
        <f>'Parameter Estimation'!B1</f>
        <v>0.64874263962793899</v>
      </c>
      <c r="D1" s="1"/>
      <c r="E1" s="2"/>
    </row>
    <row r="2" spans="1:13" x14ac:dyDescent="0.35">
      <c r="A2" s="1" t="s">
        <v>6</v>
      </c>
      <c r="B2" s="2">
        <f>'Parameter Estimation'!B2</f>
        <v>5.1522650486944688</v>
      </c>
      <c r="E2" s="2"/>
    </row>
    <row r="3" spans="1:13" x14ac:dyDescent="0.35">
      <c r="A3" s="1" t="s">
        <v>7</v>
      </c>
      <c r="B3" s="2">
        <f>'Parameter Estimation'!B3</f>
        <v>37.226909078078627</v>
      </c>
      <c r="D3" s="1"/>
      <c r="E3" s="3"/>
    </row>
    <row r="4" spans="1:13" x14ac:dyDescent="0.35">
      <c r="A4" s="1" t="s">
        <v>9</v>
      </c>
      <c r="B4" s="2">
        <f>'Parameter Estimation'!B4</f>
        <v>416.28279825967843</v>
      </c>
    </row>
    <row r="5" spans="1:13" x14ac:dyDescent="0.35">
      <c r="I5" s="8" t="s">
        <v>17</v>
      </c>
      <c r="J5" s="8"/>
      <c r="L5" s="8" t="s">
        <v>18</v>
      </c>
      <c r="M5" s="8"/>
    </row>
    <row r="6" spans="1:13" x14ac:dyDescent="0.35">
      <c r="A6" s="1" t="s">
        <v>2</v>
      </c>
      <c r="B6" s="1" t="s">
        <v>19</v>
      </c>
      <c r="I6" s="1" t="s">
        <v>15</v>
      </c>
      <c r="J6" s="1" t="s">
        <v>16</v>
      </c>
      <c r="L6" s="1" t="s">
        <v>15</v>
      </c>
      <c r="M6" s="1" t="s">
        <v>16</v>
      </c>
    </row>
    <row r="7" spans="1:13" x14ac:dyDescent="0.35">
      <c r="A7">
        <v>1</v>
      </c>
      <c r="B7" s="4">
        <f>D7*($B$4*E7-E7*F7)</f>
        <v>0.1026528189888346</v>
      </c>
      <c r="D7" s="4">
        <f>$B$1/($B$1+$B$2)</f>
        <v>0.11183274949520862</v>
      </c>
      <c r="E7" s="4">
        <f>1/($B$3-1)</f>
        <v>2.7603790261121475E-2</v>
      </c>
      <c r="F7" s="4">
        <f>EXP(GAMMALN($B$4+A7+1)+GAMMALN($B$3+$B$4)-GAMMALN($B$4)-GAMMALN($B$3+$B$4+A7))</f>
        <v>383.02962012623459</v>
      </c>
      <c r="H7">
        <v>1996</v>
      </c>
      <c r="I7">
        <f>L7</f>
        <v>5652</v>
      </c>
      <c r="J7" s="5">
        <f>11104*B7</f>
        <v>1139.8569020520194</v>
      </c>
      <c r="L7">
        <v>5652</v>
      </c>
      <c r="M7" s="5">
        <f>J7</f>
        <v>1139.8569020520194</v>
      </c>
    </row>
    <row r="8" spans="1:13" x14ac:dyDescent="0.35">
      <c r="A8">
        <v>2</v>
      </c>
      <c r="B8" s="4">
        <f t="shared" ref="B8:B17" si="0">D8*($B$4*E8-E8*F8)</f>
        <v>0.19689779300188437</v>
      </c>
      <c r="D8" s="4">
        <f t="shared" ref="D8:D17" si="1">$B$1/($B$1+$B$2)</f>
        <v>0.11183274949520862</v>
      </c>
      <c r="E8" s="4">
        <f t="shared" ref="E8:E17" si="2">1/($B$3-1)</f>
        <v>2.7603790261121475E-2</v>
      </c>
      <c r="F8" s="4">
        <f t="shared" ref="F8:F17" si="3">EXP(GAMMALN($B$4+A8+1)+GAMMALN($B$3+$B$4)-GAMMALN($B$4)-GAMMALN($B$3+$B$4+A8))</f>
        <v>352.50006487477481</v>
      </c>
      <c r="H8">
        <v>1997</v>
      </c>
      <c r="I8">
        <f>I7+L8</f>
        <v>10326</v>
      </c>
      <c r="J8" s="5">
        <f t="shared" ref="J8:J17" si="4">11104*B8</f>
        <v>2186.353093492924</v>
      </c>
      <c r="L8">
        <v>4674</v>
      </c>
      <c r="M8" s="5">
        <f>J8-J7</f>
        <v>1046.4961914409046</v>
      </c>
    </row>
    <row r="9" spans="1:13" x14ac:dyDescent="0.35">
      <c r="A9">
        <v>3</v>
      </c>
      <c r="B9" s="4">
        <f t="shared" si="0"/>
        <v>0.28344051825547778</v>
      </c>
      <c r="D9" s="4">
        <f t="shared" si="1"/>
        <v>0.11183274949520862</v>
      </c>
      <c r="E9" s="4">
        <f t="shared" si="2"/>
        <v>2.7603790261121475E-2</v>
      </c>
      <c r="F9" s="4">
        <f t="shared" si="3"/>
        <v>324.46556287708052</v>
      </c>
      <c r="H9">
        <v>1998</v>
      </c>
      <c r="I9">
        <f t="shared" ref="I9:I17" si="5">I8+L9</f>
        <v>14345</v>
      </c>
      <c r="J9" s="5">
        <f t="shared" si="4"/>
        <v>3147.3235147088253</v>
      </c>
      <c r="L9">
        <v>4019</v>
      </c>
      <c r="M9" s="5">
        <f t="shared" ref="M9:M17" si="6">J9-J8</f>
        <v>960.9704212159013</v>
      </c>
    </row>
    <row r="10" spans="1:13" x14ac:dyDescent="0.35">
      <c r="A10">
        <v>4</v>
      </c>
      <c r="B10" s="4">
        <f t="shared" si="0"/>
        <v>0.36292596057901116</v>
      </c>
      <c r="D10" s="4">
        <f t="shared" si="1"/>
        <v>0.11183274949520862</v>
      </c>
      <c r="E10" s="4">
        <f t="shared" si="2"/>
        <v>2.7603790261121475E-2</v>
      </c>
      <c r="F10" s="4">
        <f t="shared" si="3"/>
        <v>298.71718500849494</v>
      </c>
      <c r="H10">
        <v>1999</v>
      </c>
      <c r="I10">
        <f t="shared" si="5"/>
        <v>17897</v>
      </c>
      <c r="J10" s="5">
        <f t="shared" si="4"/>
        <v>4029.92986626934</v>
      </c>
      <c r="L10">
        <v>3552</v>
      </c>
      <c r="M10" s="5">
        <f t="shared" si="6"/>
        <v>882.60635156051467</v>
      </c>
    </row>
    <row r="11" spans="1:13" x14ac:dyDescent="0.35">
      <c r="A11">
        <v>5</v>
      </c>
      <c r="B11" s="4">
        <f t="shared" si="0"/>
        <v>0.43594378639832276</v>
      </c>
      <c r="D11" s="4">
        <f t="shared" si="1"/>
        <v>0.11183274949520862</v>
      </c>
      <c r="E11" s="4">
        <f t="shared" si="2"/>
        <v>2.7603790261121475E-2</v>
      </c>
      <c r="F11" s="4">
        <f t="shared" si="3"/>
        <v>275.0639157383111</v>
      </c>
      <c r="H11">
        <v>2000</v>
      </c>
      <c r="I11">
        <f t="shared" si="5"/>
        <v>21452</v>
      </c>
      <c r="J11" s="5">
        <f t="shared" si="4"/>
        <v>4840.7198041669762</v>
      </c>
      <c r="L11">
        <v>3555</v>
      </c>
      <c r="M11" s="5">
        <f t="shared" si="6"/>
        <v>810.78993789763626</v>
      </c>
    </row>
    <row r="12" spans="1:13" x14ac:dyDescent="0.35">
      <c r="A12">
        <v>6</v>
      </c>
      <c r="B12" s="4">
        <f t="shared" si="0"/>
        <v>0.50303321436772319</v>
      </c>
      <c r="D12" s="4">
        <f t="shared" si="1"/>
        <v>0.11183274949520862</v>
      </c>
      <c r="E12" s="4">
        <f t="shared" si="2"/>
        <v>2.7603790261121475E-2</v>
      </c>
      <c r="F12" s="4">
        <f t="shared" si="3"/>
        <v>253.33108150041281</v>
      </c>
      <c r="H12">
        <v>2001</v>
      </c>
      <c r="I12">
        <f t="shared" si="5"/>
        <v>24615</v>
      </c>
      <c r="J12" s="5">
        <f t="shared" si="4"/>
        <v>5585.6808123391984</v>
      </c>
      <c r="L12">
        <v>3163</v>
      </c>
      <c r="M12" s="5">
        <f t="shared" si="6"/>
        <v>744.96100817222214</v>
      </c>
    </row>
    <row r="13" spans="1:13" x14ac:dyDescent="0.35">
      <c r="A13">
        <v>7</v>
      </c>
      <c r="B13" s="4">
        <f t="shared" si="0"/>
        <v>0.56468743173121561</v>
      </c>
      <c r="D13" s="4">
        <f t="shared" si="1"/>
        <v>0.11183274949520862</v>
      </c>
      <c r="E13" s="4">
        <f t="shared" si="2"/>
        <v>2.7603790261121475E-2</v>
      </c>
      <c r="F13" s="4">
        <f t="shared" si="3"/>
        <v>233.3589200647948</v>
      </c>
      <c r="H13">
        <v>2002</v>
      </c>
      <c r="I13">
        <f t="shared" si="5"/>
        <v>27725</v>
      </c>
      <c r="J13" s="5">
        <f>11104*B13</f>
        <v>6270.2892419434183</v>
      </c>
      <c r="L13">
        <v>3110</v>
      </c>
      <c r="M13" s="5">
        <f t="shared" si="6"/>
        <v>684.60842960421996</v>
      </c>
    </row>
    <row r="14" spans="1:13" x14ac:dyDescent="0.35">
      <c r="A14">
        <v>8</v>
      </c>
      <c r="B14" s="4">
        <f t="shared" si="0"/>
        <v>0.62135761529991673</v>
      </c>
      <c r="D14" s="4">
        <f t="shared" si="1"/>
        <v>0.11183274949520862</v>
      </c>
      <c r="E14" s="4">
        <f t="shared" si="2"/>
        <v>2.7603790261121475E-2</v>
      </c>
      <c r="F14" s="4">
        <f t="shared" si="3"/>
        <v>215.00127798903307</v>
      </c>
      <c r="H14">
        <v>2003</v>
      </c>
      <c r="I14">
        <f t="shared" si="5"/>
        <v>30663</v>
      </c>
      <c r="J14" s="5">
        <f t="shared" si="4"/>
        <v>6899.5549602902756</v>
      </c>
      <c r="L14">
        <v>2938</v>
      </c>
      <c r="M14" s="5">
        <f t="shared" si="6"/>
        <v>629.26571834685728</v>
      </c>
    </row>
    <row r="15" spans="1:13" x14ac:dyDescent="0.35">
      <c r="A15">
        <v>9</v>
      </c>
      <c r="B15" s="4">
        <f t="shared" si="0"/>
        <v>0.67345659324214824</v>
      </c>
      <c r="D15" s="4">
        <f t="shared" si="1"/>
        <v>0.11183274949520862</v>
      </c>
      <c r="E15" s="4">
        <f t="shared" si="2"/>
        <v>2.7603790261121475E-2</v>
      </c>
      <c r="F15" s="4">
        <f t="shared" si="3"/>
        <v>198.12442442428269</v>
      </c>
      <c r="H15">
        <v>2004</v>
      </c>
      <c r="I15">
        <f t="shared" si="5"/>
        <v>33366</v>
      </c>
      <c r="J15" s="5">
        <f t="shared" si="4"/>
        <v>7478.0620113608138</v>
      </c>
      <c r="L15">
        <v>2703</v>
      </c>
      <c r="M15" s="5">
        <f t="shared" si="6"/>
        <v>578.50705107053818</v>
      </c>
    </row>
    <row r="16" spans="1:13" x14ac:dyDescent="0.35">
      <c r="A16">
        <v>10</v>
      </c>
      <c r="B16" s="4">
        <f t="shared" si="0"/>
        <v>0.72136218046339962</v>
      </c>
      <c r="D16" s="4">
        <f t="shared" si="1"/>
        <v>0.11183274949520862</v>
      </c>
      <c r="E16" s="4">
        <f t="shared" si="2"/>
        <v>2.7603790261121475E-2</v>
      </c>
      <c r="F16" s="4">
        <f t="shared" si="3"/>
        <v>182.60597065801284</v>
      </c>
      <c r="H16">
        <v>2005</v>
      </c>
      <c r="I16">
        <f t="shared" si="5"/>
        <v>35939</v>
      </c>
      <c r="J16" s="5">
        <f t="shared" si="4"/>
        <v>8010.0056518655892</v>
      </c>
      <c r="L16">
        <v>2573</v>
      </c>
      <c r="M16" s="5">
        <f t="shared" si="6"/>
        <v>531.94364050477543</v>
      </c>
    </row>
    <row r="17" spans="1:13" x14ac:dyDescent="0.35">
      <c r="A17">
        <v>11</v>
      </c>
      <c r="B17" s="4">
        <f t="shared" si="0"/>
        <v>0.76542021732796339</v>
      </c>
      <c r="D17" s="4">
        <f t="shared" si="1"/>
        <v>0.11183274949520862</v>
      </c>
      <c r="E17" s="4">
        <f t="shared" si="2"/>
        <v>2.7603790261121475E-2</v>
      </c>
      <c r="F17" s="4">
        <f t="shared" si="3"/>
        <v>168.33388575573136</v>
      </c>
      <c r="H17">
        <v>2006</v>
      </c>
      <c r="I17">
        <f t="shared" si="5"/>
        <v>37875</v>
      </c>
      <c r="J17" s="5">
        <f t="shared" si="4"/>
        <v>8499.2260932097051</v>
      </c>
      <c r="L17">
        <v>1936</v>
      </c>
      <c r="M17" s="5">
        <f t="shared" si="6"/>
        <v>489.2204413441159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14</vt:i4>
      </vt:variant>
    </vt:vector>
  </HeadingPairs>
  <TitlesOfParts>
    <vt:vector size="14" baseType="lpstr">
      <vt:lpstr>Introduction</vt:lpstr>
      <vt:lpstr>Table 2 data</vt:lpstr>
      <vt:lpstr>Parameter Estimation</vt:lpstr>
      <vt:lpstr>beta shape</vt:lpstr>
      <vt:lpstr>Conditional Expectations (I)</vt:lpstr>
      <vt:lpstr>DERT</vt:lpstr>
      <vt:lpstr>CLV</vt:lpstr>
      <vt:lpstr>In-Sample Fit</vt:lpstr>
      <vt:lpstr>Tracking Plots</vt:lpstr>
      <vt:lpstr>Conditional Expectations (II)</vt:lpstr>
      <vt:lpstr>Pivot Table I</vt:lpstr>
      <vt:lpstr>Pivot Table II</vt:lpstr>
      <vt:lpstr>Pivot Table III</vt:lpstr>
      <vt:lpstr>E(P^l,Theta^m)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2018-11-27T15:12:29Z</dcterms:modified>
</cp:coreProperties>
</file>