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wbecker\JuliaPlay\oshkosh-portfolio\"/>
    </mc:Choice>
  </mc:AlternateContent>
  <xr:revisionPtr revIDLastSave="0" documentId="13_ncr:1_{089A3B6B-A469-4273-8443-4CAE1AACAAF2}" xr6:coauthVersionLast="47" xr6:coauthVersionMax="47" xr10:uidLastSave="{00000000-0000-0000-0000-000000000000}"/>
  <bookViews>
    <workbookView xWindow="28680" yWindow="2145" windowWidth="29040" windowHeight="15840" activeTab="1" xr2:uid="{00000000-000D-0000-FFFF-FFFF00000000}"/>
  </bookViews>
  <sheets>
    <sheet name="OshKosh Locations by TAP" sheetId="2" r:id="rId1"/>
    <sheet name="OshKosh Data" sheetId="1" r:id="rId2"/>
  </sheets>
  <definedNames>
    <definedName name="_xlnm._FilterDatabase" localSheetId="1" hidden="1">'OshKosh Data'!$A$1:$R$28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2" i="1" l="1"/>
  <c r="U16" i="1"/>
  <c r="AD2" i="1"/>
  <c r="AF2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W3" i="1" l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" i="1"/>
  <c r="U19" i="1"/>
  <c r="U27" i="1"/>
  <c r="S2" i="1"/>
  <c r="T3" i="1"/>
  <c r="U3" i="1" s="1"/>
  <c r="T4" i="1"/>
  <c r="U4" i="1" s="1"/>
  <c r="T5" i="1"/>
  <c r="U5" i="1" s="1"/>
  <c r="T6" i="1"/>
  <c r="U6" i="1" s="1"/>
  <c r="T7" i="1"/>
  <c r="U7" i="1" s="1"/>
  <c r="T8" i="1"/>
  <c r="U8" i="1" s="1"/>
  <c r="T9" i="1"/>
  <c r="U9" i="1" s="1"/>
  <c r="T10" i="1"/>
  <c r="U10" i="1" s="1"/>
  <c r="T11" i="1"/>
  <c r="U11" i="1" s="1"/>
  <c r="T12" i="1"/>
  <c r="U12" i="1" s="1"/>
  <c r="T13" i="1"/>
  <c r="U13" i="1" s="1"/>
  <c r="T14" i="1"/>
  <c r="U14" i="1" s="1"/>
  <c r="T15" i="1"/>
  <c r="U15" i="1" s="1"/>
  <c r="T16" i="1"/>
  <c r="T17" i="1"/>
  <c r="U17" i="1" s="1"/>
  <c r="T18" i="1"/>
  <c r="U18" i="1" s="1"/>
  <c r="T19" i="1"/>
  <c r="T20" i="1"/>
  <c r="U20" i="1" s="1"/>
  <c r="T21" i="1"/>
  <c r="U21" i="1" s="1"/>
  <c r="T22" i="1"/>
  <c r="U22" i="1" s="1"/>
  <c r="T23" i="1"/>
  <c r="U23" i="1" s="1"/>
  <c r="T24" i="1"/>
  <c r="U24" i="1" s="1"/>
  <c r="T25" i="1"/>
  <c r="U25" i="1" s="1"/>
  <c r="T26" i="1"/>
  <c r="U26" i="1" s="1"/>
  <c r="T27" i="1"/>
  <c r="T28" i="1"/>
  <c r="U28" i="1" s="1"/>
  <c r="T2" i="1"/>
  <c r="U2" i="1" s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" i="1"/>
  <c r="AF3" i="1"/>
  <c r="AF4" i="1"/>
  <c r="AF5" i="1"/>
  <c r="AF6" i="1"/>
  <c r="AF7" i="1"/>
  <c r="AF8" i="1"/>
  <c r="AF9" i="1"/>
  <c r="AF10" i="1"/>
  <c r="AF11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A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" i="1"/>
  <c r="I12" i="1"/>
  <c r="AF12" i="1" s="1"/>
</calcChain>
</file>

<file path=xl/sharedStrings.xml><?xml version="1.0" encoding="utf-8"?>
<sst xmlns="http://schemas.openxmlformats.org/spreadsheetml/2006/main" count="324" uniqueCount="199">
  <si>
    <t>City</t>
  </si>
  <si>
    <t>State</t>
  </si>
  <si>
    <t>FL</t>
  </si>
  <si>
    <t>Clearwater</t>
  </si>
  <si>
    <t>Jefferson City</t>
  </si>
  <si>
    <t>TN</t>
  </si>
  <si>
    <t>PA</t>
  </si>
  <si>
    <t>WI</t>
  </si>
  <si>
    <t>IA</t>
  </si>
  <si>
    <t>Bedford</t>
  </si>
  <si>
    <t>Appleton</t>
  </si>
  <si>
    <t>Bradenton</t>
  </si>
  <si>
    <t>Dodge Center</t>
  </si>
  <si>
    <t>MN</t>
  </si>
  <si>
    <t>Garner</t>
  </si>
  <si>
    <t>Kewaunee</t>
  </si>
  <si>
    <t>Murfreesboro</t>
  </si>
  <si>
    <t>Neenah</t>
  </si>
  <si>
    <t>Orlando</t>
  </si>
  <si>
    <t>Oshkosh</t>
  </si>
  <si>
    <t>Riceville</t>
  </si>
  <si>
    <t>Spartanburg</t>
  </si>
  <si>
    <t>SC</t>
  </si>
  <si>
    <t>McConnellsburg</t>
  </si>
  <si>
    <t>Site Address</t>
  </si>
  <si>
    <t>Site Contact</t>
  </si>
  <si>
    <t>Facility square footage</t>
  </si>
  <si>
    <t>Annual Electricity, KWH</t>
  </si>
  <si>
    <t>Annual electricity Peak, KW</t>
  </si>
  <si>
    <t>Annual electricity cost</t>
  </si>
  <si>
    <t>Fuel Type</t>
  </si>
  <si>
    <t>1512 38th Ave E</t>
  </si>
  <si>
    <t>12770 44th Street North</t>
  </si>
  <si>
    <t>Pierce - Bradenton</t>
  </si>
  <si>
    <t>7300 Presidents Drive</t>
  </si>
  <si>
    <t>Aerotech - Ground Support Equipment</t>
  </si>
  <si>
    <t>789 Flatwood Ind Dr</t>
  </si>
  <si>
    <t>1400 Flat Gap Road</t>
  </si>
  <si>
    <t>2120 Logistics Way</t>
  </si>
  <si>
    <t>Notes</t>
  </si>
  <si>
    <t>Not Available</t>
  </si>
  <si>
    <t>JLG - MCCONNELLSBURG PA</t>
  </si>
  <si>
    <t>DEF - JEFFERSON CITY</t>
  </si>
  <si>
    <t>MTM - DODGE CENTER MN</t>
  </si>
  <si>
    <t>DEF - SOUTH PLANT/ECOAT</t>
  </si>
  <si>
    <t>DEF - SPARTANBURG</t>
  </si>
  <si>
    <t>DEF - NORTH PLANT</t>
  </si>
  <si>
    <t>PFD- BRADENTON FL</t>
  </si>
  <si>
    <t>DEF - HARRISON STREET</t>
  </si>
  <si>
    <t>JLG - SHIPPENSBURG PA</t>
  </si>
  <si>
    <t>IMT - GARNER IA</t>
  </si>
  <si>
    <t>KFI - KEWAUNEE FABRICATIONS</t>
  </si>
  <si>
    <t>JLG - BEDFORD PA WEBER LANE</t>
  </si>
  <si>
    <t xml:space="preserve">JLG - GREENCASTLE PA HYKES ROAD </t>
  </si>
  <si>
    <t>OSK -MENASHA DATA CENTER</t>
  </si>
  <si>
    <t>MTM - RICEVILLE IA</t>
  </si>
  <si>
    <t>OSK - GHQ</t>
  </si>
  <si>
    <t>DEF - WEST PLANT</t>
  </si>
  <si>
    <t>JLG - BEDFORD PA SUNNYSIDE RD</t>
  </si>
  <si>
    <t>OSK - OSHKOSH DATA CENTER</t>
  </si>
  <si>
    <t>PMI - NEENAH WI</t>
  </si>
  <si>
    <t>Annual Fuel Cost</t>
  </si>
  <si>
    <t>Propane</t>
  </si>
  <si>
    <t>None</t>
  </si>
  <si>
    <t>Nat Gas</t>
  </si>
  <si>
    <t>Fuel Usage</t>
  </si>
  <si>
    <t>Bldg heat, paint ovens</t>
  </si>
  <si>
    <t>Bldg heat, paint ovens, ecoat process</t>
  </si>
  <si>
    <t>NA</t>
  </si>
  <si>
    <t>Bldg Heat</t>
  </si>
  <si>
    <t>Kinect Facility Designation</t>
  </si>
  <si>
    <t>Oshkosh Facility Name</t>
  </si>
  <si>
    <t>Annual Fuel usage (MMBTU)</t>
  </si>
  <si>
    <t>Fronline Communications</t>
  </si>
  <si>
    <t>FLC - FRONTLINE COMM</t>
  </si>
  <si>
    <t>Spartanburg - NGDV Faciltiy</t>
  </si>
  <si>
    <t>Kewaunee Fabrications</t>
  </si>
  <si>
    <t>Oshkosh Data Center</t>
  </si>
  <si>
    <t>Oshkosh Segment</t>
  </si>
  <si>
    <t>Access</t>
  </si>
  <si>
    <t>Vocational</t>
  </si>
  <si>
    <t>Defense</t>
  </si>
  <si>
    <t>Corporate</t>
  </si>
  <si>
    <t>McNeilus - Dodge Center</t>
  </si>
  <si>
    <t>Defense - South Plant/ECoat</t>
  </si>
  <si>
    <t>Defense - North Plant</t>
  </si>
  <si>
    <t>Defense - West Plant</t>
  </si>
  <si>
    <t>Defense - Harrison</t>
  </si>
  <si>
    <t>JLG - Shippensburg</t>
  </si>
  <si>
    <t>JLG - McConnellsburg</t>
  </si>
  <si>
    <t>JLG - Weber Lane</t>
  </si>
  <si>
    <t>JLG - Hykes Road</t>
  </si>
  <si>
    <t>Menasha Data Center</t>
  </si>
  <si>
    <t>Global Headquarters</t>
  </si>
  <si>
    <t xml:space="preserve">JLG - Sunnyside </t>
  </si>
  <si>
    <t>Pierce - Neenah</t>
  </si>
  <si>
    <t>Menasha</t>
  </si>
  <si>
    <t>Shippensburg</t>
  </si>
  <si>
    <t>Greencastle</t>
  </si>
  <si>
    <t>1 J L G Drive</t>
  </si>
  <si>
    <t>2600 American Dr</t>
  </si>
  <si>
    <t>3100 N McCarthy Rd</t>
  </si>
  <si>
    <t>Pierce -Assembly</t>
  </si>
  <si>
    <t>Piere - Industrial Park Plant</t>
  </si>
  <si>
    <t>County Road 34 East</t>
  </si>
  <si>
    <t>333 W 29th Ave</t>
  </si>
  <si>
    <t>2307 Oregon St</t>
  </si>
  <si>
    <t>2737 Harrison Street</t>
  </si>
  <si>
    <t>560 Walnut Bottom Road</t>
  </si>
  <si>
    <t>500 West US Highway 18</t>
  </si>
  <si>
    <t>520 N Main St</t>
  </si>
  <si>
    <t>441 Weber Lane</t>
  </si>
  <si>
    <t>1080 Hykes Road</t>
  </si>
  <si>
    <t>2948 Bradley Street</t>
  </si>
  <si>
    <t>1425 University Drive</t>
  </si>
  <si>
    <t>12150 Addison Ave</t>
  </si>
  <si>
    <t>Iowa Contract Fabricators</t>
  </si>
  <si>
    <t>1917  4-Wheel Drive</t>
  </si>
  <si>
    <t>500 W Waukau Ave</t>
  </si>
  <si>
    <t>450 Sunnyside Road</t>
  </si>
  <si>
    <t>1515 Cty Rd. O</t>
  </si>
  <si>
    <t>PMI - ASY AMERICAN DRIVE</t>
  </si>
  <si>
    <t>PMI - IPP MCCARTHY ROAD</t>
  </si>
  <si>
    <t>IMT (Iowa Mold Tooling)</t>
  </si>
  <si>
    <t>Facility still in ramp up phase.  Electric and gas usage will increase significantly in 24-25</t>
  </si>
  <si>
    <t>Facility is currently moving from Defense facility that primarily did fabrication of cabs and parts to Access facility that will manufacture telehandlers.  Facility is air conditioned - electrical consumption nearly doubled when AC was installed.</t>
  </si>
  <si>
    <t>Aerotech - Jetway Systems</t>
  </si>
  <si>
    <t>UT</t>
  </si>
  <si>
    <t>Ogden</t>
  </si>
  <si>
    <t>2022 Data; Propane: 1,190 MMBTU, $26,988</t>
  </si>
  <si>
    <t>2022 Data; Propane: 1,309 MMBTU, $20,400</t>
  </si>
  <si>
    <t>Aerotech - Lektro</t>
  </si>
  <si>
    <t>OR</t>
  </si>
  <si>
    <t>Facility is being developed and is not producing any product yet.  Utility data is for facility not operating as manufacturing location.  Electricity is Mar-Dec 23</t>
  </si>
  <si>
    <t>Warrenton</t>
  </si>
  <si>
    <t>3100 Pennsylvania Avenue</t>
  </si>
  <si>
    <t>2022 Data</t>
  </si>
  <si>
    <t>MTM – MURFREESBORO TN</t>
  </si>
  <si>
    <t>Operating Shifts</t>
  </si>
  <si>
    <t>Jason Grentus</t>
  </si>
  <si>
    <t>Maggie Fischer</t>
  </si>
  <si>
    <t>Matt Gregory</t>
  </si>
  <si>
    <t>Sue Murawski</t>
  </si>
  <si>
    <t>Scott Obremski</t>
  </si>
  <si>
    <t>Mark Sleigh</t>
  </si>
  <si>
    <t>Facililty Land area (acres)</t>
  </si>
  <si>
    <t>Site shared with South/ECoat</t>
  </si>
  <si>
    <t>Site Shared with West Plant</t>
  </si>
  <si>
    <t>1190 Flightline Drive</t>
  </si>
  <si>
    <t>Existing solar on roof of new building (portion of 115,000 sqr ft bldg)</t>
  </si>
  <si>
    <t>Region</t>
  </si>
  <si>
    <t>Institution</t>
  </si>
  <si>
    <t>Director</t>
  </si>
  <si>
    <t>Number of Plants</t>
  </si>
  <si>
    <t>States</t>
  </si>
  <si>
    <t>Southeast</t>
  </si>
  <si>
    <t>NCSU</t>
  </si>
  <si>
    <t>Isaac Panzarella</t>
  </si>
  <si>
    <t>3-FL, 1-SC, 2-TN</t>
  </si>
  <si>
    <t>Midwest</t>
  </si>
  <si>
    <t>University of Illinois at Chicago</t>
  </si>
  <si>
    <t>Cliff Haefke</t>
  </si>
  <si>
    <t>11-WI, 1-MN</t>
  </si>
  <si>
    <t>Central</t>
  </si>
  <si>
    <t>2-IA</t>
  </si>
  <si>
    <t>Mid-Atlantic</t>
  </si>
  <si>
    <t>Pennsylvania State University</t>
  </si>
  <si>
    <t>Jim Freihaut</t>
  </si>
  <si>
    <t>5-PA</t>
  </si>
  <si>
    <t>Upper-West</t>
  </si>
  <si>
    <t>Cascade Energy, Inc.</t>
  </si>
  <si>
    <t>Doug Heredos</t>
  </si>
  <si>
    <t>1-UT</t>
  </si>
  <si>
    <t>Northwest</t>
  </si>
  <si>
    <t>Washington State University</t>
  </si>
  <si>
    <t>David Van Holde</t>
  </si>
  <si>
    <t>1-OR</t>
  </si>
  <si>
    <t>Questions</t>
  </si>
  <si>
    <t>Facilities are large and may take up a bunch of the facility land area</t>
  </si>
  <si>
    <t>Any restrictions about wind with aerial vehicles?</t>
  </si>
  <si>
    <r>
      <t xml:space="preserve">How many stories tall are these facilities, typically? Could inform roof area and </t>
    </r>
    <r>
      <rPr>
        <b/>
        <sz val="11"/>
        <color theme="1"/>
        <rFont val="Calibri"/>
        <family val="2"/>
        <scheme val="minor"/>
      </rPr>
      <t>unused</t>
    </r>
    <r>
      <rPr>
        <sz val="11"/>
        <color theme="1"/>
        <rFont val="Calibri"/>
        <family val="2"/>
        <scheme val="minor"/>
      </rPr>
      <t xml:space="preserve"> land</t>
    </r>
  </si>
  <si>
    <t>For operating shifts of "2-3", can we choose 2 or 3 for all of these?</t>
  </si>
  <si>
    <t>Fuel usage - estimated ratio of fuel for building heat versus paint ovens?</t>
  </si>
  <si>
    <t>$/kWh</t>
  </si>
  <si>
    <t>$/MMBtu</t>
  </si>
  <si>
    <t>Elec to Fuel Energy Ratio</t>
  </si>
  <si>
    <t>Land to single-story facility footprint</t>
  </si>
  <si>
    <t>Land to two-story facility footprint</t>
  </si>
  <si>
    <t>Land if 2 stories</t>
  </si>
  <si>
    <t>Peak to average load 3-shift</t>
  </si>
  <si>
    <t>Peak to average load 2-shift</t>
  </si>
  <si>
    <t>Peak to avg load 16/5</t>
  </si>
  <si>
    <t>Bldg heat vs paint ovens?</t>
  </si>
  <si>
    <t>Average Elec Load kW</t>
  </si>
  <si>
    <t>Avg Fuel Load MMBtu/hr</t>
  </si>
  <si>
    <t>PV Size kW</t>
  </si>
  <si>
    <t>CHP heuristic size kW</t>
  </si>
  <si>
    <t>Wind Size kW</t>
  </si>
  <si>
    <t>storageplustech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</si>
</sst>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0.0"/>
    <numFmt numFmtId="166" formatCode="_(&quot;$&quot;* #,##0.0_);_(&quot;$&quot;* \(#,##0.0\);_(&quot;$&quot;* &quot;-&quot;??_);_(@_)"/>
    <numFmt numFmtId="167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wrapText="1"/>
    </xf>
    <xf numFmtId="1" fontId="0" fillId="0" borderId="0" xfId="0" applyNumberFormat="1"/>
    <xf numFmtId="164" fontId="0" fillId="0" borderId="0" xfId="1" applyNumberFormat="1" applyFont="1" applyAlignment="1">
      <alignment wrapText="1"/>
    </xf>
    <xf numFmtId="3" fontId="0" fillId="0" borderId="0" xfId="0" applyNumberFormat="1"/>
    <xf numFmtId="164" fontId="0" fillId="0" borderId="0" xfId="1" applyNumberFormat="1" applyFont="1" applyFill="1" applyAlignment="1">
      <alignment wrapText="1"/>
    </xf>
    <xf numFmtId="0" fontId="0" fillId="0" borderId="0" xfId="0" applyAlignment="1">
      <alignment horizontal="right" wrapText="1"/>
    </xf>
    <xf numFmtId="165" fontId="0" fillId="0" borderId="0" xfId="0" applyNumberFormat="1" applyAlignment="1">
      <alignment wrapText="1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wrapText="1"/>
    </xf>
    <xf numFmtId="0" fontId="3" fillId="0" borderId="0" xfId="0" applyFont="1"/>
    <xf numFmtId="0" fontId="0" fillId="2" borderId="0" xfId="0" applyFill="1" applyAlignment="1">
      <alignment wrapText="1"/>
    </xf>
    <xf numFmtId="44" fontId="0" fillId="0" borderId="0" xfId="0" applyNumberFormat="1" applyAlignment="1">
      <alignment wrapText="1"/>
    </xf>
    <xf numFmtId="166" fontId="0" fillId="0" borderId="0" xfId="0" applyNumberFormat="1" applyAlignment="1">
      <alignment wrapText="1"/>
    </xf>
    <xf numFmtId="2" fontId="0" fillId="0" borderId="0" xfId="0" applyNumberFormat="1"/>
    <xf numFmtId="165" fontId="0" fillId="0" borderId="0" xfId="0" applyNumberFormat="1"/>
    <xf numFmtId="167" fontId="0" fillId="0" borderId="0" xfId="2" applyNumberFormat="1" applyFont="1" applyAlignment="1">
      <alignment wrapText="1"/>
    </xf>
    <xf numFmtId="0" fontId="0" fillId="2" borderId="0" xfId="0" applyFill="1" applyAlignment="1">
      <alignment horizontal="right" wrapText="1"/>
    </xf>
    <xf numFmtId="0" fontId="0" fillId="2" borderId="0" xfId="0" quotePrefix="1" applyFill="1" applyAlignment="1">
      <alignment horizontal="right" wrapText="1"/>
    </xf>
  </cellXfs>
  <cellStyles count="3">
    <cellStyle name="Comma" xfId="2" builtinId="3"/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FF9900"/>
      <color rgb="FFFF99CC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FB935-C5BC-F044-828B-8AD267B5B47E}">
  <dimension ref="A1:E7"/>
  <sheetViews>
    <sheetView workbookViewId="0"/>
  </sheetViews>
  <sheetFormatPr defaultColWidth="11.42578125" defaultRowHeight="15" x14ac:dyDescent="0.25"/>
  <cols>
    <col min="1" max="1" width="15.140625" customWidth="1"/>
    <col min="2" max="2" width="28.42578125" customWidth="1"/>
    <col min="3" max="3" width="21" customWidth="1"/>
    <col min="4" max="4" width="18.85546875" customWidth="1"/>
    <col min="5" max="5" width="16.42578125" customWidth="1"/>
  </cols>
  <sheetData>
    <row r="1" spans="1:5" x14ac:dyDescent="0.25">
      <c r="A1" s="8" t="s">
        <v>150</v>
      </c>
      <c r="B1" s="8" t="s">
        <v>151</v>
      </c>
      <c r="C1" s="8" t="s">
        <v>152</v>
      </c>
      <c r="D1" s="8" t="s">
        <v>153</v>
      </c>
      <c r="E1" s="8" t="s">
        <v>154</v>
      </c>
    </row>
    <row r="2" spans="1:5" x14ac:dyDescent="0.25">
      <c r="A2" s="9" t="s">
        <v>155</v>
      </c>
      <c r="B2" s="9" t="s">
        <v>156</v>
      </c>
      <c r="C2" s="9" t="s">
        <v>157</v>
      </c>
      <c r="D2" s="9">
        <v>6</v>
      </c>
      <c r="E2" s="9" t="s">
        <v>158</v>
      </c>
    </row>
    <row r="3" spans="1:5" x14ac:dyDescent="0.25">
      <c r="A3" s="9" t="s">
        <v>159</v>
      </c>
      <c r="B3" s="9" t="s">
        <v>160</v>
      </c>
      <c r="C3" s="9" t="s">
        <v>161</v>
      </c>
      <c r="D3" s="9">
        <v>12</v>
      </c>
      <c r="E3" s="9" t="s">
        <v>162</v>
      </c>
    </row>
    <row r="4" spans="1:5" x14ac:dyDescent="0.25">
      <c r="A4" s="9" t="s">
        <v>163</v>
      </c>
      <c r="B4" s="9" t="s">
        <v>160</v>
      </c>
      <c r="C4" s="9" t="s">
        <v>161</v>
      </c>
      <c r="D4" s="9">
        <v>2</v>
      </c>
      <c r="E4" s="9" t="s">
        <v>164</v>
      </c>
    </row>
    <row r="5" spans="1:5" x14ac:dyDescent="0.25">
      <c r="A5" s="9" t="s">
        <v>165</v>
      </c>
      <c r="B5" s="9" t="s">
        <v>166</v>
      </c>
      <c r="C5" s="9" t="s">
        <v>167</v>
      </c>
      <c r="D5" s="9">
        <v>5</v>
      </c>
      <c r="E5" s="9" t="s">
        <v>168</v>
      </c>
    </row>
    <row r="6" spans="1:5" x14ac:dyDescent="0.25">
      <c r="A6" s="9" t="s">
        <v>169</v>
      </c>
      <c r="B6" s="9" t="s">
        <v>170</v>
      </c>
      <c r="C6" s="9" t="s">
        <v>171</v>
      </c>
      <c r="D6" s="9">
        <v>1</v>
      </c>
      <c r="E6" s="9" t="s">
        <v>172</v>
      </c>
    </row>
    <row r="7" spans="1:5" x14ac:dyDescent="0.25">
      <c r="A7" s="9" t="s">
        <v>173</v>
      </c>
      <c r="B7" s="9" t="s">
        <v>174</v>
      </c>
      <c r="C7" s="9" t="s">
        <v>175</v>
      </c>
      <c r="D7" s="9">
        <v>1</v>
      </c>
      <c r="E7" s="9" t="s">
        <v>176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38"/>
  <sheetViews>
    <sheetView tabSelected="1" workbookViewId="0">
      <pane xSplit="1" ySplit="1" topLeftCell="Q2" activePane="bottomRight" state="frozen"/>
      <selection pane="topRight" activeCell="B1" sqref="B1"/>
      <selection pane="bottomLeft" activeCell="A2" sqref="A2"/>
      <selection pane="bottomRight" activeCell="S2" sqref="S2"/>
    </sheetView>
  </sheetViews>
  <sheetFormatPr defaultColWidth="8.85546875" defaultRowHeight="15" x14ac:dyDescent="0.25"/>
  <cols>
    <col min="1" max="1" width="93.28515625" customWidth="1"/>
    <col min="2" max="2" width="33" customWidth="1"/>
    <col min="3" max="3" width="35.7109375" bestFit="1" customWidth="1"/>
    <col min="4" max="4" width="24.85546875" bestFit="1" customWidth="1"/>
    <col min="5" max="5" width="15.42578125" bestFit="1" customWidth="1"/>
    <col min="6" max="6" width="5.42578125" bestFit="1" customWidth="1"/>
    <col min="7" max="7" width="14.28515625" bestFit="1" customWidth="1"/>
    <col min="8" max="8" width="7.85546875" bestFit="1" customWidth="1"/>
    <col min="9" max="9" width="12.42578125" style="7" bestFit="1" customWidth="1"/>
    <col min="10" max="10" width="9.85546875" style="6" bestFit="1" customWidth="1"/>
    <col min="11" max="11" width="10.28515625" style="1" bestFit="1" customWidth="1"/>
    <col min="12" max="12" width="16.7109375" style="1" bestFit="1" customWidth="1"/>
    <col min="13" max="13" width="11" style="1" bestFit="1" customWidth="1"/>
    <col min="14" max="14" width="9.42578125" style="1" bestFit="1" customWidth="1"/>
    <col min="15" max="15" width="15.42578125" style="1" bestFit="1" customWidth="1"/>
    <col min="16" max="16" width="10.42578125" style="1" bestFit="1" customWidth="1"/>
    <col min="17" max="17" width="11.42578125" style="1" bestFit="1" customWidth="1"/>
    <col min="18" max="18" width="23.85546875" style="1" customWidth="1"/>
    <col min="19" max="23" width="15" style="1" customWidth="1"/>
    <col min="24" max="24" width="11.140625" style="1" customWidth="1"/>
    <col min="25" max="25" width="11.42578125" style="1" bestFit="1" customWidth="1"/>
    <col min="26" max="26" width="11.140625" bestFit="1" customWidth="1"/>
    <col min="30" max="30" width="11.85546875" bestFit="1" customWidth="1"/>
    <col min="31" max="31" width="10.7109375" style="1" customWidth="1"/>
  </cols>
  <sheetData>
    <row r="1" spans="1:32" ht="60" x14ac:dyDescent="0.25">
      <c r="A1" t="s">
        <v>70</v>
      </c>
      <c r="B1" t="s">
        <v>78</v>
      </c>
      <c r="C1" t="s">
        <v>71</v>
      </c>
      <c r="D1" t="s">
        <v>24</v>
      </c>
      <c r="E1" t="s">
        <v>0</v>
      </c>
      <c r="F1" t="s">
        <v>1</v>
      </c>
      <c r="G1" t="s">
        <v>25</v>
      </c>
      <c r="H1" s="1" t="s">
        <v>26</v>
      </c>
      <c r="I1" s="7" t="s">
        <v>145</v>
      </c>
      <c r="J1" s="6" t="s">
        <v>138</v>
      </c>
      <c r="K1" s="1" t="s">
        <v>27</v>
      </c>
      <c r="L1" s="1" t="s">
        <v>28</v>
      </c>
      <c r="M1" s="1" t="s">
        <v>29</v>
      </c>
      <c r="N1" s="1" t="s">
        <v>30</v>
      </c>
      <c r="O1" s="1" t="s">
        <v>65</v>
      </c>
      <c r="P1" s="1" t="s">
        <v>72</v>
      </c>
      <c r="Q1" s="1" t="s">
        <v>61</v>
      </c>
      <c r="R1" s="1" t="s">
        <v>39</v>
      </c>
      <c r="S1" s="12" t="s">
        <v>193</v>
      </c>
      <c r="T1" s="12" t="s">
        <v>194</v>
      </c>
      <c r="U1" s="12" t="s">
        <v>196</v>
      </c>
      <c r="V1" s="12" t="s">
        <v>195</v>
      </c>
      <c r="W1" s="12" t="s">
        <v>197</v>
      </c>
      <c r="X1" s="12" t="s">
        <v>183</v>
      </c>
      <c r="Y1" s="12" t="s">
        <v>184</v>
      </c>
      <c r="Z1" s="12" t="s">
        <v>185</v>
      </c>
      <c r="AA1" s="12" t="s">
        <v>189</v>
      </c>
      <c r="AB1" s="12" t="s">
        <v>190</v>
      </c>
      <c r="AC1" s="12" t="s">
        <v>191</v>
      </c>
      <c r="AD1" s="12" t="s">
        <v>186</v>
      </c>
      <c r="AE1" s="12" t="s">
        <v>187</v>
      </c>
      <c r="AF1" s="12" t="s">
        <v>188</v>
      </c>
    </row>
    <row r="2" spans="1:32" ht="36.75" customHeight="1" x14ac:dyDescent="0.25">
      <c r="A2" t="s">
        <v>41</v>
      </c>
      <c r="B2" t="s">
        <v>79</v>
      </c>
      <c r="C2" t="s">
        <v>89</v>
      </c>
      <c r="D2" t="s">
        <v>99</v>
      </c>
      <c r="E2" t="s">
        <v>23</v>
      </c>
      <c r="F2" t="s">
        <v>6</v>
      </c>
      <c r="G2" t="s">
        <v>139</v>
      </c>
      <c r="H2" s="4">
        <v>525000</v>
      </c>
      <c r="I2" s="7">
        <v>96.25</v>
      </c>
      <c r="J2" s="6">
        <v>3</v>
      </c>
      <c r="K2" s="4">
        <v>18212851.493000001</v>
      </c>
      <c r="L2" s="2">
        <v>4027.5</v>
      </c>
      <c r="M2" s="3">
        <v>1425948.4822800001</v>
      </c>
      <c r="N2" s="3" t="s">
        <v>64</v>
      </c>
      <c r="O2" s="3" t="s">
        <v>66</v>
      </c>
      <c r="P2" s="4">
        <v>131866.11254999999</v>
      </c>
      <c r="Q2" s="3">
        <v>971213.25353999995</v>
      </c>
      <c r="R2" s="7"/>
      <c r="S2" s="7">
        <f>K2/8760</f>
        <v>2079.0926361872148</v>
      </c>
      <c r="T2" s="7">
        <f>P2/8760</f>
        <v>15.053209195205479</v>
      </c>
      <c r="U2" s="17">
        <f>T2/0.4*1000000/3412*0.35*0.8</f>
        <v>3088.2902803762699</v>
      </c>
      <c r="V2" s="17">
        <f>S2/0.2</f>
        <v>10395.463180936073</v>
      </c>
      <c r="W2" s="17">
        <f>S2/0.35</f>
        <v>5940.2646748206143</v>
      </c>
      <c r="X2" s="13">
        <f>M2/K2</f>
        <v>7.8293532609545233E-2</v>
      </c>
      <c r="Y2" s="14">
        <f>Q2/P2</f>
        <v>7.365146623032075</v>
      </c>
      <c r="Z2" s="15">
        <f>K2/(P2*1000000/3412)</f>
        <v>0.47125260684812692</v>
      </c>
      <c r="AA2" s="16">
        <f>L2/(K2/8760)</f>
        <v>1.9371431219081756</v>
      </c>
      <c r="AB2" s="16">
        <f t="shared" ref="AB2:AB28" si="0">L2/(K2/8760/(2/3))</f>
        <v>1.2914287479387836</v>
      </c>
      <c r="AC2" s="16">
        <f>L2/(K2/8760/(2/3*5/7))</f>
        <v>0.92244910567055982</v>
      </c>
      <c r="AD2" s="15">
        <f>I2*43560/H2</f>
        <v>7.9859999999999998</v>
      </c>
      <c r="AE2" s="10">
        <f>I2*43560/(H2/2)</f>
        <v>15.972</v>
      </c>
      <c r="AF2" s="16">
        <f>(AE2-1)*I2</f>
        <v>1441.0550000000001</v>
      </c>
    </row>
    <row r="3" spans="1:32" ht="36.75" customHeight="1" x14ac:dyDescent="0.25">
      <c r="A3" t="s">
        <v>121</v>
      </c>
      <c r="B3" t="s">
        <v>80</v>
      </c>
      <c r="C3" t="s">
        <v>102</v>
      </c>
      <c r="D3" t="s">
        <v>100</v>
      </c>
      <c r="E3" t="s">
        <v>10</v>
      </c>
      <c r="F3" t="s">
        <v>7</v>
      </c>
      <c r="G3" t="s">
        <v>140</v>
      </c>
      <c r="H3" s="4">
        <v>479139</v>
      </c>
      <c r="I3" s="1">
        <v>43.7</v>
      </c>
      <c r="J3" s="19">
        <v>2</v>
      </c>
      <c r="K3" s="4">
        <v>11428742.6</v>
      </c>
      <c r="L3" s="2">
        <v>2154</v>
      </c>
      <c r="M3" s="5">
        <v>1234444.6000000001</v>
      </c>
      <c r="N3" s="5" t="s">
        <v>64</v>
      </c>
      <c r="O3" s="5" t="s">
        <v>66</v>
      </c>
      <c r="P3" s="4">
        <v>94818.77</v>
      </c>
      <c r="Q3" s="5">
        <v>461473.59</v>
      </c>
      <c r="R3" s="1" t="s">
        <v>149</v>
      </c>
      <c r="S3" s="7">
        <f t="shared" ref="S3:S28" si="1">K3/8760</f>
        <v>1304.6509817351598</v>
      </c>
      <c r="T3" s="7">
        <f t="shared" ref="T3:T28" si="2">P3/8760</f>
        <v>10.824060502283105</v>
      </c>
      <c r="U3" s="17">
        <f t="shared" ref="U3:U28" si="3">T3/0.4*1000000/3412*0.35*0.8</f>
        <v>2220.6454723324073</v>
      </c>
      <c r="V3" s="17">
        <f t="shared" ref="V3:V28" si="4">S3/0.2</f>
        <v>6523.254908675799</v>
      </c>
      <c r="W3" s="17">
        <f t="shared" ref="W3:W28" si="5">S3/0.35</f>
        <v>3727.5742335290283</v>
      </c>
      <c r="X3" s="13">
        <f t="shared" ref="X3:X28" si="6">M3/K3</f>
        <v>0.10801228474600523</v>
      </c>
      <c r="Y3" s="14">
        <f t="shared" ref="Y3:Y28" si="7">Q3/P3</f>
        <v>4.8669012475061635</v>
      </c>
      <c r="Z3" s="15">
        <f t="shared" ref="Z3:Z28" si="8">K3/(P3*1000000/3412)</f>
        <v>0.41125686139147338</v>
      </c>
      <c r="AA3" s="16">
        <f t="shared" ref="AA3:AA28" si="9">L3/(K3/8760)</f>
        <v>1.6510162719037875</v>
      </c>
      <c r="AB3" s="16">
        <f t="shared" si="0"/>
        <v>1.1006775146025249</v>
      </c>
      <c r="AC3" s="16">
        <f t="shared" ref="AC3:AC28" si="10">L3/(K3/8760/(2/3*5/7))</f>
        <v>0.78619822471608924</v>
      </c>
      <c r="AD3" s="15">
        <f t="shared" ref="AD3:AD28" si="11">I3*43560/H3</f>
        <v>3.9729013918716705</v>
      </c>
      <c r="AE3" s="10">
        <f t="shared" ref="AE3:AE28" si="12">I3*43560/(H3/2)</f>
        <v>7.9458027837433409</v>
      </c>
      <c r="AF3" s="16">
        <f t="shared" ref="AF3:AF28" si="13">(AE3-1)*I3</f>
        <v>303.53158164958404</v>
      </c>
    </row>
    <row r="4" spans="1:32" ht="36.75" customHeight="1" x14ac:dyDescent="0.25">
      <c r="A4" t="s">
        <v>122</v>
      </c>
      <c r="B4" t="s">
        <v>80</v>
      </c>
      <c r="C4" t="s">
        <v>103</v>
      </c>
      <c r="D4" t="s">
        <v>101</v>
      </c>
      <c r="E4" t="s">
        <v>10</v>
      </c>
      <c r="F4" t="s">
        <v>7</v>
      </c>
      <c r="G4" t="s">
        <v>140</v>
      </c>
      <c r="H4" s="4">
        <v>385400</v>
      </c>
      <c r="I4" s="1">
        <v>48.1</v>
      </c>
      <c r="J4" s="19">
        <v>2</v>
      </c>
      <c r="K4" s="4">
        <v>6277299.6900000004</v>
      </c>
      <c r="L4" s="2">
        <v>2334</v>
      </c>
      <c r="M4" s="5">
        <v>733657.91</v>
      </c>
      <c r="N4" s="5" t="s">
        <v>64</v>
      </c>
      <c r="O4" s="5" t="s">
        <v>66</v>
      </c>
      <c r="P4" s="4">
        <v>36252.53</v>
      </c>
      <c r="Q4" s="5">
        <v>169291.44</v>
      </c>
      <c r="S4" s="7">
        <f t="shared" si="1"/>
        <v>716.58672260273977</v>
      </c>
      <c r="T4" s="7">
        <f t="shared" si="2"/>
        <v>4.1384166666666662</v>
      </c>
      <c r="U4" s="17">
        <f t="shared" si="3"/>
        <v>849.03038296209434</v>
      </c>
      <c r="V4" s="17">
        <f t="shared" si="4"/>
        <v>3582.9336130136985</v>
      </c>
      <c r="W4" s="17">
        <f t="shared" si="5"/>
        <v>2047.3906360078281</v>
      </c>
      <c r="X4" s="13">
        <f t="shared" si="6"/>
        <v>0.11687476243467355</v>
      </c>
      <c r="Y4" s="14">
        <f t="shared" si="7"/>
        <v>4.6697827710231534</v>
      </c>
      <c r="Z4" s="15">
        <f t="shared" si="8"/>
        <v>0.59080418779820343</v>
      </c>
      <c r="AA4" s="16">
        <f t="shared" si="9"/>
        <v>3.2571075159229812</v>
      </c>
      <c r="AB4" s="16">
        <f t="shared" si="0"/>
        <v>2.1714050106153202</v>
      </c>
      <c r="AC4" s="16">
        <f t="shared" si="10"/>
        <v>1.5510035790109433</v>
      </c>
      <c r="AD4" s="15">
        <f t="shared" si="11"/>
        <v>5.4365230928905035</v>
      </c>
      <c r="AE4" s="10">
        <f t="shared" si="12"/>
        <v>10.873046185781007</v>
      </c>
      <c r="AF4" s="16">
        <f t="shared" si="13"/>
        <v>474.89352153606643</v>
      </c>
    </row>
    <row r="5" spans="1:32" ht="63" customHeight="1" x14ac:dyDescent="0.25">
      <c r="A5" t="s">
        <v>42</v>
      </c>
      <c r="B5" t="s">
        <v>79</v>
      </c>
      <c r="C5" t="s">
        <v>4</v>
      </c>
      <c r="D5" t="s">
        <v>37</v>
      </c>
      <c r="E5" t="s">
        <v>4</v>
      </c>
      <c r="F5" t="s">
        <v>5</v>
      </c>
      <c r="G5" t="s">
        <v>139</v>
      </c>
      <c r="H5" s="4">
        <v>486656</v>
      </c>
      <c r="I5" s="1">
        <v>63.3</v>
      </c>
      <c r="J5" s="19">
        <v>2</v>
      </c>
      <c r="K5" s="4">
        <v>11848853.33333</v>
      </c>
      <c r="L5" s="2"/>
      <c r="M5" s="3">
        <v>842228.73965</v>
      </c>
      <c r="N5" s="3" t="s">
        <v>64</v>
      </c>
      <c r="O5" s="3" t="s">
        <v>66</v>
      </c>
      <c r="P5" s="4">
        <v>1770.0212100000001</v>
      </c>
      <c r="Q5" s="3">
        <v>30068.59636</v>
      </c>
      <c r="R5" s="1" t="s">
        <v>125</v>
      </c>
      <c r="S5" s="7">
        <f t="shared" si="1"/>
        <v>1352.6088280057077</v>
      </c>
      <c r="T5" s="7">
        <f t="shared" si="2"/>
        <v>0.20205721575342467</v>
      </c>
      <c r="U5" s="17">
        <f t="shared" si="3"/>
        <v>41.453707804043745</v>
      </c>
      <c r="V5" s="17">
        <f t="shared" si="4"/>
        <v>6763.0441400285381</v>
      </c>
      <c r="W5" s="17">
        <f t="shared" si="5"/>
        <v>3864.5966514448792</v>
      </c>
      <c r="X5" s="13">
        <f t="shared" si="6"/>
        <v>7.108103340944133E-2</v>
      </c>
      <c r="Y5" s="14">
        <f t="shared" si="7"/>
        <v>16.98770398350198</v>
      </c>
      <c r="Z5" s="15">
        <f t="shared" si="8"/>
        <v>22.840566737232464</v>
      </c>
      <c r="AA5" s="16">
        <f t="shared" si="9"/>
        <v>0</v>
      </c>
      <c r="AB5" s="16">
        <f t="shared" si="0"/>
        <v>0</v>
      </c>
      <c r="AC5" s="16">
        <f t="shared" si="10"/>
        <v>0</v>
      </c>
      <c r="AD5" s="15">
        <f t="shared" si="11"/>
        <v>5.6659077459231986</v>
      </c>
      <c r="AE5" s="10">
        <f t="shared" si="12"/>
        <v>11.331815491846397</v>
      </c>
      <c r="AF5" s="16">
        <f t="shared" si="13"/>
        <v>654.00392063387687</v>
      </c>
    </row>
    <row r="6" spans="1:32" ht="36.75" customHeight="1" x14ac:dyDescent="0.25">
      <c r="A6" t="s">
        <v>43</v>
      </c>
      <c r="B6" t="s">
        <v>80</v>
      </c>
      <c r="C6" t="s">
        <v>83</v>
      </c>
      <c r="D6" t="s">
        <v>104</v>
      </c>
      <c r="E6" t="s">
        <v>12</v>
      </c>
      <c r="F6" t="s">
        <v>13</v>
      </c>
      <c r="G6" t="s">
        <v>141</v>
      </c>
      <c r="H6" s="4">
        <v>710899</v>
      </c>
      <c r="I6" s="1">
        <v>151.1</v>
      </c>
      <c r="J6" s="19">
        <v>2</v>
      </c>
      <c r="K6" s="4">
        <v>11553668.29934</v>
      </c>
      <c r="L6" s="2">
        <v>4225.6499999999996</v>
      </c>
      <c r="M6" s="3">
        <v>1510401.8180800001</v>
      </c>
      <c r="N6" s="3" t="s">
        <v>64</v>
      </c>
      <c r="O6" s="3" t="s">
        <v>66</v>
      </c>
      <c r="P6" s="4">
        <v>129153.20357</v>
      </c>
      <c r="Q6" s="3">
        <v>1073601.65808</v>
      </c>
      <c r="S6" s="7">
        <f t="shared" si="1"/>
        <v>1318.9119063173516</v>
      </c>
      <c r="T6" s="7">
        <f t="shared" si="2"/>
        <v>14.743516389269406</v>
      </c>
      <c r="U6" s="17">
        <f t="shared" si="3"/>
        <v>3024.7542416437818</v>
      </c>
      <c r="V6" s="17">
        <f t="shared" si="4"/>
        <v>6594.5595315867577</v>
      </c>
      <c r="W6" s="17">
        <f t="shared" si="5"/>
        <v>3768.3197323352906</v>
      </c>
      <c r="X6" s="13">
        <f t="shared" si="6"/>
        <v>0.1307292003671493</v>
      </c>
      <c r="Y6" s="14">
        <f t="shared" si="7"/>
        <v>8.3126212002795317</v>
      </c>
      <c r="Z6" s="15">
        <f t="shared" si="8"/>
        <v>0.30522755260950341</v>
      </c>
      <c r="AA6" s="16">
        <f t="shared" si="9"/>
        <v>3.2038910102789226</v>
      </c>
      <c r="AB6" s="16">
        <f t="shared" si="0"/>
        <v>2.1359273401859484</v>
      </c>
      <c r="AC6" s="16">
        <f t="shared" si="10"/>
        <v>1.5256623858471061</v>
      </c>
      <c r="AD6" s="15">
        <f t="shared" si="11"/>
        <v>9.2585810361246814</v>
      </c>
      <c r="AE6" s="10">
        <f t="shared" si="12"/>
        <v>18.517162072249363</v>
      </c>
      <c r="AF6" s="16">
        <f t="shared" si="13"/>
        <v>2646.8431891168784</v>
      </c>
    </row>
    <row r="7" spans="1:32" ht="36.75" customHeight="1" x14ac:dyDescent="0.25">
      <c r="A7" t="s">
        <v>44</v>
      </c>
      <c r="B7" t="s">
        <v>81</v>
      </c>
      <c r="C7" t="s">
        <v>84</v>
      </c>
      <c r="D7" t="s">
        <v>105</v>
      </c>
      <c r="E7" t="s">
        <v>19</v>
      </c>
      <c r="F7" t="s">
        <v>7</v>
      </c>
      <c r="G7" t="s">
        <v>142</v>
      </c>
      <c r="H7" s="4">
        <v>486000</v>
      </c>
      <c r="I7" s="1">
        <v>81.260000000000005</v>
      </c>
      <c r="J7" s="19">
        <v>2</v>
      </c>
      <c r="K7" s="4">
        <v>11025473.666309999</v>
      </c>
      <c r="L7" s="2">
        <v>2140</v>
      </c>
      <c r="M7" s="3">
        <v>926157.11947000003</v>
      </c>
      <c r="N7" s="3" t="s">
        <v>64</v>
      </c>
      <c r="O7" s="3" t="s">
        <v>67</v>
      </c>
      <c r="P7" s="4">
        <v>164207.63097</v>
      </c>
      <c r="Q7" s="3">
        <v>714293.53193000006</v>
      </c>
      <c r="R7" s="1" t="s">
        <v>147</v>
      </c>
      <c r="S7" s="7">
        <f t="shared" si="1"/>
        <v>1258.6157153321917</v>
      </c>
      <c r="T7" s="7">
        <f t="shared" si="2"/>
        <v>18.745163352739727</v>
      </c>
      <c r="U7" s="17">
        <f t="shared" si="3"/>
        <v>3845.7251896007651</v>
      </c>
      <c r="V7" s="17">
        <f t="shared" si="4"/>
        <v>6293.0785766609579</v>
      </c>
      <c r="W7" s="17">
        <f t="shared" si="5"/>
        <v>3596.0449009491194</v>
      </c>
      <c r="X7" s="13">
        <f t="shared" si="6"/>
        <v>8.4001571950601359E-2</v>
      </c>
      <c r="Y7" s="14">
        <f t="shared" si="7"/>
        <v>4.3499411550520346</v>
      </c>
      <c r="Z7" s="15">
        <f t="shared" si="8"/>
        <v>0.22909359283261643</v>
      </c>
      <c r="AA7" s="16">
        <f t="shared" si="9"/>
        <v>1.7002806924551874</v>
      </c>
      <c r="AB7" s="16">
        <f t="shared" si="0"/>
        <v>1.1335204616367915</v>
      </c>
      <c r="AC7" s="16">
        <f t="shared" si="10"/>
        <v>0.80965747259770826</v>
      </c>
      <c r="AD7" s="15">
        <f t="shared" si="11"/>
        <v>7.2833037037037043</v>
      </c>
      <c r="AE7" s="10">
        <f t="shared" si="12"/>
        <v>14.566607407407409</v>
      </c>
      <c r="AF7" s="16">
        <f t="shared" si="13"/>
        <v>1102.4225179259261</v>
      </c>
    </row>
    <row r="8" spans="1:32" ht="36.75" customHeight="1" x14ac:dyDescent="0.25">
      <c r="A8" t="s">
        <v>45</v>
      </c>
      <c r="B8" t="s">
        <v>81</v>
      </c>
      <c r="C8" t="s">
        <v>75</v>
      </c>
      <c r="D8" t="s">
        <v>36</v>
      </c>
      <c r="E8" t="s">
        <v>21</v>
      </c>
      <c r="F8" t="s">
        <v>22</v>
      </c>
      <c r="G8" t="s">
        <v>142</v>
      </c>
      <c r="H8" s="4">
        <v>930000</v>
      </c>
      <c r="I8" s="1">
        <v>96.9</v>
      </c>
      <c r="J8" s="6">
        <v>3</v>
      </c>
      <c r="K8" s="4">
        <v>6672237.6617599996</v>
      </c>
      <c r="L8" s="2">
        <v>3555.6</v>
      </c>
      <c r="M8" s="3">
        <v>781639.93865000003</v>
      </c>
      <c r="N8" s="3" t="s">
        <v>64</v>
      </c>
      <c r="O8" s="3" t="s">
        <v>67</v>
      </c>
      <c r="P8" s="4">
        <v>13344.614809999999</v>
      </c>
      <c r="Q8" s="3">
        <v>123632.12767</v>
      </c>
      <c r="R8" s="1" t="s">
        <v>124</v>
      </c>
      <c r="S8" s="7">
        <f t="shared" si="1"/>
        <v>761.67096595433782</v>
      </c>
      <c r="T8" s="7">
        <f t="shared" si="2"/>
        <v>1.5233578550228311</v>
      </c>
      <c r="U8" s="17">
        <f t="shared" si="3"/>
        <v>312.52945443024089</v>
      </c>
      <c r="V8" s="17">
        <f t="shared" si="4"/>
        <v>3808.3548297716889</v>
      </c>
      <c r="W8" s="17">
        <f t="shared" si="5"/>
        <v>2176.2027598695367</v>
      </c>
      <c r="X8" s="13">
        <f t="shared" si="6"/>
        <v>0.11714809607723407</v>
      </c>
      <c r="Y8" s="14">
        <f t="shared" si="7"/>
        <v>9.2645707223676705</v>
      </c>
      <c r="Z8" s="15">
        <f t="shared" si="8"/>
        <v>1.7059821677929059</v>
      </c>
      <c r="AA8" s="16">
        <f t="shared" si="9"/>
        <v>4.6681574576562737</v>
      </c>
      <c r="AB8" s="16">
        <f t="shared" si="0"/>
        <v>3.1121049717708491</v>
      </c>
      <c r="AC8" s="16">
        <f t="shared" si="10"/>
        <v>2.2229321226934635</v>
      </c>
      <c r="AD8" s="15">
        <f t="shared" si="11"/>
        <v>4.5386709677419352</v>
      </c>
      <c r="AE8" s="10">
        <f t="shared" si="12"/>
        <v>9.0773419354838705</v>
      </c>
      <c r="AF8" s="16">
        <f t="shared" si="13"/>
        <v>782.69443354838711</v>
      </c>
    </row>
    <row r="9" spans="1:32" ht="36.75" customHeight="1" x14ac:dyDescent="0.25">
      <c r="A9" t="s">
        <v>46</v>
      </c>
      <c r="B9" t="s">
        <v>81</v>
      </c>
      <c r="C9" t="s">
        <v>85</v>
      </c>
      <c r="D9" t="s">
        <v>106</v>
      </c>
      <c r="E9" t="s">
        <v>19</v>
      </c>
      <c r="F9" t="s">
        <v>7</v>
      </c>
      <c r="G9" t="s">
        <v>142</v>
      </c>
      <c r="H9" s="4">
        <v>249000</v>
      </c>
      <c r="I9" s="1">
        <v>14.4</v>
      </c>
      <c r="J9" s="18">
        <v>2</v>
      </c>
      <c r="K9" s="4">
        <v>4934116.9999900004</v>
      </c>
      <c r="L9" s="2">
        <v>1236</v>
      </c>
      <c r="M9" s="3">
        <v>522428.29921000003</v>
      </c>
      <c r="N9" s="3" t="s">
        <v>64</v>
      </c>
      <c r="O9" s="3" t="s">
        <v>66</v>
      </c>
      <c r="P9" s="4">
        <v>17067.566940000001</v>
      </c>
      <c r="Q9" s="3">
        <v>101490.89859</v>
      </c>
      <c r="S9" s="7">
        <f t="shared" si="1"/>
        <v>563.25536529566216</v>
      </c>
      <c r="T9" s="7">
        <f t="shared" si="2"/>
        <v>1.948352390410959</v>
      </c>
      <c r="U9" s="17">
        <f t="shared" si="3"/>
        <v>399.72059592252964</v>
      </c>
      <c r="V9" s="17">
        <f t="shared" si="4"/>
        <v>2816.2768264783108</v>
      </c>
      <c r="W9" s="17">
        <f t="shared" si="5"/>
        <v>1609.301043701892</v>
      </c>
      <c r="X9" s="13">
        <f t="shared" si="6"/>
        <v>0.10588080890888052</v>
      </c>
      <c r="Y9" s="14">
        <f t="shared" si="7"/>
        <v>5.9464186633505003</v>
      </c>
      <c r="Z9" s="15">
        <f t="shared" si="8"/>
        <v>0.98638588986637843</v>
      </c>
      <c r="AA9" s="16">
        <f t="shared" si="9"/>
        <v>2.1943865538701135</v>
      </c>
      <c r="AB9" s="16">
        <f t="shared" si="0"/>
        <v>1.4629243692467424</v>
      </c>
      <c r="AC9" s="16">
        <f t="shared" si="10"/>
        <v>1.0449459780333874</v>
      </c>
      <c r="AD9" s="15">
        <f t="shared" si="11"/>
        <v>2.5191325301204821</v>
      </c>
      <c r="AE9" s="10">
        <f t="shared" si="12"/>
        <v>5.0382650602409642</v>
      </c>
      <c r="AF9" s="16">
        <f t="shared" si="13"/>
        <v>58.151016867469885</v>
      </c>
    </row>
    <row r="10" spans="1:32" ht="36.75" customHeight="1" x14ac:dyDescent="0.25">
      <c r="A10" t="s">
        <v>47</v>
      </c>
      <c r="B10" t="s">
        <v>80</v>
      </c>
      <c r="C10" t="s">
        <v>33</v>
      </c>
      <c r="D10" t="s">
        <v>31</v>
      </c>
      <c r="E10" t="s">
        <v>11</v>
      </c>
      <c r="F10" t="s">
        <v>2</v>
      </c>
      <c r="G10" t="s">
        <v>140</v>
      </c>
      <c r="H10" s="4">
        <v>300334</v>
      </c>
      <c r="I10" s="1">
        <v>32.9</v>
      </c>
      <c r="J10" s="18">
        <v>2</v>
      </c>
      <c r="K10" s="4">
        <v>4847935.5258499999</v>
      </c>
      <c r="L10" s="2">
        <v>1206</v>
      </c>
      <c r="M10" s="3">
        <v>508516.32818000001</v>
      </c>
      <c r="N10" s="3" t="s">
        <v>64</v>
      </c>
      <c r="O10" s="3" t="s">
        <v>66</v>
      </c>
      <c r="P10" s="4">
        <v>8567.8205400000006</v>
      </c>
      <c r="Q10" s="3">
        <v>60303.547180000001</v>
      </c>
      <c r="S10" s="7">
        <f t="shared" si="1"/>
        <v>553.41729747146121</v>
      </c>
      <c r="T10" s="7">
        <f t="shared" si="2"/>
        <v>0.97806170547945215</v>
      </c>
      <c r="U10" s="17">
        <f t="shared" si="3"/>
        <v>200.65744250750777</v>
      </c>
      <c r="V10" s="17">
        <f t="shared" si="4"/>
        <v>2767.0864873573059</v>
      </c>
      <c r="W10" s="17">
        <f t="shared" si="5"/>
        <v>1581.1922784898893</v>
      </c>
      <c r="X10" s="13">
        <f t="shared" si="6"/>
        <v>0.10489337687527119</v>
      </c>
      <c r="Y10" s="14">
        <f t="shared" si="7"/>
        <v>7.038376550776821</v>
      </c>
      <c r="Z10" s="15">
        <f t="shared" si="8"/>
        <v>1.9306142019403452</v>
      </c>
      <c r="AA10" s="16">
        <f t="shared" si="9"/>
        <v>2.1791873971235809</v>
      </c>
      <c r="AB10" s="16">
        <f t="shared" si="0"/>
        <v>1.4527915980823871</v>
      </c>
      <c r="AC10" s="16">
        <f t="shared" si="10"/>
        <v>1.0377082843445622</v>
      </c>
      <c r="AD10" s="15">
        <f t="shared" si="11"/>
        <v>4.771767432258752</v>
      </c>
      <c r="AE10" s="10">
        <f t="shared" si="12"/>
        <v>9.543534864517504</v>
      </c>
      <c r="AF10" s="16">
        <f t="shared" si="13"/>
        <v>281.0822970426259</v>
      </c>
    </row>
    <row r="11" spans="1:32" ht="36.75" customHeight="1" x14ac:dyDescent="0.25">
      <c r="A11" t="s">
        <v>48</v>
      </c>
      <c r="B11" t="s">
        <v>81</v>
      </c>
      <c r="C11" t="s">
        <v>87</v>
      </c>
      <c r="D11" t="s">
        <v>107</v>
      </c>
      <c r="E11" t="s">
        <v>19</v>
      </c>
      <c r="F11" t="s">
        <v>7</v>
      </c>
      <c r="G11" t="s">
        <v>142</v>
      </c>
      <c r="H11" s="4">
        <v>302000</v>
      </c>
      <c r="I11" s="1">
        <v>35.700000000000003</v>
      </c>
      <c r="J11" s="18">
        <v>2</v>
      </c>
      <c r="K11" s="4">
        <v>3879818.3397900001</v>
      </c>
      <c r="L11" s="2">
        <v>1229</v>
      </c>
      <c r="M11" s="3">
        <v>385419.40590000001</v>
      </c>
      <c r="N11" s="3" t="s">
        <v>64</v>
      </c>
      <c r="O11" s="3" t="s">
        <v>66</v>
      </c>
      <c r="P11" s="4">
        <v>28363.448390000001</v>
      </c>
      <c r="Q11" s="3">
        <v>139842.81967999999</v>
      </c>
      <c r="S11" s="7">
        <f t="shared" si="1"/>
        <v>442.90163696232878</v>
      </c>
      <c r="T11" s="7">
        <f t="shared" si="2"/>
        <v>3.2378365742009132</v>
      </c>
      <c r="U11" s="17">
        <f t="shared" si="3"/>
        <v>664.26893374579095</v>
      </c>
      <c r="V11" s="17">
        <f t="shared" si="4"/>
        <v>2214.5081848116438</v>
      </c>
      <c r="W11" s="17">
        <f t="shared" si="5"/>
        <v>1265.4332484637966</v>
      </c>
      <c r="X11" s="13">
        <f t="shared" si="6"/>
        <v>9.9339549469953103E-2</v>
      </c>
      <c r="Y11" s="14">
        <f t="shared" si="7"/>
        <v>4.930388497094869</v>
      </c>
      <c r="Z11" s="15">
        <f t="shared" si="8"/>
        <v>0.4667253428899264</v>
      </c>
      <c r="AA11" s="16">
        <f t="shared" si="9"/>
        <v>2.7748824963239711</v>
      </c>
      <c r="AB11" s="16">
        <f t="shared" si="0"/>
        <v>1.8499216642159804</v>
      </c>
      <c r="AC11" s="16">
        <f t="shared" si="10"/>
        <v>1.321372617297129</v>
      </c>
      <c r="AD11" s="15">
        <f t="shared" si="11"/>
        <v>5.1493112582781464</v>
      </c>
      <c r="AE11" s="10">
        <f t="shared" si="12"/>
        <v>10.298622516556293</v>
      </c>
      <c r="AF11" s="16">
        <f t="shared" si="13"/>
        <v>331.96082384105966</v>
      </c>
    </row>
    <row r="12" spans="1:32" ht="36.75" customHeight="1" x14ac:dyDescent="0.25">
      <c r="A12" t="s">
        <v>49</v>
      </c>
      <c r="B12" t="s">
        <v>79</v>
      </c>
      <c r="C12" t="s">
        <v>88</v>
      </c>
      <c r="D12" t="s">
        <v>108</v>
      </c>
      <c r="E12" t="s">
        <v>97</v>
      </c>
      <c r="F12" t="s">
        <v>6</v>
      </c>
      <c r="G12" t="s">
        <v>139</v>
      </c>
      <c r="H12" s="4">
        <v>320000</v>
      </c>
      <c r="I12" s="7">
        <f>40.4+2.52</f>
        <v>42.92</v>
      </c>
      <c r="J12" s="6">
        <v>3</v>
      </c>
      <c r="K12" s="4">
        <v>3222303.0746800001</v>
      </c>
      <c r="L12" s="2">
        <v>547</v>
      </c>
      <c r="M12" s="3">
        <v>276848.45866</v>
      </c>
      <c r="N12" s="3" t="s">
        <v>64</v>
      </c>
      <c r="O12" s="3" t="s">
        <v>66</v>
      </c>
      <c r="P12" s="4">
        <v>7591.8770000000004</v>
      </c>
      <c r="Q12" s="3">
        <v>103018.02</v>
      </c>
      <c r="S12" s="7">
        <f t="shared" si="1"/>
        <v>367.84281674429224</v>
      </c>
      <c r="T12" s="7">
        <f t="shared" si="2"/>
        <v>0.86665262557077627</v>
      </c>
      <c r="U12" s="17">
        <f t="shared" si="3"/>
        <v>177.8009489740748</v>
      </c>
      <c r="V12" s="17">
        <f t="shared" si="4"/>
        <v>1839.2140837214611</v>
      </c>
      <c r="W12" s="17">
        <f t="shared" si="5"/>
        <v>1050.9794764122637</v>
      </c>
      <c r="X12" s="13">
        <f t="shared" si="6"/>
        <v>8.5916331345552654E-2</v>
      </c>
      <c r="Y12" s="14">
        <f t="shared" si="7"/>
        <v>13.569505933776323</v>
      </c>
      <c r="Z12" s="15">
        <f t="shared" si="8"/>
        <v>1.4481923364680644</v>
      </c>
      <c r="AA12" s="16">
        <f t="shared" si="9"/>
        <v>1.4870482040165807</v>
      </c>
      <c r="AB12" s="16">
        <f t="shared" si="0"/>
        <v>0.99136546934438707</v>
      </c>
      <c r="AC12" s="16">
        <f t="shared" si="10"/>
        <v>0.70811819238884788</v>
      </c>
      <c r="AD12" s="15">
        <f t="shared" si="11"/>
        <v>5.8424850000000008</v>
      </c>
      <c r="AE12" s="10">
        <f t="shared" si="12"/>
        <v>11.684970000000002</v>
      </c>
      <c r="AF12" s="16">
        <f t="shared" si="13"/>
        <v>458.59891240000007</v>
      </c>
    </row>
    <row r="13" spans="1:32" ht="36.75" customHeight="1" x14ac:dyDescent="0.25">
      <c r="A13" t="s">
        <v>50</v>
      </c>
      <c r="B13" t="s">
        <v>80</v>
      </c>
      <c r="C13" t="s">
        <v>123</v>
      </c>
      <c r="D13" t="s">
        <v>109</v>
      </c>
      <c r="E13" t="s">
        <v>14</v>
      </c>
      <c r="F13" t="s">
        <v>8</v>
      </c>
      <c r="G13" t="s">
        <v>141</v>
      </c>
      <c r="H13" s="4">
        <v>262000</v>
      </c>
      <c r="I13" s="1">
        <v>20.6</v>
      </c>
      <c r="J13" s="6">
        <v>2</v>
      </c>
      <c r="K13" s="4">
        <v>3170869.0967700002</v>
      </c>
      <c r="L13" s="2">
        <v>1517</v>
      </c>
      <c r="M13" s="3">
        <v>335488.04571999999</v>
      </c>
      <c r="N13" s="3" t="s">
        <v>64</v>
      </c>
      <c r="O13" s="3" t="s">
        <v>66</v>
      </c>
      <c r="P13" s="4">
        <v>32011.158820000001</v>
      </c>
      <c r="Q13" s="3">
        <v>262482.42</v>
      </c>
      <c r="S13" s="7">
        <f t="shared" si="1"/>
        <v>361.97135807876714</v>
      </c>
      <c r="T13" s="7">
        <f t="shared" si="2"/>
        <v>3.654241874429224</v>
      </c>
      <c r="U13" s="17">
        <f t="shared" si="3"/>
        <v>749.69792265546801</v>
      </c>
      <c r="V13" s="17">
        <f t="shared" si="4"/>
        <v>1809.8567903938356</v>
      </c>
      <c r="W13" s="17">
        <f t="shared" si="5"/>
        <v>1034.203880225049</v>
      </c>
      <c r="X13" s="13">
        <f t="shared" si="6"/>
        <v>0.10580318375859296</v>
      </c>
      <c r="Y13" s="14">
        <f t="shared" si="7"/>
        <v>8.1997162763131737</v>
      </c>
      <c r="Z13" s="15">
        <f t="shared" si="8"/>
        <v>0.33797606075478032</v>
      </c>
      <c r="AA13" s="16">
        <f t="shared" si="9"/>
        <v>4.1909393274975413</v>
      </c>
      <c r="AB13" s="16">
        <f t="shared" si="0"/>
        <v>2.7939595516650271</v>
      </c>
      <c r="AC13" s="16">
        <f t="shared" si="10"/>
        <v>1.9956853940464481</v>
      </c>
      <c r="AD13" s="15">
        <f t="shared" si="11"/>
        <v>3.4249465648854964</v>
      </c>
      <c r="AE13" s="10">
        <f t="shared" si="12"/>
        <v>6.8498931297709929</v>
      </c>
      <c r="AF13" s="16">
        <f t="shared" si="13"/>
        <v>120.50779847328246</v>
      </c>
    </row>
    <row r="14" spans="1:32" ht="36.75" customHeight="1" x14ac:dyDescent="0.25">
      <c r="A14" t="s">
        <v>51</v>
      </c>
      <c r="B14" t="s">
        <v>80</v>
      </c>
      <c r="C14" t="s">
        <v>76</v>
      </c>
      <c r="D14" t="s">
        <v>110</v>
      </c>
      <c r="E14" t="s">
        <v>15</v>
      </c>
      <c r="F14" t="s">
        <v>7</v>
      </c>
      <c r="G14" t="s">
        <v>140</v>
      </c>
      <c r="H14" s="4">
        <v>216000</v>
      </c>
      <c r="I14" s="12">
        <v>0</v>
      </c>
      <c r="J14" s="6">
        <v>2</v>
      </c>
      <c r="K14" s="4">
        <v>3144499.9624299998</v>
      </c>
      <c r="L14" s="2">
        <v>1692</v>
      </c>
      <c r="M14" s="3">
        <v>359264.52545999998</v>
      </c>
      <c r="N14" s="3" t="s">
        <v>64</v>
      </c>
      <c r="O14" s="3" t="s">
        <v>66</v>
      </c>
      <c r="P14" s="4">
        <v>40710.386400000003</v>
      </c>
      <c r="Q14" s="3">
        <v>190570.33306</v>
      </c>
      <c r="S14" s="7">
        <f t="shared" si="1"/>
        <v>358.96118292579905</v>
      </c>
      <c r="T14" s="7">
        <f t="shared" si="2"/>
        <v>4.6473043835616439</v>
      </c>
      <c r="U14" s="17">
        <f t="shared" si="3"/>
        <v>953.43290401323293</v>
      </c>
      <c r="V14" s="17">
        <f t="shared" si="4"/>
        <v>1794.8059146289952</v>
      </c>
      <c r="W14" s="17">
        <f t="shared" si="5"/>
        <v>1025.6033797879973</v>
      </c>
      <c r="X14" s="13">
        <f t="shared" si="6"/>
        <v>0.11425171879549596</v>
      </c>
      <c r="Y14" s="14">
        <f t="shared" si="7"/>
        <v>4.6811231705725103</v>
      </c>
      <c r="Z14" s="15">
        <f t="shared" si="8"/>
        <v>0.26354537061852007</v>
      </c>
      <c r="AA14" s="16">
        <f t="shared" si="9"/>
        <v>4.7136015827921813</v>
      </c>
      <c r="AB14" s="16">
        <f t="shared" si="0"/>
        <v>3.142401055194787</v>
      </c>
      <c r="AC14" s="16">
        <f t="shared" si="10"/>
        <v>2.2445721822819911</v>
      </c>
      <c r="AD14" s="15">
        <f t="shared" si="11"/>
        <v>0</v>
      </c>
      <c r="AE14" s="10">
        <f t="shared" si="12"/>
        <v>0</v>
      </c>
      <c r="AF14" s="16">
        <f t="shared" si="13"/>
        <v>0</v>
      </c>
    </row>
    <row r="15" spans="1:32" ht="36.75" customHeight="1" x14ac:dyDescent="0.25">
      <c r="A15" t="s">
        <v>52</v>
      </c>
      <c r="B15" t="s">
        <v>79</v>
      </c>
      <c r="C15" t="s">
        <v>90</v>
      </c>
      <c r="D15" t="s">
        <v>111</v>
      </c>
      <c r="E15" t="s">
        <v>9</v>
      </c>
      <c r="F15" t="s">
        <v>6</v>
      </c>
      <c r="G15" t="s">
        <v>139</v>
      </c>
      <c r="H15" s="4">
        <v>83000</v>
      </c>
      <c r="I15" s="7">
        <v>8.6</v>
      </c>
      <c r="J15" s="6">
        <v>3</v>
      </c>
      <c r="K15" s="4">
        <v>3069120.3073700001</v>
      </c>
      <c r="L15" s="2">
        <v>700</v>
      </c>
      <c r="M15" s="3">
        <v>291462.06588000001</v>
      </c>
      <c r="N15" s="3" t="s">
        <v>64</v>
      </c>
      <c r="O15" s="3" t="s">
        <v>66</v>
      </c>
      <c r="P15" s="4">
        <v>26046.536400000001</v>
      </c>
      <c r="Q15" s="3">
        <v>185978.81</v>
      </c>
      <c r="S15" s="7">
        <f t="shared" si="1"/>
        <v>350.3561994714612</v>
      </c>
      <c r="T15" s="7">
        <f t="shared" si="2"/>
        <v>2.9733489041095891</v>
      </c>
      <c r="U15" s="17">
        <f t="shared" si="3"/>
        <v>610.00710224991565</v>
      </c>
      <c r="V15" s="17">
        <f t="shared" si="4"/>
        <v>1751.780997357306</v>
      </c>
      <c r="W15" s="17">
        <f t="shared" si="5"/>
        <v>1001.0177127756035</v>
      </c>
      <c r="X15" s="13">
        <f t="shared" si="6"/>
        <v>9.496599568941648E-2</v>
      </c>
      <c r="Y15" s="14">
        <f t="shared" si="7"/>
        <v>7.1402510930397636</v>
      </c>
      <c r="Z15" s="15">
        <f t="shared" si="8"/>
        <v>0.40204341674950839</v>
      </c>
      <c r="AA15" s="16">
        <f t="shared" si="9"/>
        <v>1.9979666438213535</v>
      </c>
      <c r="AB15" s="16">
        <f t="shared" si="0"/>
        <v>1.3319777625475691</v>
      </c>
      <c r="AC15" s="16">
        <f t="shared" si="10"/>
        <v>0.95141268753397779</v>
      </c>
      <c r="AD15" s="15">
        <f t="shared" si="11"/>
        <v>4.5134457831325303</v>
      </c>
      <c r="AE15" s="10">
        <f t="shared" si="12"/>
        <v>9.0268915662650606</v>
      </c>
      <c r="AF15" s="16">
        <f t="shared" si="13"/>
        <v>69.031267469879523</v>
      </c>
    </row>
    <row r="16" spans="1:32" ht="36.75" customHeight="1" x14ac:dyDescent="0.25">
      <c r="A16" t="s">
        <v>53</v>
      </c>
      <c r="B16" t="s">
        <v>79</v>
      </c>
      <c r="C16" t="s">
        <v>91</v>
      </c>
      <c r="D16" t="s">
        <v>112</v>
      </c>
      <c r="E16" t="s">
        <v>98</v>
      </c>
      <c r="F16" t="s">
        <v>6</v>
      </c>
      <c r="G16" t="s">
        <v>139</v>
      </c>
      <c r="H16" s="4">
        <v>110000</v>
      </c>
      <c r="I16" s="7">
        <v>15.4</v>
      </c>
      <c r="J16" s="6">
        <v>3</v>
      </c>
      <c r="K16" s="4">
        <v>2851912.0689699999</v>
      </c>
      <c r="L16" s="2">
        <v>656</v>
      </c>
      <c r="M16" s="3">
        <v>242384.94076999999</v>
      </c>
      <c r="N16" s="3" t="s">
        <v>62</v>
      </c>
      <c r="O16" s="3" t="s">
        <v>66</v>
      </c>
      <c r="P16" s="4">
        <v>17600.256738749998</v>
      </c>
      <c r="Q16" s="3">
        <v>331200.61</v>
      </c>
      <c r="S16" s="7">
        <f t="shared" si="1"/>
        <v>325.56073846689497</v>
      </c>
      <c r="T16" s="7">
        <f t="shared" si="2"/>
        <v>2.009161728167808</v>
      </c>
      <c r="U16" s="17">
        <f>T16/0.4*1000000/3412*0.35*0.8</f>
        <v>412.19613414931587</v>
      </c>
      <c r="V16" s="17">
        <f t="shared" si="4"/>
        <v>1627.8036923344748</v>
      </c>
      <c r="W16" s="17">
        <f t="shared" si="5"/>
        <v>930.17353847684285</v>
      </c>
      <c r="X16" s="13">
        <f t="shared" si="6"/>
        <v>8.4990327509480337E-2</v>
      </c>
      <c r="Y16" s="14">
        <f t="shared" si="7"/>
        <v>18.817941971880714</v>
      </c>
      <c r="Z16" s="15">
        <f t="shared" si="8"/>
        <v>0.55287397926995985</v>
      </c>
      <c r="AA16" s="16">
        <f t="shared" si="9"/>
        <v>2.0149849858714033</v>
      </c>
      <c r="AB16" s="16">
        <f t="shared" si="0"/>
        <v>1.3433233239142688</v>
      </c>
      <c r="AC16" s="16">
        <f t="shared" si="10"/>
        <v>0.95951665993876345</v>
      </c>
      <c r="AD16" s="15">
        <f t="shared" si="11"/>
        <v>6.0983999999999998</v>
      </c>
      <c r="AE16" s="10">
        <f t="shared" si="12"/>
        <v>12.1968</v>
      </c>
      <c r="AF16" s="16">
        <f t="shared" si="13"/>
        <v>172.43072000000001</v>
      </c>
    </row>
    <row r="17" spans="1:32" ht="36.75" customHeight="1" x14ac:dyDescent="0.25">
      <c r="A17" t="s">
        <v>54</v>
      </c>
      <c r="B17" t="s">
        <v>82</v>
      </c>
      <c r="C17" t="s">
        <v>92</v>
      </c>
      <c r="D17" t="s">
        <v>114</v>
      </c>
      <c r="E17" t="s">
        <v>96</v>
      </c>
      <c r="F17" t="s">
        <v>7</v>
      </c>
      <c r="G17" t="s">
        <v>143</v>
      </c>
      <c r="H17" s="4">
        <v>11684</v>
      </c>
      <c r="I17" s="1">
        <v>4.5</v>
      </c>
      <c r="J17" s="18">
        <v>3</v>
      </c>
      <c r="K17" s="4">
        <v>2412555.8387099998</v>
      </c>
      <c r="L17" s="2">
        <v>503</v>
      </c>
      <c r="M17" s="3">
        <v>200817.91484000001</v>
      </c>
      <c r="N17" s="3" t="s">
        <v>63</v>
      </c>
      <c r="O17" s="3" t="s">
        <v>68</v>
      </c>
      <c r="P17" s="4">
        <v>0</v>
      </c>
      <c r="Q17" s="3">
        <v>0</v>
      </c>
      <c r="S17" s="7">
        <f t="shared" si="1"/>
        <v>275.40591766095889</v>
      </c>
      <c r="T17" s="7">
        <f t="shared" si="2"/>
        <v>0</v>
      </c>
      <c r="U17" s="17">
        <f t="shared" si="3"/>
        <v>0</v>
      </c>
      <c r="V17" s="17">
        <f t="shared" si="4"/>
        <v>1377.0295883047943</v>
      </c>
      <c r="W17" s="17">
        <f t="shared" si="5"/>
        <v>786.8740504598826</v>
      </c>
      <c r="X17" s="13">
        <f t="shared" si="6"/>
        <v>8.3238659855175784E-2</v>
      </c>
      <c r="Y17" s="14" t="e">
        <f t="shared" si="7"/>
        <v>#DIV/0!</v>
      </c>
      <c r="Z17" s="15" t="e">
        <f t="shared" si="8"/>
        <v>#DIV/0!</v>
      </c>
      <c r="AA17" s="16">
        <f t="shared" si="9"/>
        <v>1.8263950327284653</v>
      </c>
      <c r="AB17" s="16">
        <f t="shared" si="0"/>
        <v>1.2175966884856433</v>
      </c>
      <c r="AC17" s="16">
        <f t="shared" si="10"/>
        <v>0.86971192034688816</v>
      </c>
      <c r="AD17" s="15">
        <f t="shared" si="11"/>
        <v>16.776788770968846</v>
      </c>
      <c r="AE17" s="10">
        <f t="shared" si="12"/>
        <v>33.553577541937692</v>
      </c>
      <c r="AF17" s="16">
        <f t="shared" si="13"/>
        <v>146.4910989387196</v>
      </c>
    </row>
    <row r="18" spans="1:32" ht="36.75" customHeight="1" x14ac:dyDescent="0.25">
      <c r="A18" t="s">
        <v>55</v>
      </c>
      <c r="B18" t="s">
        <v>80</v>
      </c>
      <c r="C18" t="s">
        <v>116</v>
      </c>
      <c r="D18" t="s">
        <v>115</v>
      </c>
      <c r="E18" t="s">
        <v>20</v>
      </c>
      <c r="F18" t="s">
        <v>8</v>
      </c>
      <c r="G18" t="s">
        <v>141</v>
      </c>
      <c r="H18" s="4">
        <v>108000</v>
      </c>
      <c r="I18" s="1">
        <v>21.5</v>
      </c>
      <c r="J18" s="6">
        <v>2</v>
      </c>
      <c r="K18" s="4">
        <v>2210909.0909099998</v>
      </c>
      <c r="L18" s="2">
        <v>579</v>
      </c>
      <c r="M18" s="3">
        <v>257103.20121999999</v>
      </c>
      <c r="N18" s="3" t="s">
        <v>62</v>
      </c>
      <c r="O18" s="3" t="s">
        <v>66</v>
      </c>
      <c r="P18" s="4">
        <v>19627.865223249999</v>
      </c>
      <c r="Q18" s="3">
        <v>321118.34000000003</v>
      </c>
      <c r="S18" s="7">
        <f t="shared" si="1"/>
        <v>252.38688252397259</v>
      </c>
      <c r="T18" s="7">
        <f t="shared" si="2"/>
        <v>2.2406238839326482</v>
      </c>
      <c r="U18" s="17">
        <f t="shared" si="3"/>
        <v>459.68250842697944</v>
      </c>
      <c r="V18" s="17">
        <f t="shared" si="4"/>
        <v>1261.9344126198628</v>
      </c>
      <c r="W18" s="17">
        <f t="shared" si="5"/>
        <v>721.1053786399217</v>
      </c>
      <c r="X18" s="13">
        <f t="shared" si="6"/>
        <v>0.11628845449912982</v>
      </c>
      <c r="Y18" s="14">
        <f t="shared" si="7"/>
        <v>16.360329375994613</v>
      </c>
      <c r="Z18" s="15">
        <f t="shared" si="8"/>
        <v>0.38433226091491568</v>
      </c>
      <c r="AA18" s="16">
        <f t="shared" si="9"/>
        <v>2.2940970394727409</v>
      </c>
      <c r="AB18" s="16">
        <f t="shared" si="0"/>
        <v>1.5293980263151605</v>
      </c>
      <c r="AC18" s="16">
        <f t="shared" si="10"/>
        <v>1.092427161653686</v>
      </c>
      <c r="AD18" s="15">
        <f t="shared" si="11"/>
        <v>8.6716666666666669</v>
      </c>
      <c r="AE18" s="10">
        <f t="shared" si="12"/>
        <v>17.343333333333334</v>
      </c>
      <c r="AF18" s="16">
        <f t="shared" si="13"/>
        <v>351.38166666666666</v>
      </c>
    </row>
    <row r="19" spans="1:32" ht="36.75" customHeight="1" x14ac:dyDescent="0.25">
      <c r="A19" t="s">
        <v>56</v>
      </c>
      <c r="B19" t="s">
        <v>82</v>
      </c>
      <c r="C19" t="s">
        <v>93</v>
      </c>
      <c r="D19" t="s">
        <v>117</v>
      </c>
      <c r="E19" t="s">
        <v>19</v>
      </c>
      <c r="F19" t="s">
        <v>7</v>
      </c>
      <c r="G19" t="s">
        <v>143</v>
      </c>
      <c r="H19" s="4">
        <v>191000</v>
      </c>
      <c r="I19" s="1">
        <v>32.799999999999997</v>
      </c>
      <c r="J19" s="18">
        <v>3</v>
      </c>
      <c r="K19" s="4">
        <v>2172835.0909099998</v>
      </c>
      <c r="L19" s="2">
        <v>623</v>
      </c>
      <c r="M19" s="3">
        <v>231136.51</v>
      </c>
      <c r="N19" s="3" t="s">
        <v>64</v>
      </c>
      <c r="O19" s="3" t="s">
        <v>69</v>
      </c>
      <c r="P19" s="4">
        <v>10976.88637</v>
      </c>
      <c r="Q19" s="3">
        <v>67059.835449999999</v>
      </c>
      <c r="S19" s="7">
        <f t="shared" si="1"/>
        <v>248.0405354920091</v>
      </c>
      <c r="T19" s="7">
        <f t="shared" si="2"/>
        <v>1.2530692203196347</v>
      </c>
      <c r="U19" s="17">
        <f t="shared" si="3"/>
        <v>257.07750709957332</v>
      </c>
      <c r="V19" s="17">
        <f t="shared" si="4"/>
        <v>1240.2026774600454</v>
      </c>
      <c r="W19" s="17">
        <f t="shared" si="5"/>
        <v>708.68724426288315</v>
      </c>
      <c r="X19" s="13">
        <f t="shared" si="6"/>
        <v>0.10637554178269382</v>
      </c>
      <c r="Y19" s="14">
        <f t="shared" si="7"/>
        <v>6.1091855367361338</v>
      </c>
      <c r="Z19" s="15">
        <f t="shared" si="8"/>
        <v>0.67539310149431009</v>
      </c>
      <c r="AA19" s="16">
        <f t="shared" si="9"/>
        <v>2.5116862401712989</v>
      </c>
      <c r="AB19" s="16">
        <f t="shared" si="0"/>
        <v>1.6744574934475327</v>
      </c>
      <c r="AC19" s="16">
        <f t="shared" si="10"/>
        <v>1.1960410667482375</v>
      </c>
      <c r="AD19" s="15">
        <f t="shared" si="11"/>
        <v>7.4804607329842918</v>
      </c>
      <c r="AE19" s="10">
        <f t="shared" si="12"/>
        <v>14.960921465968584</v>
      </c>
      <c r="AF19" s="16">
        <f t="shared" si="13"/>
        <v>457.91822408376953</v>
      </c>
    </row>
    <row r="20" spans="1:32" ht="36.75" customHeight="1" x14ac:dyDescent="0.25">
      <c r="A20" t="s">
        <v>57</v>
      </c>
      <c r="B20" t="s">
        <v>81</v>
      </c>
      <c r="C20" t="s">
        <v>86</v>
      </c>
      <c r="D20" t="s">
        <v>118</v>
      </c>
      <c r="E20" t="s">
        <v>19</v>
      </c>
      <c r="F20" t="s">
        <v>7</v>
      </c>
      <c r="G20" t="s">
        <v>142</v>
      </c>
      <c r="H20" s="4">
        <v>66500</v>
      </c>
      <c r="I20" s="1">
        <v>81.260000000000005</v>
      </c>
      <c r="J20" s="18">
        <v>2</v>
      </c>
      <c r="K20" s="4">
        <v>2132806.05339</v>
      </c>
      <c r="L20" s="2">
        <v>568</v>
      </c>
      <c r="M20" s="3">
        <v>227279.19875000001</v>
      </c>
      <c r="N20" s="3" t="s">
        <v>64</v>
      </c>
      <c r="O20" s="3" t="s">
        <v>66</v>
      </c>
      <c r="P20" s="4">
        <v>31341.853230000001</v>
      </c>
      <c r="Q20" s="3">
        <v>148312.74807</v>
      </c>
      <c r="R20" s="1" t="s">
        <v>146</v>
      </c>
      <c r="S20" s="7">
        <f t="shared" si="1"/>
        <v>243.47101066095891</v>
      </c>
      <c r="T20" s="7">
        <f t="shared" si="2"/>
        <v>3.5778371267123288</v>
      </c>
      <c r="U20" s="17">
        <f t="shared" si="3"/>
        <v>734.02285718013763</v>
      </c>
      <c r="V20" s="17">
        <f t="shared" si="4"/>
        <v>1217.3550533047944</v>
      </c>
      <c r="W20" s="17">
        <f t="shared" si="5"/>
        <v>695.63145903131124</v>
      </c>
      <c r="X20" s="13">
        <f t="shared" si="6"/>
        <v>0.10656346290313171</v>
      </c>
      <c r="Y20" s="14">
        <f t="shared" si="7"/>
        <v>4.7320988641487549</v>
      </c>
      <c r="Z20" s="15">
        <f t="shared" si="8"/>
        <v>0.23218583153854813</v>
      </c>
      <c r="AA20" s="16">
        <f t="shared" si="9"/>
        <v>2.332926611911748</v>
      </c>
      <c r="AB20" s="16">
        <f t="shared" si="0"/>
        <v>1.5552844079411654</v>
      </c>
      <c r="AC20" s="16">
        <f t="shared" si="10"/>
        <v>1.1109174342436896</v>
      </c>
      <c r="AD20" s="15">
        <f t="shared" si="11"/>
        <v>53.228354887218046</v>
      </c>
      <c r="AE20" s="10">
        <f t="shared" si="12"/>
        <v>106.45670977443609</v>
      </c>
      <c r="AF20" s="16">
        <f t="shared" si="13"/>
        <v>8569.4122362706767</v>
      </c>
    </row>
    <row r="21" spans="1:32" ht="36.75" customHeight="1" x14ac:dyDescent="0.25">
      <c r="A21" t="s">
        <v>58</v>
      </c>
      <c r="B21" t="s">
        <v>79</v>
      </c>
      <c r="C21" t="s">
        <v>94</v>
      </c>
      <c r="D21" t="s">
        <v>119</v>
      </c>
      <c r="E21" t="s">
        <v>9</v>
      </c>
      <c r="F21" t="s">
        <v>6</v>
      </c>
      <c r="G21" t="s">
        <v>139</v>
      </c>
      <c r="H21" s="4">
        <v>133000</v>
      </c>
      <c r="I21" s="7">
        <v>14.2</v>
      </c>
      <c r="J21" s="6">
        <v>2</v>
      </c>
      <c r="K21" s="4">
        <v>1992444.5151500001</v>
      </c>
      <c r="L21" s="2">
        <v>419</v>
      </c>
      <c r="M21" s="3">
        <v>187020.24575</v>
      </c>
      <c r="N21" s="3" t="s">
        <v>64</v>
      </c>
      <c r="O21" s="3" t="s">
        <v>66</v>
      </c>
      <c r="P21" s="4">
        <v>11673.509</v>
      </c>
      <c r="Q21" s="3">
        <v>91811.24</v>
      </c>
      <c r="S21" s="7">
        <f t="shared" si="1"/>
        <v>227.44800401255708</v>
      </c>
      <c r="T21" s="7">
        <f t="shared" si="2"/>
        <v>1.3325923515981735</v>
      </c>
      <c r="U21" s="17">
        <f t="shared" si="3"/>
        <v>273.39233473585034</v>
      </c>
      <c r="V21" s="17">
        <f t="shared" si="4"/>
        <v>1137.2400200627853</v>
      </c>
      <c r="W21" s="17">
        <f t="shared" si="5"/>
        <v>649.85144003587743</v>
      </c>
      <c r="X21" s="13">
        <f t="shared" si="6"/>
        <v>9.3864719608475658E-2</v>
      </c>
      <c r="Y21" s="14">
        <f t="shared" si="7"/>
        <v>7.8649221926329096</v>
      </c>
      <c r="Z21" s="15">
        <f t="shared" si="8"/>
        <v>0.5823630825736974</v>
      </c>
      <c r="AA21" s="16">
        <f t="shared" si="9"/>
        <v>1.8421792788160392</v>
      </c>
      <c r="AB21" s="16">
        <f t="shared" si="0"/>
        <v>1.2281195192106926</v>
      </c>
      <c r="AC21" s="16">
        <f t="shared" si="10"/>
        <v>0.87722822800763767</v>
      </c>
      <c r="AD21" s="15">
        <f t="shared" si="11"/>
        <v>4.6507669172932333</v>
      </c>
      <c r="AE21" s="10">
        <f t="shared" si="12"/>
        <v>9.3015338345864667</v>
      </c>
      <c r="AF21" s="16">
        <f t="shared" si="13"/>
        <v>117.88178045112782</v>
      </c>
    </row>
    <row r="22" spans="1:32" ht="36.75" customHeight="1" x14ac:dyDescent="0.25">
      <c r="A22" t="s">
        <v>59</v>
      </c>
      <c r="B22" t="s">
        <v>82</v>
      </c>
      <c r="C22" t="s">
        <v>77</v>
      </c>
      <c r="D22" t="s">
        <v>113</v>
      </c>
      <c r="E22" t="s">
        <v>19</v>
      </c>
      <c r="F22" t="s">
        <v>7</v>
      </c>
      <c r="G22" t="s">
        <v>143</v>
      </c>
      <c r="H22" s="4">
        <v>8078</v>
      </c>
      <c r="I22" s="1">
        <v>0.76</v>
      </c>
      <c r="J22" s="18">
        <v>3</v>
      </c>
      <c r="K22" s="4">
        <v>1722688.44414</v>
      </c>
      <c r="L22" s="2">
        <v>238</v>
      </c>
      <c r="M22" s="3">
        <v>153533.00344999999</v>
      </c>
      <c r="N22" s="3" t="s">
        <v>64</v>
      </c>
      <c r="O22" s="3" t="s">
        <v>69</v>
      </c>
      <c r="P22" s="4">
        <v>113.98309999999999</v>
      </c>
      <c r="Q22" s="3">
        <v>1144.9751699999999</v>
      </c>
      <c r="S22" s="7">
        <f t="shared" si="1"/>
        <v>196.65393197945207</v>
      </c>
      <c r="T22" s="7">
        <f t="shared" si="2"/>
        <v>1.3011769406392693E-2</v>
      </c>
      <c r="U22" s="17">
        <f t="shared" si="3"/>
        <v>2.6694720353091697</v>
      </c>
      <c r="V22" s="17">
        <f t="shared" si="4"/>
        <v>983.26965989726034</v>
      </c>
      <c r="W22" s="17">
        <f t="shared" si="5"/>
        <v>561.86837708414885</v>
      </c>
      <c r="X22" s="13">
        <f t="shared" si="6"/>
        <v>8.9124068819447316E-2</v>
      </c>
      <c r="Y22" s="14">
        <f t="shared" si="7"/>
        <v>10.045130988716748</v>
      </c>
      <c r="Z22" s="15">
        <f t="shared" si="8"/>
        <v>51.567407549063674</v>
      </c>
      <c r="AA22" s="16">
        <f t="shared" si="9"/>
        <v>1.2102478582775964</v>
      </c>
      <c r="AB22" s="16">
        <f t="shared" si="0"/>
        <v>0.80683190551839767</v>
      </c>
      <c r="AC22" s="16">
        <f t="shared" si="10"/>
        <v>0.57630850394171262</v>
      </c>
      <c r="AD22" s="15">
        <f t="shared" si="11"/>
        <v>4.0982421391433519</v>
      </c>
      <c r="AE22" s="10">
        <f t="shared" si="12"/>
        <v>8.1964842782867038</v>
      </c>
      <c r="AF22" s="16">
        <f t="shared" si="13"/>
        <v>5.4693280514978948</v>
      </c>
    </row>
    <row r="23" spans="1:32" ht="36.75" customHeight="1" x14ac:dyDescent="0.25">
      <c r="A23" t="s">
        <v>60</v>
      </c>
      <c r="B23" t="s">
        <v>80</v>
      </c>
      <c r="C23" t="s">
        <v>95</v>
      </c>
      <c r="D23" t="s">
        <v>120</v>
      </c>
      <c r="E23" t="s">
        <v>17</v>
      </c>
      <c r="F23" t="s">
        <v>7</v>
      </c>
      <c r="G23" t="s">
        <v>140</v>
      </c>
      <c r="H23" s="4">
        <v>115000</v>
      </c>
      <c r="I23" s="1">
        <v>9.8000000000000007</v>
      </c>
      <c r="J23" s="18">
        <v>2</v>
      </c>
      <c r="K23" s="4">
        <v>1436221.7472399999</v>
      </c>
      <c r="L23" s="2">
        <v>746</v>
      </c>
      <c r="M23" s="3">
        <v>205359.55817</v>
      </c>
      <c r="N23" s="3" t="s">
        <v>64</v>
      </c>
      <c r="O23" s="3" t="s">
        <v>69</v>
      </c>
      <c r="P23" s="4">
        <v>11205.687620000001</v>
      </c>
      <c r="Q23" s="3">
        <v>73902.525169999994</v>
      </c>
      <c r="S23" s="7">
        <f t="shared" si="1"/>
        <v>163.95225425114154</v>
      </c>
      <c r="T23" s="7">
        <f t="shared" si="2"/>
        <v>1.279188084474886</v>
      </c>
      <c r="U23" s="17">
        <f t="shared" si="3"/>
        <v>262.43600795205742</v>
      </c>
      <c r="V23" s="17">
        <f t="shared" si="4"/>
        <v>819.7612712557077</v>
      </c>
      <c r="W23" s="17">
        <f t="shared" si="5"/>
        <v>468.43501214611871</v>
      </c>
      <c r="X23" s="13">
        <f t="shared" si="6"/>
        <v>0.14298596895962709</v>
      </c>
      <c r="Y23" s="14">
        <f t="shared" si="7"/>
        <v>6.5950906072107687</v>
      </c>
      <c r="Z23" s="15">
        <f t="shared" si="8"/>
        <v>0.43731261907003616</v>
      </c>
      <c r="AA23" s="16">
        <f t="shared" si="9"/>
        <v>4.5501051718220333</v>
      </c>
      <c r="AB23" s="16">
        <f t="shared" si="0"/>
        <v>3.0334034478813554</v>
      </c>
      <c r="AC23" s="16">
        <f t="shared" si="10"/>
        <v>2.1667167484866821</v>
      </c>
      <c r="AD23" s="15">
        <f t="shared" si="11"/>
        <v>3.7120695652173916</v>
      </c>
      <c r="AE23" s="10">
        <f t="shared" si="12"/>
        <v>7.4241391304347832</v>
      </c>
      <c r="AF23" s="16">
        <f t="shared" si="13"/>
        <v>62.956563478260883</v>
      </c>
    </row>
    <row r="24" spans="1:32" ht="36.75" customHeight="1" x14ac:dyDescent="0.25">
      <c r="A24" t="s">
        <v>74</v>
      </c>
      <c r="B24" t="s">
        <v>80</v>
      </c>
      <c r="C24" t="s">
        <v>73</v>
      </c>
      <c r="D24" t="s">
        <v>32</v>
      </c>
      <c r="E24" t="s">
        <v>3</v>
      </c>
      <c r="F24" t="s">
        <v>2</v>
      </c>
      <c r="G24" t="s">
        <v>140</v>
      </c>
      <c r="H24" s="4">
        <v>108000</v>
      </c>
      <c r="I24" s="1">
        <v>6.8</v>
      </c>
      <c r="J24" s="6">
        <v>2</v>
      </c>
      <c r="K24" s="4">
        <v>694235</v>
      </c>
      <c r="L24" s="2">
        <v>264</v>
      </c>
      <c r="M24" s="3">
        <v>110754</v>
      </c>
      <c r="N24" s="3" t="s">
        <v>64</v>
      </c>
      <c r="O24" s="1" t="s">
        <v>66</v>
      </c>
      <c r="P24" s="4">
        <v>522</v>
      </c>
      <c r="Q24" s="3">
        <v>4930</v>
      </c>
      <c r="S24" s="7">
        <f t="shared" si="1"/>
        <v>79.250570776255714</v>
      </c>
      <c r="T24" s="7">
        <f t="shared" si="2"/>
        <v>5.9589041095890409E-2</v>
      </c>
      <c r="U24" s="17">
        <f t="shared" si="3"/>
        <v>12.225184281102955</v>
      </c>
      <c r="V24" s="17">
        <f t="shared" si="4"/>
        <v>396.25285388127855</v>
      </c>
      <c r="W24" s="17">
        <f t="shared" si="5"/>
        <v>226.43020221787347</v>
      </c>
      <c r="X24" s="13">
        <f t="shared" si="6"/>
        <v>0.1595338754168257</v>
      </c>
      <c r="Y24" s="14">
        <f t="shared" si="7"/>
        <v>9.4444444444444446</v>
      </c>
      <c r="Z24" s="15">
        <f t="shared" si="8"/>
        <v>4.5377965900383144</v>
      </c>
      <c r="AA24" s="16">
        <f t="shared" si="9"/>
        <v>3.3312062918176117</v>
      </c>
      <c r="AB24" s="16">
        <f t="shared" si="0"/>
        <v>2.2208041945450745</v>
      </c>
      <c r="AC24" s="16">
        <f t="shared" si="10"/>
        <v>1.5862887103893388</v>
      </c>
      <c r="AD24" s="15">
        <f t="shared" si="11"/>
        <v>2.7426666666666666</v>
      </c>
      <c r="AE24" s="10">
        <f t="shared" si="12"/>
        <v>5.4853333333333332</v>
      </c>
      <c r="AF24" s="16">
        <f t="shared" si="13"/>
        <v>30.500266666666665</v>
      </c>
    </row>
    <row r="25" spans="1:32" ht="36.75" customHeight="1" x14ac:dyDescent="0.25">
      <c r="A25" t="s">
        <v>68</v>
      </c>
      <c r="B25" t="s">
        <v>80</v>
      </c>
      <c r="C25" t="s">
        <v>35</v>
      </c>
      <c r="D25" s="1" t="s">
        <v>34</v>
      </c>
      <c r="E25" s="1" t="s">
        <v>18</v>
      </c>
      <c r="F25" s="1" t="s">
        <v>2</v>
      </c>
      <c r="G25" s="1" t="s">
        <v>144</v>
      </c>
      <c r="H25" s="4">
        <v>239260</v>
      </c>
      <c r="I25" s="1">
        <v>29.2</v>
      </c>
      <c r="J25" s="6">
        <v>2</v>
      </c>
      <c r="K25" s="4">
        <v>4451643.53</v>
      </c>
      <c r="L25" s="4" t="s">
        <v>40</v>
      </c>
      <c r="M25" s="3">
        <v>480236.46</v>
      </c>
      <c r="N25" s="3" t="s">
        <v>64</v>
      </c>
      <c r="O25" s="1" t="s">
        <v>66</v>
      </c>
      <c r="P25" s="4">
        <v>1972.5</v>
      </c>
      <c r="Q25" s="3">
        <v>22021.46</v>
      </c>
      <c r="R25" s="1" t="s">
        <v>130</v>
      </c>
      <c r="S25" s="7">
        <f t="shared" si="1"/>
        <v>508.1784851598174</v>
      </c>
      <c r="T25" s="7">
        <f t="shared" si="2"/>
        <v>0.22517123287671234</v>
      </c>
      <c r="U25" s="17">
        <f t="shared" si="3"/>
        <v>46.195739453018348</v>
      </c>
      <c r="V25" s="17">
        <f t="shared" si="4"/>
        <v>2540.8924257990871</v>
      </c>
      <c r="W25" s="17">
        <f t="shared" si="5"/>
        <v>1451.9385290280497</v>
      </c>
      <c r="X25" s="13">
        <f t="shared" si="6"/>
        <v>0.10787846258660337</v>
      </c>
      <c r="Y25" s="14">
        <f t="shared" si="7"/>
        <v>11.164238276299113</v>
      </c>
      <c r="Z25" s="15">
        <f t="shared" si="8"/>
        <v>7.7003841441622303</v>
      </c>
      <c r="AA25" s="16" t="e">
        <f t="shared" si="9"/>
        <v>#VALUE!</v>
      </c>
      <c r="AB25" s="16" t="e">
        <f t="shared" si="0"/>
        <v>#VALUE!</v>
      </c>
      <c r="AC25" s="16" t="e">
        <f t="shared" si="10"/>
        <v>#VALUE!</v>
      </c>
      <c r="AD25" s="15">
        <f t="shared" si="11"/>
        <v>5.316191590738109</v>
      </c>
      <c r="AE25" s="10">
        <f t="shared" si="12"/>
        <v>10.632383181476218</v>
      </c>
      <c r="AF25" s="16">
        <f t="shared" si="13"/>
        <v>281.26558889910558</v>
      </c>
    </row>
    <row r="26" spans="1:32" ht="36.75" customHeight="1" x14ac:dyDescent="0.25">
      <c r="A26" t="s">
        <v>68</v>
      </c>
      <c r="B26" t="s">
        <v>80</v>
      </c>
      <c r="C26" t="s">
        <v>126</v>
      </c>
      <c r="D26" t="s">
        <v>135</v>
      </c>
      <c r="E26" t="s">
        <v>128</v>
      </c>
      <c r="F26" t="s">
        <v>127</v>
      </c>
      <c r="G26" t="s">
        <v>144</v>
      </c>
      <c r="H26" s="4">
        <v>236874</v>
      </c>
      <c r="I26" s="1">
        <v>24.2</v>
      </c>
      <c r="J26" s="6">
        <v>2</v>
      </c>
      <c r="K26" s="4">
        <v>3815485.79</v>
      </c>
      <c r="L26" s="4" t="s">
        <v>40</v>
      </c>
      <c r="M26" s="3">
        <v>320641.78999999998</v>
      </c>
      <c r="N26" s="3" t="s">
        <v>64</v>
      </c>
      <c r="O26" s="1" t="s">
        <v>66</v>
      </c>
      <c r="P26" s="4">
        <v>46993.2</v>
      </c>
      <c r="Q26" s="3">
        <v>49507.360000000001</v>
      </c>
      <c r="R26" s="1" t="s">
        <v>129</v>
      </c>
      <c r="S26" s="7">
        <f t="shared" si="1"/>
        <v>435.55773858447486</v>
      </c>
      <c r="T26" s="7">
        <f t="shared" si="2"/>
        <v>5.3645205479452054</v>
      </c>
      <c r="U26" s="17">
        <f t="shared" si="3"/>
        <v>1100.5757278902825</v>
      </c>
      <c r="V26" s="17">
        <f t="shared" si="4"/>
        <v>2177.7886929223741</v>
      </c>
      <c r="W26" s="17">
        <f t="shared" si="5"/>
        <v>1244.4506816699281</v>
      </c>
      <c r="X26" s="13">
        <f t="shared" si="6"/>
        <v>8.4036950377424938E-2</v>
      </c>
      <c r="Y26" s="14">
        <f t="shared" si="7"/>
        <v>1.0535005064562533</v>
      </c>
      <c r="Z26" s="15">
        <f t="shared" si="8"/>
        <v>0.27702811290739937</v>
      </c>
      <c r="AA26" s="16" t="e">
        <f t="shared" si="9"/>
        <v>#VALUE!</v>
      </c>
      <c r="AB26" s="16" t="e">
        <f t="shared" si="0"/>
        <v>#VALUE!</v>
      </c>
      <c r="AC26" s="16" t="e">
        <f t="shared" si="10"/>
        <v>#VALUE!</v>
      </c>
      <c r="AD26" s="15">
        <f t="shared" si="11"/>
        <v>4.4502646976873779</v>
      </c>
      <c r="AE26" s="10">
        <f t="shared" si="12"/>
        <v>8.9005293953747557</v>
      </c>
      <c r="AF26" s="16">
        <f t="shared" si="13"/>
        <v>191.19281136806907</v>
      </c>
    </row>
    <row r="27" spans="1:32" ht="36.75" customHeight="1" x14ac:dyDescent="0.25">
      <c r="A27" t="s">
        <v>68</v>
      </c>
      <c r="B27" t="s">
        <v>80</v>
      </c>
      <c r="C27" t="s">
        <v>131</v>
      </c>
      <c r="D27" t="s">
        <v>148</v>
      </c>
      <c r="E27" t="s">
        <v>134</v>
      </c>
      <c r="F27" t="s">
        <v>132</v>
      </c>
      <c r="G27" t="s">
        <v>144</v>
      </c>
      <c r="H27" s="4">
        <v>93750</v>
      </c>
      <c r="I27" s="1">
        <v>3.9</v>
      </c>
      <c r="J27" s="6">
        <v>2</v>
      </c>
      <c r="K27" s="4">
        <v>609681.81999999995</v>
      </c>
      <c r="L27" s="4" t="s">
        <v>40</v>
      </c>
      <c r="M27" s="3">
        <v>72575.850000000006</v>
      </c>
      <c r="N27" s="3" t="s">
        <v>64</v>
      </c>
      <c r="O27" s="1" t="s">
        <v>66</v>
      </c>
      <c r="P27" s="4">
        <v>3699.7</v>
      </c>
      <c r="Q27" s="3">
        <v>41073.25</v>
      </c>
      <c r="R27" s="1" t="s">
        <v>136</v>
      </c>
      <c r="S27" s="7">
        <f t="shared" si="1"/>
        <v>69.59838127853881</v>
      </c>
      <c r="T27" s="7">
        <f t="shared" si="2"/>
        <v>0.42234018264840179</v>
      </c>
      <c r="U27" s="17">
        <f t="shared" si="3"/>
        <v>86.646579089648654</v>
      </c>
      <c r="V27" s="17">
        <f t="shared" si="4"/>
        <v>347.99190639269403</v>
      </c>
      <c r="W27" s="17">
        <f t="shared" si="5"/>
        <v>198.85251793868233</v>
      </c>
      <c r="X27" s="13">
        <f t="shared" si="6"/>
        <v>0.11903889474677137</v>
      </c>
      <c r="Y27" s="14">
        <f t="shared" si="7"/>
        <v>11.101778522582913</v>
      </c>
      <c r="Z27" s="15">
        <f t="shared" si="8"/>
        <v>0.56227109491039806</v>
      </c>
      <c r="AA27" s="16" t="e">
        <f t="shared" si="9"/>
        <v>#VALUE!</v>
      </c>
      <c r="AB27" s="16" t="e">
        <f t="shared" si="0"/>
        <v>#VALUE!</v>
      </c>
      <c r="AC27" s="16" t="e">
        <f t="shared" si="10"/>
        <v>#VALUE!</v>
      </c>
      <c r="AD27" s="15">
        <f t="shared" si="11"/>
        <v>1.8120959999999999</v>
      </c>
      <c r="AE27" s="10">
        <f t="shared" si="12"/>
        <v>3.6241919999999999</v>
      </c>
      <c r="AF27" s="16">
        <f t="shared" si="13"/>
        <v>10.234348799999999</v>
      </c>
    </row>
    <row r="28" spans="1:32" ht="36.75" customHeight="1" x14ac:dyDescent="0.25">
      <c r="A28" t="s">
        <v>137</v>
      </c>
      <c r="B28" t="s">
        <v>80</v>
      </c>
      <c r="C28" t="s">
        <v>16</v>
      </c>
      <c r="D28" t="s">
        <v>38</v>
      </c>
      <c r="E28" t="s">
        <v>16</v>
      </c>
      <c r="F28" t="s">
        <v>5</v>
      </c>
      <c r="G28" t="s">
        <v>141</v>
      </c>
      <c r="H28" s="4">
        <v>844480</v>
      </c>
      <c r="I28" s="1">
        <v>49.1</v>
      </c>
      <c r="J28" s="18">
        <v>3</v>
      </c>
      <c r="K28" s="4">
        <v>559000</v>
      </c>
      <c r="L28" s="1">
        <v>396</v>
      </c>
      <c r="M28" s="3">
        <v>78014.87</v>
      </c>
      <c r="N28" s="3" t="s">
        <v>64</v>
      </c>
      <c r="O28" s="1" t="s">
        <v>69</v>
      </c>
      <c r="P28" s="4">
        <v>1576.1</v>
      </c>
      <c r="Q28" s="3">
        <v>12260.88</v>
      </c>
      <c r="R28" s="1" t="s">
        <v>133</v>
      </c>
      <c r="S28" s="7">
        <f t="shared" si="1"/>
        <v>63.812785388127857</v>
      </c>
      <c r="T28" s="7">
        <f t="shared" si="2"/>
        <v>0.17992009132420089</v>
      </c>
      <c r="U28" s="17">
        <f t="shared" si="3"/>
        <v>36.912093765222927</v>
      </c>
      <c r="V28" s="17">
        <f t="shared" si="4"/>
        <v>319.06392694063925</v>
      </c>
      <c r="W28" s="17">
        <f t="shared" si="5"/>
        <v>182.32224396607961</v>
      </c>
      <c r="X28" s="13">
        <f t="shared" si="6"/>
        <v>0.13956148479427549</v>
      </c>
      <c r="Y28" s="14">
        <f t="shared" si="7"/>
        <v>7.7792525854958443</v>
      </c>
      <c r="Z28" s="15">
        <f t="shared" si="8"/>
        <v>1.2101440263942642</v>
      </c>
      <c r="AA28" s="16">
        <f t="shared" si="9"/>
        <v>6.205652951699463</v>
      </c>
      <c r="AB28" s="16">
        <f t="shared" si="0"/>
        <v>4.1371019677996417</v>
      </c>
      <c r="AC28" s="16">
        <f t="shared" si="10"/>
        <v>2.9550728341426011</v>
      </c>
      <c r="AD28" s="15">
        <f t="shared" si="11"/>
        <v>2.5326780977643049</v>
      </c>
      <c r="AE28" s="10">
        <f t="shared" si="12"/>
        <v>5.0653561955286097</v>
      </c>
      <c r="AF28" s="16">
        <f t="shared" si="13"/>
        <v>199.60898920045474</v>
      </c>
    </row>
    <row r="29" spans="1:32" x14ac:dyDescent="0.25">
      <c r="H29" s="4"/>
      <c r="M29" s="3"/>
    </row>
    <row r="30" spans="1:32" x14ac:dyDescent="0.25">
      <c r="H30" s="4"/>
      <c r="M30" s="3"/>
    </row>
    <row r="31" spans="1:32" x14ac:dyDescent="0.25">
      <c r="H31" s="4"/>
      <c r="M31" s="3"/>
    </row>
    <row r="32" spans="1:32" x14ac:dyDescent="0.25">
      <c r="A32" s="11" t="s">
        <v>177</v>
      </c>
      <c r="H32" s="4"/>
    </row>
    <row r="33" spans="1:18" x14ac:dyDescent="0.25">
      <c r="A33" t="s">
        <v>179</v>
      </c>
    </row>
    <row r="34" spans="1:18" x14ac:dyDescent="0.25">
      <c r="A34" t="s">
        <v>178</v>
      </c>
      <c r="R34" s="1" t="s">
        <v>198</v>
      </c>
    </row>
    <row r="35" spans="1:18" x14ac:dyDescent="0.25">
      <c r="A35" t="s">
        <v>180</v>
      </c>
    </row>
    <row r="36" spans="1:18" x14ac:dyDescent="0.25">
      <c r="A36" t="s">
        <v>181</v>
      </c>
    </row>
    <row r="37" spans="1:18" x14ac:dyDescent="0.25">
      <c r="A37" t="s">
        <v>182</v>
      </c>
    </row>
    <row r="38" spans="1:18" x14ac:dyDescent="0.25">
      <c r="A38" t="s">
        <v>192</v>
      </c>
    </row>
  </sheetData>
  <autoFilter ref="A1:R28" xr:uid="{00000000-0001-0000-0000-000000000000}"/>
  <phoneticPr fontId="2" type="noConversion"/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8ce7efe-c353-4cf8-9d4c-148e26a147e3" xsi:nil="true"/>
    <Dataextractedfrom50statebiogasprofilesinpdf xmlns="65950468-3135-4891-ae74-8a1589473272" xsi:nil="true"/>
    <lcf76f155ced4ddcb4097134ff3c332f xmlns="65950468-3135-4891-ae74-8a1589473272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EA8C0B3A98985478596F957EEE5A42B" ma:contentTypeVersion="15" ma:contentTypeDescription="Create a new document." ma:contentTypeScope="" ma:versionID="813a874e57bc7ee77ed2d675827f2fdd">
  <xsd:schema xmlns:xsd="http://www.w3.org/2001/XMLSchema" xmlns:xs="http://www.w3.org/2001/XMLSchema" xmlns:p="http://schemas.microsoft.com/office/2006/metadata/properties" xmlns:ns2="65950468-3135-4891-ae74-8a1589473272" xmlns:ns3="78ce7efe-c353-4cf8-9d4c-148e26a147e3" targetNamespace="http://schemas.microsoft.com/office/2006/metadata/properties" ma:root="true" ma:fieldsID="52589cb147cfc41901144a84263f1621" ns2:_="" ns3:_="">
    <xsd:import namespace="65950468-3135-4891-ae74-8a1589473272"/>
    <xsd:import namespace="78ce7efe-c353-4cf8-9d4c-148e26a147e3"/>
    <xsd:element name="properties">
      <xsd:complexType>
        <xsd:sequence>
          <xsd:element name="documentManagement">
            <xsd:complexType>
              <xsd:all>
                <xsd:element ref="ns2:Dataextractedfrom50statebiogasprofilesinpdf" minOccurs="0"/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LengthInSecond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950468-3135-4891-ae74-8a1589473272" elementFormDefault="qualified">
    <xsd:import namespace="http://schemas.microsoft.com/office/2006/documentManagement/types"/>
    <xsd:import namespace="http://schemas.microsoft.com/office/infopath/2007/PartnerControls"/>
    <xsd:element name="Dataextractedfrom50statebiogasprofilesinpdf" ma:index="1" nillable="true" ma:displayName="Description of the file" ma:format="Dropdown" ma:internalName="Dataextractedfrom50statebiogasprofilesinpdf" ma:readOnly="false">
      <xsd:simpleType>
        <xsd:restriction base="dms:Note">
          <xsd:maxLength value="255"/>
        </xsd:restriction>
      </xsd:simple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7834da80-57da-4863-8816-2e6886d1e8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hidden="true" ma:internalName="MediaServiceOCR" ma:readOnly="true">
      <xsd:simpleType>
        <xsd:restriction base="dms:Note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ce7efe-c353-4cf8-9d4c-148e26a147e3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c9733b38-e298-4ed0-a612-8f297b01c3f3}" ma:internalName="TaxCatchAll" ma:readOnly="false" ma:showField="CatchAllData" ma:web="78ce7efe-c353-4cf8-9d4c-148e26a147e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hidden="true" ma:internalName="SharedWithDetail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AE0FBAF-579E-429E-B254-9759185C8EB4}">
  <ds:schemaRefs>
    <ds:schemaRef ds:uri="http://schemas.microsoft.com/office/2006/documentManagement/types"/>
    <ds:schemaRef ds:uri="65950468-3135-4891-ae74-8a1589473272"/>
    <ds:schemaRef ds:uri="http://purl.org/dc/elements/1.1/"/>
    <ds:schemaRef ds:uri="http://schemas.openxmlformats.org/package/2006/metadata/core-properties"/>
    <ds:schemaRef ds:uri="http://www.w3.org/XML/1998/namespace"/>
    <ds:schemaRef ds:uri="78ce7efe-c353-4cf8-9d4c-148e26a147e3"/>
    <ds:schemaRef ds:uri="http://purl.org/dc/terms/"/>
    <ds:schemaRef ds:uri="http://schemas.microsoft.com/office/infopath/2007/PartnerControls"/>
    <ds:schemaRef ds:uri="http://schemas.microsoft.com/office/2006/metadata/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8D085DC7-2B76-4A87-9F5C-038FAA97CFC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7952F0A-656C-49A9-873F-B128AEF0E2E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5950468-3135-4891-ae74-8a1589473272"/>
    <ds:schemaRef ds:uri="78ce7efe-c353-4cf8-9d4c-148e26a147e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OshKosh Locations by TAP</vt:lpstr>
      <vt:lpstr>OshKosh Data</vt:lpstr>
    </vt:vector>
  </TitlesOfParts>
  <Company>North Carolina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Lysenko</dc:creator>
  <cp:lastModifiedBy>Becker, William</cp:lastModifiedBy>
  <dcterms:created xsi:type="dcterms:W3CDTF">2024-01-16T18:37:58Z</dcterms:created>
  <dcterms:modified xsi:type="dcterms:W3CDTF">2024-03-09T02:47:15Z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0x0101002EA8C0B3A98985478596F957EEE5A42B</vt:lpwstr>
  </property>
  <property fmtid="{D5CDD505-2E9C-101B-9397-08002B2CF9AE}" pid="3" name="MSIP_Label_95965d95-ecc0-4720-b759-1f33c42ed7da_Enabled">
    <vt:lpwstr>true</vt:lpwstr>
  </property>
  <property fmtid="{D5CDD505-2E9C-101B-9397-08002B2CF9AE}" pid="4" name="MSIP_Label_95965d95-ecc0-4720-b759-1f33c42ed7da_SetDate">
    <vt:lpwstr>2024-03-05T21:43:44Z</vt:lpwstr>
  </property>
  <property fmtid="{D5CDD505-2E9C-101B-9397-08002B2CF9AE}" pid="5" name="MSIP_Label_95965d95-ecc0-4720-b759-1f33c42ed7da_Method">
    <vt:lpwstr>Standard</vt:lpwstr>
  </property>
  <property fmtid="{D5CDD505-2E9C-101B-9397-08002B2CF9AE}" pid="6" name="MSIP_Label_95965d95-ecc0-4720-b759-1f33c42ed7da_Name">
    <vt:lpwstr>General</vt:lpwstr>
  </property>
  <property fmtid="{D5CDD505-2E9C-101B-9397-08002B2CF9AE}" pid="7" name="MSIP_Label_95965d95-ecc0-4720-b759-1f33c42ed7da_SiteId">
    <vt:lpwstr>a0f29d7e-28cd-4f54-8442-7885aee7c080</vt:lpwstr>
  </property>
  <property fmtid="{D5CDD505-2E9C-101B-9397-08002B2CF9AE}" pid="8" name="MSIP_Label_95965d95-ecc0-4720-b759-1f33c42ed7da_ActionId">
    <vt:lpwstr>c59ebde7-0515-4bf0-b750-77acedb44aa0</vt:lpwstr>
  </property>
  <property fmtid="{D5CDD505-2E9C-101B-9397-08002B2CF9AE}" pid="9" name="MSIP_Label_95965d95-ecc0-4720-b759-1f33c42ed7da_ContentBits">
    <vt:lpwstr>0</vt:lpwstr>
  </property>
  <property fmtid="{D5CDD505-2E9C-101B-9397-08002B2CF9AE}" pid="10" name="{A44787D4-0540-4523-9961-78E4036D8C6D}">
    <vt:lpwstr>{6C74298D-7D5F-46F5-98E5-2AB83C67FB39}</vt:lpwstr>
  </property>
  <property fmtid="{D5CDD505-2E9C-101B-9397-08002B2CF9AE}" pid="11" name="MediaServiceImageTags">
    <vt:lpwstr/>
  </property>
</Properties>
</file>