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5315" windowHeight="12075" activeTab="1"/>
  </bookViews>
  <sheets>
    <sheet name="Beckett Battery Modules" sheetId="1" r:id="rId1"/>
    <sheet name="Hygen Use Models" sheetId="2" r:id="rId2"/>
    <sheet name="Sheet3" sheetId="3" r:id="rId3"/>
  </sheets>
  <definedNames>
    <definedName name="Avg_bank_energy_over_lifetime">'Hygen Use Models'!$D$18</definedName>
    <definedName name="Batt_bank_energy__kWh">'Hygen Use Models'!$D$16</definedName>
    <definedName name="Batt_Cycles_50__DOD__guesstimated">'Hygen Use Models'!$D$22</definedName>
    <definedName name="Batt_Cycles_80__DOD">'Hygen Use Models'!$D$21</definedName>
    <definedName name="Batt_end_of_life_definition__capacity_degradation">'Hygen Use Models'!$D$17</definedName>
    <definedName name="Beckett_module_nominal_energy__kWh">'Hygen Use Models'!$D$14</definedName>
    <definedName name="Cycle_energy__kWh">'Hygen Use Models'!$D$20</definedName>
    <definedName name="Depth_of_Discharge">'Hygen Use Models'!$D$19</definedName>
    <definedName name="Diesel_cost____l">'Hygen Use Models'!$G$22</definedName>
    <definedName name="Engine_service_interval__h">'Hygen Use Models'!$G$16</definedName>
    <definedName name="Engine_spec_d_life__h">'Hygen Use Models'!$G$14</definedName>
    <definedName name="Format_Parallel">'Beckett Battery Modules'!$H$7</definedName>
    <definedName name="Format_Parallel_Stack">'Beckett Battery Modules'!$N$7</definedName>
    <definedName name="Format_Series">'Beckett Battery Modules'!$H$6</definedName>
    <definedName name="Format_Series_Stack">'Beckett Battery Modules'!$N$6</definedName>
    <definedName name="Fuel_Tank_Capacity__l">'Hygen Use Models'!$G$21</definedName>
    <definedName name="Hours_in_a_year__h">'Hygen Use Models'!$G$15</definedName>
    <definedName name="Max_charge_rate">'Beckett Battery Modules'!$C$9</definedName>
    <definedName name="Max_discharge_rate">'Beckett Battery Modules'!$C$10</definedName>
    <definedName name="Nominal_Capacity">'Beckett Battery Modules'!$C$6</definedName>
    <definedName name="Nominal_Capacity_Module">'Beckett Battery Modules'!$H$8</definedName>
    <definedName name="Nominal_Energy">'Beckett Battery Modules'!$C$7</definedName>
    <definedName name="Nominal_Energy_Module">'Beckett Battery Modules'!$H$9</definedName>
    <definedName name="Nominal_Voltage">'Beckett Battery Modules'!$C$8</definedName>
    <definedName name="_xlnm.Print_Area" localSheetId="1">'Hygen Use Models'!$B$1:$P$127</definedName>
    <definedName name="SFC__l_kWh">'Hygen Use Models'!$G$20</definedName>
    <definedName name="Stack_height">'Hygen Use Models'!$D$15</definedName>
    <definedName name="Voltage_at_0">'Beckett Battery Modules'!$B$11:$C$11</definedName>
    <definedName name="Voltage_at_100">'Beckett Battery Modules'!$B$14:$C$14</definedName>
    <definedName name="Voltage_at_30">'Beckett Battery Modules'!$C$12</definedName>
    <definedName name="Voltage_at_80">'Beckett Battery Modules'!$C$13</definedName>
  </definedNames>
  <calcPr calcId="145621"/>
</workbook>
</file>

<file path=xl/calcChain.xml><?xml version="1.0" encoding="utf-8"?>
<calcChain xmlns="http://schemas.openxmlformats.org/spreadsheetml/2006/main">
  <c r="D18" i="2" l="1"/>
  <c r="D20" i="2" s="1"/>
  <c r="E57" i="2" l="1"/>
  <c r="E63" i="2"/>
  <c r="F60" i="2"/>
  <c r="G57" i="2"/>
  <c r="G62" i="2"/>
  <c r="E60" i="2"/>
  <c r="F62" i="2"/>
  <c r="E62" i="2"/>
  <c r="F59" i="2"/>
  <c r="G59" i="2"/>
  <c r="F64" i="2"/>
  <c r="E59" i="2"/>
  <c r="E64" i="2"/>
  <c r="F61" i="2"/>
  <c r="G58" i="2"/>
  <c r="F57" i="2"/>
  <c r="G64" i="2"/>
  <c r="G61" i="2"/>
  <c r="G63" i="2"/>
  <c r="E61" i="2"/>
  <c r="F58" i="2"/>
  <c r="F63" i="2"/>
  <c r="G60" i="2"/>
  <c r="E58" i="2"/>
  <c r="J20" i="1"/>
  <c r="K47" i="2" l="1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J47" i="2"/>
  <c r="J48" i="2"/>
  <c r="J49" i="2"/>
  <c r="J50" i="2"/>
  <c r="J51" i="2"/>
  <c r="J52" i="2"/>
  <c r="J53" i="2"/>
  <c r="J46" i="2"/>
  <c r="G15" i="2" l="1"/>
  <c r="D16" i="2"/>
  <c r="F42" i="2"/>
  <c r="F43" i="2" s="1"/>
  <c r="G42" i="2"/>
  <c r="G43" i="2" s="1"/>
  <c r="E42" i="2"/>
  <c r="E43" i="2" s="1"/>
  <c r="G38" i="2"/>
  <c r="F31" i="2"/>
  <c r="F33" i="2" s="1"/>
  <c r="F35" i="2" s="1"/>
  <c r="F36" i="2" s="1"/>
  <c r="F38" i="2" s="1"/>
  <c r="G31" i="2"/>
  <c r="G33" i="2" s="1"/>
  <c r="G35" i="2" s="1"/>
  <c r="E31" i="2"/>
  <c r="E33" i="2" s="1"/>
  <c r="E35" i="2" s="1"/>
  <c r="E38" i="2" s="1"/>
  <c r="G49" i="2" l="1"/>
  <c r="G67" i="2" s="1"/>
  <c r="G50" i="2"/>
  <c r="G68" i="2" s="1"/>
  <c r="G54" i="2"/>
  <c r="G72" i="2" s="1"/>
  <c r="G52" i="2"/>
  <c r="G70" i="2" s="1"/>
  <c r="F50" i="2"/>
  <c r="F68" i="2" s="1"/>
  <c r="F49" i="2"/>
  <c r="F67" i="2" s="1"/>
  <c r="F54" i="2"/>
  <c r="F72" i="2" s="1"/>
  <c r="F52" i="2"/>
  <c r="F70" i="2" s="1"/>
  <c r="E54" i="2"/>
  <c r="E72" i="2" s="1"/>
  <c r="E50" i="2"/>
  <c r="E68" i="2" s="1"/>
  <c r="E49" i="2"/>
  <c r="E67" i="2" s="1"/>
  <c r="E52" i="2"/>
  <c r="E70" i="2" s="1"/>
  <c r="G53" i="2"/>
  <c r="G71" i="2" s="1"/>
  <c r="G40" i="2"/>
  <c r="G44" i="2" s="1"/>
  <c r="E53" i="2"/>
  <c r="E40" i="2"/>
  <c r="E44" i="2" s="1"/>
  <c r="E48" i="2"/>
  <c r="E66" i="2" s="1"/>
  <c r="E55" i="2"/>
  <c r="E73" i="2" s="1"/>
  <c r="E51" i="2"/>
  <c r="G51" i="2"/>
  <c r="G48" i="2"/>
  <c r="G66" i="2" s="1"/>
  <c r="G55" i="2"/>
  <c r="F48" i="2"/>
  <c r="F66" i="2" s="1"/>
  <c r="F53" i="2"/>
  <c r="F40" i="2"/>
  <c r="F44" i="2" s="1"/>
  <c r="F55" i="2"/>
  <c r="F51" i="2"/>
  <c r="C31" i="1"/>
  <c r="C30" i="1"/>
  <c r="H19" i="1"/>
  <c r="H17" i="1"/>
  <c r="N17" i="1" s="1"/>
  <c r="H15" i="1"/>
  <c r="N15" i="1" s="1"/>
  <c r="H14" i="1"/>
  <c r="N14" i="1" s="1"/>
  <c r="E77" i="2" l="1"/>
  <c r="E86" i="2" s="1"/>
  <c r="G79" i="2"/>
  <c r="F82" i="2"/>
  <c r="F91" i="2" s="1"/>
  <c r="F77" i="2"/>
  <c r="F86" i="2" s="1"/>
  <c r="E80" i="2"/>
  <c r="E89" i="2" s="1"/>
  <c r="G82" i="2"/>
  <c r="G91" i="2" s="1"/>
  <c r="G77" i="2"/>
  <c r="G86" i="2" s="1"/>
  <c r="F80" i="2"/>
  <c r="F89" i="2" s="1"/>
  <c r="E83" i="2"/>
  <c r="E92" i="2" s="1"/>
  <c r="E78" i="2"/>
  <c r="E87" i="2" s="1"/>
  <c r="G80" i="2"/>
  <c r="G89" i="2" s="1"/>
  <c r="F83" i="2"/>
  <c r="F78" i="2"/>
  <c r="F87" i="2" s="1"/>
  <c r="E81" i="2"/>
  <c r="G83" i="2"/>
  <c r="F79" i="2"/>
  <c r="G78" i="2"/>
  <c r="G87" i="2" s="1"/>
  <c r="F81" i="2"/>
  <c r="G81" i="2"/>
  <c r="G90" i="2" s="1"/>
  <c r="E79" i="2"/>
  <c r="E82" i="2"/>
  <c r="E91" i="2" s="1"/>
  <c r="E71" i="2"/>
  <c r="G73" i="2"/>
  <c r="G69" i="2"/>
  <c r="F71" i="2"/>
  <c r="E69" i="2"/>
  <c r="G95" i="2" l="1"/>
  <c r="G114" i="2"/>
  <c r="G100" i="2"/>
  <c r="G119" i="2"/>
  <c r="F98" i="2"/>
  <c r="F117" i="2"/>
  <c r="F96" i="2"/>
  <c r="F115" i="2"/>
  <c r="E98" i="2"/>
  <c r="E117" i="2"/>
  <c r="E100" i="2"/>
  <c r="E119" i="2"/>
  <c r="F95" i="2"/>
  <c r="F114" i="2"/>
  <c r="G99" i="2"/>
  <c r="G118" i="2"/>
  <c r="G98" i="2"/>
  <c r="G117" i="2"/>
  <c r="F100" i="2"/>
  <c r="F119" i="2"/>
  <c r="E96" i="2"/>
  <c r="E115" i="2"/>
  <c r="G96" i="2"/>
  <c r="G115" i="2"/>
  <c r="E95" i="2"/>
  <c r="E114" i="2"/>
  <c r="G88" i="2"/>
  <c r="G116" i="2" s="1"/>
  <c r="G92" i="2"/>
  <c r="G120" i="2" s="1"/>
  <c r="G101" i="2"/>
  <c r="E90" i="2"/>
  <c r="E88" i="2"/>
  <c r="F90" i="2"/>
  <c r="F73" i="2"/>
  <c r="F69" i="2"/>
  <c r="G109" i="2" l="1"/>
  <c r="G127" i="2"/>
  <c r="M51" i="2" s="1"/>
  <c r="G111" i="2"/>
  <c r="G129" i="2"/>
  <c r="M53" i="2" s="1"/>
  <c r="G110" i="2"/>
  <c r="G128" i="2"/>
  <c r="M52" i="2" s="1"/>
  <c r="G106" i="2"/>
  <c r="G124" i="2"/>
  <c r="M48" i="2" s="1"/>
  <c r="G108" i="2"/>
  <c r="G126" i="2"/>
  <c r="M50" i="2" s="1"/>
  <c r="G105" i="2"/>
  <c r="G123" i="2"/>
  <c r="M47" i="2" s="1"/>
  <c r="F106" i="2"/>
  <c r="F124" i="2"/>
  <c r="F110" i="2"/>
  <c r="F128" i="2"/>
  <c r="F108" i="2"/>
  <c r="F126" i="2"/>
  <c r="F105" i="2"/>
  <c r="F123" i="2"/>
  <c r="E106" i="2"/>
  <c r="E124" i="2"/>
  <c r="E110" i="2"/>
  <c r="E128" i="2"/>
  <c r="E105" i="2"/>
  <c r="E123" i="2"/>
  <c r="E108" i="2"/>
  <c r="E126" i="2"/>
  <c r="E97" i="2"/>
  <c r="E116" i="2"/>
  <c r="E99" i="2"/>
  <c r="E118" i="2"/>
  <c r="G97" i="2"/>
  <c r="F99" i="2"/>
  <c r="F118" i="2"/>
  <c r="F88" i="2"/>
  <c r="F92" i="2"/>
  <c r="G107" i="2" l="1"/>
  <c r="G125" i="2"/>
  <c r="M49" i="2" s="1"/>
  <c r="F109" i="2"/>
  <c r="F127" i="2"/>
  <c r="E109" i="2"/>
  <c r="E127" i="2"/>
  <c r="E107" i="2"/>
  <c r="E125" i="2"/>
  <c r="F97" i="2"/>
  <c r="F116" i="2"/>
  <c r="F101" i="2"/>
  <c r="F120" i="2"/>
  <c r="F107" i="2" l="1"/>
  <c r="F125" i="2"/>
  <c r="F111" i="2"/>
  <c r="F129" i="2"/>
</calcChain>
</file>

<file path=xl/sharedStrings.xml><?xml version="1.0" encoding="utf-8"?>
<sst xmlns="http://schemas.openxmlformats.org/spreadsheetml/2006/main" count="213" uniqueCount="172">
  <si>
    <t>Boston Swing 5300</t>
  </si>
  <si>
    <t>Nominal Capacity</t>
  </si>
  <si>
    <t>Ah</t>
  </si>
  <si>
    <t>Nominal Energy</t>
  </si>
  <si>
    <t>Wh</t>
  </si>
  <si>
    <t>Nominal Voltage</t>
  </si>
  <si>
    <t>V</t>
  </si>
  <si>
    <t>Max charge rate</t>
  </si>
  <si>
    <t>A</t>
  </si>
  <si>
    <t>Max discharge rate</t>
  </si>
  <si>
    <t>Voltage at 30%</t>
  </si>
  <si>
    <t>Voltage at 80%</t>
  </si>
  <si>
    <t>Beckett 8224S Module</t>
  </si>
  <si>
    <t>series</t>
  </si>
  <si>
    <t>parallel</t>
  </si>
  <si>
    <t>Format Series</t>
  </si>
  <si>
    <t>Format Parallel</t>
  </si>
  <si>
    <t>Nominal Capacity Module</t>
  </si>
  <si>
    <t>Nominal Energy Module</t>
  </si>
  <si>
    <t>Stack of Beckett modules</t>
  </si>
  <si>
    <t>Format Series Stack</t>
  </si>
  <si>
    <t>Format Parallel Stack</t>
  </si>
  <si>
    <t>Approx</t>
  </si>
  <si>
    <t>10kWh</t>
  </si>
  <si>
    <t>24V</t>
  </si>
  <si>
    <t>27V</t>
  </si>
  <si>
    <t>1kWh</t>
  </si>
  <si>
    <t>Voltage at 0%</t>
  </si>
  <si>
    <t>Voltage at 100%</t>
  </si>
  <si>
    <t>Recommended charge 0.5C</t>
  </si>
  <si>
    <t>Recommended discharge 0.6C</t>
  </si>
  <si>
    <t>Max discharge 1.2C</t>
  </si>
  <si>
    <t>NovaTorque Alternator</t>
  </si>
  <si>
    <t>Rated load current</t>
  </si>
  <si>
    <t>Vac</t>
  </si>
  <si>
    <t>220 - 240</t>
  </si>
  <si>
    <t>These are resting voltage numbers.  When we're pushing</t>
  </si>
  <si>
    <t>charge into the stack, figure these numbers are going to be</t>
  </si>
  <si>
    <t>around 10V higher.</t>
  </si>
  <si>
    <t>Vac peak 220</t>
  </si>
  <si>
    <t>Vac peak 240</t>
  </si>
  <si>
    <t>Looks like as the battery voltage comes up, the peaks of the sine waves</t>
  </si>
  <si>
    <t xml:space="preserve">that make it through the rectifier get narrower.  I bet this is the cause </t>
  </si>
  <si>
    <t>of BK's observed drop of power into the battery.</t>
  </si>
  <si>
    <t>This reminds me to look into the half wave / full wave rectifier question.</t>
  </si>
  <si>
    <t>Recommends 0.5C charge and 0.6C discharge</t>
  </si>
  <si>
    <t>Info from Bill Kanz's 3 models of Hygen System Design, 3/1/2016.</t>
  </si>
  <si>
    <t>2 cylinder</t>
  </si>
  <si>
    <t>3 cylinder</t>
  </si>
  <si>
    <t>Engine gross intermittent power, kW</t>
  </si>
  <si>
    <t>B</t>
  </si>
  <si>
    <t>Engine net intermittent power, kW</t>
  </si>
  <si>
    <t>Maximum engine load factor, %</t>
  </si>
  <si>
    <t>Engine efficiency (after fan, alternator, etc.), %</t>
  </si>
  <si>
    <t>C</t>
  </si>
  <si>
    <t>Engine max net weighted power, kW</t>
  </si>
  <si>
    <t>Alternator power efficiency, %</t>
  </si>
  <si>
    <t>D</t>
  </si>
  <si>
    <t>Alternator max output (calculated), kW</t>
  </si>
  <si>
    <t>NovaTorque max power, kW</t>
  </si>
  <si>
    <t>Rectifier power efficiency, %</t>
  </si>
  <si>
    <t>E1</t>
  </si>
  <si>
    <t>Rectifier max output, kW</t>
  </si>
  <si>
    <t>Bill Kanz's analysis:</t>
  </si>
  <si>
    <t>DC - DC converter power efficiency, %</t>
  </si>
  <si>
    <t>F1</t>
  </si>
  <si>
    <t>Max rated DC power output, kW</t>
  </si>
  <si>
    <t>F3</t>
  </si>
  <si>
    <t>AC accessory load, kW</t>
  </si>
  <si>
    <t>F2</t>
  </si>
  <si>
    <t>Max rated tower load, kW</t>
  </si>
  <si>
    <t>F4</t>
  </si>
  <si>
    <t>Spec'd AC max accessory load, kW</t>
  </si>
  <si>
    <t>Estimated AC inverter efficiency, %</t>
  </si>
  <si>
    <t>Battery C-rate w/ 0kW Tower Load</t>
  </si>
  <si>
    <t>Battery C-rate w/ 2kW Tower Load</t>
  </si>
  <si>
    <t>Battery C-rate w/ 4kW Tower Load</t>
  </si>
  <si>
    <t>Battery C-rate w/ 6kW Tower Load</t>
  </si>
  <si>
    <t>Working back upstream from tower load to battery charging.</t>
  </si>
  <si>
    <t>Checking Stack Energy</t>
  </si>
  <si>
    <t>Beckett module nominal energy, kWh</t>
  </si>
  <si>
    <t>Checking module energy</t>
  </si>
  <si>
    <t>Stack height</t>
  </si>
  <si>
    <t>Batt bank energy, kWh</t>
  </si>
  <si>
    <t>E3</t>
  </si>
  <si>
    <t>Tower Load, kW</t>
  </si>
  <si>
    <t>Power available to charge battery bank, kW</t>
  </si>
  <si>
    <t>Depth of Discharge, %</t>
  </si>
  <si>
    <t>Cycle energy, kWh</t>
  </si>
  <si>
    <t>Limited by Engine Load Factor</t>
  </si>
  <si>
    <t>Limited by Today's NovaTorque</t>
  </si>
  <si>
    <t>Engine on time to charge battery w/ 0kW Tower Load, h</t>
  </si>
  <si>
    <t>Engine on time to charge battery w/ 2kW Tower Load, h</t>
  </si>
  <si>
    <t>Engine on time to charge battery w/ 4kW Tower Load, h</t>
  </si>
  <si>
    <t>Engine on time to charge battery w/ 6kW Tower Load, h</t>
  </si>
  <si>
    <t>Tower run time on battery w/ 0kW Tower Load, h</t>
  </si>
  <si>
    <t>Tower run time on battery w/ 2kW Tower Load, h</t>
  </si>
  <si>
    <t>Tower run time on battery w/ 4kW Tower Load, h</t>
  </si>
  <si>
    <t>Tower run time on battery w/ 6kW Tower Load, h</t>
  </si>
  <si>
    <t>Tcharge</t>
  </si>
  <si>
    <t>Tdischarge</t>
  </si>
  <si>
    <t>Tcycle</t>
  </si>
  <si>
    <t>Cycle time w/ 0kW Tower Load, h</t>
  </si>
  <si>
    <t>Cycle time w/ 2kW Tower Load, h</t>
  </si>
  <si>
    <t>Cycle time w/ 4kW Tower Load, h</t>
  </si>
  <si>
    <t>Cycle time w/ 6kW Tower Load, h</t>
  </si>
  <si>
    <t>Engine duty cycle w/ 0kW Tower Load, %</t>
  </si>
  <si>
    <t>Engine duty cycle w/ 2kW Tower Load, %</t>
  </si>
  <si>
    <t>Engine duty cycle w/ 4kW Tower Load, %</t>
  </si>
  <si>
    <t>Engine duty cycle w/ 6kW Tower Load, %</t>
  </si>
  <si>
    <t>Engine spec'd life, h</t>
  </si>
  <si>
    <t>Hours in a year, h</t>
  </si>
  <si>
    <t>Engine life in years w/ 0kW Tower Load, y</t>
  </si>
  <si>
    <t>Engine life in years w/ 2kW Tower Load, y</t>
  </si>
  <si>
    <t>Engine life in years w/ 4kW Tower Load, y</t>
  </si>
  <si>
    <t>Engine life in years w/ 6kW Tower Load, y</t>
  </si>
  <si>
    <t>Error</t>
  </si>
  <si>
    <t>Batt Cycles 80% DOD</t>
  </si>
  <si>
    <t>Battery life in years w/ 0kW Tower Load, y</t>
  </si>
  <si>
    <t>Battery life in years w/ 2kW Tower Load, y</t>
  </si>
  <si>
    <t>Battery life in years w/ 4kW Tower Load, y</t>
  </si>
  <si>
    <t>Battery life in years w/ 6kW Tower Load, y</t>
  </si>
  <si>
    <t>Engine service interval, h</t>
  </si>
  <si>
    <t>Engine maintenance interval w/ 0kW T.L., d</t>
  </si>
  <si>
    <t>Engine maintenance interval w/ 2kW T.L., d</t>
  </si>
  <si>
    <t>Engine maintenance interval w/ 4kW T.L., d</t>
  </si>
  <si>
    <t>Engine maintenance interval w/ 6kW T.L., d</t>
  </si>
  <si>
    <t>Bill Marty's analysis:</t>
  </si>
  <si>
    <t>Battery C-rate w/ 0.5kW Tower Load</t>
  </si>
  <si>
    <t>Battery C-rate w/ 1kW Tower Load</t>
  </si>
  <si>
    <t>Battery C-rate w/ 3kW Tower Load</t>
  </si>
  <si>
    <t>Battery C-rate w/ 5kW Tower Load</t>
  </si>
  <si>
    <t>Engine on time to charge battery w/ 0.5kW Tower Load, h</t>
  </si>
  <si>
    <t>Engine on time to charge battery w/ 1kW Tower Load, h</t>
  </si>
  <si>
    <t>Engine on time to charge battery w/ 3kW Tower Load, h</t>
  </si>
  <si>
    <t>Engine on time to charge battery w/ 5kW Tower Load, h</t>
  </si>
  <si>
    <t>Tower run time on battery w/ 0.5kW Tower Load, h</t>
  </si>
  <si>
    <t>Tower run time on battery w/ 1kW Tower Load, h</t>
  </si>
  <si>
    <t>Tower run time on battery w/ 3kW Tower Load, h</t>
  </si>
  <si>
    <t>Tower run time on battery w/ 5kW Tower Load, h</t>
  </si>
  <si>
    <t>Cycle time w/ 0.5kW Tower Load, h</t>
  </si>
  <si>
    <t>Cycle time w/ 1kW Tower Load, h</t>
  </si>
  <si>
    <t>Cycle time w/ 3kW Tower Load, h</t>
  </si>
  <si>
    <t>Cycle time w/ 5kW Tower Load, h</t>
  </si>
  <si>
    <t>Engine duty cycle w/ 0.5kW Tower Load, %</t>
  </si>
  <si>
    <t>Engine duty cycle w/ 1kW Tower Load, %</t>
  </si>
  <si>
    <t>Engine duty cycle w/ 3kW Tower Load, %</t>
  </si>
  <si>
    <t>Engine duty cycle w/ 5kW Tower Load, %</t>
  </si>
  <si>
    <t>Engine life in years w/ 0.5kW Tower Load, y</t>
  </si>
  <si>
    <t>Engine life in years w/ 1kW Tower Load, y</t>
  </si>
  <si>
    <t>Engine life in years w/ 3kW Tower Load, y</t>
  </si>
  <si>
    <t>Engine life in years w/ 5kW Tower Load, y</t>
  </si>
  <si>
    <t>Battery life in years w/ 0.5kW Tower Load, y</t>
  </si>
  <si>
    <t>Battery life in years w/ 1kW Tower Load, y</t>
  </si>
  <si>
    <t>Battery life in years w/ 3kW Tower Load, y</t>
  </si>
  <si>
    <t>Battery life in years w/ 5kW Tower Load, y</t>
  </si>
  <si>
    <t>Engine maintenance interval w/ 0.5kW T.L., d</t>
  </si>
  <si>
    <t>Engine maintenance interval w/ 1kW T.L., d</t>
  </si>
  <si>
    <t>Engine maintenance interval w/ 3kW T.L., d</t>
  </si>
  <si>
    <t>Engine maintenance interval w/ 5kW T.L., d</t>
  </si>
  <si>
    <t>SFC, l/kWh</t>
  </si>
  <si>
    <t>Fuel Tank Capacity, l</t>
  </si>
  <si>
    <t>Diesel cost, $/l</t>
  </si>
  <si>
    <t>250 liter tank refill interval, d</t>
  </si>
  <si>
    <t>Fuel Cost per Month, $USD</t>
  </si>
  <si>
    <t>1000 liter tank refill interval, days</t>
  </si>
  <si>
    <t>Engine maintenance interval, days</t>
  </si>
  <si>
    <t>These plots customized for Angus's Chilean customer.</t>
  </si>
  <si>
    <t>Batt Cycles 50% DOD, estimated.</t>
  </si>
  <si>
    <t>W</t>
  </si>
  <si>
    <t>Batt end of life definition, capacity degradation</t>
  </si>
  <si>
    <t>Avg bank energy over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</si>
</sst>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2" fontId="0" fillId="5" borderId="0" xfId="0" applyNumberFormat="1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  <xf numFmtId="1" fontId="0" fillId="6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9" fontId="0" fillId="4" borderId="0" xfId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4" fontId="2" fillId="4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067957104489797"/>
          <c:y val="9.2522060512247276E-2"/>
          <c:w val="0.82038607282198306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Models'!$G$105:$G$111</c:f>
              <c:numCache>
                <c:formatCode>0.00</c:formatCode>
                <c:ptCount val="7"/>
                <c:pt idx="0">
                  <c:v>23.440642431601717</c:v>
                </c:pt>
                <c:pt idx="1">
                  <c:v>11.675259932455507</c:v>
                </c:pt>
                <c:pt idx="2">
                  <c:v>5.7925686828824041</c:v>
                </c:pt>
                <c:pt idx="3">
                  <c:v>3.8316715996913695</c:v>
                </c:pt>
                <c:pt idx="4">
                  <c:v>2.8512230580958526</c:v>
                </c:pt>
                <c:pt idx="5">
                  <c:v>2.2629539331385415</c:v>
                </c:pt>
                <c:pt idx="6">
                  <c:v>1.8707745165003349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Models'!$D$114:$D$120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'Hygen Use Models'!$G$114:$G$120</c:f>
              <c:numCache>
                <c:formatCode>0.00</c:formatCode>
                <c:ptCount val="7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  <c:pt idx="3">
                  <c:v>3.4053903625434692</c:v>
                </c:pt>
                <c:pt idx="4">
                  <c:v>3.5366239207742294</c:v>
                </c:pt>
                <c:pt idx="5">
                  <c:v>4.6446259560631358</c:v>
                </c:pt>
                <c:pt idx="6">
                  <c:v>11.119639174288887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6048"/>
        <c:axId val="40147968"/>
      </c:scatterChart>
      <c:valAx>
        <c:axId val="40146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0147968"/>
        <c:crosses val="autoZero"/>
        <c:crossBetween val="midCat"/>
      </c:valAx>
      <c:valAx>
        <c:axId val="4014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146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Models'!$J$46:$J$53</c:f>
              <c:numCache>
                <c:formatCode>0</c:formatCode>
                <c:ptCount val="8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  <c:pt idx="4">
                  <c:v>834.48</c:v>
                </c:pt>
                <c:pt idx="5">
                  <c:v>1112.6400000000001</c:v>
                </c:pt>
                <c:pt idx="6">
                  <c:v>1390.8</c:v>
                </c:pt>
                <c:pt idx="7">
                  <c:v>1668.96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2592"/>
        <c:axId val="39984512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Models'!$I$46:$I$53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'Hygen Use Models'!$K$46:$K$53</c:f>
              <c:numCache>
                <c:formatCode>0.0</c:formatCode>
                <c:ptCount val="8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  <c:pt idx="4">
                  <c:v>36.549707602339183</c:v>
                </c:pt>
                <c:pt idx="5">
                  <c:v>27.412280701754383</c:v>
                </c:pt>
                <c:pt idx="6">
                  <c:v>21.929824561403507</c:v>
                </c:pt>
                <c:pt idx="7">
                  <c:v>18.274853801169591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2704"/>
        <c:axId val="39990784"/>
      </c:scatterChart>
      <c:valAx>
        <c:axId val="39982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84512"/>
        <c:crosses val="autoZero"/>
        <c:crossBetween val="midCat"/>
      </c:valAx>
      <c:valAx>
        <c:axId val="3998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9982592"/>
        <c:crosses val="autoZero"/>
        <c:crossBetween val="midCat"/>
      </c:valAx>
      <c:valAx>
        <c:axId val="39990784"/>
        <c:scaling>
          <c:orientation val="minMax"/>
          <c:max val="2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992704"/>
        <c:crosses val="max"/>
        <c:crossBetween val="midCat"/>
        <c:majorUnit val="30"/>
      </c:valAx>
      <c:valAx>
        <c:axId val="3999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990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Fuel Use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244156336128087"/>
          <c:y val="0.10059742656665657"/>
          <c:w val="0.7850726906559361"/>
          <c:h val="0.691911061229429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'Hygen Use Models'!$J$45</c:f>
              <c:strCache>
                <c:ptCount val="1"/>
                <c:pt idx="0">
                  <c:v>Fuel Cost per Month, $USD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Models'!$J$46:$J$49</c:f>
              <c:numCache>
                <c:formatCode>0</c:formatCode>
                <c:ptCount val="4"/>
                <c:pt idx="0">
                  <c:v>0</c:v>
                </c:pt>
                <c:pt idx="1">
                  <c:v>139.08000000000001</c:v>
                </c:pt>
                <c:pt idx="2">
                  <c:v>278.16000000000003</c:v>
                </c:pt>
                <c:pt idx="3">
                  <c:v>556.32000000000005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6608"/>
        <c:axId val="40038784"/>
      </c:scatterChart>
      <c:scatterChart>
        <c:scatterStyle val="smoothMarker"/>
        <c:varyColors val="0"/>
        <c:ser>
          <c:idx val="1"/>
          <c:order val="1"/>
          <c:tx>
            <c:strRef>
              <c:f>'Hygen Use Models'!$K$45</c:f>
              <c:strCache>
                <c:ptCount val="1"/>
                <c:pt idx="0">
                  <c:v>1000 liter tank refill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Models'!$K$46:$K$49</c:f>
              <c:numCache>
                <c:formatCode>0.0</c:formatCode>
                <c:ptCount val="4"/>
                <c:pt idx="1">
                  <c:v>219.29824561403507</c:v>
                </c:pt>
                <c:pt idx="2">
                  <c:v>109.64912280701753</c:v>
                </c:pt>
                <c:pt idx="3">
                  <c:v>54.824561403508767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'Hygen Use Models'!$M$45</c:f>
              <c:strCache>
                <c:ptCount val="1"/>
                <c:pt idx="0">
                  <c:v>Engine maintenance interval, days</c:v>
                </c:pt>
              </c:strCache>
            </c:strRef>
          </c:tx>
          <c:xVal>
            <c:numRef>
              <c:f>'Hygen Use Models'!$I$46:$I$49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'Hygen Use Models'!$M$46:$M$49</c:f>
              <c:numCache>
                <c:formatCode>0.00</c:formatCode>
                <c:ptCount val="4"/>
                <c:pt idx="1">
                  <c:v>570.38896583564178</c:v>
                </c:pt>
                <c:pt idx="2">
                  <c:v>284.0979916897507</c:v>
                </c:pt>
                <c:pt idx="3">
                  <c:v>140.95250461680516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8896"/>
        <c:axId val="40040704"/>
      </c:scatterChart>
      <c:valAx>
        <c:axId val="40036608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038784"/>
        <c:crosses val="autoZero"/>
        <c:crossBetween val="midCat"/>
        <c:majorUnit val="0.5"/>
      </c:valAx>
      <c:valAx>
        <c:axId val="4003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$USD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0036608"/>
        <c:crosses val="autoZero"/>
        <c:crossBetween val="midCat"/>
      </c:valAx>
      <c:valAx>
        <c:axId val="40040704"/>
        <c:scaling>
          <c:orientation val="minMax"/>
          <c:max val="5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128896"/>
        <c:crosses val="max"/>
        <c:crossBetween val="midCat"/>
        <c:majorUnit val="60"/>
      </c:valAx>
      <c:valAx>
        <c:axId val="4012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40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HyGen Life</a:t>
            </a:r>
          </a:p>
        </c:rich>
      </c:tx>
      <c:layout>
        <c:manualLayout>
          <c:xMode val="edge"/>
          <c:yMode val="edge"/>
          <c:x val="0.44040243138621465"/>
          <c:y val="9.38000457561198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101384943924164"/>
          <c:y val="9.2522060512247276E-2"/>
          <c:w val="0.77908813492081308"/>
          <c:h val="0.7405269111309406"/>
        </c:manualLayout>
      </c:layout>
      <c:scatterChart>
        <c:scatterStyle val="smoothMarker"/>
        <c:varyColors val="0"/>
        <c:ser>
          <c:idx val="0"/>
          <c:order val="0"/>
          <c:tx>
            <c:v>Engine Life in Years</c:v>
          </c:tx>
          <c:xVal>
            <c:numRef>
              <c:f>'Hygen Use Models'!$D$105:$D$107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Models'!$G$105:$G$107</c:f>
              <c:numCache>
                <c:formatCode>0.00</c:formatCode>
                <c:ptCount val="3"/>
                <c:pt idx="0">
                  <c:v>23.440642431601717</c:v>
                </c:pt>
                <c:pt idx="1">
                  <c:v>11.675259932455507</c:v>
                </c:pt>
                <c:pt idx="2">
                  <c:v>5.7925686828824041</c:v>
                </c:pt>
              </c:numCache>
            </c:numRef>
          </c:yVal>
          <c:smooth val="1"/>
        </c:ser>
        <c:ser>
          <c:idx val="1"/>
          <c:order val="1"/>
          <c:tx>
            <c:v>Battery Life in Years</c:v>
          </c:tx>
          <c:xVal>
            <c:numRef>
              <c:f>'Hygen Use Models'!$D$114:$D$116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'Hygen Use Models'!$G$114:$G$116</c:f>
              <c:numCache>
                <c:formatCode>0.00</c:formatCode>
                <c:ptCount val="3"/>
                <c:pt idx="0">
                  <c:v>12.191989403175011</c:v>
                </c:pt>
                <c:pt idx="1">
                  <c:v>6.6218680302958912</c:v>
                </c:pt>
                <c:pt idx="2">
                  <c:v>4.0110362683161478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1584"/>
        <c:axId val="40213504"/>
      </c:scatterChart>
      <c:valAx>
        <c:axId val="40211584"/>
        <c:scaling>
          <c:orientation val="minMax"/>
          <c:max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Customer Load, kW 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40213504"/>
        <c:crosses val="autoZero"/>
        <c:crossBetween val="midCat"/>
        <c:majorUnit val="0.5"/>
      </c:valAx>
      <c:valAx>
        <c:axId val="4021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2115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95250</xdr:rowOff>
    </xdr:from>
    <xdr:to>
      <xdr:col>6</xdr:col>
      <xdr:colOff>857250</xdr:colOff>
      <xdr:row>11</xdr:row>
      <xdr:rowOff>181563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476250"/>
          <a:ext cx="7715250" cy="1991313"/>
        </a:xfrm>
        <a:prstGeom prst="rect">
          <a:avLst/>
        </a:prstGeom>
      </xdr:spPr>
    </xdr:pic>
    <xdr:clientData/>
  </xdr:twoCellAnchor>
  <xdr:twoCellAnchor>
    <xdr:from>
      <xdr:col>7</xdr:col>
      <xdr:colOff>752474</xdr:colOff>
      <xdr:row>98</xdr:row>
      <xdr:rowOff>33336</xdr:rowOff>
    </xdr:from>
    <xdr:to>
      <xdr:col>15</xdr:col>
      <xdr:colOff>9525</xdr:colOff>
      <xdr:row>121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733424</xdr:colOff>
      <xdr:row>73</xdr:row>
      <xdr:rowOff>180975</xdr:rowOff>
    </xdr:from>
    <xdr:to>
      <xdr:col>14</xdr:col>
      <xdr:colOff>609599</xdr:colOff>
      <xdr:row>96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73</xdr:row>
      <xdr:rowOff>171450</xdr:rowOff>
    </xdr:from>
    <xdr:to>
      <xdr:col>27</xdr:col>
      <xdr:colOff>371475</xdr:colOff>
      <xdr:row>96</xdr:row>
      <xdr:rowOff>95249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98</xdr:row>
      <xdr:rowOff>0</xdr:rowOff>
    </xdr:from>
    <xdr:to>
      <xdr:col>27</xdr:col>
      <xdr:colOff>371476</xdr:colOff>
      <xdr:row>121</xdr:row>
      <xdr:rowOff>138114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38"/>
  <sheetViews>
    <sheetView workbookViewId="0">
      <selection activeCell="K21" sqref="K21"/>
    </sheetView>
  </sheetViews>
  <sheetFormatPr defaultRowHeight="15" x14ac:dyDescent="0.25"/>
  <cols>
    <col min="2" max="2" width="16.5703125" bestFit="1" customWidth="1"/>
    <col min="7" max="7" width="28" customWidth="1"/>
    <col min="10" max="10" width="8.42578125" bestFit="1" customWidth="1"/>
    <col min="13" max="13" width="22" bestFit="1" customWidth="1"/>
  </cols>
  <sheetData>
    <row r="5" spans="1:18" x14ac:dyDescent="0.25">
      <c r="A5" t="s">
        <v>0</v>
      </c>
      <c r="F5" t="s">
        <v>12</v>
      </c>
      <c r="J5" t="s">
        <v>22</v>
      </c>
      <c r="L5" t="s">
        <v>19</v>
      </c>
      <c r="P5" t="s">
        <v>22</v>
      </c>
    </row>
    <row r="6" spans="1:18" x14ac:dyDescent="0.25">
      <c r="B6" t="s">
        <v>1</v>
      </c>
      <c r="C6">
        <v>5.3</v>
      </c>
      <c r="D6" t="s">
        <v>2</v>
      </c>
      <c r="G6" t="s">
        <v>15</v>
      </c>
      <c r="H6">
        <v>7</v>
      </c>
      <c r="I6" t="s">
        <v>13</v>
      </c>
      <c r="M6" t="s">
        <v>20</v>
      </c>
      <c r="N6">
        <v>11</v>
      </c>
    </row>
    <row r="7" spans="1:18" x14ac:dyDescent="0.25">
      <c r="B7" t="s">
        <v>3</v>
      </c>
      <c r="C7">
        <v>19.3</v>
      </c>
      <c r="D7" t="s">
        <v>4</v>
      </c>
      <c r="G7" t="s">
        <v>16</v>
      </c>
      <c r="H7">
        <v>7</v>
      </c>
      <c r="I7" t="s">
        <v>14</v>
      </c>
      <c r="M7" t="s">
        <v>21</v>
      </c>
      <c r="N7">
        <v>1</v>
      </c>
    </row>
    <row r="8" spans="1:18" x14ac:dyDescent="0.25">
      <c r="B8" t="s">
        <v>5</v>
      </c>
      <c r="C8">
        <v>3.65</v>
      </c>
      <c r="D8" t="s">
        <v>6</v>
      </c>
      <c r="G8" t="s">
        <v>17</v>
      </c>
      <c r="H8">
        <v>42.4</v>
      </c>
      <c r="I8" t="s">
        <v>2</v>
      </c>
    </row>
    <row r="9" spans="1:18" x14ac:dyDescent="0.25">
      <c r="B9" t="s">
        <v>7</v>
      </c>
      <c r="C9">
        <v>10.6</v>
      </c>
      <c r="D9" t="s">
        <v>8</v>
      </c>
      <c r="G9" t="s">
        <v>18</v>
      </c>
      <c r="H9">
        <v>1100</v>
      </c>
      <c r="I9" t="s">
        <v>4</v>
      </c>
    </row>
    <row r="10" spans="1:18" x14ac:dyDescent="0.25">
      <c r="B10" t="s">
        <v>9</v>
      </c>
      <c r="C10">
        <v>13</v>
      </c>
      <c r="D10" t="s">
        <v>8</v>
      </c>
    </row>
    <row r="11" spans="1:18" x14ac:dyDescent="0.25">
      <c r="B11" t="s">
        <v>27</v>
      </c>
      <c r="C11">
        <v>3.2</v>
      </c>
      <c r="D11" t="s">
        <v>6</v>
      </c>
      <c r="G11" t="s">
        <v>45</v>
      </c>
    </row>
    <row r="12" spans="1:18" x14ac:dyDescent="0.25">
      <c r="B12" t="s">
        <v>10</v>
      </c>
      <c r="C12">
        <v>3.4</v>
      </c>
      <c r="D12" t="s">
        <v>6</v>
      </c>
    </row>
    <row r="13" spans="1:18" x14ac:dyDescent="0.25">
      <c r="B13" t="s">
        <v>11</v>
      </c>
      <c r="C13">
        <v>3.85</v>
      </c>
      <c r="D13" t="s">
        <v>6</v>
      </c>
    </row>
    <row r="14" spans="1:18" x14ac:dyDescent="0.25">
      <c r="B14" t="s">
        <v>28</v>
      </c>
      <c r="C14">
        <v>4.2</v>
      </c>
      <c r="D14" t="s">
        <v>6</v>
      </c>
      <c r="G14" t="s">
        <v>10</v>
      </c>
      <c r="H14">
        <f>Voltage_at_30 * Format_Series</f>
        <v>23.8</v>
      </c>
      <c r="I14" t="s">
        <v>6</v>
      </c>
      <c r="J14" t="s">
        <v>24</v>
      </c>
      <c r="M14" t="s">
        <v>10</v>
      </c>
      <c r="N14">
        <f>H14*Format_Series_Stack</f>
        <v>261.8</v>
      </c>
      <c r="O14" t="s">
        <v>6</v>
      </c>
      <c r="P14">
        <v>260</v>
      </c>
      <c r="Q14" t="s">
        <v>6</v>
      </c>
      <c r="R14" t="s">
        <v>36</v>
      </c>
    </row>
    <row r="15" spans="1:18" x14ac:dyDescent="0.25">
      <c r="G15" t="s">
        <v>11</v>
      </c>
      <c r="H15">
        <f>Voltage_at_80 * Format_Series</f>
        <v>26.95</v>
      </c>
      <c r="I15" t="s">
        <v>6</v>
      </c>
      <c r="J15" t="s">
        <v>25</v>
      </c>
      <c r="M15" t="s">
        <v>11</v>
      </c>
      <c r="N15">
        <f>H15*Format_Series_Stack</f>
        <v>296.45</v>
      </c>
      <c r="O15" t="s">
        <v>6</v>
      </c>
      <c r="P15">
        <v>296</v>
      </c>
      <c r="Q15" t="s">
        <v>6</v>
      </c>
      <c r="R15" t="s">
        <v>37</v>
      </c>
    </row>
    <row r="16" spans="1:18" x14ac:dyDescent="0.25">
      <c r="R16" t="s">
        <v>38</v>
      </c>
    </row>
    <row r="17" spans="1:16" x14ac:dyDescent="0.25">
      <c r="G17" t="s">
        <v>81</v>
      </c>
      <c r="H17">
        <f>Format_Series*Format_Parallel*Nominal_Energy</f>
        <v>945.7</v>
      </c>
      <c r="I17" t="s">
        <v>4</v>
      </c>
      <c r="J17" t="s">
        <v>26</v>
      </c>
      <c r="M17" t="s">
        <v>79</v>
      </c>
      <c r="N17">
        <f>H17*Format_Series_Stack</f>
        <v>10402.700000000001</v>
      </c>
      <c r="O17" t="s">
        <v>4</v>
      </c>
      <c r="P17" t="s">
        <v>23</v>
      </c>
    </row>
    <row r="19" spans="1:16" x14ac:dyDescent="0.25">
      <c r="G19" t="s">
        <v>29</v>
      </c>
      <c r="H19">
        <f>Nominal_Capacity_Module/2</f>
        <v>21.2</v>
      </c>
      <c r="I19" t="s">
        <v>8</v>
      </c>
    </row>
    <row r="20" spans="1:16" x14ac:dyDescent="0.25">
      <c r="G20" t="s">
        <v>30</v>
      </c>
      <c r="H20">
        <v>25</v>
      </c>
      <c r="I20" t="s">
        <v>8</v>
      </c>
      <c r="J20">
        <f>(P15+P14)/2*H20</f>
        <v>6950</v>
      </c>
      <c r="K20" t="s">
        <v>169</v>
      </c>
    </row>
    <row r="21" spans="1:16" x14ac:dyDescent="0.25">
      <c r="G21" t="s">
        <v>31</v>
      </c>
      <c r="H21">
        <v>50</v>
      </c>
      <c r="I21" t="s">
        <v>8</v>
      </c>
    </row>
    <row r="27" spans="1:16" x14ac:dyDescent="0.25">
      <c r="A27" t="s">
        <v>32</v>
      </c>
    </row>
    <row r="28" spans="1:16" x14ac:dyDescent="0.25">
      <c r="B28" t="s">
        <v>33</v>
      </c>
      <c r="C28">
        <v>24.4</v>
      </c>
      <c r="D28" t="s">
        <v>8</v>
      </c>
    </row>
    <row r="29" spans="1:16" x14ac:dyDescent="0.25">
      <c r="B29" t="s">
        <v>34</v>
      </c>
      <c r="C29" t="s">
        <v>35</v>
      </c>
      <c r="D29" t="s">
        <v>34</v>
      </c>
    </row>
    <row r="30" spans="1:16" x14ac:dyDescent="0.25">
      <c r="B30" t="s">
        <v>39</v>
      </c>
      <c r="C30">
        <f>220 * 2/SQRT(2)</f>
        <v>311.12698372208087</v>
      </c>
      <c r="D30" t="s">
        <v>34</v>
      </c>
    </row>
    <row r="31" spans="1:16" x14ac:dyDescent="0.25">
      <c r="B31" t="s">
        <v>40</v>
      </c>
      <c r="C31">
        <f>240*2/SQRT(2)</f>
        <v>339.41125496954277</v>
      </c>
      <c r="D31" t="s">
        <v>34</v>
      </c>
    </row>
    <row r="35" spans="2:2" x14ac:dyDescent="0.25">
      <c r="B35" t="s">
        <v>41</v>
      </c>
    </row>
    <row r="36" spans="2:2" x14ac:dyDescent="0.25">
      <c r="B36" t="s">
        <v>42</v>
      </c>
    </row>
    <row r="37" spans="2:2" x14ac:dyDescent="0.25">
      <c r="B37" t="s">
        <v>43</v>
      </c>
    </row>
    <row r="38" spans="2:2" x14ac:dyDescent="0.25">
      <c r="B3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9"/>
  <sheetViews>
    <sheetView tabSelected="1" workbookViewId="0">
      <selection activeCell="D23" sqref="D23"/>
    </sheetView>
  </sheetViews>
  <sheetFormatPr defaultRowHeight="15" x14ac:dyDescent="0.25"/>
  <cols>
    <col min="1" max="1" width="2.7109375" customWidth="1"/>
    <col min="2" max="2" width="8.42578125" customWidth="1"/>
    <col min="3" max="3" width="49.42578125" customWidth="1"/>
    <col min="4" max="4" width="9.28515625" customWidth="1"/>
    <col min="5" max="5" width="17.7109375" customWidth="1"/>
    <col min="6" max="6" width="18.28515625" customWidth="1"/>
    <col min="7" max="7" width="17" customWidth="1"/>
    <col min="8" max="8" width="17.7109375" customWidth="1"/>
    <col min="9" max="13" width="15.7109375" customWidth="1"/>
  </cols>
  <sheetData>
    <row r="1" spans="2:7" x14ac:dyDescent="0.25">
      <c r="B1" t="s">
        <v>46</v>
      </c>
    </row>
    <row r="14" spans="2:7" x14ac:dyDescent="0.25">
      <c r="C14" s="1" t="s">
        <v>80</v>
      </c>
      <c r="D14" s="3">
        <v>1</v>
      </c>
      <c r="F14" s="1" t="s">
        <v>110</v>
      </c>
      <c r="G14">
        <v>15000</v>
      </c>
    </row>
    <row r="15" spans="2:7" x14ac:dyDescent="0.25">
      <c r="C15" t="s">
        <v>82</v>
      </c>
      <c r="D15">
        <v>11</v>
      </c>
      <c r="F15" t="s">
        <v>111</v>
      </c>
      <c r="G15">
        <f>365*24</f>
        <v>8760</v>
      </c>
    </row>
    <row r="16" spans="2:7" ht="30" x14ac:dyDescent="0.25">
      <c r="C16" s="1" t="s">
        <v>83</v>
      </c>
      <c r="D16">
        <f>D15*D14</f>
        <v>11</v>
      </c>
      <c r="F16" s="1" t="s">
        <v>122</v>
      </c>
      <c r="G16">
        <v>1000</v>
      </c>
    </row>
    <row r="17" spans="2:7" x14ac:dyDescent="0.25">
      <c r="C17" s="1" t="s">
        <v>170</v>
      </c>
      <c r="D17" s="2">
        <v>0.8</v>
      </c>
      <c r="F17" s="1"/>
    </row>
    <row r="18" spans="2:7" x14ac:dyDescent="0.25">
      <c r="C18" s="1" t="s">
        <v>171</v>
      </c>
      <c r="D18" s="2">
        <f>(1+D17)/2</f>
        <v>0.9</v>
      </c>
      <c r="F18" s="1"/>
    </row>
    <row r="19" spans="2:7" x14ac:dyDescent="0.25">
      <c r="C19" s="1" t="s">
        <v>87</v>
      </c>
      <c r="D19" s="2">
        <v>0.5</v>
      </c>
    </row>
    <row r="20" spans="2:7" x14ac:dyDescent="0.25">
      <c r="C20" t="s">
        <v>88</v>
      </c>
      <c r="D20">
        <f>D19*Batt_bank_energy__kWh*Avg_bank_energy_over_lifetime</f>
        <v>4.95</v>
      </c>
      <c r="F20" s="1" t="s">
        <v>160</v>
      </c>
      <c r="G20">
        <v>0.38</v>
      </c>
    </row>
    <row r="21" spans="2:7" x14ac:dyDescent="0.25">
      <c r="C21" t="s">
        <v>117</v>
      </c>
      <c r="D21">
        <v>3000</v>
      </c>
      <c r="F21" t="s">
        <v>161</v>
      </c>
      <c r="G21">
        <v>1000</v>
      </c>
    </row>
    <row r="22" spans="2:7" x14ac:dyDescent="0.25">
      <c r="C22" s="1" t="s">
        <v>168</v>
      </c>
      <c r="D22">
        <v>10000</v>
      </c>
      <c r="F22" s="1" t="s">
        <v>162</v>
      </c>
      <c r="G22" s="25">
        <v>1</v>
      </c>
    </row>
    <row r="23" spans="2:7" x14ac:dyDescent="0.25">
      <c r="C23" s="1"/>
      <c r="D23" s="19"/>
    </row>
    <row r="24" spans="2:7" x14ac:dyDescent="0.25">
      <c r="C24" s="1"/>
    </row>
    <row r="25" spans="2:7" x14ac:dyDescent="0.25">
      <c r="C25" s="1"/>
    </row>
    <row r="27" spans="2:7" x14ac:dyDescent="0.25">
      <c r="C27" t="s">
        <v>63</v>
      </c>
      <c r="E27" s="4" t="s">
        <v>47</v>
      </c>
      <c r="F27" s="4" t="s">
        <v>48</v>
      </c>
      <c r="G27" s="32" t="s">
        <v>48</v>
      </c>
    </row>
    <row r="28" spans="2:7" ht="45" x14ac:dyDescent="0.25">
      <c r="F28" s="1" t="s">
        <v>89</v>
      </c>
      <c r="G28" s="33" t="s">
        <v>90</v>
      </c>
    </row>
    <row r="29" spans="2:7" x14ac:dyDescent="0.25">
      <c r="B29" s="4" t="s">
        <v>8</v>
      </c>
      <c r="C29" t="s">
        <v>49</v>
      </c>
      <c r="E29" s="4">
        <v>10.3</v>
      </c>
      <c r="F29" s="4">
        <v>15.3</v>
      </c>
      <c r="G29" s="32">
        <v>15.3</v>
      </c>
    </row>
    <row r="30" spans="2:7" x14ac:dyDescent="0.25">
      <c r="B30" s="4"/>
      <c r="C30" t="s">
        <v>52</v>
      </c>
      <c r="E30" s="5">
        <v>0.7</v>
      </c>
      <c r="F30" s="5">
        <v>0.7</v>
      </c>
      <c r="G30" s="34">
        <v>0.59</v>
      </c>
    </row>
    <row r="31" spans="2:7" x14ac:dyDescent="0.25">
      <c r="B31" s="4" t="s">
        <v>50</v>
      </c>
      <c r="C31" t="s">
        <v>51</v>
      </c>
      <c r="E31" s="6">
        <f>E29*E30</f>
        <v>7.21</v>
      </c>
      <c r="F31" s="6">
        <f t="shared" ref="F31:G31" si="0">F29*F30</f>
        <v>10.709999999999999</v>
      </c>
      <c r="G31" s="35">
        <f t="shared" si="0"/>
        <v>9.0269999999999992</v>
      </c>
    </row>
    <row r="32" spans="2:7" x14ac:dyDescent="0.25">
      <c r="B32" s="4"/>
      <c r="C32" t="s">
        <v>53</v>
      </c>
      <c r="E32" s="5">
        <v>0.88</v>
      </c>
      <c r="F32" s="5">
        <v>0.88</v>
      </c>
      <c r="G32" s="34">
        <v>0.88</v>
      </c>
    </row>
    <row r="33" spans="2:13" x14ac:dyDescent="0.25">
      <c r="B33" s="4" t="s">
        <v>54</v>
      </c>
      <c r="C33" t="s">
        <v>55</v>
      </c>
      <c r="E33" s="6">
        <f>E32*E31</f>
        <v>6.3448000000000002</v>
      </c>
      <c r="F33" s="6">
        <f t="shared" ref="F33:G33" si="1">F32*F31</f>
        <v>9.4247999999999994</v>
      </c>
      <c r="G33" s="35">
        <f t="shared" si="1"/>
        <v>7.9437599999999993</v>
      </c>
    </row>
    <row r="34" spans="2:13" x14ac:dyDescent="0.25">
      <c r="B34" s="4"/>
      <c r="C34" t="s">
        <v>56</v>
      </c>
      <c r="E34" s="5">
        <v>0.94</v>
      </c>
      <c r="F34" s="5">
        <v>0.94</v>
      </c>
      <c r="G34" s="34">
        <v>0.94</v>
      </c>
    </row>
    <row r="35" spans="2:13" x14ac:dyDescent="0.25">
      <c r="B35" s="4" t="s">
        <v>57</v>
      </c>
      <c r="C35" t="s">
        <v>58</v>
      </c>
      <c r="E35" s="9">
        <f>E34*E33</f>
        <v>5.9641120000000001</v>
      </c>
      <c r="F35" s="6">
        <f t="shared" ref="F35:G35" si="2">F34*F33</f>
        <v>8.8593119999999992</v>
      </c>
      <c r="G35" s="35">
        <f t="shared" si="2"/>
        <v>7.4671343999999991</v>
      </c>
    </row>
    <row r="36" spans="2:13" x14ac:dyDescent="0.25">
      <c r="B36" s="4" t="s">
        <v>57</v>
      </c>
      <c r="C36" t="s">
        <v>59</v>
      </c>
      <c r="E36" s="4">
        <v>7.5</v>
      </c>
      <c r="F36" s="9">
        <f>F35</f>
        <v>8.8593119999999992</v>
      </c>
      <c r="G36" s="10">
        <v>7.5</v>
      </c>
    </row>
    <row r="37" spans="2:13" x14ac:dyDescent="0.25">
      <c r="B37" s="4"/>
      <c r="C37" t="s">
        <v>60</v>
      </c>
      <c r="E37" s="5">
        <v>0.99</v>
      </c>
      <c r="F37" s="5">
        <v>0.99</v>
      </c>
      <c r="G37" s="34">
        <v>0.99</v>
      </c>
    </row>
    <row r="38" spans="2:13" x14ac:dyDescent="0.25">
      <c r="B38" s="4" t="s">
        <v>61</v>
      </c>
      <c r="C38" t="s">
        <v>62</v>
      </c>
      <c r="E38" s="6">
        <f>E37*E35</f>
        <v>5.9044708799999999</v>
      </c>
      <c r="F38" s="6">
        <f>F37*F36</f>
        <v>8.7707188799999987</v>
      </c>
      <c r="G38" s="35">
        <f>G37*G36</f>
        <v>7.4249999999999998</v>
      </c>
    </row>
    <row r="39" spans="2:13" x14ac:dyDescent="0.25">
      <c r="B39" s="4"/>
      <c r="C39" t="s">
        <v>64</v>
      </c>
      <c r="E39" s="5">
        <v>0.95</v>
      </c>
      <c r="F39" s="5">
        <v>0.95</v>
      </c>
      <c r="G39" s="34">
        <v>0.95</v>
      </c>
    </row>
    <row r="40" spans="2:13" x14ac:dyDescent="0.25">
      <c r="B40" s="4" t="s">
        <v>65</v>
      </c>
      <c r="C40" t="s">
        <v>66</v>
      </c>
      <c r="E40" s="6">
        <f>E39*E38</f>
        <v>5.6092473359999993</v>
      </c>
      <c r="F40" s="6">
        <f t="shared" ref="F40:G40" si="3">F39*F38</f>
        <v>8.3321829359999988</v>
      </c>
      <c r="G40" s="35">
        <f t="shared" si="3"/>
        <v>7.0537499999999991</v>
      </c>
    </row>
    <row r="41" spans="2:13" x14ac:dyDescent="0.25">
      <c r="B41" s="4" t="s">
        <v>71</v>
      </c>
      <c r="C41" t="s">
        <v>72</v>
      </c>
      <c r="E41" s="4">
        <v>0.5</v>
      </c>
      <c r="F41" s="4">
        <v>0.5</v>
      </c>
      <c r="G41" s="32">
        <v>0.5</v>
      </c>
    </row>
    <row r="42" spans="2:13" x14ac:dyDescent="0.25">
      <c r="B42" s="4"/>
      <c r="C42" t="s">
        <v>73</v>
      </c>
      <c r="E42" s="5">
        <f>E39</f>
        <v>0.95</v>
      </c>
      <c r="F42" s="5">
        <f t="shared" ref="F42:G42" si="4">F39</f>
        <v>0.95</v>
      </c>
      <c r="G42" s="34">
        <f t="shared" si="4"/>
        <v>0.95</v>
      </c>
    </row>
    <row r="43" spans="2:13" x14ac:dyDescent="0.25">
      <c r="B43" s="4" t="s">
        <v>67</v>
      </c>
      <c r="C43" t="s">
        <v>68</v>
      </c>
      <c r="E43" s="7">
        <f>E41/E42</f>
        <v>0.52631578947368418</v>
      </c>
      <c r="F43" s="7">
        <f t="shared" ref="F43:G43" si="5">F41/F42</f>
        <v>0.52631578947368418</v>
      </c>
      <c r="G43" s="36">
        <f t="shared" si="5"/>
        <v>0.52631578947368418</v>
      </c>
    </row>
    <row r="44" spans="2:13" x14ac:dyDescent="0.25">
      <c r="B44" s="4" t="s">
        <v>69</v>
      </c>
      <c r="C44" t="s">
        <v>70</v>
      </c>
      <c r="E44" s="8">
        <f>E40-E43</f>
        <v>5.0829315465263152</v>
      </c>
      <c r="F44" s="8">
        <f t="shared" ref="F44:G44" si="6">F40-F43</f>
        <v>7.8058671465263147</v>
      </c>
      <c r="G44" s="37">
        <f t="shared" si="6"/>
        <v>6.527434210526315</v>
      </c>
    </row>
    <row r="45" spans="2:13" ht="45" x14ac:dyDescent="0.25">
      <c r="B45" s="4"/>
      <c r="E45" s="8"/>
      <c r="F45" s="8"/>
      <c r="G45" s="8"/>
      <c r="H45" s="8"/>
      <c r="I45" s="1" t="s">
        <v>85</v>
      </c>
      <c r="J45" s="27" t="s">
        <v>164</v>
      </c>
      <c r="K45" s="27" t="s">
        <v>165</v>
      </c>
      <c r="L45" s="27" t="s">
        <v>163</v>
      </c>
      <c r="M45" s="27" t="s">
        <v>166</v>
      </c>
    </row>
    <row r="46" spans="2:13" x14ac:dyDescent="0.25">
      <c r="B46" s="4"/>
      <c r="C46" t="s">
        <v>127</v>
      </c>
      <c r="E46" s="8"/>
      <c r="F46" s="8"/>
      <c r="G46" s="8"/>
      <c r="H46" s="11"/>
      <c r="I46" s="4">
        <v>0</v>
      </c>
      <c r="J46" s="26">
        <f t="shared" ref="J46:J53" si="7">$I46*24*30.5*SFC__l_kWh*Diesel_cost____l</f>
        <v>0</v>
      </c>
      <c r="M46" s="4"/>
    </row>
    <row r="47" spans="2:13" ht="30" x14ac:dyDescent="0.25">
      <c r="B47" s="4"/>
      <c r="C47" s="1" t="s">
        <v>78</v>
      </c>
      <c r="D47" s="1" t="s">
        <v>85</v>
      </c>
      <c r="E47" s="8"/>
      <c r="F47" s="8"/>
      <c r="G47" s="8"/>
      <c r="H47" s="11"/>
      <c r="I47" s="29">
        <v>0.5</v>
      </c>
      <c r="J47" s="28">
        <f t="shared" si="7"/>
        <v>139.08000000000001</v>
      </c>
      <c r="K47" s="30">
        <f t="shared" ref="K47:K53" si="8">Fuel_Tank_Capacity__l/($I47*24*SFC__l_kWh)</f>
        <v>219.29824561403507</v>
      </c>
      <c r="L47" s="30">
        <f t="shared" ref="L47:L53" si="9">K47/4</f>
        <v>54.824561403508767</v>
      </c>
      <c r="M47" s="24">
        <f t="shared" ref="M47:M53" si="10">G123</f>
        <v>570.38896583564178</v>
      </c>
    </row>
    <row r="48" spans="2:13" x14ac:dyDescent="0.25">
      <c r="B48" s="4" t="s">
        <v>84</v>
      </c>
      <c r="C48" t="s">
        <v>86</v>
      </c>
      <c r="D48" s="4">
        <v>0</v>
      </c>
      <c r="E48" s="11">
        <f>E$38-($D48+E$43)/E$39</f>
        <v>5.3504542595013849</v>
      </c>
      <c r="F48" s="11">
        <f>F$38-($D48+F$43)/F$39</f>
        <v>8.2167022595013837</v>
      </c>
      <c r="G48" s="11">
        <f>G$38-($D48+G$43)/G$39</f>
        <v>6.8709833795013848</v>
      </c>
      <c r="H48" s="11"/>
      <c r="I48" s="29">
        <v>1</v>
      </c>
      <c r="J48" s="28">
        <f t="shared" si="7"/>
        <v>278.16000000000003</v>
      </c>
      <c r="K48" s="30">
        <f t="shared" si="8"/>
        <v>109.64912280701753</v>
      </c>
      <c r="L48" s="30">
        <f t="shared" si="9"/>
        <v>27.412280701754383</v>
      </c>
      <c r="M48" s="24">
        <f t="shared" si="10"/>
        <v>284.0979916897507</v>
      </c>
    </row>
    <row r="49" spans="2:13" x14ac:dyDescent="0.25">
      <c r="B49" s="4"/>
      <c r="C49" t="s">
        <v>86</v>
      </c>
      <c r="D49" s="4">
        <v>0.5</v>
      </c>
      <c r="E49" s="11">
        <f>E$38-($D49+E$43)/E$39</f>
        <v>4.8241384700277008</v>
      </c>
      <c r="F49" s="11">
        <f>F$38-($D49+F$43)/F$39</f>
        <v>7.6903864700276996</v>
      </c>
      <c r="G49" s="11">
        <f>G$38-($D49+G$43)/G$39</f>
        <v>6.3446675900277008</v>
      </c>
      <c r="H49" s="11"/>
      <c r="I49" s="4">
        <v>2</v>
      </c>
      <c r="J49" s="26">
        <f t="shared" si="7"/>
        <v>556.32000000000005</v>
      </c>
      <c r="K49" s="3">
        <f t="shared" si="8"/>
        <v>54.824561403508767</v>
      </c>
      <c r="L49" s="3">
        <f t="shared" si="9"/>
        <v>13.706140350877192</v>
      </c>
      <c r="M49" s="7">
        <f t="shared" si="10"/>
        <v>140.95250461680516</v>
      </c>
    </row>
    <row r="50" spans="2:13" x14ac:dyDescent="0.25">
      <c r="B50" s="4"/>
      <c r="C50" t="s">
        <v>86</v>
      </c>
      <c r="D50" s="4">
        <v>1</v>
      </c>
      <c r="E50" s="11">
        <f>E$38-($D50+E$43)/E$39</f>
        <v>4.2978226805540167</v>
      </c>
      <c r="F50" s="11">
        <f>F$38-($D50+F$43)/F$39</f>
        <v>7.1640706805540155</v>
      </c>
      <c r="G50" s="11">
        <f>G$38-($D50+G$43)/G$39</f>
        <v>5.8183518005540167</v>
      </c>
      <c r="H50" s="11"/>
      <c r="I50" s="4">
        <v>3</v>
      </c>
      <c r="J50" s="26">
        <f t="shared" si="7"/>
        <v>834.48</v>
      </c>
      <c r="K50" s="3">
        <f t="shared" si="8"/>
        <v>36.549707602339183</v>
      </c>
      <c r="L50" s="3">
        <f t="shared" si="9"/>
        <v>9.1374269005847957</v>
      </c>
      <c r="M50" s="7">
        <f t="shared" si="10"/>
        <v>93.237342259156662</v>
      </c>
    </row>
    <row r="51" spans="2:13" x14ac:dyDescent="0.25">
      <c r="B51" s="4"/>
      <c r="C51" t="s">
        <v>86</v>
      </c>
      <c r="D51" s="4">
        <v>2</v>
      </c>
      <c r="E51" s="11">
        <f>E$38-($D51+E$43)/E$39</f>
        <v>3.2451911016066481</v>
      </c>
      <c r="F51" s="11">
        <f>F$38-($D51+F$43)/F$39</f>
        <v>6.1114391016066474</v>
      </c>
      <c r="G51" s="11">
        <f>G$38-($D51+G$43)/G$39</f>
        <v>4.7657202216066477</v>
      </c>
      <c r="H51" s="11"/>
      <c r="I51" s="4">
        <v>4</v>
      </c>
      <c r="J51" s="26">
        <f t="shared" si="7"/>
        <v>1112.6400000000001</v>
      </c>
      <c r="K51" s="3">
        <f t="shared" si="8"/>
        <v>27.412280701754383</v>
      </c>
      <c r="L51" s="3">
        <f t="shared" si="9"/>
        <v>6.8530701754385959</v>
      </c>
      <c r="M51" s="7">
        <f t="shared" si="10"/>
        <v>69.379761080332415</v>
      </c>
    </row>
    <row r="52" spans="2:13" x14ac:dyDescent="0.25">
      <c r="B52" s="4"/>
      <c r="C52" t="s">
        <v>86</v>
      </c>
      <c r="D52" s="4">
        <v>3</v>
      </c>
      <c r="E52" s="11">
        <f>E$38-($D52+E$43)/E$39</f>
        <v>2.1925595226592796</v>
      </c>
      <c r="F52" s="11">
        <f>F$38-($D52+F$43)/F$39</f>
        <v>5.0588075226592784</v>
      </c>
      <c r="G52" s="11">
        <f>G$38-($D52+G$43)/G$39</f>
        <v>3.7130886426592795</v>
      </c>
      <c r="H52" s="11"/>
      <c r="I52" s="4">
        <v>5</v>
      </c>
      <c r="J52" s="26">
        <f t="shared" si="7"/>
        <v>1390.8</v>
      </c>
      <c r="K52" s="3">
        <f t="shared" si="8"/>
        <v>21.929824561403507</v>
      </c>
      <c r="L52" s="3">
        <f t="shared" si="9"/>
        <v>5.4824561403508767</v>
      </c>
      <c r="M52" s="7">
        <f t="shared" si="10"/>
        <v>55.065212373037845</v>
      </c>
    </row>
    <row r="53" spans="2:13" x14ac:dyDescent="0.25">
      <c r="B53" s="4"/>
      <c r="C53" t="s">
        <v>86</v>
      </c>
      <c r="D53" s="4">
        <v>4</v>
      </c>
      <c r="E53" s="11">
        <f>E$38-($D53+E$43)/E$39</f>
        <v>1.1399279437119114</v>
      </c>
      <c r="F53" s="11">
        <f>F$38-($D53+F$43)/F$39</f>
        <v>4.0061759437119102</v>
      </c>
      <c r="G53" s="11">
        <f>G$38-($D53+G$43)/G$39</f>
        <v>2.6604570637119114</v>
      </c>
      <c r="H53" s="11"/>
      <c r="I53" s="4">
        <v>6</v>
      </c>
      <c r="J53" s="26">
        <f t="shared" si="7"/>
        <v>1668.96</v>
      </c>
      <c r="K53" s="3">
        <f t="shared" si="8"/>
        <v>18.274853801169591</v>
      </c>
      <c r="L53" s="3">
        <f t="shared" si="9"/>
        <v>4.5687134502923978</v>
      </c>
      <c r="M53" s="7">
        <f t="shared" si="10"/>
        <v>45.522179901508146</v>
      </c>
    </row>
    <row r="54" spans="2:13" x14ac:dyDescent="0.25">
      <c r="B54" s="4"/>
      <c r="C54" t="s">
        <v>86</v>
      </c>
      <c r="D54" s="4">
        <v>5</v>
      </c>
      <c r="E54" s="11">
        <f>E$38-($D54+E$43)/E$39</f>
        <v>8.7296364764542389E-2</v>
      </c>
      <c r="F54" s="11">
        <f>F$38-($D54+F$43)/F$39</f>
        <v>2.9535443647645412</v>
      </c>
      <c r="G54" s="11">
        <f>G$38-($D54+G$43)/G$39</f>
        <v>1.6078254847645423</v>
      </c>
    </row>
    <row r="55" spans="2:13" x14ac:dyDescent="0.25">
      <c r="B55" s="4"/>
      <c r="C55" t="s">
        <v>86</v>
      </c>
      <c r="D55" s="4">
        <v>6</v>
      </c>
      <c r="E55" s="22">
        <f>E$38-($D55+E$43)/E$39</f>
        <v>-0.96533521418282575</v>
      </c>
      <c r="F55" s="11">
        <f>F$38-($D55+F$43)/F$39</f>
        <v>1.900912785817173</v>
      </c>
      <c r="G55" s="11">
        <f>G$38-($D55+G$43)/G$39</f>
        <v>0.5551939058171742</v>
      </c>
    </row>
    <row r="56" spans="2:13" x14ac:dyDescent="0.25">
      <c r="E56" s="12"/>
      <c r="F56" s="12"/>
      <c r="G56" s="12"/>
    </row>
    <row r="57" spans="2:13" x14ac:dyDescent="0.25">
      <c r="C57" s="17" t="s">
        <v>74</v>
      </c>
      <c r="D57" s="17"/>
      <c r="E57" s="21">
        <f>E48/(Batt_bank_energy__kWh *Avg_bank_energy_over_lifetime)</f>
        <v>0.54044992520216006</v>
      </c>
      <c r="F57" s="21">
        <f>F48/(Batt_bank_energy__kWh *Avg_bank_energy_over_lifetime)</f>
        <v>0.82996992520215995</v>
      </c>
      <c r="G57" s="21">
        <f>G48/(Batt_bank_energy__kWh *Avg_bank_energy_over_lifetime)</f>
        <v>0.69403872520216003</v>
      </c>
    </row>
    <row r="58" spans="2:13" x14ac:dyDescent="0.25">
      <c r="C58" s="17" t="s">
        <v>128</v>
      </c>
      <c r="D58" s="17"/>
      <c r="E58" s="18">
        <f>E49/(Batt_bank_energy__kWh *Avg_bank_energy_over_lifetime)</f>
        <v>0.48728671414421221</v>
      </c>
      <c r="F58" s="21">
        <f>F49/(Batt_bank_energy__kWh *Avg_bank_energy_over_lifetime)</f>
        <v>0.7768067141442121</v>
      </c>
      <c r="G58" s="21">
        <f>G49/(Batt_bank_energy__kWh *Avg_bank_energy_over_lifetime)</f>
        <v>0.64087551414421218</v>
      </c>
    </row>
    <row r="59" spans="2:13" x14ac:dyDescent="0.25">
      <c r="C59" s="17" t="s">
        <v>129</v>
      </c>
      <c r="D59" s="17"/>
      <c r="E59" s="18">
        <f>E50/(Batt_bank_energy__kWh *Avg_bank_energy_over_lifetime)</f>
        <v>0.4341235030862643</v>
      </c>
      <c r="F59" s="21">
        <f>F50/(Batt_bank_energy__kWh *Avg_bank_energy_over_lifetime)</f>
        <v>0.72364350308626413</v>
      </c>
      <c r="G59" s="21">
        <f>G50/(Batt_bank_energy__kWh *Avg_bank_energy_over_lifetime)</f>
        <v>0.58771230308626432</v>
      </c>
    </row>
    <row r="60" spans="2:13" x14ac:dyDescent="0.25">
      <c r="C60" s="17" t="s">
        <v>75</v>
      </c>
      <c r="D60" s="17"/>
      <c r="E60" s="18">
        <f>E51/(Batt_bank_energy__kWh *Avg_bank_energy_over_lifetime)</f>
        <v>0.32779708097036847</v>
      </c>
      <c r="F60" s="21">
        <f>F51/(Batt_bank_energy__kWh *Avg_bank_energy_over_lifetime)</f>
        <v>0.61731708097036841</v>
      </c>
      <c r="G60" s="18">
        <f>G51/(Batt_bank_energy__kWh *Avg_bank_energy_over_lifetime)</f>
        <v>0.48138588097036844</v>
      </c>
    </row>
    <row r="61" spans="2:13" x14ac:dyDescent="0.25">
      <c r="C61" s="17" t="s">
        <v>130</v>
      </c>
      <c r="D61" s="17"/>
      <c r="E61" s="18">
        <f>E52/(Batt_bank_energy__kWh *Avg_bank_energy_over_lifetime)</f>
        <v>0.22147065885447267</v>
      </c>
      <c r="F61" s="21">
        <f>F52/(Batt_bank_energy__kWh *Avg_bank_energy_over_lifetime)</f>
        <v>0.51099065885447259</v>
      </c>
      <c r="G61" s="18">
        <f>G52/(Batt_bank_energy__kWh *Avg_bank_energy_over_lifetime)</f>
        <v>0.37505945885447267</v>
      </c>
    </row>
    <row r="62" spans="2:13" x14ac:dyDescent="0.25">
      <c r="C62" s="17" t="s">
        <v>76</v>
      </c>
      <c r="D62" s="17"/>
      <c r="E62" s="18">
        <f>E53/(Batt_bank_energy__kWh *Avg_bank_energy_over_lifetime)</f>
        <v>0.1151442367385769</v>
      </c>
      <c r="F62" s="18">
        <f>F53/(Batt_bank_energy__kWh *Avg_bank_energy_over_lifetime)</f>
        <v>0.40466423673857677</v>
      </c>
      <c r="G62" s="18">
        <f>G53/(Batt_bank_energy__kWh *Avg_bank_energy_over_lifetime)</f>
        <v>0.2687330367385769</v>
      </c>
    </row>
    <row r="63" spans="2:13" x14ac:dyDescent="0.25">
      <c r="C63" s="17" t="s">
        <v>131</v>
      </c>
      <c r="D63" s="17"/>
      <c r="E63" s="18">
        <f>E54/(Batt_bank_energy__kWh *Avg_bank_energy_over_lifetime)</f>
        <v>8.8178146226810493E-3</v>
      </c>
      <c r="F63" s="18">
        <f>F54/(Batt_bank_energy__kWh *Avg_bank_energy_over_lifetime)</f>
        <v>0.29833781462268094</v>
      </c>
      <c r="G63" s="18">
        <f>G54/(Batt_bank_energy__kWh *Avg_bank_energy_over_lifetime)</f>
        <v>0.16240661462268105</v>
      </c>
    </row>
    <row r="64" spans="2:13" x14ac:dyDescent="0.25">
      <c r="C64" s="17" t="s">
        <v>77</v>
      </c>
      <c r="D64" s="17"/>
      <c r="E64" s="18">
        <f>E55/(Batt_bank_energy__kWh *Avg_bank_energy_over_lifetime)</f>
        <v>-9.7508607493214716E-2</v>
      </c>
      <c r="F64" s="18">
        <f>F55/(Batt_bank_energy__kWh *Avg_bank_energy_over_lifetime)</f>
        <v>0.19201139250678514</v>
      </c>
      <c r="G64" s="18">
        <f>G55/(Batt_bank_energy__kWh *Avg_bank_energy_over_lifetime)</f>
        <v>5.6080192506785274E-2</v>
      </c>
    </row>
    <row r="66" spans="2:18" x14ac:dyDescent="0.25">
      <c r="B66" t="s">
        <v>99</v>
      </c>
      <c r="C66" t="s">
        <v>91</v>
      </c>
      <c r="E66" s="13">
        <f t="shared" ref="E66:G73" si="11">1/E57*Depth_of_Discharge</f>
        <v>0.9251550914970903</v>
      </c>
      <c r="F66" s="13">
        <f t="shared" si="11"/>
        <v>0.60243146747541787</v>
      </c>
      <c r="G66" s="13">
        <f t="shared" si="11"/>
        <v>0.72042089561264711</v>
      </c>
    </row>
    <row r="67" spans="2:18" x14ac:dyDescent="0.25">
      <c r="C67" t="s">
        <v>132</v>
      </c>
      <c r="E67" s="13">
        <f t="shared" si="11"/>
        <v>1.0260899496882758</v>
      </c>
      <c r="F67" s="13">
        <f t="shared" si="11"/>
        <v>0.6436607600010732</v>
      </c>
      <c r="G67" s="13">
        <f t="shared" si="11"/>
        <v>0.78018271718130916</v>
      </c>
    </row>
    <row r="68" spans="2:18" x14ac:dyDescent="0.25">
      <c r="C68" t="s">
        <v>133</v>
      </c>
      <c r="E68" s="13">
        <f t="shared" si="11"/>
        <v>1.1517459811445534</v>
      </c>
      <c r="F68" s="13">
        <f t="shared" si="11"/>
        <v>0.69094795692568522</v>
      </c>
      <c r="G68" s="13">
        <f t="shared" si="11"/>
        <v>0.85075639453920038</v>
      </c>
    </row>
    <row r="69" spans="2:18" x14ac:dyDescent="0.25">
      <c r="C69" t="s">
        <v>92</v>
      </c>
      <c r="E69" s="13">
        <f t="shared" si="11"/>
        <v>1.5253339002283488</v>
      </c>
      <c r="F69" s="13">
        <f t="shared" si="11"/>
        <v>0.80995652868383905</v>
      </c>
      <c r="G69" s="13">
        <f t="shared" si="11"/>
        <v>1.0386677710449455</v>
      </c>
    </row>
    <row r="70" spans="2:18" x14ac:dyDescent="0.25">
      <c r="C70" t="s">
        <v>134</v>
      </c>
      <c r="E70" s="13">
        <f t="shared" si="11"/>
        <v>2.2576354022974559</v>
      </c>
      <c r="F70" s="13">
        <f t="shared" si="11"/>
        <v>0.97849146816282084</v>
      </c>
      <c r="G70" s="13">
        <f t="shared" si="11"/>
        <v>1.3331219575880786</v>
      </c>
    </row>
    <row r="71" spans="2:18" x14ac:dyDescent="0.25">
      <c r="C71" t="s">
        <v>93</v>
      </c>
      <c r="E71" s="13">
        <f t="shared" si="11"/>
        <v>4.3423797331272285</v>
      </c>
      <c r="F71" s="13">
        <f t="shared" si="11"/>
        <v>1.2355922629333131</v>
      </c>
      <c r="G71" s="13">
        <f t="shared" si="11"/>
        <v>1.8605825545982249</v>
      </c>
    </row>
    <row r="72" spans="2:18" x14ac:dyDescent="0.25">
      <c r="C72" t="s">
        <v>135</v>
      </c>
      <c r="E72" s="13">
        <f t="shared" si="11"/>
        <v>56.703392098299226</v>
      </c>
      <c r="F72" s="13">
        <f t="shared" si="11"/>
        <v>1.6759524790123197</v>
      </c>
      <c r="G72" s="13">
        <f t="shared" si="11"/>
        <v>3.0786923375113076</v>
      </c>
      <c r="R72" t="s">
        <v>167</v>
      </c>
    </row>
    <row r="73" spans="2:18" x14ac:dyDescent="0.25">
      <c r="C73" t="s">
        <v>94</v>
      </c>
      <c r="E73" s="21">
        <f t="shared" si="11"/>
        <v>-5.1277524400581074</v>
      </c>
      <c r="F73" s="13">
        <f t="shared" si="11"/>
        <v>2.60401215507216</v>
      </c>
      <c r="G73" s="13">
        <f t="shared" si="11"/>
        <v>8.9158039166770653</v>
      </c>
    </row>
    <row r="74" spans="2:18" x14ac:dyDescent="0.25">
      <c r="E74" s="13"/>
      <c r="F74" s="13"/>
      <c r="G74" s="13"/>
    </row>
    <row r="76" spans="2:18" x14ac:dyDescent="0.25">
      <c r="B76" t="s">
        <v>100</v>
      </c>
      <c r="C76" t="s">
        <v>95</v>
      </c>
      <c r="D76" s="4">
        <v>0</v>
      </c>
      <c r="E76" s="13"/>
      <c r="F76" s="13"/>
      <c r="G76" s="13"/>
    </row>
    <row r="77" spans="2:18" x14ac:dyDescent="0.25">
      <c r="C77" t="s">
        <v>136</v>
      </c>
      <c r="D77" s="4">
        <v>0.5</v>
      </c>
      <c r="E77" s="13">
        <f>Cycle_energy__kWh/$D77</f>
        <v>9.9</v>
      </c>
      <c r="F77" s="13">
        <f>Cycle_energy__kWh/$D77</f>
        <v>9.9</v>
      </c>
      <c r="G77" s="13">
        <f>Cycle_energy__kWh/$D77</f>
        <v>9.9</v>
      </c>
    </row>
    <row r="78" spans="2:18" x14ac:dyDescent="0.25">
      <c r="C78" t="s">
        <v>137</v>
      </c>
      <c r="D78" s="4">
        <v>1</v>
      </c>
      <c r="E78" s="13">
        <f>Cycle_energy__kWh/$D78</f>
        <v>4.95</v>
      </c>
      <c r="F78" s="13">
        <f>Cycle_energy__kWh/$D78</f>
        <v>4.95</v>
      </c>
      <c r="G78" s="13">
        <f>Cycle_energy__kWh/$D78</f>
        <v>4.95</v>
      </c>
    </row>
    <row r="79" spans="2:18" x14ac:dyDescent="0.25">
      <c r="C79" t="s">
        <v>96</v>
      </c>
      <c r="D79" s="4">
        <v>2</v>
      </c>
      <c r="E79" s="13">
        <f>Cycle_energy__kWh/$D79</f>
        <v>2.4750000000000001</v>
      </c>
      <c r="F79" s="13">
        <f>Cycle_energy__kWh/$D79</f>
        <v>2.4750000000000001</v>
      </c>
      <c r="G79" s="13">
        <f>Cycle_energy__kWh/$D79</f>
        <v>2.4750000000000001</v>
      </c>
    </row>
    <row r="80" spans="2:18" x14ac:dyDescent="0.25">
      <c r="C80" t="s">
        <v>138</v>
      </c>
      <c r="D80" s="4">
        <v>3</v>
      </c>
      <c r="E80" s="13">
        <f>Cycle_energy__kWh/$D80</f>
        <v>1.6500000000000001</v>
      </c>
      <c r="F80" s="13">
        <f>Cycle_energy__kWh/$D80</f>
        <v>1.6500000000000001</v>
      </c>
      <c r="G80" s="13">
        <f>Cycle_energy__kWh/$D80</f>
        <v>1.6500000000000001</v>
      </c>
    </row>
    <row r="81" spans="2:7" x14ac:dyDescent="0.25">
      <c r="C81" t="s">
        <v>97</v>
      </c>
      <c r="D81" s="4">
        <v>4</v>
      </c>
      <c r="E81" s="13">
        <f>Cycle_energy__kWh/$D81</f>
        <v>1.2375</v>
      </c>
      <c r="F81" s="13">
        <f>Cycle_energy__kWh/$D81</f>
        <v>1.2375</v>
      </c>
      <c r="G81" s="13">
        <f>Cycle_energy__kWh/$D81</f>
        <v>1.2375</v>
      </c>
    </row>
    <row r="82" spans="2:7" x14ac:dyDescent="0.25">
      <c r="C82" t="s">
        <v>139</v>
      </c>
      <c r="D82" s="4">
        <v>5</v>
      </c>
      <c r="E82" s="13">
        <f>Cycle_energy__kWh/$D82</f>
        <v>0.99</v>
      </c>
      <c r="F82" s="13">
        <f>Cycle_energy__kWh/$D82</f>
        <v>0.99</v>
      </c>
      <c r="G82" s="13">
        <f>Cycle_energy__kWh/$D82</f>
        <v>0.99</v>
      </c>
    </row>
    <row r="83" spans="2:7" x14ac:dyDescent="0.25">
      <c r="C83" t="s">
        <v>98</v>
      </c>
      <c r="D83" s="4">
        <v>6</v>
      </c>
      <c r="E83" s="21">
        <f>Cycle_energy__kWh/$D83</f>
        <v>0.82500000000000007</v>
      </c>
      <c r="F83" s="13">
        <f>Cycle_energy__kWh/$D83</f>
        <v>0.82500000000000007</v>
      </c>
      <c r="G83" s="13">
        <f>Cycle_energy__kWh/$D83</f>
        <v>0.82500000000000007</v>
      </c>
    </row>
    <row r="85" spans="2:7" x14ac:dyDescent="0.25">
      <c r="B85" t="s">
        <v>101</v>
      </c>
      <c r="C85" t="s">
        <v>102</v>
      </c>
      <c r="E85" s="7"/>
      <c r="F85" s="7"/>
      <c r="G85" s="7"/>
    </row>
    <row r="86" spans="2:7" x14ac:dyDescent="0.25">
      <c r="C86" t="s">
        <v>140</v>
      </c>
      <c r="E86" s="7">
        <f t="shared" ref="E86:G92" si="12">E67+E77</f>
        <v>10.926089949688276</v>
      </c>
      <c r="F86" s="7">
        <f t="shared" si="12"/>
        <v>10.543660760001073</v>
      </c>
      <c r="G86" s="7">
        <f t="shared" si="12"/>
        <v>10.68018271718131</v>
      </c>
    </row>
    <row r="87" spans="2:7" x14ac:dyDescent="0.25">
      <c r="C87" t="s">
        <v>141</v>
      </c>
      <c r="E87" s="7">
        <f t="shared" si="12"/>
        <v>6.1017459811445534</v>
      </c>
      <c r="F87" s="7">
        <f t="shared" si="12"/>
        <v>5.6409479569256851</v>
      </c>
      <c r="G87" s="7">
        <f t="shared" si="12"/>
        <v>5.8007563945392002</v>
      </c>
    </row>
    <row r="88" spans="2:7" x14ac:dyDescent="0.25">
      <c r="C88" t="s">
        <v>103</v>
      </c>
      <c r="E88" s="7">
        <f t="shared" si="12"/>
        <v>4.0003339002283491</v>
      </c>
      <c r="F88" s="7">
        <f t="shared" si="12"/>
        <v>3.2849565286838391</v>
      </c>
      <c r="G88" s="7">
        <f t="shared" si="12"/>
        <v>3.5136677710449455</v>
      </c>
    </row>
    <row r="89" spans="2:7" x14ac:dyDescent="0.25">
      <c r="C89" t="s">
        <v>142</v>
      </c>
      <c r="E89" s="7">
        <f t="shared" si="12"/>
        <v>3.9076354022974558</v>
      </c>
      <c r="F89" s="7">
        <f t="shared" si="12"/>
        <v>2.6284914681628209</v>
      </c>
      <c r="G89" s="7">
        <f t="shared" si="12"/>
        <v>2.9831219575880787</v>
      </c>
    </row>
    <row r="90" spans="2:7" x14ac:dyDescent="0.25">
      <c r="C90" t="s">
        <v>104</v>
      </c>
      <c r="E90" s="7">
        <f t="shared" si="12"/>
        <v>5.5798797331272283</v>
      </c>
      <c r="F90" s="7">
        <f t="shared" si="12"/>
        <v>2.4730922629333132</v>
      </c>
      <c r="G90" s="7">
        <f t="shared" si="12"/>
        <v>3.0980825545982249</v>
      </c>
    </row>
    <row r="91" spans="2:7" x14ac:dyDescent="0.25">
      <c r="C91" t="s">
        <v>143</v>
      </c>
      <c r="E91" s="7">
        <f t="shared" si="12"/>
        <v>57.693392098299228</v>
      </c>
      <c r="F91" s="7">
        <f t="shared" si="12"/>
        <v>2.6659524790123195</v>
      </c>
      <c r="G91" s="7">
        <f t="shared" si="12"/>
        <v>4.0686923375113073</v>
      </c>
    </row>
    <row r="92" spans="2:7" x14ac:dyDescent="0.25">
      <c r="C92" t="s">
        <v>105</v>
      </c>
      <c r="E92" s="31">
        <f t="shared" si="12"/>
        <v>-4.3027524400581072</v>
      </c>
      <c r="F92" s="7">
        <f t="shared" si="12"/>
        <v>3.4290121550721602</v>
      </c>
      <c r="G92" s="7">
        <f t="shared" si="12"/>
        <v>9.7408039166770646</v>
      </c>
    </row>
    <row r="94" spans="2:7" x14ac:dyDescent="0.25">
      <c r="C94" t="s">
        <v>106</v>
      </c>
      <c r="E94" s="7"/>
      <c r="F94" s="7"/>
      <c r="G94" s="7"/>
    </row>
    <row r="95" spans="2:7" x14ac:dyDescent="0.25">
      <c r="C95" t="s">
        <v>144</v>
      </c>
      <c r="E95" s="7">
        <f t="shared" ref="E95:G100" si="13">E67/E86</f>
        <v>9.3911907591201049E-2</v>
      </c>
      <c r="F95" s="7">
        <f t="shared" si="13"/>
        <v>6.1047180353420979E-2</v>
      </c>
      <c r="G95" s="7">
        <f t="shared" si="13"/>
        <v>7.3049566457905432E-2</v>
      </c>
    </row>
    <row r="96" spans="2:7" x14ac:dyDescent="0.25">
      <c r="C96" t="s">
        <v>145</v>
      </c>
      <c r="E96" s="7">
        <f t="shared" si="13"/>
        <v>0.18875678940153309</v>
      </c>
      <c r="F96" s="7">
        <f t="shared" si="13"/>
        <v>0.1224879155421692</v>
      </c>
      <c r="G96" s="7">
        <f t="shared" si="13"/>
        <v>0.14666301024812864</v>
      </c>
    </row>
    <row r="97" spans="3:7" x14ac:dyDescent="0.25">
      <c r="C97" t="s">
        <v>107</v>
      </c>
      <c r="E97" s="7">
        <f t="shared" si="13"/>
        <v>0.38130164588042986</v>
      </c>
      <c r="F97" s="7">
        <f t="shared" si="13"/>
        <v>0.24656537205634158</v>
      </c>
      <c r="G97" s="7">
        <f t="shared" si="13"/>
        <v>0.29560784875687074</v>
      </c>
    </row>
    <row r="98" spans="3:7" x14ac:dyDescent="0.25">
      <c r="C98" t="s">
        <v>146</v>
      </c>
      <c r="E98" s="7">
        <f t="shared" si="13"/>
        <v>0.57774975653309446</v>
      </c>
      <c r="F98" s="7">
        <f t="shared" si="13"/>
        <v>0.37226351312706962</v>
      </c>
      <c r="G98" s="7">
        <f t="shared" si="13"/>
        <v>0.44688818510991679</v>
      </c>
    </row>
    <row r="99" spans="3:7" x14ac:dyDescent="0.25">
      <c r="C99" t="s">
        <v>108</v>
      </c>
      <c r="D99" s="20"/>
      <c r="E99" s="7">
        <f t="shared" si="13"/>
        <v>0.77822102640437263</v>
      </c>
      <c r="F99" s="7">
        <f t="shared" si="13"/>
        <v>0.49961430127470779</v>
      </c>
      <c r="G99" s="7">
        <f t="shared" si="13"/>
        <v>0.60055938530001973</v>
      </c>
    </row>
    <row r="100" spans="3:7" x14ac:dyDescent="0.25">
      <c r="C100" t="s">
        <v>147</v>
      </c>
      <c r="D100" s="20"/>
      <c r="E100" s="7">
        <f t="shared" si="13"/>
        <v>0.98284032253965548</v>
      </c>
      <c r="F100" s="7">
        <f t="shared" si="13"/>
        <v>0.62865054505143525</v>
      </c>
      <c r="G100" s="7">
        <f t="shared" si="13"/>
        <v>0.75667857928880611</v>
      </c>
    </row>
    <row r="101" spans="3:7" x14ac:dyDescent="0.25">
      <c r="C101" t="s">
        <v>109</v>
      </c>
      <c r="D101" s="20"/>
      <c r="E101" s="31" t="s">
        <v>116</v>
      </c>
      <c r="F101" s="7">
        <f>F73/F92</f>
        <v>0.75940592722027289</v>
      </c>
      <c r="G101" s="7">
        <f>G73/G92</f>
        <v>0.9153047318212072</v>
      </c>
    </row>
    <row r="102" spans="3:7" x14ac:dyDescent="0.25">
      <c r="D102" s="20"/>
      <c r="E102" s="7"/>
      <c r="F102" s="7"/>
      <c r="G102" s="7"/>
    </row>
    <row r="103" spans="3:7" x14ac:dyDescent="0.25">
      <c r="D103" s="20"/>
    </row>
    <row r="104" spans="3:7" x14ac:dyDescent="0.25">
      <c r="C104" s="14" t="s">
        <v>112</v>
      </c>
      <c r="D104" s="14">
        <v>0</v>
      </c>
      <c r="E104" s="15"/>
      <c r="F104" s="15"/>
      <c r="G104" s="15"/>
    </row>
    <row r="105" spans="3:7" x14ac:dyDescent="0.25">
      <c r="C105" s="23" t="s">
        <v>148</v>
      </c>
      <c r="D105" s="23">
        <v>0.5</v>
      </c>
      <c r="E105" s="24">
        <f t="shared" ref="E105:G110" si="14">Engine_spec_d_life__h/Hours_in_a_year__h/E95</f>
        <v>18.233350924752401</v>
      </c>
      <c r="F105" s="24">
        <f t="shared" si="14"/>
        <v>28.049268732971573</v>
      </c>
      <c r="G105" s="24">
        <f t="shared" si="14"/>
        <v>23.440642431601717</v>
      </c>
    </row>
    <row r="106" spans="3:7" x14ac:dyDescent="0.25">
      <c r="C106" s="23" t="s">
        <v>149</v>
      </c>
      <c r="D106" s="23">
        <v>1</v>
      </c>
      <c r="E106" s="24">
        <f t="shared" si="14"/>
        <v>9.0716141790308491</v>
      </c>
      <c r="F106" s="24">
        <f t="shared" si="14"/>
        <v>13.979573083140435</v>
      </c>
      <c r="G106" s="24">
        <f t="shared" si="14"/>
        <v>11.675259932455507</v>
      </c>
    </row>
    <row r="107" spans="3:7" x14ac:dyDescent="0.25">
      <c r="C107" s="14" t="s">
        <v>113</v>
      </c>
      <c r="D107" s="14">
        <v>2</v>
      </c>
      <c r="E107" s="15">
        <f t="shared" si="14"/>
        <v>4.4907458061700751</v>
      </c>
      <c r="F107" s="15">
        <f t="shared" si="14"/>
        <v>6.9447252582248691</v>
      </c>
      <c r="G107" s="15">
        <f t="shared" si="14"/>
        <v>5.7925686828824041</v>
      </c>
    </row>
    <row r="108" spans="3:7" x14ac:dyDescent="0.25">
      <c r="C108" s="14" t="s">
        <v>150</v>
      </c>
      <c r="D108" s="14">
        <v>3</v>
      </c>
      <c r="E108" s="15">
        <f t="shared" si="14"/>
        <v>2.9637896818831506</v>
      </c>
      <c r="F108" s="15">
        <f t="shared" si="14"/>
        <v>4.5997759832530134</v>
      </c>
      <c r="G108" s="15">
        <f t="shared" si="14"/>
        <v>3.8316715996913695</v>
      </c>
    </row>
    <row r="109" spans="3:7" x14ac:dyDescent="0.25">
      <c r="C109" s="14" t="s">
        <v>114</v>
      </c>
      <c r="D109" s="14">
        <v>4</v>
      </c>
      <c r="E109" s="15">
        <f t="shared" si="14"/>
        <v>2.2003116197396881</v>
      </c>
      <c r="F109" s="15">
        <f t="shared" si="14"/>
        <v>3.4273013457670847</v>
      </c>
      <c r="G109" s="15">
        <f t="shared" si="14"/>
        <v>2.8512230580958526</v>
      </c>
    </row>
    <row r="110" spans="3:7" x14ac:dyDescent="0.25">
      <c r="C110" s="14" t="s">
        <v>151</v>
      </c>
      <c r="D110" s="14">
        <v>5</v>
      </c>
      <c r="E110" s="15">
        <f t="shared" si="14"/>
        <v>1.7422247824536106</v>
      </c>
      <c r="F110" s="15">
        <f t="shared" si="14"/>
        <v>2.7238165632755278</v>
      </c>
      <c r="G110" s="15">
        <f t="shared" si="14"/>
        <v>2.2629539331385415</v>
      </c>
    </row>
    <row r="111" spans="3:7" x14ac:dyDescent="0.25">
      <c r="C111" s="14" t="s">
        <v>115</v>
      </c>
      <c r="D111" s="14">
        <v>6</v>
      </c>
      <c r="E111" s="31" t="s">
        <v>116</v>
      </c>
      <c r="F111" s="15">
        <f>Engine_spec_d_life__h/Hours_in_a_year__h/F101</f>
        <v>2.2548267082811568</v>
      </c>
      <c r="G111" s="15">
        <f>Engine_spec_d_life__h/Hours_in_a_year__h/G101</f>
        <v>1.8707745165003349</v>
      </c>
    </row>
    <row r="112" spans="3:7" x14ac:dyDescent="0.25">
      <c r="C112" s="14"/>
      <c r="D112" s="14"/>
      <c r="E112" s="14"/>
      <c r="F112" s="14"/>
      <c r="G112" s="14"/>
    </row>
    <row r="113" spans="3:7" x14ac:dyDescent="0.25">
      <c r="C113" s="14" t="s">
        <v>118</v>
      </c>
      <c r="D113" s="14">
        <v>0</v>
      </c>
      <c r="E113" s="16"/>
      <c r="F113" s="16"/>
      <c r="G113" s="16"/>
    </row>
    <row r="114" spans="3:7" x14ac:dyDescent="0.25">
      <c r="C114" s="23" t="s">
        <v>152</v>
      </c>
      <c r="D114" s="23">
        <v>0.5</v>
      </c>
      <c r="E114" s="24">
        <f t="shared" ref="E114:G119" si="15">Batt_Cycles_50__DOD__guesstimated/(Hours_in_a_year__h/E86)</f>
        <v>12.47270542201858</v>
      </c>
      <c r="F114" s="24">
        <f t="shared" si="15"/>
        <v>12.036142420092549</v>
      </c>
      <c r="G114" s="24">
        <f t="shared" si="15"/>
        <v>12.191989403175011</v>
      </c>
    </row>
    <row r="115" spans="3:7" x14ac:dyDescent="0.25">
      <c r="C115" s="23" t="s">
        <v>153</v>
      </c>
      <c r="D115" s="23">
        <v>1</v>
      </c>
      <c r="E115" s="24">
        <f t="shared" si="15"/>
        <v>6.9654634487951519</v>
      </c>
      <c r="F115" s="24">
        <f t="shared" si="15"/>
        <v>6.4394383069927912</v>
      </c>
      <c r="G115" s="24">
        <f t="shared" si="15"/>
        <v>6.6218680302958912</v>
      </c>
    </row>
    <row r="116" spans="3:7" x14ac:dyDescent="0.25">
      <c r="C116" s="14" t="s">
        <v>119</v>
      </c>
      <c r="D116" s="14">
        <v>2</v>
      </c>
      <c r="E116" s="15">
        <f t="shared" si="15"/>
        <v>4.5665912103063349</v>
      </c>
      <c r="F116" s="15">
        <f t="shared" si="15"/>
        <v>3.749950375209862</v>
      </c>
      <c r="G116" s="15">
        <f t="shared" si="15"/>
        <v>4.0110362683161478</v>
      </c>
    </row>
    <row r="117" spans="3:7" x14ac:dyDescent="0.25">
      <c r="C117" s="14" t="s">
        <v>154</v>
      </c>
      <c r="D117" s="14">
        <v>3</v>
      </c>
      <c r="E117" s="15">
        <f t="shared" si="15"/>
        <v>4.4607710071888764</v>
      </c>
      <c r="F117" s="15">
        <f t="shared" si="15"/>
        <v>3.0005610367155491</v>
      </c>
      <c r="G117" s="15">
        <f t="shared" si="15"/>
        <v>3.4053903625434692</v>
      </c>
    </row>
    <row r="118" spans="3:7" x14ac:dyDescent="0.25">
      <c r="C118" s="14" t="s">
        <v>120</v>
      </c>
      <c r="D118" s="14">
        <v>4</v>
      </c>
      <c r="E118" s="15">
        <f t="shared" si="15"/>
        <v>6.3697257227479769</v>
      </c>
      <c r="F118" s="15">
        <f t="shared" si="15"/>
        <v>2.8231646837138276</v>
      </c>
      <c r="G118" s="15">
        <f t="shared" si="15"/>
        <v>3.5366239207742294</v>
      </c>
    </row>
    <row r="119" spans="3:7" x14ac:dyDescent="0.25">
      <c r="C119" s="14" t="s">
        <v>155</v>
      </c>
      <c r="D119" s="14">
        <v>5</v>
      </c>
      <c r="E119" s="15">
        <f t="shared" si="15"/>
        <v>65.860036641894098</v>
      </c>
      <c r="F119" s="15">
        <f t="shared" si="15"/>
        <v>3.0433247477309586</v>
      </c>
      <c r="G119" s="15">
        <f t="shared" si="15"/>
        <v>4.6446259560631358</v>
      </c>
    </row>
    <row r="120" spans="3:7" x14ac:dyDescent="0.25">
      <c r="C120" s="14" t="s">
        <v>121</v>
      </c>
      <c r="D120" s="14">
        <v>6</v>
      </c>
      <c r="E120" s="31" t="s">
        <v>116</v>
      </c>
      <c r="F120" s="15">
        <f>Batt_Cycles_50__DOD__guesstimated/(Hours_in_a_year__h/F92)</f>
        <v>3.9143974372969867</v>
      </c>
      <c r="G120" s="15">
        <f>Batt_Cycles_50__DOD__guesstimated/(Hours_in_a_year__h/G92)</f>
        <v>11.119639174288887</v>
      </c>
    </row>
    <row r="122" spans="3:7" x14ac:dyDescent="0.25">
      <c r="C122" t="s">
        <v>123</v>
      </c>
      <c r="D122" s="20">
        <v>0</v>
      </c>
      <c r="E122" s="4"/>
      <c r="F122" s="4"/>
      <c r="G122" s="4"/>
    </row>
    <row r="123" spans="3:7" x14ac:dyDescent="0.25">
      <c r="C123" s="23" t="s">
        <v>156</v>
      </c>
      <c r="D123" s="23">
        <v>0.5</v>
      </c>
      <c r="E123" s="24">
        <f t="shared" ref="E123:G128" si="16">(Engine_service_interval__h/E95)/24</f>
        <v>443.67820583564179</v>
      </c>
      <c r="F123" s="24">
        <f t="shared" si="16"/>
        <v>682.53220583564166</v>
      </c>
      <c r="G123" s="24">
        <f t="shared" si="16"/>
        <v>570.38896583564178</v>
      </c>
    </row>
    <row r="124" spans="3:7" x14ac:dyDescent="0.25">
      <c r="C124" s="23" t="s">
        <v>157</v>
      </c>
      <c r="D124" s="23">
        <v>1</v>
      </c>
      <c r="E124" s="24">
        <f t="shared" si="16"/>
        <v>220.74261168975067</v>
      </c>
      <c r="F124" s="24">
        <f t="shared" si="16"/>
        <v>340.16961168975064</v>
      </c>
      <c r="G124" s="24">
        <f t="shared" si="16"/>
        <v>284.0979916897507</v>
      </c>
    </row>
    <row r="125" spans="3:7" x14ac:dyDescent="0.25">
      <c r="C125" t="s">
        <v>124</v>
      </c>
      <c r="D125" s="20">
        <v>2</v>
      </c>
      <c r="E125" s="7">
        <f t="shared" si="16"/>
        <v>109.27481461680516</v>
      </c>
      <c r="F125" s="7">
        <f t="shared" si="16"/>
        <v>168.98831461680516</v>
      </c>
      <c r="G125" s="7">
        <f t="shared" si="16"/>
        <v>140.95250461680516</v>
      </c>
    </row>
    <row r="126" spans="3:7" x14ac:dyDescent="0.25">
      <c r="C126" t="s">
        <v>158</v>
      </c>
      <c r="D126" s="20">
        <v>3</v>
      </c>
      <c r="E126" s="7">
        <f t="shared" si="16"/>
        <v>72.118882259156663</v>
      </c>
      <c r="F126" s="7">
        <f t="shared" si="16"/>
        <v>111.92788225915666</v>
      </c>
      <c r="G126" s="7">
        <f t="shared" si="16"/>
        <v>93.237342259156662</v>
      </c>
    </row>
    <row r="127" spans="3:7" x14ac:dyDescent="0.25">
      <c r="C127" t="s">
        <v>125</v>
      </c>
      <c r="D127" s="20">
        <v>4</v>
      </c>
      <c r="E127" s="7">
        <f t="shared" si="16"/>
        <v>53.540916080332408</v>
      </c>
      <c r="F127" s="7">
        <f t="shared" si="16"/>
        <v>83.397666080332399</v>
      </c>
      <c r="G127" s="7">
        <f t="shared" si="16"/>
        <v>69.379761080332415</v>
      </c>
    </row>
    <row r="128" spans="3:7" x14ac:dyDescent="0.25">
      <c r="C128" t="s">
        <v>159</v>
      </c>
      <c r="D128" s="20">
        <v>5</v>
      </c>
      <c r="E128" s="7">
        <f t="shared" si="16"/>
        <v>42.39413637303786</v>
      </c>
      <c r="F128" s="7">
        <f t="shared" si="16"/>
        <v>66.279536373037843</v>
      </c>
      <c r="G128" s="7">
        <f t="shared" si="16"/>
        <v>55.065212373037845</v>
      </c>
    </row>
    <row r="129" spans="3:7" x14ac:dyDescent="0.25">
      <c r="C129" t="s">
        <v>126</v>
      </c>
      <c r="D129" s="20">
        <v>6</v>
      </c>
      <c r="E129" s="31" t="s">
        <v>116</v>
      </c>
      <c r="F129" s="7">
        <f>(Engine_service_interval__h/F101)/24</f>
        <v>54.867449901508145</v>
      </c>
      <c r="G129" s="7">
        <f>(Engine_service_interval__h/G101)/24</f>
        <v>45.522179901508146</v>
      </c>
    </row>
  </sheetData>
  <printOptions horizontalCentered="1" verticalCentered="1" gridLines="1"/>
  <pageMargins left="0.7" right="0.7" top="0.75" bottom="0.75" header="0.3" footer="0.3"/>
  <pageSetup paperSize="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Beckett Battery Modules</vt:lpstr>
      <vt:lpstr>Hygen Use Models</vt:lpstr>
      <vt:lpstr>Sheet3</vt:lpstr>
      <vt:lpstr>Avg_bank_energy_over_lifetime</vt:lpstr>
      <vt:lpstr>Batt_bank_energy__kWh</vt:lpstr>
      <vt:lpstr>Batt_Cycles_50__DOD__guesstimated</vt:lpstr>
      <vt:lpstr>Batt_Cycles_80__DOD</vt:lpstr>
      <vt:lpstr>Batt_end_of_life_definition__capacity_degradation</vt:lpstr>
      <vt:lpstr>Beckett_module_nominal_energy__kWh</vt:lpstr>
      <vt:lpstr>Cycle_energy__kWh</vt:lpstr>
      <vt:lpstr>Depth_of_Discharge</vt:lpstr>
      <vt:lpstr>Diesel_cost____l</vt:lpstr>
      <vt:lpstr>Engine_service_interval__h</vt:lpstr>
      <vt:lpstr>Engine_spec_d_life__h</vt:lpstr>
      <vt:lpstr>Format_Parallel</vt:lpstr>
      <vt:lpstr>Format_Parallel_Stack</vt:lpstr>
      <vt:lpstr>Format_Series</vt:lpstr>
      <vt:lpstr>Format_Series_Stack</vt:lpstr>
      <vt:lpstr>Fuel_Tank_Capacity__l</vt:lpstr>
      <vt:lpstr>Hours_in_a_year__h</vt:lpstr>
      <vt:lpstr>Max_charge_rate</vt:lpstr>
      <vt:lpstr>Max_discharge_rate</vt:lpstr>
      <vt:lpstr>Nominal_Capacity</vt:lpstr>
      <vt:lpstr>Nominal_Capacity_Module</vt:lpstr>
      <vt:lpstr>Nominal_Energy</vt:lpstr>
      <vt:lpstr>Nominal_Energy_Module</vt:lpstr>
      <vt:lpstr>Nominal_Voltage</vt:lpstr>
      <vt:lpstr>'Hygen Use Models'!Print_Area</vt:lpstr>
      <vt:lpstr>SFC__l_kWh</vt:lpstr>
      <vt:lpstr>Stack_height</vt:lpstr>
      <vt:lpstr>Voltage_at_0</vt:lpstr>
      <vt:lpstr>Voltage_at_100</vt:lpstr>
      <vt:lpstr>Voltage_at_30</vt:lpstr>
      <vt:lpstr>Voltage_at_80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Marty</dc:creator>
  <cp:lastModifiedBy>Bill Marty</cp:lastModifiedBy>
  <cp:lastPrinted>2016-03-28T22:22:53Z</cp:lastPrinted>
  <dcterms:created xsi:type="dcterms:W3CDTF">2016-02-24T21:15:18Z</dcterms:created>
  <dcterms:modified xsi:type="dcterms:W3CDTF">2016-05-02T21:03:34Z</dcterms:modified>
</cp:coreProperties>
</file>