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5315" windowHeight="12075" activeTab="1"/>
  </bookViews>
  <sheets>
    <sheet name="Beckett Battery Modules" sheetId="1" r:id="rId1"/>
    <sheet name="Hygen Use Models" sheetId="2" r:id="rId2"/>
    <sheet name="Sheet3" sheetId="3" r:id="rId3"/>
  </sheets>
  <definedNames>
    <definedName name="Batt_bank_energy__kWh">'Hygen Use Models'!$D$16</definedName>
    <definedName name="Batt_Cycles_50__DOD__guesstimated">'Hygen Use Models'!$D$20</definedName>
    <definedName name="Batt_Cycles_80__DOD">'Hygen Use Models'!$D$19</definedName>
    <definedName name="Beckett_module_nominal_energy__kWh">'Hygen Use Models'!$D$14</definedName>
    <definedName name="Cycle_energy__kWh">'Hygen Use Models'!$D$18</definedName>
    <definedName name="Depth_of_Discharge">'Hygen Use Models'!$D$17</definedName>
    <definedName name="Engine_service_interval__h">'Hygen Use Models'!$G$16</definedName>
    <definedName name="Engine_spec_d_life__h">'Hygen Use Models'!$G$14</definedName>
    <definedName name="Format_Parallel">'Beckett Battery Modules'!$H$7</definedName>
    <definedName name="Format_Parallel_Stack">'Beckett Battery Modules'!$N$7</definedName>
    <definedName name="Format_Series">'Beckett Battery Modules'!$H$6</definedName>
    <definedName name="Format_Series_Stack">'Beckett Battery Modules'!$N$6</definedName>
    <definedName name="Hours_in_a_year__h">'Hygen Use Models'!$G$15</definedName>
    <definedName name="Max_charge_rate">'Beckett Battery Modules'!$C$9</definedName>
    <definedName name="Max_discharge_rate">'Beckett Battery Modules'!$C$10</definedName>
    <definedName name="Nominal_Capacity">'Beckett Battery Modules'!$C$6</definedName>
    <definedName name="Nominal_Capacity_Module">'Beckett Battery Modules'!$H$8</definedName>
    <definedName name="Nominal_Energy">'Beckett Battery Modules'!$C$7</definedName>
    <definedName name="Nominal_Energy_Module">'Beckett Battery Modules'!$H$9</definedName>
    <definedName name="Nominal_Voltage">'Beckett Battery Modules'!$C$8</definedName>
    <definedName name="_xlnm.Print_Area" localSheetId="1">'Hygen Use Models'!$B$1:$G$106</definedName>
    <definedName name="Stack_height">'Hygen Use Models'!$D$15</definedName>
    <definedName name="Voltage_at_0">'Beckett Battery Modules'!$B$11:$C$11</definedName>
    <definedName name="Voltage_at_100">'Beckett Battery Modules'!$B$14:$C$14</definedName>
    <definedName name="Voltage_at_30">'Beckett Battery Modules'!$C$12</definedName>
    <definedName name="Voltage_at_80">'Beckett Battery Modules'!$C$13</definedName>
  </definedNames>
  <calcPr calcId="145621"/>
</workbook>
</file>

<file path=xl/calcChain.xml><?xml version="1.0" encoding="utf-8"?>
<calcChain xmlns="http://schemas.openxmlformats.org/spreadsheetml/2006/main">
  <c r="D20" i="2" l="1"/>
  <c r="G15" i="2"/>
  <c r="D16" i="2"/>
  <c r="F40" i="2"/>
  <c r="F41" i="2" s="1"/>
  <c r="G40" i="2"/>
  <c r="G41" i="2" s="1"/>
  <c r="E40" i="2"/>
  <c r="E41" i="2" s="1"/>
  <c r="G36" i="2"/>
  <c r="F29" i="2"/>
  <c r="F31" i="2" s="1"/>
  <c r="F33" i="2" s="1"/>
  <c r="F34" i="2" s="1"/>
  <c r="F36" i="2" s="1"/>
  <c r="G29" i="2"/>
  <c r="G31" i="2" s="1"/>
  <c r="G33" i="2" s="1"/>
  <c r="E29" i="2"/>
  <c r="E31" i="2" s="1"/>
  <c r="E33" i="2" s="1"/>
  <c r="E36" i="2" s="1"/>
  <c r="G47" i="2" l="1"/>
  <c r="G56" i="2" s="1"/>
  <c r="G65" i="2" s="1"/>
  <c r="G48" i="2"/>
  <c r="G57" i="2" s="1"/>
  <c r="G66" i="2" s="1"/>
  <c r="G52" i="2"/>
  <c r="G61" i="2" s="1"/>
  <c r="G70" i="2" s="1"/>
  <c r="G50" i="2"/>
  <c r="G59" i="2" s="1"/>
  <c r="G68" i="2" s="1"/>
  <c r="F48" i="2"/>
  <c r="F57" i="2" s="1"/>
  <c r="F66" i="2" s="1"/>
  <c r="F47" i="2"/>
  <c r="F56" i="2" s="1"/>
  <c r="F65" i="2" s="1"/>
  <c r="F52" i="2"/>
  <c r="F61" i="2" s="1"/>
  <c r="F70" i="2" s="1"/>
  <c r="F50" i="2"/>
  <c r="F59" i="2" s="1"/>
  <c r="F68" i="2" s="1"/>
  <c r="E52" i="2"/>
  <c r="E61" i="2" s="1"/>
  <c r="E70" i="2" s="1"/>
  <c r="E48" i="2"/>
  <c r="E57" i="2" s="1"/>
  <c r="E66" i="2" s="1"/>
  <c r="E47" i="2"/>
  <c r="E56" i="2" s="1"/>
  <c r="E65" i="2" s="1"/>
  <c r="E50" i="2"/>
  <c r="E59" i="2" s="1"/>
  <c r="E68" i="2" s="1"/>
  <c r="G51" i="2"/>
  <c r="G60" i="2" s="1"/>
  <c r="G69" i="2" s="1"/>
  <c r="G38" i="2"/>
  <c r="G42" i="2" s="1"/>
  <c r="E51" i="2"/>
  <c r="E38" i="2"/>
  <c r="E42" i="2" s="1"/>
  <c r="E46" i="2"/>
  <c r="E55" i="2" s="1"/>
  <c r="E64" i="2" s="1"/>
  <c r="E53" i="2"/>
  <c r="E62" i="2" s="1"/>
  <c r="E71" i="2" s="1"/>
  <c r="E49" i="2"/>
  <c r="G49" i="2"/>
  <c r="G46" i="2"/>
  <c r="G55" i="2" s="1"/>
  <c r="G64" i="2" s="1"/>
  <c r="G53" i="2"/>
  <c r="D18" i="2"/>
  <c r="F46" i="2"/>
  <c r="F55" i="2" s="1"/>
  <c r="F64" i="2" s="1"/>
  <c r="F51" i="2"/>
  <c r="F38" i="2"/>
  <c r="F42" i="2" s="1"/>
  <c r="F53" i="2"/>
  <c r="F49" i="2"/>
  <c r="C31" i="1"/>
  <c r="C30" i="1"/>
  <c r="H19" i="1"/>
  <c r="H17" i="1"/>
  <c r="N17" i="1" s="1"/>
  <c r="H15" i="1"/>
  <c r="N15" i="1" s="1"/>
  <c r="H14" i="1"/>
  <c r="N14" i="1" s="1"/>
  <c r="E74" i="2" l="1"/>
  <c r="E83" i="2" s="1"/>
  <c r="G76" i="2"/>
  <c r="F79" i="2"/>
  <c r="F88" i="2" s="1"/>
  <c r="F74" i="2"/>
  <c r="F83" i="2" s="1"/>
  <c r="E77" i="2"/>
  <c r="E86" i="2" s="1"/>
  <c r="G79" i="2"/>
  <c r="G88" i="2" s="1"/>
  <c r="G74" i="2"/>
  <c r="G83" i="2" s="1"/>
  <c r="F77" i="2"/>
  <c r="F86" i="2" s="1"/>
  <c r="E80" i="2"/>
  <c r="E89" i="2" s="1"/>
  <c r="E75" i="2"/>
  <c r="E84" i="2" s="1"/>
  <c r="G77" i="2"/>
  <c r="G86" i="2" s="1"/>
  <c r="F80" i="2"/>
  <c r="F75" i="2"/>
  <c r="F84" i="2" s="1"/>
  <c r="E78" i="2"/>
  <c r="G80" i="2"/>
  <c r="F76" i="2"/>
  <c r="G75" i="2"/>
  <c r="G84" i="2" s="1"/>
  <c r="F78" i="2"/>
  <c r="G78" i="2"/>
  <c r="G87" i="2" s="1"/>
  <c r="E76" i="2"/>
  <c r="E79" i="2"/>
  <c r="E88" i="2" s="1"/>
  <c r="E60" i="2"/>
  <c r="E69" i="2" s="1"/>
  <c r="F58" i="2"/>
  <c r="G62" i="2"/>
  <c r="G71" i="2" s="1"/>
  <c r="F62" i="2"/>
  <c r="G58" i="2"/>
  <c r="G67" i="2" s="1"/>
  <c r="F60" i="2"/>
  <c r="F69" i="2" s="1"/>
  <c r="E58" i="2"/>
  <c r="E67" i="2" s="1"/>
  <c r="E73" i="2"/>
  <c r="E82" i="2" s="1"/>
  <c r="G73" i="2"/>
  <c r="G82" i="2" s="1"/>
  <c r="F73" i="2"/>
  <c r="F82" i="2" s="1"/>
  <c r="G92" i="2" l="1"/>
  <c r="G111" i="2"/>
  <c r="G97" i="2"/>
  <c r="G116" i="2"/>
  <c r="F95" i="2"/>
  <c r="F114" i="2"/>
  <c r="F93" i="2"/>
  <c r="F112" i="2"/>
  <c r="E95" i="2"/>
  <c r="E114" i="2"/>
  <c r="E97" i="2"/>
  <c r="E116" i="2"/>
  <c r="F92" i="2"/>
  <c r="F111" i="2"/>
  <c r="G96" i="2"/>
  <c r="G115" i="2"/>
  <c r="G95" i="2"/>
  <c r="G114" i="2"/>
  <c r="F97" i="2"/>
  <c r="F116" i="2"/>
  <c r="E93" i="2"/>
  <c r="E112" i="2"/>
  <c r="G93" i="2"/>
  <c r="G112" i="2"/>
  <c r="E92" i="2"/>
  <c r="E111" i="2"/>
  <c r="G85" i="2"/>
  <c r="G113" i="2" s="1"/>
  <c r="G89" i="2"/>
  <c r="G117" i="2" s="1"/>
  <c r="G98" i="2"/>
  <c r="E87" i="2"/>
  <c r="E85" i="2"/>
  <c r="F87" i="2"/>
  <c r="F71" i="2"/>
  <c r="F67" i="2"/>
  <c r="E91" i="2"/>
  <c r="E110" i="2"/>
  <c r="G110" i="2"/>
  <c r="G91" i="2"/>
  <c r="F91" i="2"/>
  <c r="F110" i="2"/>
  <c r="G106" i="2" l="1"/>
  <c r="G124" i="2"/>
  <c r="G108" i="2"/>
  <c r="G126" i="2"/>
  <c r="G107" i="2"/>
  <c r="G125" i="2"/>
  <c r="G103" i="2"/>
  <c r="G121" i="2"/>
  <c r="G105" i="2"/>
  <c r="G123" i="2"/>
  <c r="G102" i="2"/>
  <c r="G120" i="2"/>
  <c r="F103" i="2"/>
  <c r="F121" i="2"/>
  <c r="F107" i="2"/>
  <c r="F125" i="2"/>
  <c r="F105" i="2"/>
  <c r="F123" i="2"/>
  <c r="F102" i="2"/>
  <c r="F120" i="2"/>
  <c r="E103" i="2"/>
  <c r="E121" i="2"/>
  <c r="E107" i="2"/>
  <c r="E125" i="2"/>
  <c r="E102" i="2"/>
  <c r="E120" i="2"/>
  <c r="E105" i="2"/>
  <c r="E123" i="2"/>
  <c r="E94" i="2"/>
  <c r="E113" i="2"/>
  <c r="E96" i="2"/>
  <c r="E115" i="2"/>
  <c r="G94" i="2"/>
  <c r="F96" i="2"/>
  <c r="F115" i="2"/>
  <c r="F85" i="2"/>
  <c r="F89" i="2"/>
  <c r="F101" i="2"/>
  <c r="F119" i="2"/>
  <c r="G101" i="2"/>
  <c r="G119" i="2"/>
  <c r="E101" i="2"/>
  <c r="E119" i="2"/>
  <c r="G104" i="2" l="1"/>
  <c r="G122" i="2"/>
  <c r="F106" i="2"/>
  <c r="F124" i="2"/>
  <c r="E106" i="2"/>
  <c r="E124" i="2"/>
  <c r="E104" i="2"/>
  <c r="E122" i="2"/>
  <c r="F94" i="2"/>
  <c r="F113" i="2"/>
  <c r="F98" i="2"/>
  <c r="F117" i="2"/>
  <c r="F104" i="2" l="1"/>
  <c r="F122" i="2"/>
  <c r="F108" i="2"/>
  <c r="F126" i="2"/>
</calcChain>
</file>

<file path=xl/sharedStrings.xml><?xml version="1.0" encoding="utf-8"?>
<sst xmlns="http://schemas.openxmlformats.org/spreadsheetml/2006/main" count="203" uniqueCount="165">
  <si>
    <t>Boston Swing 5300</t>
  </si>
  <si>
    <t>Nominal Capacity</t>
  </si>
  <si>
    <t>Ah</t>
  </si>
  <si>
    <t>Nominal Energy</t>
  </si>
  <si>
    <t>Wh</t>
  </si>
  <si>
    <t>Nominal Voltage</t>
  </si>
  <si>
    <t>V</t>
  </si>
  <si>
    <t>Max charge rate</t>
  </si>
  <si>
    <t>A</t>
  </si>
  <si>
    <t>Max discharge rate</t>
  </si>
  <si>
    <t>Voltage at 30%</t>
  </si>
  <si>
    <t>Voltage at 80%</t>
  </si>
  <si>
    <t>Beckett 8224S Module</t>
  </si>
  <si>
    <t>series</t>
  </si>
  <si>
    <t>parallel</t>
  </si>
  <si>
    <t>Format Series</t>
  </si>
  <si>
    <t>Format Parallel</t>
  </si>
  <si>
    <t>Nominal Capacity Module</t>
  </si>
  <si>
    <t>Nominal Energy Module</t>
  </si>
  <si>
    <t>Stack of Beckett modules</t>
  </si>
  <si>
    <t>Format Series Stack</t>
  </si>
  <si>
    <t>Format Parallel Stack</t>
  </si>
  <si>
    <t>Approx</t>
  </si>
  <si>
    <t>260V</t>
  </si>
  <si>
    <t>296V</t>
  </si>
  <si>
    <t>10kWh</t>
  </si>
  <si>
    <t>24V</t>
  </si>
  <si>
    <t>27V</t>
  </si>
  <si>
    <t>1kWh</t>
  </si>
  <si>
    <t>Voltage at 0%</t>
  </si>
  <si>
    <t>Voltage at 100%</t>
  </si>
  <si>
    <t>Recommended charge 0.5C</t>
  </si>
  <si>
    <t>Recommended discharge 0.6C</t>
  </si>
  <si>
    <t>Max discharge 1.2C</t>
  </si>
  <si>
    <t>NovaTorque Alternator</t>
  </si>
  <si>
    <t>Rated load current</t>
  </si>
  <si>
    <t>Vac</t>
  </si>
  <si>
    <t>220 - 240</t>
  </si>
  <si>
    <t>These are resting voltage numbers.  When we're pushing</t>
  </si>
  <si>
    <t>charge into the stack, figure these numbers are going to be</t>
  </si>
  <si>
    <t>around 10V higher.</t>
  </si>
  <si>
    <t>Vac peak 220</t>
  </si>
  <si>
    <t>Vac peak 240</t>
  </si>
  <si>
    <t>Looks like as the battery voltage comes up, the peaks of the sine waves</t>
  </si>
  <si>
    <t xml:space="preserve">that make it through the rectifier get narrower.  I bet this is the cause </t>
  </si>
  <si>
    <t>of BK's observed drop of power into the battery.</t>
  </si>
  <si>
    <t>This reminds me to look into the half wave / full wave rectifier question.</t>
  </si>
  <si>
    <t>Recommends 0.5C charge and 0.6C discharge</t>
  </si>
  <si>
    <t>Info from Bill Kanz's 3 models of Hygen System Design, 3/1/2016.</t>
  </si>
  <si>
    <t>2 cylinder</t>
  </si>
  <si>
    <t>3 cylinder</t>
  </si>
  <si>
    <t>Engine gross intermittent power, kW</t>
  </si>
  <si>
    <t>B</t>
  </si>
  <si>
    <t>Engine net intermittent power, kW</t>
  </si>
  <si>
    <t>Maximum engine load factor, %</t>
  </si>
  <si>
    <t>Engine efficiency (after fan, alternator, etc.), %</t>
  </si>
  <si>
    <t>C</t>
  </si>
  <si>
    <t>Engine max net weighted power, kW</t>
  </si>
  <si>
    <t>Alternator power efficiency, %</t>
  </si>
  <si>
    <t>D</t>
  </si>
  <si>
    <t>Alternator max output (calculated), kW</t>
  </si>
  <si>
    <t>NovaTorque max power, kW</t>
  </si>
  <si>
    <t>Rectifier power efficiency, %</t>
  </si>
  <si>
    <t>E1</t>
  </si>
  <si>
    <t>Rectifier max output, kW</t>
  </si>
  <si>
    <t>Bill Kanz's analysis:</t>
  </si>
  <si>
    <t>DC - DC converter power efficiency, %</t>
  </si>
  <si>
    <t>F1</t>
  </si>
  <si>
    <t>Max rated DC power output, kW</t>
  </si>
  <si>
    <t>F3</t>
  </si>
  <si>
    <t>AC accessory load, kW</t>
  </si>
  <si>
    <t>F2</t>
  </si>
  <si>
    <t>Max rated tower load, kW</t>
  </si>
  <si>
    <t>F4</t>
  </si>
  <si>
    <t>Spec'd AC max accessory load, kW</t>
  </si>
  <si>
    <t>Estimated AC inverter efficiency, %</t>
  </si>
  <si>
    <t>Battery C-rate w/ 0kW Tower Load</t>
  </si>
  <si>
    <t>Battery C-rate w/ 2kW Tower Load</t>
  </si>
  <si>
    <t>Battery C-rate w/ 4kW Tower Load</t>
  </si>
  <si>
    <t>Battery C-rate w/ 6kW Tower Load</t>
  </si>
  <si>
    <t>Working back upstream from tower load to battery charging.</t>
  </si>
  <si>
    <t>Checking Stack Energy</t>
  </si>
  <si>
    <t>Beckett module nominal energy, kWh</t>
  </si>
  <si>
    <t>Checking module energy</t>
  </si>
  <si>
    <t>Stack height</t>
  </si>
  <si>
    <t>Batt bank energy, kWh</t>
  </si>
  <si>
    <t>E3</t>
  </si>
  <si>
    <t>Tower Load, kW</t>
  </si>
  <si>
    <t>Power available to charge battery bank, kW</t>
  </si>
  <si>
    <t>Depth of Discharge, %</t>
  </si>
  <si>
    <t>Cycle energy, kWh</t>
  </si>
  <si>
    <t>Limited by Engine Load Factor</t>
  </si>
  <si>
    <t>Limited by Today's NovaTorque</t>
  </si>
  <si>
    <t>Engine on time to charge battery w/ 0kW Tower Load, h</t>
  </si>
  <si>
    <t>Engine on time to charge battery w/ 2kW Tower Load, h</t>
  </si>
  <si>
    <t>Engine on time to charge battery w/ 4kW Tower Load, h</t>
  </si>
  <si>
    <t>Engine on time to charge battery w/ 6kW Tower Load, h</t>
  </si>
  <si>
    <t>Tower run time on battery w/ 0kW Tower Load, h</t>
  </si>
  <si>
    <t>Tower run time on battery w/ 2kW Tower Load, h</t>
  </si>
  <si>
    <t>Tower run time on battery w/ 4kW Tower Load, h</t>
  </si>
  <si>
    <t>Tower run time on battery w/ 6kW Tower Load, h</t>
  </si>
  <si>
    <t>Tcharge</t>
  </si>
  <si>
    <t>Tdischarge</t>
  </si>
  <si>
    <t>Tcycle</t>
  </si>
  <si>
    <t>Cycle time w/ 0kW Tower Load, h</t>
  </si>
  <si>
    <t>Cycle time w/ 2kW Tower Load, h</t>
  </si>
  <si>
    <t>Cycle time w/ 4kW Tower Load, h</t>
  </si>
  <si>
    <t>Cycle time w/ 6kW Tower Load, h</t>
  </si>
  <si>
    <t>Engine duty cycle w/ 0kW Tower Load, %</t>
  </si>
  <si>
    <t>Engine duty cycle w/ 2kW Tower Load, %</t>
  </si>
  <si>
    <t>Engine duty cycle w/ 4kW Tower Load, %</t>
  </si>
  <si>
    <t>Engine duty cycle w/ 6kW Tower Load, %</t>
  </si>
  <si>
    <t>Engine spec'd life, h</t>
  </si>
  <si>
    <t>Hours in a year, h</t>
  </si>
  <si>
    <t>Engine life in years w/ 0kW Tower Load, y</t>
  </si>
  <si>
    <t>Engine life in years w/ 2kW Tower Load, y</t>
  </si>
  <si>
    <t>Engine life in years w/ 4kW Tower Load, y</t>
  </si>
  <si>
    <t>Engine life in years w/ 6kW Tower Load, y</t>
  </si>
  <si>
    <t>Error</t>
  </si>
  <si>
    <t>Batt Cycles 80% DOD</t>
  </si>
  <si>
    <t>Batt Cycles 50% DOD, guesstimated</t>
  </si>
  <si>
    <t>Battery life in years w/ 0kW Tower Load, y</t>
  </si>
  <si>
    <t>Battery life in years w/ 2kW Tower Load, y</t>
  </si>
  <si>
    <t>Battery life in years w/ 4kW Tower Load, y</t>
  </si>
  <si>
    <t>Battery life in years w/ 6kW Tower Load, y</t>
  </si>
  <si>
    <t>Engine service interval, h</t>
  </si>
  <si>
    <t>Engine maintenance interval w/ 0kW T.L., d</t>
  </si>
  <si>
    <t>Engine maintenance interval w/ 2kW T.L., d</t>
  </si>
  <si>
    <t>Engine maintenance interval w/ 4kW T.L., d</t>
  </si>
  <si>
    <t>Engine maintenance interval w/ 6kW T.L., d</t>
  </si>
  <si>
    <t>Bill Marty's analysis:</t>
  </si>
  <si>
    <t>Battery C-rate w/ 0.5kW Tower Load</t>
  </si>
  <si>
    <t>Battery C-rate w/ 1kW Tower Load</t>
  </si>
  <si>
    <t>Battery C-rate w/ 3kW Tower Load</t>
  </si>
  <si>
    <t>Battery C-rate w/ 5kW Tower Load</t>
  </si>
  <si>
    <t>Engine on time to charge battery w/ 0.5kW Tower Load, h</t>
  </si>
  <si>
    <t>Engine on time to charge battery w/ 1kW Tower Load, h</t>
  </si>
  <si>
    <t>Engine on time to charge battery w/ 3kW Tower Load, h</t>
  </si>
  <si>
    <t>Engine on time to charge battery w/ 5kW Tower Load, h</t>
  </si>
  <si>
    <t>Tower run time on battery w/ 0.5kW Tower Load, h</t>
  </si>
  <si>
    <t>Tower run time on battery w/ 1kW Tower Load, h</t>
  </si>
  <si>
    <t>Tower run time on battery w/ 3kW Tower Load, h</t>
  </si>
  <si>
    <t>Tower run time on battery w/ 5kW Tower Load, h</t>
  </si>
  <si>
    <t>Cycle time w/ 0.5kW Tower Load, h</t>
  </si>
  <si>
    <t>Cycle time w/ 1kW Tower Load, h</t>
  </si>
  <si>
    <t>Cycle time w/ 3kW Tower Load, h</t>
  </si>
  <si>
    <t>Cycle time w/ 5kW Tower Load, h</t>
  </si>
  <si>
    <t>Engine duty cycle w/ 0.5kW Tower Load, %</t>
  </si>
  <si>
    <t>Engine duty cycle w/ 1kW Tower Load, %</t>
  </si>
  <si>
    <t>Engine duty cycle w/ 3kW Tower Load, %</t>
  </si>
  <si>
    <t>Engine duty cycle w/ 5kW Tower Load, %</t>
  </si>
  <si>
    <t>Engine life in years w/ 0.5kW Tower Load, y</t>
  </si>
  <si>
    <t>Engine life in years w/ 1kW Tower Load, y</t>
  </si>
  <si>
    <t>Engine life in years w/ 3kW Tower Load, y</t>
  </si>
  <si>
    <t>Engine life in years w/ 5kW Tower Load, y</t>
  </si>
  <si>
    <t>Battery life in years w/ 0.5kW Tower Load, y</t>
  </si>
  <si>
    <t>Battery life in years w/ 1kW Tower Load, y</t>
  </si>
  <si>
    <t>Battery life in years w/ 3kW Tower Load, y</t>
  </si>
  <si>
    <t>Battery life in years w/ 5kW Tower Load, y</t>
  </si>
  <si>
    <t>Engine maintenance interval w/ 0.5kW T.L., d</t>
  </si>
  <si>
    <t>Engine maintenance interval w/ 1kW T.L., d</t>
  </si>
  <si>
    <t>Engine maintenance interval w/ 3kW T.L., d</t>
  </si>
  <si>
    <t>Engine maintenance interval w/ 5kW T.L., d</t>
  </si>
  <si>
    <t>SFC, l/kWh</t>
  </si>
  <si>
    <t>Fuel Tank Capacity,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</si>
</sst>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2" fontId="0" fillId="4" borderId="0" xfId="0" applyNumberFormat="1" applyFont="1" applyFill="1" applyAlignment="1">
      <alignment horizontal="center"/>
    </xf>
    <xf numFmtId="9" fontId="0" fillId="0" borderId="0" xfId="0" applyNumberFormat="1"/>
    <xf numFmtId="0" fontId="0" fillId="0" borderId="0" xfId="0" applyFill="1"/>
    <xf numFmtId="2" fontId="0" fillId="5" borderId="0" xfId="0" applyNumberFormat="1" applyFont="1" applyFill="1" applyAlignment="1">
      <alignment horizontal="center"/>
    </xf>
    <xf numFmtId="164" fontId="0" fillId="5" borderId="0" xfId="0" applyNumberFormat="1" applyFont="1" applyFill="1" applyAlignment="1">
      <alignment horizontal="center"/>
    </xf>
    <xf numFmtId="0" fontId="0" fillId="6" borderId="0" xfId="0" applyFill="1"/>
    <xf numFmtId="2" fontId="0" fillId="6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'Hygen Use Models'!$D$102:$D$108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'Hygen Use Models'!$G$102:$G$108</c:f>
              <c:numCache>
                <c:formatCode>0.00</c:formatCode>
                <c:ptCount val="7"/>
                <c:pt idx="0">
                  <c:v>23.440642431601713</c:v>
                </c:pt>
                <c:pt idx="1">
                  <c:v>11.675259932455509</c:v>
                </c:pt>
                <c:pt idx="2">
                  <c:v>5.7925686828824041</c:v>
                </c:pt>
                <c:pt idx="3">
                  <c:v>3.8316715996913686</c:v>
                </c:pt>
                <c:pt idx="4">
                  <c:v>2.8512230580958526</c:v>
                </c:pt>
                <c:pt idx="5">
                  <c:v>2.262953933138542</c:v>
                </c:pt>
                <c:pt idx="6">
                  <c:v>1.8707745165003349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'Hygen Use Models'!$D$111:$D$117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'Hygen Use Models'!$G$111:$G$117</c:f>
              <c:numCache>
                <c:formatCode>0.00</c:formatCode>
                <c:ptCount val="7"/>
                <c:pt idx="0">
                  <c:v>10.159991169312509</c:v>
                </c:pt>
                <c:pt idx="1">
                  <c:v>5.5182233585799088</c:v>
                </c:pt>
                <c:pt idx="2">
                  <c:v>3.34253022359679</c:v>
                </c:pt>
                <c:pt idx="3">
                  <c:v>2.837825302119557</c:v>
                </c:pt>
                <c:pt idx="4">
                  <c:v>2.9471866006451912</c:v>
                </c:pt>
                <c:pt idx="5">
                  <c:v>3.8705216300526137</c:v>
                </c:pt>
                <c:pt idx="6">
                  <c:v>9.2663659785740737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29664"/>
        <c:axId val="80456320"/>
      </c:scatterChart>
      <c:valAx>
        <c:axId val="80529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W 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80456320"/>
        <c:crosses val="autoZero"/>
        <c:crossBetween val="midCat"/>
      </c:valAx>
      <c:valAx>
        <c:axId val="80456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05296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95250</xdr:rowOff>
    </xdr:from>
    <xdr:to>
      <xdr:col>6</xdr:col>
      <xdr:colOff>857250</xdr:colOff>
      <xdr:row>11</xdr:row>
      <xdr:rowOff>181563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476250"/>
          <a:ext cx="7715250" cy="1991313"/>
        </a:xfrm>
        <a:prstGeom prst="rect">
          <a:avLst/>
        </a:prstGeom>
      </xdr:spPr>
    </xdr:pic>
    <xdr:clientData/>
  </xdr:twoCellAnchor>
  <xdr:twoCellAnchor>
    <xdr:from>
      <xdr:col>8</xdr:col>
      <xdr:colOff>19049</xdr:colOff>
      <xdr:row>98</xdr:row>
      <xdr:rowOff>14286</xdr:rowOff>
    </xdr:from>
    <xdr:to>
      <xdr:col>15</xdr:col>
      <xdr:colOff>419100</xdr:colOff>
      <xdr:row>118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38"/>
  <sheetViews>
    <sheetView workbookViewId="0">
      <selection activeCell="H17" sqref="H17"/>
    </sheetView>
  </sheetViews>
  <sheetFormatPr defaultRowHeight="15" x14ac:dyDescent="0.25"/>
  <cols>
    <col min="2" max="2" width="16.5703125" bestFit="1" customWidth="1"/>
    <col min="7" max="7" width="28" customWidth="1"/>
    <col min="13" max="13" width="22" bestFit="1" customWidth="1"/>
  </cols>
  <sheetData>
    <row r="5" spans="1:18" x14ac:dyDescent="0.25">
      <c r="A5" t="s">
        <v>0</v>
      </c>
      <c r="F5" t="s">
        <v>12</v>
      </c>
      <c r="J5" t="s">
        <v>22</v>
      </c>
      <c r="L5" t="s">
        <v>19</v>
      </c>
      <c r="P5" t="s">
        <v>22</v>
      </c>
    </row>
    <row r="6" spans="1:18" x14ac:dyDescent="0.25">
      <c r="B6" t="s">
        <v>1</v>
      </c>
      <c r="C6">
        <v>5.3</v>
      </c>
      <c r="D6" t="s">
        <v>2</v>
      </c>
      <c r="G6" t="s">
        <v>15</v>
      </c>
      <c r="H6">
        <v>7</v>
      </c>
      <c r="I6" t="s">
        <v>13</v>
      </c>
      <c r="M6" t="s">
        <v>20</v>
      </c>
      <c r="N6">
        <v>11</v>
      </c>
    </row>
    <row r="7" spans="1:18" x14ac:dyDescent="0.25">
      <c r="B7" t="s">
        <v>3</v>
      </c>
      <c r="C7">
        <v>19.3</v>
      </c>
      <c r="D7" t="s">
        <v>4</v>
      </c>
      <c r="G7" t="s">
        <v>16</v>
      </c>
      <c r="H7">
        <v>7</v>
      </c>
      <c r="I7" t="s">
        <v>14</v>
      </c>
      <c r="M7" t="s">
        <v>21</v>
      </c>
      <c r="N7">
        <v>1</v>
      </c>
    </row>
    <row r="8" spans="1:18" x14ac:dyDescent="0.25">
      <c r="B8" t="s">
        <v>5</v>
      </c>
      <c r="C8">
        <v>3.65</v>
      </c>
      <c r="D8" t="s">
        <v>6</v>
      </c>
      <c r="G8" t="s">
        <v>17</v>
      </c>
      <c r="H8">
        <v>42.4</v>
      </c>
      <c r="I8" t="s">
        <v>2</v>
      </c>
    </row>
    <row r="9" spans="1:18" x14ac:dyDescent="0.25">
      <c r="B9" t="s">
        <v>7</v>
      </c>
      <c r="C9">
        <v>10.6</v>
      </c>
      <c r="D9" t="s">
        <v>8</v>
      </c>
      <c r="G9" t="s">
        <v>18</v>
      </c>
      <c r="H9">
        <v>1100</v>
      </c>
      <c r="I9" t="s">
        <v>4</v>
      </c>
    </row>
    <row r="10" spans="1:18" x14ac:dyDescent="0.25">
      <c r="B10" t="s">
        <v>9</v>
      </c>
      <c r="C10">
        <v>13</v>
      </c>
      <c r="D10" t="s">
        <v>8</v>
      </c>
    </row>
    <row r="11" spans="1:18" x14ac:dyDescent="0.25">
      <c r="B11" t="s">
        <v>29</v>
      </c>
      <c r="C11">
        <v>3.2</v>
      </c>
      <c r="D11" t="s">
        <v>6</v>
      </c>
      <c r="G11" t="s">
        <v>47</v>
      </c>
    </row>
    <row r="12" spans="1:18" x14ac:dyDescent="0.25">
      <c r="B12" t="s">
        <v>10</v>
      </c>
      <c r="C12">
        <v>3.4</v>
      </c>
      <c r="D12" t="s">
        <v>6</v>
      </c>
    </row>
    <row r="13" spans="1:18" x14ac:dyDescent="0.25">
      <c r="B13" t="s">
        <v>11</v>
      </c>
      <c r="C13">
        <v>3.85</v>
      </c>
      <c r="D13" t="s">
        <v>6</v>
      </c>
    </row>
    <row r="14" spans="1:18" x14ac:dyDescent="0.25">
      <c r="B14" t="s">
        <v>30</v>
      </c>
      <c r="C14">
        <v>4.2</v>
      </c>
      <c r="D14" t="s">
        <v>6</v>
      </c>
      <c r="G14" t="s">
        <v>10</v>
      </c>
      <c r="H14">
        <f>Voltage_at_30 * Format_Series</f>
        <v>23.8</v>
      </c>
      <c r="I14" t="s">
        <v>6</v>
      </c>
      <c r="J14" t="s">
        <v>26</v>
      </c>
      <c r="M14" t="s">
        <v>10</v>
      </c>
      <c r="N14">
        <f>H14*Format_Series_Stack</f>
        <v>261.8</v>
      </c>
      <c r="O14" t="s">
        <v>6</v>
      </c>
      <c r="P14" t="s">
        <v>23</v>
      </c>
      <c r="R14" t="s">
        <v>38</v>
      </c>
    </row>
    <row r="15" spans="1:18" x14ac:dyDescent="0.25">
      <c r="G15" t="s">
        <v>11</v>
      </c>
      <c r="H15">
        <f>Voltage_at_80 * Format_Series</f>
        <v>26.95</v>
      </c>
      <c r="I15" t="s">
        <v>6</v>
      </c>
      <c r="J15" t="s">
        <v>27</v>
      </c>
      <c r="M15" t="s">
        <v>11</v>
      </c>
      <c r="N15">
        <f>H15*Format_Series_Stack</f>
        <v>296.45</v>
      </c>
      <c r="O15" t="s">
        <v>6</v>
      </c>
      <c r="P15" t="s">
        <v>24</v>
      </c>
      <c r="R15" t="s">
        <v>39</v>
      </c>
    </row>
    <row r="16" spans="1:18" x14ac:dyDescent="0.25">
      <c r="R16" t="s">
        <v>40</v>
      </c>
    </row>
    <row r="17" spans="1:16" x14ac:dyDescent="0.25">
      <c r="G17" t="s">
        <v>83</v>
      </c>
      <c r="H17">
        <f>Format_Series*Format_Parallel*Nominal_Energy</f>
        <v>945.7</v>
      </c>
      <c r="I17" t="s">
        <v>4</v>
      </c>
      <c r="J17" t="s">
        <v>28</v>
      </c>
      <c r="M17" t="s">
        <v>81</v>
      </c>
      <c r="N17">
        <f>H17*Format_Series_Stack</f>
        <v>10402.700000000001</v>
      </c>
      <c r="O17" t="s">
        <v>4</v>
      </c>
      <c r="P17" t="s">
        <v>25</v>
      </c>
    </row>
    <row r="19" spans="1:16" x14ac:dyDescent="0.25">
      <c r="G19" t="s">
        <v>31</v>
      </c>
      <c r="H19">
        <f>Nominal_Capacity_Module/2</f>
        <v>21.2</v>
      </c>
      <c r="I19" t="s">
        <v>8</v>
      </c>
    </row>
    <row r="20" spans="1:16" x14ac:dyDescent="0.25">
      <c r="G20" t="s">
        <v>32</v>
      </c>
      <c r="H20">
        <v>25</v>
      </c>
      <c r="I20" t="s">
        <v>8</v>
      </c>
    </row>
    <row r="21" spans="1:16" x14ac:dyDescent="0.25">
      <c r="G21" t="s">
        <v>33</v>
      </c>
      <c r="H21">
        <v>50</v>
      </c>
      <c r="I21" t="s">
        <v>8</v>
      </c>
    </row>
    <row r="27" spans="1:16" x14ac:dyDescent="0.25">
      <c r="A27" t="s">
        <v>34</v>
      </c>
    </row>
    <row r="28" spans="1:16" x14ac:dyDescent="0.25">
      <c r="B28" t="s">
        <v>35</v>
      </c>
      <c r="C28">
        <v>24.4</v>
      </c>
      <c r="D28" t="s">
        <v>8</v>
      </c>
    </row>
    <row r="29" spans="1:16" x14ac:dyDescent="0.25">
      <c r="B29" t="s">
        <v>36</v>
      </c>
      <c r="C29" t="s">
        <v>37</v>
      </c>
      <c r="D29" t="s">
        <v>36</v>
      </c>
    </row>
    <row r="30" spans="1:16" x14ac:dyDescent="0.25">
      <c r="B30" t="s">
        <v>41</v>
      </c>
      <c r="C30">
        <f>220 * 2/SQRT(2)</f>
        <v>311.12698372208087</v>
      </c>
      <c r="D30" t="s">
        <v>36</v>
      </c>
    </row>
    <row r="31" spans="1:16" x14ac:dyDescent="0.25">
      <c r="B31" t="s">
        <v>42</v>
      </c>
      <c r="C31">
        <f>240*2/SQRT(2)</f>
        <v>339.41125496954277</v>
      </c>
      <c r="D31" t="s">
        <v>36</v>
      </c>
    </row>
    <row r="35" spans="2:2" x14ac:dyDescent="0.25">
      <c r="B35" t="s">
        <v>43</v>
      </c>
    </row>
    <row r="36" spans="2:2" x14ac:dyDescent="0.25">
      <c r="B36" t="s">
        <v>44</v>
      </c>
    </row>
    <row r="37" spans="2:2" x14ac:dyDescent="0.25">
      <c r="B37" t="s">
        <v>45</v>
      </c>
    </row>
    <row r="38" spans="2:2" x14ac:dyDescent="0.25">
      <c r="B38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6"/>
  <sheetViews>
    <sheetView tabSelected="1" workbookViewId="0">
      <selection activeCell="H108" sqref="H108:H109"/>
    </sheetView>
  </sheetViews>
  <sheetFormatPr defaultRowHeight="15" x14ac:dyDescent="0.25"/>
  <cols>
    <col min="1" max="1" width="2.7109375" customWidth="1"/>
    <col min="2" max="2" width="8.42578125" customWidth="1"/>
    <col min="3" max="3" width="49.42578125" customWidth="1"/>
    <col min="4" max="4" width="9.28515625" customWidth="1"/>
    <col min="5" max="5" width="17.7109375" customWidth="1"/>
    <col min="6" max="6" width="18.28515625" customWidth="1"/>
    <col min="7" max="7" width="17" customWidth="1"/>
    <col min="8" max="10" width="17.7109375" customWidth="1"/>
  </cols>
  <sheetData>
    <row r="1" spans="2:7" x14ac:dyDescent="0.25">
      <c r="B1" t="s">
        <v>48</v>
      </c>
    </row>
    <row r="14" spans="2:7" x14ac:dyDescent="0.25">
      <c r="C14" s="1" t="s">
        <v>82</v>
      </c>
      <c r="D14" s="3">
        <v>1</v>
      </c>
      <c r="F14" s="1" t="s">
        <v>112</v>
      </c>
      <c r="G14">
        <v>15000</v>
      </c>
    </row>
    <row r="15" spans="2:7" x14ac:dyDescent="0.25">
      <c r="C15" t="s">
        <v>84</v>
      </c>
      <c r="D15">
        <v>11</v>
      </c>
      <c r="F15" t="s">
        <v>113</v>
      </c>
      <c r="G15">
        <f>365*24</f>
        <v>8760</v>
      </c>
    </row>
    <row r="16" spans="2:7" ht="30" x14ac:dyDescent="0.25">
      <c r="C16" s="1" t="s">
        <v>85</v>
      </c>
      <c r="D16">
        <f>D15*D14</f>
        <v>11</v>
      </c>
      <c r="F16" s="1" t="s">
        <v>125</v>
      </c>
      <c r="G16">
        <v>1000</v>
      </c>
    </row>
    <row r="17" spans="2:7" x14ac:dyDescent="0.25">
      <c r="C17" s="1" t="s">
        <v>89</v>
      </c>
      <c r="D17" s="2">
        <v>0.5</v>
      </c>
    </row>
    <row r="18" spans="2:7" x14ac:dyDescent="0.25">
      <c r="C18" t="s">
        <v>90</v>
      </c>
      <c r="D18">
        <f>D17*Batt_bank_energy__kWh</f>
        <v>5.5</v>
      </c>
      <c r="F18" s="1" t="s">
        <v>163</v>
      </c>
      <c r="G18">
        <v>0.38</v>
      </c>
    </row>
    <row r="19" spans="2:7" x14ac:dyDescent="0.25">
      <c r="C19" t="s">
        <v>119</v>
      </c>
      <c r="D19">
        <v>3000</v>
      </c>
      <c r="F19" t="s">
        <v>164</v>
      </c>
      <c r="G19">
        <v>1000</v>
      </c>
    </row>
    <row r="20" spans="2:7" x14ac:dyDescent="0.25">
      <c r="C20" s="1" t="s">
        <v>120</v>
      </c>
      <c r="D20">
        <f>D19*2.5</f>
        <v>7500</v>
      </c>
    </row>
    <row r="21" spans="2:7" x14ac:dyDescent="0.25">
      <c r="C21" s="1"/>
      <c r="D21" s="19"/>
    </row>
    <row r="22" spans="2:7" x14ac:dyDescent="0.25">
      <c r="C22" s="1"/>
    </row>
    <row r="23" spans="2:7" x14ac:dyDescent="0.25">
      <c r="C23" s="1"/>
    </row>
    <row r="25" spans="2:7" x14ac:dyDescent="0.25">
      <c r="C25" t="s">
        <v>65</v>
      </c>
      <c r="E25" s="4" t="s">
        <v>49</v>
      </c>
      <c r="F25" s="4" t="s">
        <v>50</v>
      </c>
      <c r="G25" s="4" t="s">
        <v>50</v>
      </c>
    </row>
    <row r="26" spans="2:7" ht="30" x14ac:dyDescent="0.25">
      <c r="F26" s="1" t="s">
        <v>91</v>
      </c>
      <c r="G26" s="1" t="s">
        <v>92</v>
      </c>
    </row>
    <row r="27" spans="2:7" x14ac:dyDescent="0.25">
      <c r="B27" s="4" t="s">
        <v>8</v>
      </c>
      <c r="C27" t="s">
        <v>51</v>
      </c>
      <c r="E27" s="4">
        <v>10.3</v>
      </c>
      <c r="F27" s="4">
        <v>15.3</v>
      </c>
      <c r="G27" s="4">
        <v>15.3</v>
      </c>
    </row>
    <row r="28" spans="2:7" x14ac:dyDescent="0.25">
      <c r="B28" s="4"/>
      <c r="C28" t="s">
        <v>54</v>
      </c>
      <c r="E28" s="5">
        <v>0.7</v>
      </c>
      <c r="F28" s="5">
        <v>0.7</v>
      </c>
      <c r="G28" s="5">
        <v>0.59</v>
      </c>
    </row>
    <row r="29" spans="2:7" x14ac:dyDescent="0.25">
      <c r="B29" s="4" t="s">
        <v>52</v>
      </c>
      <c r="C29" t="s">
        <v>53</v>
      </c>
      <c r="E29" s="6">
        <f>E27*E28</f>
        <v>7.21</v>
      </c>
      <c r="F29" s="6">
        <f t="shared" ref="F29:G29" si="0">F27*F28</f>
        <v>10.709999999999999</v>
      </c>
      <c r="G29" s="6">
        <f t="shared" si="0"/>
        <v>9.0269999999999992</v>
      </c>
    </row>
    <row r="30" spans="2:7" x14ac:dyDescent="0.25">
      <c r="B30" s="4"/>
      <c r="C30" t="s">
        <v>55</v>
      </c>
      <c r="E30" s="5">
        <v>0.88</v>
      </c>
      <c r="F30" s="5">
        <v>0.88</v>
      </c>
      <c r="G30" s="5">
        <v>0.88</v>
      </c>
    </row>
    <row r="31" spans="2:7" x14ac:dyDescent="0.25">
      <c r="B31" s="4" t="s">
        <v>56</v>
      </c>
      <c r="C31" t="s">
        <v>57</v>
      </c>
      <c r="E31" s="6">
        <f>E30*E29</f>
        <v>6.3448000000000002</v>
      </c>
      <c r="F31" s="6">
        <f t="shared" ref="F31:G31" si="1">F30*F29</f>
        <v>9.4247999999999994</v>
      </c>
      <c r="G31" s="6">
        <f t="shared" si="1"/>
        <v>7.9437599999999993</v>
      </c>
    </row>
    <row r="32" spans="2:7" x14ac:dyDescent="0.25">
      <c r="B32" s="4"/>
      <c r="C32" t="s">
        <v>58</v>
      </c>
      <c r="E32" s="5">
        <v>0.94</v>
      </c>
      <c r="F32" s="5">
        <v>0.94</v>
      </c>
      <c r="G32" s="5">
        <v>0.94</v>
      </c>
    </row>
    <row r="33" spans="2:7" x14ac:dyDescent="0.25">
      <c r="B33" s="4" t="s">
        <v>59</v>
      </c>
      <c r="C33" t="s">
        <v>60</v>
      </c>
      <c r="E33" s="9">
        <f>E32*E31</f>
        <v>5.9641120000000001</v>
      </c>
      <c r="F33" s="6">
        <f t="shared" ref="F33:G33" si="2">F32*F31</f>
        <v>8.8593119999999992</v>
      </c>
      <c r="G33" s="6">
        <f t="shared" si="2"/>
        <v>7.4671343999999991</v>
      </c>
    </row>
    <row r="34" spans="2:7" x14ac:dyDescent="0.25">
      <c r="B34" s="4" t="s">
        <v>59</v>
      </c>
      <c r="C34" t="s">
        <v>61</v>
      </c>
      <c r="E34" s="4">
        <v>7.5</v>
      </c>
      <c r="F34" s="9">
        <f>F33</f>
        <v>8.8593119999999992</v>
      </c>
      <c r="G34" s="10">
        <v>7.5</v>
      </c>
    </row>
    <row r="35" spans="2:7" x14ac:dyDescent="0.25">
      <c r="B35" s="4"/>
      <c r="C35" t="s">
        <v>62</v>
      </c>
      <c r="E35" s="5">
        <v>0.99</v>
      </c>
      <c r="F35" s="5">
        <v>0.99</v>
      </c>
      <c r="G35" s="5">
        <v>0.99</v>
      </c>
    </row>
    <row r="36" spans="2:7" x14ac:dyDescent="0.25">
      <c r="B36" s="4" t="s">
        <v>63</v>
      </c>
      <c r="C36" t="s">
        <v>64</v>
      </c>
      <c r="E36" s="6">
        <f>E35*E33</f>
        <v>5.9044708799999999</v>
      </c>
      <c r="F36" s="6">
        <f>F35*F34</f>
        <v>8.7707188799999987</v>
      </c>
      <c r="G36" s="6">
        <f>G35*G34</f>
        <v>7.4249999999999998</v>
      </c>
    </row>
    <row r="37" spans="2:7" x14ac:dyDescent="0.25">
      <c r="B37" s="4"/>
      <c r="C37" t="s">
        <v>66</v>
      </c>
      <c r="E37" s="5">
        <v>0.95</v>
      </c>
      <c r="F37" s="5">
        <v>0.95</v>
      </c>
      <c r="G37" s="5">
        <v>0.95</v>
      </c>
    </row>
    <row r="38" spans="2:7" x14ac:dyDescent="0.25">
      <c r="B38" s="4" t="s">
        <v>67</v>
      </c>
      <c r="C38" t="s">
        <v>68</v>
      </c>
      <c r="E38" s="6">
        <f>E37*E36</f>
        <v>5.6092473359999993</v>
      </c>
      <c r="F38" s="6">
        <f t="shared" ref="F38:G38" si="3">F37*F36</f>
        <v>8.3321829359999988</v>
      </c>
      <c r="G38" s="6">
        <f t="shared" si="3"/>
        <v>7.0537499999999991</v>
      </c>
    </row>
    <row r="39" spans="2:7" x14ac:dyDescent="0.25">
      <c r="B39" s="4" t="s">
        <v>73</v>
      </c>
      <c r="C39" t="s">
        <v>74</v>
      </c>
      <c r="E39" s="4">
        <v>0.5</v>
      </c>
      <c r="F39" s="4">
        <v>0.5</v>
      </c>
      <c r="G39" s="4">
        <v>0.5</v>
      </c>
    </row>
    <row r="40" spans="2:7" x14ac:dyDescent="0.25">
      <c r="B40" s="4"/>
      <c r="C40" t="s">
        <v>75</v>
      </c>
      <c r="E40" s="5">
        <f>E37</f>
        <v>0.95</v>
      </c>
      <c r="F40" s="5">
        <f t="shared" ref="F40:G40" si="4">F37</f>
        <v>0.95</v>
      </c>
      <c r="G40" s="5">
        <f t="shared" si="4"/>
        <v>0.95</v>
      </c>
    </row>
    <row r="41" spans="2:7" x14ac:dyDescent="0.25">
      <c r="B41" s="4" t="s">
        <v>69</v>
      </c>
      <c r="C41" t="s">
        <v>70</v>
      </c>
      <c r="E41" s="7">
        <f>E39/E40</f>
        <v>0.52631578947368418</v>
      </c>
      <c r="F41" s="7">
        <f t="shared" ref="F41:G41" si="5">F39/F40</f>
        <v>0.52631578947368418</v>
      </c>
      <c r="G41" s="7">
        <f t="shared" si="5"/>
        <v>0.52631578947368418</v>
      </c>
    </row>
    <row r="42" spans="2:7" x14ac:dyDescent="0.25">
      <c r="B42" s="4" t="s">
        <v>71</v>
      </c>
      <c r="C42" t="s">
        <v>72</v>
      </c>
      <c r="E42" s="8">
        <f>E38-E41</f>
        <v>5.0829315465263152</v>
      </c>
      <c r="F42" s="8">
        <f t="shared" ref="F42:G42" si="6">F38-F41</f>
        <v>7.8058671465263147</v>
      </c>
      <c r="G42" s="8">
        <f t="shared" si="6"/>
        <v>6.527434210526315</v>
      </c>
    </row>
    <row r="43" spans="2:7" x14ac:dyDescent="0.25">
      <c r="B43" s="4"/>
      <c r="E43" s="8"/>
      <c r="F43" s="8"/>
      <c r="G43" s="8"/>
    </row>
    <row r="44" spans="2:7" x14ac:dyDescent="0.25">
      <c r="B44" s="4"/>
      <c r="C44" t="s">
        <v>130</v>
      </c>
      <c r="E44" s="8"/>
      <c r="F44" s="8"/>
      <c r="G44" s="8"/>
    </row>
    <row r="45" spans="2:7" ht="30" x14ac:dyDescent="0.25">
      <c r="B45" s="4"/>
      <c r="C45" s="1" t="s">
        <v>80</v>
      </c>
      <c r="D45" s="1" t="s">
        <v>87</v>
      </c>
      <c r="E45" s="8"/>
      <c r="F45" s="8"/>
      <c r="G45" s="8"/>
    </row>
    <row r="46" spans="2:7" x14ac:dyDescent="0.25">
      <c r="B46" s="4" t="s">
        <v>86</v>
      </c>
      <c r="C46" t="s">
        <v>88</v>
      </c>
      <c r="D46" s="4">
        <v>0</v>
      </c>
      <c r="E46" s="11">
        <f>E$36-($D46+E$41)/E$37</f>
        <v>5.3504542595013849</v>
      </c>
      <c r="F46" s="11">
        <f t="shared" ref="F46:G53" si="7">F$36-($D46+F$41)/F$37</f>
        <v>8.2167022595013837</v>
      </c>
      <c r="G46" s="11">
        <f t="shared" si="7"/>
        <v>6.8709833795013848</v>
      </c>
    </row>
    <row r="47" spans="2:7" x14ac:dyDescent="0.25">
      <c r="B47" s="4"/>
      <c r="C47" t="s">
        <v>88</v>
      </c>
      <c r="D47" s="4">
        <v>0.5</v>
      </c>
      <c r="E47" s="11">
        <f t="shared" ref="E47:E48" si="8">E$36-($D47+E$41)/E$37</f>
        <v>4.8241384700277008</v>
      </c>
      <c r="F47" s="11">
        <f t="shared" si="7"/>
        <v>7.6903864700276996</v>
      </c>
      <c r="G47" s="11">
        <f t="shared" si="7"/>
        <v>6.3446675900277008</v>
      </c>
    </row>
    <row r="48" spans="2:7" x14ac:dyDescent="0.25">
      <c r="B48" s="4"/>
      <c r="C48" t="s">
        <v>88</v>
      </c>
      <c r="D48" s="4">
        <v>1</v>
      </c>
      <c r="E48" s="11">
        <f t="shared" si="8"/>
        <v>4.2978226805540167</v>
      </c>
      <c r="F48" s="11">
        <f t="shared" si="7"/>
        <v>7.1640706805540155</v>
      </c>
      <c r="G48" s="11">
        <f t="shared" si="7"/>
        <v>5.8183518005540167</v>
      </c>
    </row>
    <row r="49" spans="2:7" x14ac:dyDescent="0.25">
      <c r="B49" s="4"/>
      <c r="C49" t="s">
        <v>88</v>
      </c>
      <c r="D49" s="4">
        <v>2</v>
      </c>
      <c r="E49" s="11">
        <f t="shared" ref="E49:E53" si="9">E$36-($D49+E$41)/E$37</f>
        <v>3.2451911016066481</v>
      </c>
      <c r="F49" s="11">
        <f t="shared" si="7"/>
        <v>6.1114391016066474</v>
      </c>
      <c r="G49" s="11">
        <f t="shared" si="7"/>
        <v>4.7657202216066477</v>
      </c>
    </row>
    <row r="50" spans="2:7" x14ac:dyDescent="0.25">
      <c r="B50" s="4"/>
      <c r="C50" t="s">
        <v>88</v>
      </c>
      <c r="D50" s="4">
        <v>3</v>
      </c>
      <c r="E50" s="11">
        <f t="shared" si="9"/>
        <v>2.1925595226592796</v>
      </c>
      <c r="F50" s="11">
        <f t="shared" si="7"/>
        <v>5.0588075226592784</v>
      </c>
      <c r="G50" s="11">
        <f t="shared" si="7"/>
        <v>3.7130886426592795</v>
      </c>
    </row>
    <row r="51" spans="2:7" x14ac:dyDescent="0.25">
      <c r="B51" s="4"/>
      <c r="C51" t="s">
        <v>88</v>
      </c>
      <c r="D51" s="4">
        <v>4</v>
      </c>
      <c r="E51" s="11">
        <f t="shared" si="9"/>
        <v>1.1399279437119114</v>
      </c>
      <c r="F51" s="11">
        <f t="shared" si="7"/>
        <v>4.0061759437119102</v>
      </c>
      <c r="G51" s="11">
        <f t="shared" si="7"/>
        <v>2.6604570637119114</v>
      </c>
    </row>
    <row r="52" spans="2:7" x14ac:dyDescent="0.25">
      <c r="B52" s="4"/>
      <c r="C52" t="s">
        <v>88</v>
      </c>
      <c r="D52" s="4">
        <v>5</v>
      </c>
      <c r="E52" s="11">
        <f t="shared" si="9"/>
        <v>8.7296364764542389E-2</v>
      </c>
      <c r="F52" s="11">
        <f t="shared" si="7"/>
        <v>2.9535443647645412</v>
      </c>
      <c r="G52" s="11">
        <f t="shared" si="7"/>
        <v>1.6078254847645423</v>
      </c>
    </row>
    <row r="53" spans="2:7" x14ac:dyDescent="0.25">
      <c r="B53" s="4"/>
      <c r="C53" t="s">
        <v>88</v>
      </c>
      <c r="D53" s="4">
        <v>6</v>
      </c>
      <c r="E53" s="22">
        <f t="shared" si="9"/>
        <v>-0.96533521418282575</v>
      </c>
      <c r="F53" s="11">
        <f t="shared" si="7"/>
        <v>1.900912785817173</v>
      </c>
      <c r="G53" s="11">
        <f t="shared" si="7"/>
        <v>0.5551939058171742</v>
      </c>
    </row>
    <row r="54" spans="2:7" x14ac:dyDescent="0.25">
      <c r="E54" s="12"/>
      <c r="F54" s="12"/>
      <c r="G54" s="12"/>
    </row>
    <row r="55" spans="2:7" x14ac:dyDescent="0.25">
      <c r="C55" s="17" t="s">
        <v>76</v>
      </c>
      <c r="D55" s="17"/>
      <c r="E55" s="18">
        <f>E46/Batt_bank_energy__kWh</f>
        <v>0.48640493268194407</v>
      </c>
      <c r="F55" s="21">
        <f>F46/Batt_bank_energy__kWh</f>
        <v>0.74697293268194398</v>
      </c>
      <c r="G55" s="21">
        <f>G46/Batt_bank_energy__kWh</f>
        <v>0.62463485268194407</v>
      </c>
    </row>
    <row r="56" spans="2:7" x14ac:dyDescent="0.25">
      <c r="C56" s="17" t="s">
        <v>131</v>
      </c>
      <c r="D56" s="17"/>
      <c r="E56" s="18">
        <f>E47/Batt_bank_energy__kWh</f>
        <v>0.43855804272979099</v>
      </c>
      <c r="F56" s="21">
        <f>F47/Batt_bank_energy__kWh</f>
        <v>0.69912604272979084</v>
      </c>
      <c r="G56" s="21">
        <f>G47/Batt_bank_energy__kWh</f>
        <v>0.57678796272979094</v>
      </c>
    </row>
    <row r="57" spans="2:7" x14ac:dyDescent="0.25">
      <c r="C57" s="17" t="s">
        <v>132</v>
      </c>
      <c r="D57" s="17"/>
      <c r="E57" s="18">
        <f>E48/Batt_bank_energy__kWh</f>
        <v>0.3907111527776379</v>
      </c>
      <c r="F57" s="21">
        <f>F48/Batt_bank_energy__kWh</f>
        <v>0.65127915277763782</v>
      </c>
      <c r="G57" s="21">
        <f>G48/Batt_bank_energy__kWh</f>
        <v>0.52894107277763791</v>
      </c>
    </row>
    <row r="58" spans="2:7" x14ac:dyDescent="0.25">
      <c r="C58" s="17" t="s">
        <v>77</v>
      </c>
      <c r="D58" s="17"/>
      <c r="E58" s="18">
        <f>E49/Batt_bank_energy__kWh</f>
        <v>0.29501737287333163</v>
      </c>
      <c r="F58" s="21">
        <f>F49/Batt_bank_energy__kWh</f>
        <v>0.55558537287333154</v>
      </c>
      <c r="G58" s="18">
        <f>G49/Batt_bank_energy__kWh</f>
        <v>0.43324729287333158</v>
      </c>
    </row>
    <row r="59" spans="2:7" x14ac:dyDescent="0.25">
      <c r="C59" s="17" t="s">
        <v>133</v>
      </c>
      <c r="D59" s="17"/>
      <c r="E59" s="18">
        <f>E50/Batt_bank_energy__kWh</f>
        <v>0.19932359296902541</v>
      </c>
      <c r="F59" s="18">
        <f>F50/Batt_bank_energy__kWh</f>
        <v>0.45989159296902532</v>
      </c>
      <c r="G59" s="18">
        <f>G50/Batt_bank_energy__kWh</f>
        <v>0.33755351296902542</v>
      </c>
    </row>
    <row r="60" spans="2:7" x14ac:dyDescent="0.25">
      <c r="C60" s="17" t="s">
        <v>78</v>
      </c>
      <c r="D60" s="17"/>
      <c r="E60" s="18">
        <f>E51/Batt_bank_energy__kWh</f>
        <v>0.10362981306471922</v>
      </c>
      <c r="F60" s="18">
        <f>F51/Batt_bank_energy__kWh</f>
        <v>0.3641978130647191</v>
      </c>
      <c r="G60" s="18">
        <f>G51/Batt_bank_energy__kWh</f>
        <v>0.24185973306471922</v>
      </c>
    </row>
    <row r="61" spans="2:7" x14ac:dyDescent="0.25">
      <c r="C61" s="17" t="s">
        <v>134</v>
      </c>
      <c r="D61" s="17"/>
      <c r="E61" s="18">
        <f>E52/Batt_bank_energy__kWh</f>
        <v>7.9360331604129437E-3</v>
      </c>
      <c r="F61" s="18">
        <f>F52/Batt_bank_energy__kWh</f>
        <v>0.26850403316041282</v>
      </c>
      <c r="G61" s="18">
        <f>G52/Batt_bank_energy__kWh</f>
        <v>0.14616595316041295</v>
      </c>
    </row>
    <row r="62" spans="2:7" x14ac:dyDescent="0.25">
      <c r="C62" s="17" t="s">
        <v>79</v>
      </c>
      <c r="D62" s="17"/>
      <c r="E62" s="21">
        <f>E53/Batt_bank_energy__kWh</f>
        <v>-8.775774674389325E-2</v>
      </c>
      <c r="F62" s="18">
        <f>F53/Batt_bank_energy__kWh</f>
        <v>0.17281025325610663</v>
      </c>
      <c r="G62" s="18">
        <f>G53/Batt_bank_energy__kWh</f>
        <v>5.0472173256106749E-2</v>
      </c>
    </row>
    <row r="64" spans="2:7" x14ac:dyDescent="0.25">
      <c r="B64" t="s">
        <v>101</v>
      </c>
      <c r="C64" t="s">
        <v>93</v>
      </c>
      <c r="E64" s="13">
        <f>1/E55*Depth_of_Discharge</f>
        <v>1.0279501016634336</v>
      </c>
      <c r="F64" s="13">
        <f>1/F55*Depth_of_Discharge</f>
        <v>0.66936829719490865</v>
      </c>
      <c r="G64" s="13">
        <f>1/G55*Depth_of_Discharge</f>
        <v>0.80046766179183004</v>
      </c>
    </row>
    <row r="65" spans="2:7" x14ac:dyDescent="0.25">
      <c r="C65" t="s">
        <v>135</v>
      </c>
      <c r="E65" s="13">
        <f>1/E56*Depth_of_Discharge</f>
        <v>1.1400999440980844</v>
      </c>
      <c r="F65" s="13">
        <f>1/F56*Depth_of_Discharge</f>
        <v>0.71517862222341477</v>
      </c>
      <c r="G65" s="13">
        <f>1/G56*Depth_of_Discharge</f>
        <v>0.86686968575701018</v>
      </c>
    </row>
    <row r="66" spans="2:7" x14ac:dyDescent="0.25">
      <c r="C66" t="s">
        <v>136</v>
      </c>
      <c r="E66" s="13">
        <f>1/E57*Depth_of_Discharge</f>
        <v>1.2797177568272813</v>
      </c>
      <c r="F66" s="13">
        <f>1/F57*Depth_of_Discharge</f>
        <v>0.76771995213965016</v>
      </c>
      <c r="G66" s="13">
        <f>1/G57*Depth_of_Discharge</f>
        <v>0.94528488282133372</v>
      </c>
    </row>
    <row r="67" spans="2:7" x14ac:dyDescent="0.25">
      <c r="C67" t="s">
        <v>94</v>
      </c>
      <c r="E67" s="13">
        <f>1/E58*Depth_of_Discharge</f>
        <v>1.6948154446981654</v>
      </c>
      <c r="F67" s="13">
        <f>1/F58*Depth_of_Discharge</f>
        <v>0.89995169853759904</v>
      </c>
      <c r="G67" s="13">
        <f>1/G58*Depth_of_Discharge</f>
        <v>1.1540753011610505</v>
      </c>
    </row>
    <row r="68" spans="2:7" x14ac:dyDescent="0.25">
      <c r="C68" t="s">
        <v>137</v>
      </c>
      <c r="E68" s="13">
        <f>1/E59*Depth_of_Discharge</f>
        <v>2.5084837803305065</v>
      </c>
      <c r="F68" s="13">
        <f>1/F59*Depth_of_Discharge</f>
        <v>1.0872127424031344</v>
      </c>
      <c r="G68" s="13">
        <f>1/G59*Depth_of_Discharge</f>
        <v>1.4812466195423095</v>
      </c>
    </row>
    <row r="69" spans="2:7" x14ac:dyDescent="0.25">
      <c r="C69" t="s">
        <v>95</v>
      </c>
      <c r="E69" s="13">
        <f>1/E60*Depth_of_Discharge</f>
        <v>4.8248663701413648</v>
      </c>
      <c r="F69" s="13">
        <f>1/F60*Depth_of_Discharge</f>
        <v>1.3728802921481256</v>
      </c>
      <c r="G69" s="13">
        <f>1/G60*Depth_of_Discharge</f>
        <v>2.0673139495535828</v>
      </c>
    </row>
    <row r="70" spans="2:7" x14ac:dyDescent="0.25">
      <c r="C70" t="s">
        <v>138</v>
      </c>
      <c r="E70" s="13">
        <f>1/E61*Depth_of_Discharge</f>
        <v>63.00376899811026</v>
      </c>
      <c r="F70" s="13">
        <f>1/F61*Depth_of_Discharge</f>
        <v>1.8621694211247999</v>
      </c>
      <c r="G70" s="13">
        <f>1/G61*Depth_of_Discharge</f>
        <v>3.4207692639014526</v>
      </c>
    </row>
    <row r="71" spans="2:7" x14ac:dyDescent="0.25">
      <c r="C71" t="s">
        <v>96</v>
      </c>
      <c r="E71" s="13">
        <f>1/E62*Depth_of_Discharge</f>
        <v>-5.697502711175674</v>
      </c>
      <c r="F71" s="13">
        <f>1/F62*Depth_of_Discharge</f>
        <v>2.8933468389690669</v>
      </c>
      <c r="G71" s="13">
        <f>1/G62*Depth_of_Discharge</f>
        <v>9.9064487963078509</v>
      </c>
    </row>
    <row r="73" spans="2:7" x14ac:dyDescent="0.25">
      <c r="B73" t="s">
        <v>102</v>
      </c>
      <c r="C73" t="s">
        <v>97</v>
      </c>
      <c r="D73" s="4">
        <v>0</v>
      </c>
      <c r="E73" s="13" t="e">
        <f t="shared" ref="E73:G80" si="10">Cycle_energy__kWh/$D73</f>
        <v>#DIV/0!</v>
      </c>
      <c r="F73" s="13" t="e">
        <f t="shared" si="10"/>
        <v>#DIV/0!</v>
      </c>
      <c r="G73" s="13" t="e">
        <f t="shared" si="10"/>
        <v>#DIV/0!</v>
      </c>
    </row>
    <row r="74" spans="2:7" x14ac:dyDescent="0.25">
      <c r="C74" t="s">
        <v>139</v>
      </c>
      <c r="D74" s="4">
        <v>0.5</v>
      </c>
      <c r="E74" s="13">
        <f t="shared" si="10"/>
        <v>11</v>
      </c>
      <c r="F74" s="13">
        <f t="shared" si="10"/>
        <v>11</v>
      </c>
      <c r="G74" s="13">
        <f t="shared" si="10"/>
        <v>11</v>
      </c>
    </row>
    <row r="75" spans="2:7" x14ac:dyDescent="0.25">
      <c r="C75" t="s">
        <v>140</v>
      </c>
      <c r="D75" s="4">
        <v>1</v>
      </c>
      <c r="E75" s="13">
        <f t="shared" si="10"/>
        <v>5.5</v>
      </c>
      <c r="F75" s="13">
        <f t="shared" si="10"/>
        <v>5.5</v>
      </c>
      <c r="G75" s="13">
        <f t="shared" si="10"/>
        <v>5.5</v>
      </c>
    </row>
    <row r="76" spans="2:7" x14ac:dyDescent="0.25">
      <c r="C76" t="s">
        <v>98</v>
      </c>
      <c r="D76" s="4">
        <v>2</v>
      </c>
      <c r="E76" s="13">
        <f t="shared" si="10"/>
        <v>2.75</v>
      </c>
      <c r="F76" s="13">
        <f t="shared" si="10"/>
        <v>2.75</v>
      </c>
      <c r="G76" s="13">
        <f t="shared" si="10"/>
        <v>2.75</v>
      </c>
    </row>
    <row r="77" spans="2:7" x14ac:dyDescent="0.25">
      <c r="C77" t="s">
        <v>141</v>
      </c>
      <c r="D77" s="4">
        <v>3</v>
      </c>
      <c r="E77" s="13">
        <f t="shared" si="10"/>
        <v>1.8333333333333333</v>
      </c>
      <c r="F77" s="13">
        <f t="shared" si="10"/>
        <v>1.8333333333333333</v>
      </c>
      <c r="G77" s="13">
        <f t="shared" si="10"/>
        <v>1.8333333333333333</v>
      </c>
    </row>
    <row r="78" spans="2:7" x14ac:dyDescent="0.25">
      <c r="C78" t="s">
        <v>99</v>
      </c>
      <c r="D78" s="4">
        <v>4</v>
      </c>
      <c r="E78" s="13">
        <f t="shared" si="10"/>
        <v>1.375</v>
      </c>
      <c r="F78" s="13">
        <f t="shared" si="10"/>
        <v>1.375</v>
      </c>
      <c r="G78" s="13">
        <f t="shared" si="10"/>
        <v>1.375</v>
      </c>
    </row>
    <row r="79" spans="2:7" x14ac:dyDescent="0.25">
      <c r="C79" t="s">
        <v>142</v>
      </c>
      <c r="D79" s="4">
        <v>5</v>
      </c>
      <c r="E79" s="13">
        <f t="shared" si="10"/>
        <v>1.1000000000000001</v>
      </c>
      <c r="F79" s="13">
        <f t="shared" si="10"/>
        <v>1.1000000000000001</v>
      </c>
      <c r="G79" s="13">
        <f t="shared" si="10"/>
        <v>1.1000000000000001</v>
      </c>
    </row>
    <row r="80" spans="2:7" x14ac:dyDescent="0.25">
      <c r="C80" t="s">
        <v>100</v>
      </c>
      <c r="D80" s="4">
        <v>6</v>
      </c>
      <c r="E80" s="13">
        <f t="shared" si="10"/>
        <v>0.91666666666666663</v>
      </c>
      <c r="F80" s="13">
        <f t="shared" si="10"/>
        <v>0.91666666666666663</v>
      </c>
      <c r="G80" s="13">
        <f t="shared" si="10"/>
        <v>0.91666666666666663</v>
      </c>
    </row>
    <row r="82" spans="2:7" x14ac:dyDescent="0.25">
      <c r="B82" t="s">
        <v>103</v>
      </c>
      <c r="C82" t="s">
        <v>104</v>
      </c>
      <c r="E82" s="7" t="e">
        <f>E64+E73</f>
        <v>#DIV/0!</v>
      </c>
      <c r="F82" s="7" t="e">
        <f t="shared" ref="F82:G82" si="11">F64+F73</f>
        <v>#DIV/0!</v>
      </c>
      <c r="G82" s="7" t="e">
        <f t="shared" si="11"/>
        <v>#DIV/0!</v>
      </c>
    </row>
    <row r="83" spans="2:7" x14ac:dyDescent="0.25">
      <c r="C83" t="s">
        <v>143</v>
      </c>
      <c r="E83" s="7">
        <f t="shared" ref="E83:G83" si="12">E65+E74</f>
        <v>12.140099944098084</v>
      </c>
      <c r="F83" s="7">
        <f t="shared" si="12"/>
        <v>11.715178622223414</v>
      </c>
      <c r="G83" s="7">
        <f t="shared" si="12"/>
        <v>11.86686968575701</v>
      </c>
    </row>
    <row r="84" spans="2:7" x14ac:dyDescent="0.25">
      <c r="C84" t="s">
        <v>144</v>
      </c>
      <c r="E84" s="7">
        <f t="shared" ref="E84:G84" si="13">E66+E75</f>
        <v>6.7797177568272815</v>
      </c>
      <c r="F84" s="7">
        <f t="shared" si="13"/>
        <v>6.2677199521396503</v>
      </c>
      <c r="G84" s="7">
        <f t="shared" si="13"/>
        <v>6.4452848828213334</v>
      </c>
    </row>
    <row r="85" spans="2:7" x14ac:dyDescent="0.25">
      <c r="C85" t="s">
        <v>105</v>
      </c>
      <c r="E85" s="7">
        <f t="shared" ref="E85:G85" si="14">E67+E76</f>
        <v>4.4448154446981656</v>
      </c>
      <c r="F85" s="7">
        <f t="shared" si="14"/>
        <v>3.649951698537599</v>
      </c>
      <c r="G85" s="7">
        <f t="shared" si="14"/>
        <v>3.9040753011610505</v>
      </c>
    </row>
    <row r="86" spans="2:7" x14ac:dyDescent="0.25">
      <c r="C86" t="s">
        <v>145</v>
      </c>
      <c r="E86" s="7">
        <f t="shared" ref="E86:G86" si="15">E68+E77</f>
        <v>4.3418171136638399</v>
      </c>
      <c r="F86" s="7">
        <f t="shared" si="15"/>
        <v>2.9205460757364676</v>
      </c>
      <c r="G86" s="7">
        <f t="shared" si="15"/>
        <v>3.3145799528756426</v>
      </c>
    </row>
    <row r="87" spans="2:7" x14ac:dyDescent="0.25">
      <c r="C87" t="s">
        <v>106</v>
      </c>
      <c r="E87" s="7">
        <f t="shared" ref="E87:G87" si="16">E69+E78</f>
        <v>6.1998663701413648</v>
      </c>
      <c r="F87" s="7">
        <f t="shared" si="16"/>
        <v>2.7478802921481256</v>
      </c>
      <c r="G87" s="7">
        <f t="shared" si="16"/>
        <v>3.4423139495535828</v>
      </c>
    </row>
    <row r="88" spans="2:7" x14ac:dyDescent="0.25">
      <c r="C88" t="s">
        <v>146</v>
      </c>
      <c r="E88" s="7">
        <f t="shared" ref="E88:G88" si="17">E70+E79</f>
        <v>64.103768998110255</v>
      </c>
      <c r="F88" s="7">
        <f t="shared" si="17"/>
        <v>2.9621694211248002</v>
      </c>
      <c r="G88" s="7">
        <f t="shared" si="17"/>
        <v>4.5207692639014532</v>
      </c>
    </row>
    <row r="89" spans="2:7" x14ac:dyDescent="0.25">
      <c r="C89" t="s">
        <v>107</v>
      </c>
      <c r="E89" s="7">
        <f t="shared" ref="E89:G89" si="18">E71+E80</f>
        <v>-4.780836044509007</v>
      </c>
      <c r="F89" s="7">
        <f t="shared" si="18"/>
        <v>3.8100135056357334</v>
      </c>
      <c r="G89" s="7">
        <f t="shared" si="18"/>
        <v>10.823115462974517</v>
      </c>
    </row>
    <row r="91" spans="2:7" x14ac:dyDescent="0.25">
      <c r="C91" t="s">
        <v>108</v>
      </c>
      <c r="E91" s="7" t="e">
        <f>E64/E82</f>
        <v>#DIV/0!</v>
      </c>
      <c r="F91" s="7" t="e">
        <f>F64/F82</f>
        <v>#DIV/0!</v>
      </c>
      <c r="G91" s="7" t="e">
        <f>G64/G82</f>
        <v>#DIV/0!</v>
      </c>
    </row>
    <row r="92" spans="2:7" x14ac:dyDescent="0.25">
      <c r="C92" t="s">
        <v>147</v>
      </c>
      <c r="E92" s="7">
        <f t="shared" ref="E92:G92" si="19">E65/E83</f>
        <v>9.3911907591201049E-2</v>
      </c>
      <c r="F92" s="7">
        <f t="shared" si="19"/>
        <v>6.1047180353420986E-2</v>
      </c>
      <c r="G92" s="7">
        <f t="shared" si="19"/>
        <v>7.3049566457905446E-2</v>
      </c>
    </row>
    <row r="93" spans="2:7" x14ac:dyDescent="0.25">
      <c r="C93" t="s">
        <v>148</v>
      </c>
      <c r="E93" s="7">
        <f t="shared" ref="E93:G93" si="20">E66/E84</f>
        <v>0.18875678940153306</v>
      </c>
      <c r="F93" s="7">
        <f t="shared" si="20"/>
        <v>0.12248791554216919</v>
      </c>
      <c r="G93" s="7">
        <f t="shared" si="20"/>
        <v>0.14666301024812861</v>
      </c>
    </row>
    <row r="94" spans="2:7" x14ac:dyDescent="0.25">
      <c r="C94" t="s">
        <v>109</v>
      </c>
      <c r="E94" s="7">
        <f t="shared" ref="E94:G94" si="21">E67/E85</f>
        <v>0.38130164588042986</v>
      </c>
      <c r="F94" s="7">
        <f t="shared" si="21"/>
        <v>0.2465653720563416</v>
      </c>
      <c r="G94" s="7">
        <f t="shared" si="21"/>
        <v>0.29560784875687074</v>
      </c>
    </row>
    <row r="95" spans="2:7" x14ac:dyDescent="0.25">
      <c r="C95" t="s">
        <v>149</v>
      </c>
      <c r="E95" s="7">
        <f t="shared" ref="E95:G95" si="22">E68/E86</f>
        <v>0.57774975653309446</v>
      </c>
      <c r="F95" s="7">
        <f t="shared" si="22"/>
        <v>0.37226351312706968</v>
      </c>
      <c r="G95" s="7">
        <f t="shared" si="22"/>
        <v>0.44688818510991685</v>
      </c>
    </row>
    <row r="96" spans="2:7" x14ac:dyDescent="0.25">
      <c r="C96" t="s">
        <v>110</v>
      </c>
      <c r="D96" s="20"/>
      <c r="E96" s="7">
        <f t="shared" ref="E96:G96" si="23">E69/E87</f>
        <v>0.77822102640437263</v>
      </c>
      <c r="F96" s="7">
        <f t="shared" si="23"/>
        <v>0.49961430127470774</v>
      </c>
      <c r="G96" s="7">
        <f t="shared" si="23"/>
        <v>0.60055938530001973</v>
      </c>
    </row>
    <row r="97" spans="3:7" x14ac:dyDescent="0.25">
      <c r="C97" t="s">
        <v>150</v>
      </c>
      <c r="D97" s="20"/>
      <c r="E97" s="7">
        <f t="shared" ref="E97:G97" si="24">E70/E88</f>
        <v>0.98284032253965559</v>
      </c>
      <c r="F97" s="7">
        <f t="shared" si="24"/>
        <v>0.62865054505143514</v>
      </c>
      <c r="G97" s="7">
        <f t="shared" si="24"/>
        <v>0.756678579288806</v>
      </c>
    </row>
    <row r="98" spans="3:7" x14ac:dyDescent="0.25">
      <c r="C98" t="s">
        <v>111</v>
      </c>
      <c r="D98" s="20"/>
      <c r="E98" s="7" t="s">
        <v>118</v>
      </c>
      <c r="F98" s="7">
        <f t="shared" ref="F98:G98" si="25">F71/F89</f>
        <v>0.759405927220273</v>
      </c>
      <c r="G98" s="7">
        <f t="shared" si="25"/>
        <v>0.9153047318212072</v>
      </c>
    </row>
    <row r="99" spans="3:7" x14ac:dyDescent="0.25">
      <c r="D99" s="20"/>
      <c r="E99" s="7"/>
      <c r="F99" s="7"/>
      <c r="G99" s="7"/>
    </row>
    <row r="100" spans="3:7" x14ac:dyDescent="0.25">
      <c r="D100" s="20"/>
    </row>
    <row r="101" spans="3:7" x14ac:dyDescent="0.25">
      <c r="C101" s="14" t="s">
        <v>114</v>
      </c>
      <c r="D101" s="14">
        <v>0</v>
      </c>
      <c r="E101" s="15" t="e">
        <f>Engine_spec_d_life__h/Hours_in_a_year__h/E91</f>
        <v>#DIV/0!</v>
      </c>
      <c r="F101" s="15" t="e">
        <f>Engine_spec_d_life__h/Hours_in_a_year__h/F91</f>
        <v>#DIV/0!</v>
      </c>
      <c r="G101" s="15" t="e">
        <f>Engine_spec_d_life__h/Hours_in_a_year__h/G91</f>
        <v>#DIV/0!</v>
      </c>
    </row>
    <row r="102" spans="3:7" x14ac:dyDescent="0.25">
      <c r="C102" s="23" t="s">
        <v>151</v>
      </c>
      <c r="D102" s="23">
        <v>500</v>
      </c>
      <c r="E102" s="24">
        <f>Engine_spec_d_life__h/Hours_in_a_year__h/E92</f>
        <v>18.233350924752401</v>
      </c>
      <c r="F102" s="24">
        <f>Engine_spec_d_life__h/Hours_in_a_year__h/F92</f>
        <v>28.049268732971569</v>
      </c>
      <c r="G102" s="24">
        <f>Engine_spec_d_life__h/Hours_in_a_year__h/G92</f>
        <v>23.440642431601713</v>
      </c>
    </row>
    <row r="103" spans="3:7" x14ac:dyDescent="0.25">
      <c r="C103" s="23" t="s">
        <v>152</v>
      </c>
      <c r="D103" s="23">
        <v>1000</v>
      </c>
      <c r="E103" s="24">
        <f>Engine_spec_d_life__h/Hours_in_a_year__h/E93</f>
        <v>9.0716141790308509</v>
      </c>
      <c r="F103" s="24">
        <f>Engine_spec_d_life__h/Hours_in_a_year__h/F93</f>
        <v>13.979573083140437</v>
      </c>
      <c r="G103" s="24">
        <f>Engine_spec_d_life__h/Hours_in_a_year__h/G93</f>
        <v>11.675259932455509</v>
      </c>
    </row>
    <row r="104" spans="3:7" x14ac:dyDescent="0.25">
      <c r="C104" s="14" t="s">
        <v>115</v>
      </c>
      <c r="D104" s="14">
        <v>2000</v>
      </c>
      <c r="E104" s="15">
        <f>Engine_spec_d_life__h/Hours_in_a_year__h/E94</f>
        <v>4.4907458061700751</v>
      </c>
      <c r="F104" s="15">
        <f>Engine_spec_d_life__h/Hours_in_a_year__h/F94</f>
        <v>6.9447252582248682</v>
      </c>
      <c r="G104" s="15">
        <f>Engine_spec_d_life__h/Hours_in_a_year__h/G94</f>
        <v>5.7925686828824041</v>
      </c>
    </row>
    <row r="105" spans="3:7" x14ac:dyDescent="0.25">
      <c r="C105" s="14" t="s">
        <v>153</v>
      </c>
      <c r="D105" s="14">
        <v>3000</v>
      </c>
      <c r="E105" s="15">
        <f>Engine_spec_d_life__h/Hours_in_a_year__h/E95</f>
        <v>2.9637896818831506</v>
      </c>
      <c r="F105" s="15">
        <f>Engine_spec_d_life__h/Hours_in_a_year__h/F95</f>
        <v>4.5997759832530125</v>
      </c>
      <c r="G105" s="15">
        <f>Engine_spec_d_life__h/Hours_in_a_year__h/G95</f>
        <v>3.8316715996913686</v>
      </c>
    </row>
    <row r="106" spans="3:7" x14ac:dyDescent="0.25">
      <c r="C106" s="14" t="s">
        <v>116</v>
      </c>
      <c r="D106" s="14">
        <v>4000</v>
      </c>
      <c r="E106" s="15">
        <f>Engine_spec_d_life__h/Hours_in_a_year__h/E96</f>
        <v>2.2003116197396881</v>
      </c>
      <c r="F106" s="15">
        <f>Engine_spec_d_life__h/Hours_in_a_year__h/F96</f>
        <v>3.4273013457670847</v>
      </c>
      <c r="G106" s="15">
        <f>Engine_spec_d_life__h/Hours_in_a_year__h/G96</f>
        <v>2.8512230580958526</v>
      </c>
    </row>
    <row r="107" spans="3:7" x14ac:dyDescent="0.25">
      <c r="C107" s="14" t="s">
        <v>154</v>
      </c>
      <c r="D107" s="14">
        <v>5000</v>
      </c>
      <c r="E107" s="15">
        <f>Engine_spec_d_life__h/Hours_in_a_year__h/E97</f>
        <v>1.7422247824536103</v>
      </c>
      <c r="F107" s="15">
        <f>Engine_spec_d_life__h/Hours_in_a_year__h/F97</f>
        <v>2.7238165632755282</v>
      </c>
      <c r="G107" s="15">
        <f>Engine_spec_d_life__h/Hours_in_a_year__h/G97</f>
        <v>2.262953933138542</v>
      </c>
    </row>
    <row r="108" spans="3:7" x14ac:dyDescent="0.25">
      <c r="C108" s="14" t="s">
        <v>117</v>
      </c>
      <c r="D108" s="14">
        <v>6000</v>
      </c>
      <c r="E108" s="15" t="s">
        <v>118</v>
      </c>
      <c r="F108" s="15">
        <f>Engine_spec_d_life__h/Hours_in_a_year__h/F98</f>
        <v>2.2548267082811564</v>
      </c>
      <c r="G108" s="15">
        <f>Engine_spec_d_life__h/Hours_in_a_year__h/G98</f>
        <v>1.8707745165003349</v>
      </c>
    </row>
    <row r="109" spans="3:7" x14ac:dyDescent="0.25">
      <c r="C109" s="14"/>
      <c r="D109" s="14"/>
      <c r="E109" s="14"/>
      <c r="F109" s="14"/>
      <c r="G109" s="14"/>
    </row>
    <row r="110" spans="3:7" x14ac:dyDescent="0.25">
      <c r="C110" s="14" t="s">
        <v>121</v>
      </c>
      <c r="D110" s="14">
        <v>0</v>
      </c>
      <c r="E110" s="16" t="e">
        <f>Batt_Cycles_50__DOD__guesstimated/(Hours_in_a_year__h/E82)</f>
        <v>#DIV/0!</v>
      </c>
      <c r="F110" s="16" t="e">
        <f>Batt_Cycles_50__DOD__guesstimated/(Hours_in_a_year__h/F82)</f>
        <v>#DIV/0!</v>
      </c>
      <c r="G110" s="16" t="e">
        <f>Batt_Cycles_50__DOD__guesstimated/(Hours_in_a_year__h/G82)</f>
        <v>#DIV/0!</v>
      </c>
    </row>
    <row r="111" spans="3:7" x14ac:dyDescent="0.25">
      <c r="C111" s="23" t="s">
        <v>155</v>
      </c>
      <c r="D111" s="23">
        <v>500</v>
      </c>
      <c r="E111" s="24">
        <f>Batt_Cycles_50__DOD__guesstimated/(Hours_in_a_year__h/E83)</f>
        <v>10.393921185015483</v>
      </c>
      <c r="F111" s="24">
        <f>Batt_Cycles_50__DOD__guesstimated/(Hours_in_a_year__h/F83)</f>
        <v>10.030118683410457</v>
      </c>
      <c r="G111" s="24">
        <f>Batt_Cycles_50__DOD__guesstimated/(Hours_in_a_year__h/G83)</f>
        <v>10.159991169312509</v>
      </c>
    </row>
    <row r="112" spans="3:7" x14ac:dyDescent="0.25">
      <c r="C112" s="23" t="s">
        <v>156</v>
      </c>
      <c r="D112" s="23">
        <v>1000</v>
      </c>
      <c r="E112" s="24">
        <f>Batt_Cycles_50__DOD__guesstimated/(Hours_in_a_year__h/E84)</f>
        <v>5.8045528739959602</v>
      </c>
      <c r="F112" s="24">
        <f>Batt_Cycles_50__DOD__guesstimated/(Hours_in_a_year__h/F84)</f>
        <v>5.3661985891606596</v>
      </c>
      <c r="G112" s="24">
        <f>Batt_Cycles_50__DOD__guesstimated/(Hours_in_a_year__h/G84)</f>
        <v>5.5182233585799088</v>
      </c>
    </row>
    <row r="113" spans="3:7" x14ac:dyDescent="0.25">
      <c r="C113" s="14" t="s">
        <v>122</v>
      </c>
      <c r="D113" s="14">
        <v>2000</v>
      </c>
      <c r="E113" s="15">
        <f>Batt_Cycles_50__DOD__guesstimated/(Hours_in_a_year__h/E85)</f>
        <v>3.8054926752552789</v>
      </c>
      <c r="F113" s="15">
        <f>Batt_Cycles_50__DOD__guesstimated/(Hours_in_a_year__h/F85)</f>
        <v>3.1249586460082184</v>
      </c>
      <c r="G113" s="15">
        <f>Batt_Cycles_50__DOD__guesstimated/(Hours_in_a_year__h/G85)</f>
        <v>3.34253022359679</v>
      </c>
    </row>
    <row r="114" spans="3:7" x14ac:dyDescent="0.25">
      <c r="C114" s="14" t="s">
        <v>157</v>
      </c>
      <c r="D114" s="14">
        <v>3000</v>
      </c>
      <c r="E114" s="15">
        <f>Batt_Cycles_50__DOD__guesstimated/(Hours_in_a_year__h/E86)</f>
        <v>3.717309172657397</v>
      </c>
      <c r="F114" s="15">
        <f>Batt_Cycles_50__DOD__guesstimated/(Hours_in_a_year__h/F86)</f>
        <v>2.5004675305962909</v>
      </c>
      <c r="G114" s="15">
        <f>Batt_Cycles_50__DOD__guesstimated/(Hours_in_a_year__h/G86)</f>
        <v>2.837825302119557</v>
      </c>
    </row>
    <row r="115" spans="3:7" x14ac:dyDescent="0.25">
      <c r="C115" s="14" t="s">
        <v>123</v>
      </c>
      <c r="D115" s="14">
        <v>4000</v>
      </c>
      <c r="E115" s="15">
        <f>Batt_Cycles_50__DOD__guesstimated/(Hours_in_a_year__h/E87)</f>
        <v>5.3081047689566478</v>
      </c>
      <c r="F115" s="15">
        <f>Batt_Cycles_50__DOD__guesstimated/(Hours_in_a_year__h/F87)</f>
        <v>2.3526372364281896</v>
      </c>
      <c r="G115" s="15">
        <f>Batt_Cycles_50__DOD__guesstimated/(Hours_in_a_year__h/G87)</f>
        <v>2.9471866006451912</v>
      </c>
    </row>
    <row r="116" spans="3:7" x14ac:dyDescent="0.25">
      <c r="C116" s="14" t="s">
        <v>158</v>
      </c>
      <c r="D116" s="14">
        <v>5000</v>
      </c>
      <c r="E116" s="15">
        <f>Batt_Cycles_50__DOD__guesstimated/(Hours_in_a_year__h/E88)</f>
        <v>54.883363868245084</v>
      </c>
      <c r="F116" s="15">
        <f>Batt_Cycles_50__DOD__guesstimated/(Hours_in_a_year__h/F88)</f>
        <v>2.5361039564424659</v>
      </c>
      <c r="G116" s="15">
        <f>Batt_Cycles_50__DOD__guesstimated/(Hours_in_a_year__h/G88)</f>
        <v>3.8705216300526137</v>
      </c>
    </row>
    <row r="117" spans="3:7" x14ac:dyDescent="0.25">
      <c r="C117" s="14" t="s">
        <v>124</v>
      </c>
      <c r="D117" s="14">
        <v>6000</v>
      </c>
      <c r="E117" s="15" t="s">
        <v>118</v>
      </c>
      <c r="F117" s="15">
        <f>Batt_Cycles_50__DOD__guesstimated/(Hours_in_a_year__h/F89)</f>
        <v>3.2619978644141554</v>
      </c>
      <c r="G117" s="15">
        <f>Batt_Cycles_50__DOD__guesstimated/(Hours_in_a_year__h/G89)</f>
        <v>9.2663659785740737</v>
      </c>
    </row>
    <row r="119" spans="3:7" x14ac:dyDescent="0.25">
      <c r="C119" t="s">
        <v>126</v>
      </c>
      <c r="E119" s="4" t="e">
        <f>(Engine_service_interval__h/E91)/24</f>
        <v>#DIV/0!</v>
      </c>
      <c r="F119" s="4" t="e">
        <f>(Engine_service_interval__h/F91)/24</f>
        <v>#DIV/0!</v>
      </c>
      <c r="G119" s="4" t="e">
        <f>(Engine_service_interval__h/G91)/24</f>
        <v>#DIV/0!</v>
      </c>
    </row>
    <row r="120" spans="3:7" x14ac:dyDescent="0.25">
      <c r="C120" t="s">
        <v>159</v>
      </c>
      <c r="E120" s="7">
        <f>(Engine_service_interval__h/E92)/24</f>
        <v>443.67820583564179</v>
      </c>
      <c r="F120" s="7">
        <f>(Engine_service_interval__h/F92)/24</f>
        <v>682.53220583564155</v>
      </c>
      <c r="G120" s="7">
        <f>(Engine_service_interval__h/G92)/24</f>
        <v>570.38896583564167</v>
      </c>
    </row>
    <row r="121" spans="3:7" x14ac:dyDescent="0.25">
      <c r="C121" t="s">
        <v>160</v>
      </c>
      <c r="E121" s="7">
        <f>(Engine_service_interval__h/E93)/24</f>
        <v>220.7426116897507</v>
      </c>
      <c r="F121" s="7">
        <f>(Engine_service_interval__h/F93)/24</f>
        <v>340.16961168975064</v>
      </c>
      <c r="G121" s="7">
        <f>(Engine_service_interval__h/G93)/24</f>
        <v>284.0979916897507</v>
      </c>
    </row>
    <row r="122" spans="3:7" x14ac:dyDescent="0.25">
      <c r="C122" t="s">
        <v>127</v>
      </c>
      <c r="E122" s="7">
        <f>(Engine_service_interval__h/E94)/24</f>
        <v>109.27481461680516</v>
      </c>
      <c r="F122" s="7">
        <f>(Engine_service_interval__h/F94)/24</f>
        <v>168.98831461680513</v>
      </c>
      <c r="G122" s="7">
        <f>(Engine_service_interval__h/G94)/24</f>
        <v>140.95250461680516</v>
      </c>
    </row>
    <row r="123" spans="3:7" x14ac:dyDescent="0.25">
      <c r="C123" t="s">
        <v>161</v>
      </c>
      <c r="E123" s="7">
        <f>(Engine_service_interval__h/E95)/24</f>
        <v>72.118882259156663</v>
      </c>
      <c r="F123" s="7">
        <f>(Engine_service_interval__h/F95)/24</f>
        <v>111.92788225915665</v>
      </c>
      <c r="G123" s="7">
        <f>(Engine_service_interval__h/G95)/24</f>
        <v>93.237342259156648</v>
      </c>
    </row>
    <row r="124" spans="3:7" x14ac:dyDescent="0.25">
      <c r="C124" t="s">
        <v>128</v>
      </c>
      <c r="E124" s="7">
        <f>(Engine_service_interval__h/E96)/24</f>
        <v>53.540916080332408</v>
      </c>
      <c r="F124" s="7">
        <f>(Engine_service_interval__h/F96)/24</f>
        <v>83.397666080332399</v>
      </c>
      <c r="G124" s="7">
        <f>(Engine_service_interval__h/G96)/24</f>
        <v>69.379761080332415</v>
      </c>
    </row>
    <row r="125" spans="3:7" x14ac:dyDescent="0.25">
      <c r="C125" t="s">
        <v>162</v>
      </c>
      <c r="E125" s="7">
        <f>(Engine_service_interval__h/E97)/24</f>
        <v>42.394136373037853</v>
      </c>
      <c r="F125" s="7">
        <f>(Engine_service_interval__h/F97)/24</f>
        <v>66.279536373037857</v>
      </c>
      <c r="G125" s="7">
        <f>(Engine_service_interval__h/G97)/24</f>
        <v>55.065212373037859</v>
      </c>
    </row>
    <row r="126" spans="3:7" x14ac:dyDescent="0.25">
      <c r="C126" t="s">
        <v>129</v>
      </c>
      <c r="E126" s="7" t="s">
        <v>118</v>
      </c>
      <c r="F126" s="7">
        <f>(Engine_service_interval__h/F98)/24</f>
        <v>54.867449901508138</v>
      </c>
      <c r="G126" s="7">
        <f>(Engine_service_interval__h/G98)/24</f>
        <v>45.522179901508146</v>
      </c>
    </row>
  </sheetData>
  <printOptions horizontalCentered="1" verticalCentered="1" gridLines="1"/>
  <pageMargins left="0.7" right="0.7" top="0.75" bottom="0.75" header="0.3" footer="0.3"/>
  <pageSetup paperSize="3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Beckett Battery Modules</vt:lpstr>
      <vt:lpstr>Hygen Use Models</vt:lpstr>
      <vt:lpstr>Sheet3</vt:lpstr>
      <vt:lpstr>Batt_bank_energy__kWh</vt:lpstr>
      <vt:lpstr>Batt_Cycles_50__DOD__guesstimated</vt:lpstr>
      <vt:lpstr>Batt_Cycles_80__DOD</vt:lpstr>
      <vt:lpstr>Beckett_module_nominal_energy__kWh</vt:lpstr>
      <vt:lpstr>Cycle_energy__kWh</vt:lpstr>
      <vt:lpstr>Depth_of_Discharge</vt:lpstr>
      <vt:lpstr>Engine_service_interval__h</vt:lpstr>
      <vt:lpstr>Engine_spec_d_life__h</vt:lpstr>
      <vt:lpstr>Format_Parallel</vt:lpstr>
      <vt:lpstr>Format_Parallel_Stack</vt:lpstr>
      <vt:lpstr>Format_Series</vt:lpstr>
      <vt:lpstr>Format_Series_Stack</vt:lpstr>
      <vt:lpstr>Hours_in_a_year__h</vt:lpstr>
      <vt:lpstr>Max_charge_rate</vt:lpstr>
      <vt:lpstr>Max_discharge_rate</vt:lpstr>
      <vt:lpstr>Nominal_Capacity</vt:lpstr>
      <vt:lpstr>Nominal_Capacity_Module</vt:lpstr>
      <vt:lpstr>Nominal_Energy</vt:lpstr>
      <vt:lpstr>Nominal_Energy_Module</vt:lpstr>
      <vt:lpstr>Nominal_Voltage</vt:lpstr>
      <vt:lpstr>'Hygen Use Models'!Print_Area</vt:lpstr>
      <vt:lpstr>Stack_height</vt:lpstr>
      <vt:lpstr>Voltage_at_0</vt:lpstr>
      <vt:lpstr>Voltage_at_100</vt:lpstr>
      <vt:lpstr>Voltage_at_30</vt:lpstr>
      <vt:lpstr>Voltage_at_80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Marty</dc:creator>
  <cp:lastModifiedBy>Bill Marty</cp:lastModifiedBy>
  <cp:lastPrinted>2016-03-03T17:37:16Z</cp:lastPrinted>
  <dcterms:created xsi:type="dcterms:W3CDTF">2016-02-24T21:15:18Z</dcterms:created>
  <dcterms:modified xsi:type="dcterms:W3CDTF">2016-03-28T20:29:04Z</dcterms:modified>
</cp:coreProperties>
</file>