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2"/>
  </bookViews>
  <sheets>
    <sheet name="Beckett Battery Modules" sheetId="1" r:id="rId1"/>
    <sheet name="Hygen Use Models" sheetId="2" r:id="rId2"/>
    <sheet name="5 year life projections" sheetId="4" r:id="rId3"/>
  </sheets>
  <definedNames>
    <definedName name="AC_accessory_load__kW">'5 year life projections'!$E$50</definedName>
    <definedName name="Alternator_max_output__calculated___kW">'5 year life projections'!$E$42</definedName>
    <definedName name="Alternator_power_efficiency">'5 year life projections'!$E$41</definedName>
    <definedName name="Avg_bank_energy_over_lifetime" localSheetId="2">'5 year life projections'!$D$18</definedName>
    <definedName name="Avg_bank_energy_over_lifetime">'Hygen Use Models'!$D$18</definedName>
    <definedName name="Batt_bank_energy__kWh" localSheetId="2">'5 year life projections'!$D$16</definedName>
    <definedName name="Batt_bank_energy__kWh">'Hygen Use Models'!$D$16</definedName>
    <definedName name="Batt_Cycles_50__DOD__guesstimated" localSheetId="2">'5 year life projections'!$D$22</definedName>
    <definedName name="Batt_Cycles_50__DOD__guesstimated">'Hygen Use Models'!$D$22</definedName>
    <definedName name="Batt_Cycles_80__DOD" localSheetId="2">'5 year life projections'!$D$21</definedName>
    <definedName name="Batt_Cycles_80__DOD">'Hygen Use Models'!$D$21</definedName>
    <definedName name="Batt_end_of_life_definition__capacity_degradation" localSheetId="2">'5 year life projections'!$D$17</definedName>
    <definedName name="Batt_end_of_life_definition__capacity_degradation">'Hygen Use Models'!$D$17</definedName>
    <definedName name="Beckett_module_nominal_energy__kWh" localSheetId="2">'5 year life projections'!$D$14</definedName>
    <definedName name="Beckett_module_nominal_energy__kWh">'Hygen Use Models'!$D$14</definedName>
    <definedName name="Cycle_energy__kWh" localSheetId="2">'5 year life projections'!$D$20</definedName>
    <definedName name="Cycle_energy__kWh">'Hygen Use Models'!$D$20</definedName>
    <definedName name="DC___DC_converter_power_efficiency">'5 year life projections'!$E$46</definedName>
    <definedName name="Depth_of_Discharge" localSheetId="2">'5 year life projections'!$D$19</definedName>
    <definedName name="Depth_of_Discharge">'Hygen Use Models'!$D$19</definedName>
    <definedName name="Diesel_cost____l" localSheetId="2">'5 year life projections'!$D$31</definedName>
    <definedName name="Diesel_cost____l">'Hygen Use Models'!$G$22</definedName>
    <definedName name="Engine_efficiency__after_fan__alternator__etc.">'5 year life projections'!$E$39</definedName>
    <definedName name="Engine_gross_intermittent_power__kW">'5 year life projections'!$E$36</definedName>
    <definedName name="Engine_max_net_weighted_power__kW">'5 year life projections'!$E$40</definedName>
    <definedName name="Engine_net_intermittent_power__kW">'5 year life projections'!$E$38</definedName>
    <definedName name="Engine_service_interval__h" localSheetId="2">'5 year life projections'!$D$28</definedName>
    <definedName name="Engine_service_interval__h">'Hygen Use Models'!$G$16</definedName>
    <definedName name="Engine_spec_d_life__h" localSheetId="2">'5 year life projections'!$D$26</definedName>
    <definedName name="Engine_spec_d_life__h">'Hygen Use Models'!$G$14</definedName>
    <definedName name="Estimated_AC_inverter_efficiency">'5 year life projections'!$E$49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Fuel_Tank_Capacity__l" localSheetId="2">'5 year life projections'!$D$30</definedName>
    <definedName name="Fuel_Tank_Capacity__l">'Hygen Use Models'!$G$21</definedName>
    <definedName name="Hours_in_a_year__h" localSheetId="2">'5 year life projections'!$D$27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Max_rated_DC_power_output__kW">'5 year life projections'!$E$47</definedName>
    <definedName name="Max_rated_tower_load__kW">'5 year life projections'!$E$51</definedName>
    <definedName name="Maximum_engine_load_factor">'5 year life projections'!$E$37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NovaTorque_max_power__kW">'5 year life projections'!$E$43</definedName>
    <definedName name="_xlnm.Print_Area" localSheetId="2">'5 year life projections'!$F$13:$J$31</definedName>
    <definedName name="_xlnm.Print_Area" localSheetId="1">'Hygen Use Models'!$B$1:$P$127</definedName>
    <definedName name="Rectifier_max_output__kW">'5 year life projections'!$E$45</definedName>
    <definedName name="Rectifier_power_efficiency">'5 year life projections'!$E$44</definedName>
    <definedName name="SFC__l_kWh" localSheetId="2">'5 year life projections'!$D$29</definedName>
    <definedName name="SFC__l_kWh">'Hygen Use Models'!$G$20</definedName>
    <definedName name="Spec_d_AC_max_accessory_load__kW">'5 year life projections'!$E$48</definedName>
    <definedName name="Stack_height" localSheetId="2">'5 year life projections'!$D$15</definedName>
    <definedName name="Stack_height">'Hygen Use Models'!$D$15</definedName>
    <definedName name="Voltage_at_0">'Beckett Battery Modules'!$C$11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G90" i="4" l="1"/>
  <c r="G89" i="4"/>
  <c r="G88" i="4"/>
  <c r="G87" i="4"/>
  <c r="G86" i="4"/>
  <c r="G85" i="4"/>
  <c r="G84" i="4"/>
  <c r="G62" i="4"/>
  <c r="G71" i="4" s="1"/>
  <c r="G80" i="4" s="1"/>
  <c r="G61" i="4"/>
  <c r="G70" i="4" s="1"/>
  <c r="G79" i="4" s="1"/>
  <c r="G60" i="4"/>
  <c r="G69" i="4" s="1"/>
  <c r="G78" i="4" s="1"/>
  <c r="G59" i="4"/>
  <c r="G68" i="4" s="1"/>
  <c r="G77" i="4" s="1"/>
  <c r="G58" i="4"/>
  <c r="G67" i="4" s="1"/>
  <c r="G76" i="4" s="1"/>
  <c r="G57" i="4"/>
  <c r="G66" i="4" s="1"/>
  <c r="G75" i="4" s="1"/>
  <c r="G56" i="4"/>
  <c r="G65" i="4" s="1"/>
  <c r="G74" i="4" s="1"/>
  <c r="G55" i="4"/>
  <c r="G64" i="4" s="1"/>
  <c r="G73" i="4" s="1"/>
  <c r="G27" i="4"/>
  <c r="G18" i="4"/>
  <c r="G16" i="4"/>
  <c r="G20" i="4" s="1"/>
  <c r="G99" i="4" l="1"/>
  <c r="G127" i="4" s="1"/>
  <c r="G108" i="4"/>
  <c r="G95" i="4"/>
  <c r="G123" i="4" s="1"/>
  <c r="G96" i="4"/>
  <c r="G124" i="4" s="1"/>
  <c r="G94" i="4"/>
  <c r="G122" i="4" s="1"/>
  <c r="G103" i="4"/>
  <c r="G97" i="4"/>
  <c r="G125" i="4" s="1"/>
  <c r="G102" i="4"/>
  <c r="G93" i="4"/>
  <c r="G121" i="4" s="1"/>
  <c r="G98" i="4"/>
  <c r="G126" i="4" s="1"/>
  <c r="G107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H85" i="4"/>
  <c r="H86" i="4"/>
  <c r="H87" i="4"/>
  <c r="H88" i="4"/>
  <c r="H89" i="4"/>
  <c r="H90" i="4"/>
  <c r="H84" i="4"/>
  <c r="H23" i="4"/>
  <c r="I23" i="4"/>
  <c r="J23" i="4"/>
  <c r="I20" i="4"/>
  <c r="H20" i="4"/>
  <c r="J27" i="4"/>
  <c r="J18" i="4"/>
  <c r="J20" i="4" s="1"/>
  <c r="J16" i="4"/>
  <c r="I27" i="4"/>
  <c r="I18" i="4"/>
  <c r="I16" i="4"/>
  <c r="H27" i="4"/>
  <c r="H18" i="4"/>
  <c r="H16" i="4"/>
  <c r="N60" i="4"/>
  <c r="O60" i="4" s="1"/>
  <c r="M60" i="4"/>
  <c r="N59" i="4"/>
  <c r="O59" i="4" s="1"/>
  <c r="M59" i="4"/>
  <c r="N58" i="4"/>
  <c r="O58" i="4" s="1"/>
  <c r="M58" i="4"/>
  <c r="N57" i="4"/>
  <c r="O57" i="4" s="1"/>
  <c r="M57" i="4"/>
  <c r="N56" i="4"/>
  <c r="O56" i="4" s="1"/>
  <c r="M56" i="4"/>
  <c r="N55" i="4"/>
  <c r="O55" i="4" s="1"/>
  <c r="M55" i="4"/>
  <c r="N54" i="4"/>
  <c r="O54" i="4" s="1"/>
  <c r="M54" i="4"/>
  <c r="M53" i="4"/>
  <c r="E49" i="4"/>
  <c r="E50" i="4" s="1"/>
  <c r="J62" i="4" s="1"/>
  <c r="J71" i="4" s="1"/>
  <c r="J80" i="4" s="1"/>
  <c r="E45" i="4"/>
  <c r="E38" i="4"/>
  <c r="E40" i="4" s="1"/>
  <c r="E42" i="4" s="1"/>
  <c r="D18" i="4"/>
  <c r="D16" i="4"/>
  <c r="D20" i="4" s="1"/>
  <c r="D27" i="4"/>
  <c r="G113" i="4" l="1"/>
  <c r="G131" i="4"/>
  <c r="G105" i="4"/>
  <c r="G104" i="4"/>
  <c r="G135" i="4"/>
  <c r="G117" i="4"/>
  <c r="G112" i="4"/>
  <c r="G130" i="4"/>
  <c r="G106" i="4"/>
  <c r="G136" i="4"/>
  <c r="G118" i="4"/>
  <c r="J99" i="4"/>
  <c r="J127" i="4" s="1"/>
  <c r="I58" i="4"/>
  <c r="I67" i="4" s="1"/>
  <c r="I76" i="4" s="1"/>
  <c r="H55" i="4"/>
  <c r="H64" i="4" s="1"/>
  <c r="H73" i="4" s="1"/>
  <c r="I55" i="4"/>
  <c r="I64" i="4" s="1"/>
  <c r="I73" i="4" s="1"/>
  <c r="J55" i="4"/>
  <c r="J64" i="4" s="1"/>
  <c r="J73" i="4" s="1"/>
  <c r="H58" i="4"/>
  <c r="H67" i="4" s="1"/>
  <c r="H76" i="4" s="1"/>
  <c r="I59" i="4"/>
  <c r="I68" i="4" s="1"/>
  <c r="I77" i="4" s="1"/>
  <c r="E55" i="4"/>
  <c r="I56" i="4"/>
  <c r="I65" i="4" s="1"/>
  <c r="I74" i="4" s="1"/>
  <c r="H59" i="4"/>
  <c r="H68" i="4" s="1"/>
  <c r="H77" i="4" s="1"/>
  <c r="E62" i="4"/>
  <c r="H56" i="4"/>
  <c r="H65" i="4" s="1"/>
  <c r="H74" i="4" s="1"/>
  <c r="J56" i="4"/>
  <c r="J65" i="4" s="1"/>
  <c r="J74" i="4" s="1"/>
  <c r="E61" i="4"/>
  <c r="H57" i="4"/>
  <c r="H66" i="4" s="1"/>
  <c r="H75" i="4" s="1"/>
  <c r="H94" i="4" s="1"/>
  <c r="H122" i="4" s="1"/>
  <c r="I57" i="4"/>
  <c r="I66" i="4" s="1"/>
  <c r="I75" i="4" s="1"/>
  <c r="J57" i="4"/>
  <c r="J66" i="4" s="1"/>
  <c r="J75" i="4" s="1"/>
  <c r="J58" i="4"/>
  <c r="J67" i="4" s="1"/>
  <c r="J76" i="4" s="1"/>
  <c r="E60" i="4"/>
  <c r="E59" i="4"/>
  <c r="H60" i="4"/>
  <c r="H69" i="4" s="1"/>
  <c r="H78" i="4" s="1"/>
  <c r="H97" i="4" s="1"/>
  <c r="H125" i="4" s="1"/>
  <c r="I60" i="4"/>
  <c r="I69" i="4" s="1"/>
  <c r="I78" i="4" s="1"/>
  <c r="E57" i="4"/>
  <c r="H61" i="4"/>
  <c r="H70" i="4" s="1"/>
  <c r="H79" i="4" s="1"/>
  <c r="I61" i="4"/>
  <c r="I70" i="4" s="1"/>
  <c r="I79" i="4" s="1"/>
  <c r="J61" i="4"/>
  <c r="J70" i="4" s="1"/>
  <c r="J79" i="4" s="1"/>
  <c r="J59" i="4"/>
  <c r="J68" i="4" s="1"/>
  <c r="J77" i="4" s="1"/>
  <c r="E58" i="4"/>
  <c r="J60" i="4"/>
  <c r="J69" i="4" s="1"/>
  <c r="J78" i="4" s="1"/>
  <c r="E56" i="4"/>
  <c r="E65" i="4" s="1"/>
  <c r="E74" i="4" s="1"/>
  <c r="H62" i="4"/>
  <c r="H71" i="4" s="1"/>
  <c r="H80" i="4" s="1"/>
  <c r="H99" i="4" s="1"/>
  <c r="H127" i="4" s="1"/>
  <c r="I62" i="4"/>
  <c r="I71" i="4" s="1"/>
  <c r="I80" i="4" s="1"/>
  <c r="H93" i="4"/>
  <c r="H121" i="4" s="1"/>
  <c r="H95" i="4"/>
  <c r="H123" i="4" s="1"/>
  <c r="H96" i="4"/>
  <c r="H124" i="4" s="1"/>
  <c r="H98" i="4"/>
  <c r="H126" i="4" s="1"/>
  <c r="E69" i="4"/>
  <c r="E78" i="4" s="1"/>
  <c r="E89" i="4"/>
  <c r="E86" i="4"/>
  <c r="E88" i="4"/>
  <c r="E85" i="4"/>
  <c r="E90" i="4"/>
  <c r="E87" i="4"/>
  <c r="E84" i="4"/>
  <c r="E64" i="4"/>
  <c r="E73" i="4" s="1"/>
  <c r="E70" i="4"/>
  <c r="E79" i="4" s="1"/>
  <c r="E68" i="4"/>
  <c r="E77" i="4" s="1"/>
  <c r="E67" i="4"/>
  <c r="E76" i="4" s="1"/>
  <c r="E71" i="4"/>
  <c r="E80" i="4" s="1"/>
  <c r="E66" i="4"/>
  <c r="E75" i="4" s="1"/>
  <c r="E47" i="4"/>
  <c r="E51" i="4" s="1"/>
  <c r="D18" i="2"/>
  <c r="G132" i="4" l="1"/>
  <c r="G114" i="4"/>
  <c r="G115" i="4"/>
  <c r="G133" i="4"/>
  <c r="G116" i="4"/>
  <c r="G134" i="4"/>
  <c r="I96" i="4"/>
  <c r="I124" i="4" s="1"/>
  <c r="I105" i="4"/>
  <c r="I97" i="4"/>
  <c r="I125" i="4" s="1"/>
  <c r="I106" i="4"/>
  <c r="J93" i="4"/>
  <c r="J121" i="4" s="1"/>
  <c r="J102" i="4"/>
  <c r="J97" i="4"/>
  <c r="J125" i="4" s="1"/>
  <c r="J106" i="4"/>
  <c r="J96" i="4"/>
  <c r="J124" i="4" s="1"/>
  <c r="J105" i="4"/>
  <c r="J98" i="4"/>
  <c r="J126" i="4" s="1"/>
  <c r="J104" i="4"/>
  <c r="J95" i="4"/>
  <c r="J123" i="4" s="1"/>
  <c r="I95" i="4"/>
  <c r="I123" i="4" s="1"/>
  <c r="I104" i="4"/>
  <c r="I98" i="4"/>
  <c r="I126" i="4" s="1"/>
  <c r="J94" i="4"/>
  <c r="J122" i="4" s="1"/>
  <c r="I93" i="4"/>
  <c r="I121" i="4" s="1"/>
  <c r="I99" i="4"/>
  <c r="I127" i="4" s="1"/>
  <c r="I108" i="4"/>
  <c r="I94" i="4"/>
  <c r="I122" i="4" s="1"/>
  <c r="J108" i="4"/>
  <c r="H102" i="4"/>
  <c r="H108" i="4"/>
  <c r="H107" i="4"/>
  <c r="E97" i="4"/>
  <c r="E106" i="4" s="1"/>
  <c r="E134" i="4" s="1"/>
  <c r="P58" i="4" s="1"/>
  <c r="H104" i="4"/>
  <c r="H106" i="4"/>
  <c r="H103" i="4"/>
  <c r="H105" i="4"/>
  <c r="E93" i="4"/>
  <c r="E102" i="4" s="1"/>
  <c r="E98" i="4"/>
  <c r="E126" i="4" s="1"/>
  <c r="E94" i="4"/>
  <c r="E122" i="4" s="1"/>
  <c r="E95" i="4"/>
  <c r="E123" i="4" s="1"/>
  <c r="E96" i="4"/>
  <c r="E124" i="4" s="1"/>
  <c r="E99" i="4"/>
  <c r="E127" i="4" s="1"/>
  <c r="J20" i="1"/>
  <c r="I136" i="4" l="1"/>
  <c r="I118" i="4"/>
  <c r="I132" i="4"/>
  <c r="I114" i="4"/>
  <c r="J134" i="4"/>
  <c r="J116" i="4"/>
  <c r="J130" i="4"/>
  <c r="J112" i="4"/>
  <c r="H136" i="4"/>
  <c r="H118" i="4"/>
  <c r="J132" i="4"/>
  <c r="J114" i="4"/>
  <c r="I102" i="4"/>
  <c r="H130" i="4"/>
  <c r="H112" i="4"/>
  <c r="J103" i="4"/>
  <c r="J107" i="4"/>
  <c r="I134" i="4"/>
  <c r="I116" i="4"/>
  <c r="H114" i="4"/>
  <c r="H132" i="4"/>
  <c r="H117" i="4"/>
  <c r="H135" i="4"/>
  <c r="J136" i="4"/>
  <c r="J118" i="4"/>
  <c r="H131" i="4"/>
  <c r="H113" i="4"/>
  <c r="J115" i="4"/>
  <c r="J133" i="4"/>
  <c r="I133" i="4"/>
  <c r="I115" i="4"/>
  <c r="H133" i="4"/>
  <c r="H115" i="4"/>
  <c r="H134" i="4"/>
  <c r="H116" i="4"/>
  <c r="I103" i="4"/>
  <c r="I107" i="4"/>
  <c r="E108" i="4"/>
  <c r="E136" i="4" s="1"/>
  <c r="P60" i="4" s="1"/>
  <c r="E125" i="4"/>
  <c r="E121" i="4"/>
  <c r="E116" i="4"/>
  <c r="E107" i="4"/>
  <c r="E135" i="4" s="1"/>
  <c r="P59" i="4" s="1"/>
  <c r="E104" i="4"/>
  <c r="E114" i="4" s="1"/>
  <c r="E103" i="4"/>
  <c r="E118" i="4"/>
  <c r="E105" i="4"/>
  <c r="E130" i="4"/>
  <c r="P54" i="4" s="1"/>
  <c r="E112" i="4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J47" i="2"/>
  <c r="J48" i="2"/>
  <c r="J49" i="2"/>
  <c r="J50" i="2"/>
  <c r="J51" i="2"/>
  <c r="J52" i="2"/>
  <c r="J53" i="2"/>
  <c r="J46" i="2"/>
  <c r="J131" i="4" l="1"/>
  <c r="J113" i="4"/>
  <c r="I130" i="4"/>
  <c r="I112" i="4"/>
  <c r="I131" i="4"/>
  <c r="I113" i="4"/>
  <c r="I117" i="4"/>
  <c r="I135" i="4"/>
  <c r="J135" i="4"/>
  <c r="J117" i="4"/>
  <c r="E132" i="4"/>
  <c r="P56" i="4" s="1"/>
  <c r="E117" i="4"/>
  <c r="E133" i="4"/>
  <c r="P57" i="4" s="1"/>
  <c r="E115" i="4"/>
  <c r="E131" i="4"/>
  <c r="P55" i="4" s="1"/>
  <c r="E113" i="4"/>
  <c r="G15" i="2"/>
  <c r="D16" i="2"/>
  <c r="F42" i="2"/>
  <c r="F43" i="2" s="1"/>
  <c r="G42" i="2"/>
  <c r="G43" i="2" s="1"/>
  <c r="E42" i="2"/>
  <c r="E43" i="2" s="1"/>
  <c r="G38" i="2"/>
  <c r="F31" i="2"/>
  <c r="F33" i="2" s="1"/>
  <c r="F35" i="2" s="1"/>
  <c r="F36" i="2" s="1"/>
  <c r="F38" i="2" s="1"/>
  <c r="G31" i="2"/>
  <c r="G33" i="2" s="1"/>
  <c r="G35" i="2" s="1"/>
  <c r="E31" i="2"/>
  <c r="E33" i="2" s="1"/>
  <c r="E35" i="2" s="1"/>
  <c r="E38" i="2" s="1"/>
  <c r="D20" i="2" l="1"/>
  <c r="E62" i="2"/>
  <c r="F57" i="2"/>
  <c r="E58" i="2"/>
  <c r="G61" i="2"/>
  <c r="E64" i="2"/>
  <c r="E57" i="2"/>
  <c r="F59" i="2"/>
  <c r="G64" i="2"/>
  <c r="G59" i="2"/>
  <c r="E61" i="2"/>
  <c r="G60" i="2"/>
  <c r="E63" i="2"/>
  <c r="G63" i="2"/>
  <c r="G58" i="2"/>
  <c r="F60" i="2"/>
  <c r="F64" i="2"/>
  <c r="F58" i="2"/>
  <c r="G57" i="2"/>
  <c r="E59" i="2"/>
  <c r="F61" i="2"/>
  <c r="G62" i="2"/>
  <c r="F63" i="2"/>
  <c r="E60" i="2"/>
  <c r="F62" i="2"/>
  <c r="G49" i="2"/>
  <c r="G50" i="2"/>
  <c r="G68" i="2" s="1"/>
  <c r="G54" i="2"/>
  <c r="G52" i="2"/>
  <c r="G70" i="2" s="1"/>
  <c r="F50" i="2"/>
  <c r="F49" i="2"/>
  <c r="F67" i="2" s="1"/>
  <c r="F54" i="2"/>
  <c r="F52" i="2"/>
  <c r="E54" i="2"/>
  <c r="E50" i="2"/>
  <c r="E68" i="2" s="1"/>
  <c r="E49" i="2"/>
  <c r="E67" i="2" s="1"/>
  <c r="E52" i="2"/>
  <c r="E70" i="2" s="1"/>
  <c r="G53" i="2"/>
  <c r="G40" i="2"/>
  <c r="G44" i="2" s="1"/>
  <c r="E53" i="2"/>
  <c r="E40" i="2"/>
  <c r="E44" i="2" s="1"/>
  <c r="E48" i="2"/>
  <c r="E55" i="2"/>
  <c r="E51" i="2"/>
  <c r="G51" i="2"/>
  <c r="G48" i="2"/>
  <c r="G66" i="2" s="1"/>
  <c r="G55" i="2"/>
  <c r="F48" i="2"/>
  <c r="F66" i="2" s="1"/>
  <c r="F53" i="2"/>
  <c r="F40" i="2"/>
  <c r="F44" i="2" s="1"/>
  <c r="F55" i="2"/>
  <c r="F51" i="2"/>
  <c r="C31" i="1"/>
  <c r="C30" i="1"/>
  <c r="H19" i="1"/>
  <c r="H17" i="1"/>
  <c r="N17" i="1" s="1"/>
  <c r="H15" i="1"/>
  <c r="N15" i="1" s="1"/>
  <c r="H14" i="1"/>
  <c r="N14" i="1" s="1"/>
  <c r="F72" i="2" l="1"/>
  <c r="F68" i="2"/>
  <c r="G71" i="2"/>
  <c r="G72" i="2"/>
  <c r="E73" i="2"/>
  <c r="E72" i="2"/>
  <c r="G67" i="2"/>
  <c r="E66" i="2"/>
  <c r="F70" i="2"/>
  <c r="E77" i="2"/>
  <c r="E86" i="2" s="1"/>
  <c r="G79" i="2"/>
  <c r="F82" i="2"/>
  <c r="F91" i="2" s="1"/>
  <c r="F77" i="2"/>
  <c r="F86" i="2" s="1"/>
  <c r="E80" i="2"/>
  <c r="E89" i="2" s="1"/>
  <c r="G82" i="2"/>
  <c r="G91" i="2" s="1"/>
  <c r="G77" i="2"/>
  <c r="G86" i="2" s="1"/>
  <c r="F80" i="2"/>
  <c r="F89" i="2" s="1"/>
  <c r="E83" i="2"/>
  <c r="E78" i="2"/>
  <c r="E87" i="2" s="1"/>
  <c r="G80" i="2"/>
  <c r="G89" i="2" s="1"/>
  <c r="F83" i="2"/>
  <c r="F78" i="2"/>
  <c r="F87" i="2" s="1"/>
  <c r="E81" i="2"/>
  <c r="G83" i="2"/>
  <c r="F79" i="2"/>
  <c r="G78" i="2"/>
  <c r="G87" i="2" s="1"/>
  <c r="F81" i="2"/>
  <c r="G81" i="2"/>
  <c r="G90" i="2" s="1"/>
  <c r="E79" i="2"/>
  <c r="E82" i="2"/>
  <c r="E91" i="2" s="1"/>
  <c r="E71" i="2"/>
  <c r="G73" i="2"/>
  <c r="G69" i="2"/>
  <c r="F71" i="2"/>
  <c r="E69" i="2"/>
  <c r="E92" i="2" l="1"/>
  <c r="G95" i="2"/>
  <c r="G114" i="2"/>
  <c r="G100" i="2"/>
  <c r="G119" i="2"/>
  <c r="F98" i="2"/>
  <c r="F117" i="2"/>
  <c r="F96" i="2"/>
  <c r="F115" i="2"/>
  <c r="E98" i="2"/>
  <c r="E117" i="2"/>
  <c r="E100" i="2"/>
  <c r="E119" i="2"/>
  <c r="F95" i="2"/>
  <c r="F114" i="2"/>
  <c r="G99" i="2"/>
  <c r="G118" i="2"/>
  <c r="G98" i="2"/>
  <c r="G117" i="2"/>
  <c r="F100" i="2"/>
  <c r="F119" i="2"/>
  <c r="E96" i="2"/>
  <c r="E115" i="2"/>
  <c r="G96" i="2"/>
  <c r="G115" i="2"/>
  <c r="E95" i="2"/>
  <c r="E114" i="2"/>
  <c r="G88" i="2"/>
  <c r="G116" i="2" s="1"/>
  <c r="G92" i="2"/>
  <c r="G120" i="2" s="1"/>
  <c r="G101" i="2"/>
  <c r="E90" i="2"/>
  <c r="E88" i="2"/>
  <c r="F90" i="2"/>
  <c r="F73" i="2"/>
  <c r="F69" i="2"/>
  <c r="G109" i="2" l="1"/>
  <c r="G127" i="2"/>
  <c r="M51" i="2" s="1"/>
  <c r="G111" i="2"/>
  <c r="G129" i="2"/>
  <c r="M53" i="2" s="1"/>
  <c r="G110" i="2"/>
  <c r="G128" i="2"/>
  <c r="M52" i="2" s="1"/>
  <c r="G106" i="2"/>
  <c r="G124" i="2"/>
  <c r="M48" i="2" s="1"/>
  <c r="G108" i="2"/>
  <c r="G126" i="2"/>
  <c r="M50" i="2" s="1"/>
  <c r="G105" i="2"/>
  <c r="G123" i="2"/>
  <c r="M47" i="2" s="1"/>
  <c r="F106" i="2"/>
  <c r="F124" i="2"/>
  <c r="F110" i="2"/>
  <c r="F128" i="2"/>
  <c r="F108" i="2"/>
  <c r="F126" i="2"/>
  <c r="F105" i="2"/>
  <c r="F123" i="2"/>
  <c r="E106" i="2"/>
  <c r="E124" i="2"/>
  <c r="E110" i="2"/>
  <c r="E128" i="2"/>
  <c r="E105" i="2"/>
  <c r="E123" i="2"/>
  <c r="E108" i="2"/>
  <c r="E126" i="2"/>
  <c r="E97" i="2"/>
  <c r="E116" i="2"/>
  <c r="E99" i="2"/>
  <c r="E118" i="2"/>
  <c r="G97" i="2"/>
  <c r="F99" i="2"/>
  <c r="F118" i="2"/>
  <c r="F88" i="2"/>
  <c r="F92" i="2"/>
  <c r="G107" i="2" l="1"/>
  <c r="G125" i="2"/>
  <c r="M49" i="2" s="1"/>
  <c r="F109" i="2"/>
  <c r="F127" i="2"/>
  <c r="E109" i="2"/>
  <c r="E127" i="2"/>
  <c r="E107" i="2"/>
  <c r="E125" i="2"/>
  <c r="F97" i="2"/>
  <c r="F116" i="2"/>
  <c r="F101" i="2"/>
  <c r="F120" i="2"/>
  <c r="F107" i="2" l="1"/>
  <c r="F125" i="2"/>
  <c r="F111" i="2"/>
  <c r="F129" i="2"/>
</calcChain>
</file>

<file path=xl/sharedStrings.xml><?xml version="1.0" encoding="utf-8"?>
<sst xmlns="http://schemas.openxmlformats.org/spreadsheetml/2006/main" count="369" uniqueCount="180">
  <si>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</si>
  <si>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</si>
  <si>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</si>
  <si>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</si>
  <si>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</si>
  <si>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</si>
  <si>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</si>
  <si>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</si>
  <si>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</si>
  <si>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</si>
  <si>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</si>
  <si>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</si>
  <si>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</si>
  <si>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</si>
  <si>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</si>
  <si>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</si>
  <si>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</si>
  <si>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</si>
  <si>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</si>
  <si>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</si>
  <si>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</si>
  <si>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</si>
  <si>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</si>
  <si>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</si>
  <si>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</si>
  <si>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</si>
  <si>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</si>
  <si>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</si>
  <si>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</si>
  <si>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</si>
  <si>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</si>
  <si>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</si>
  <si>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</si>
  <si>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</si>
  <si>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</si>
  <si>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</si>
  <si>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</si>
  <si>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</si>
  <si>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</si>
  <si>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</si>
  <si>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</si>
  <si>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</si>
  <si>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</si>
  <si>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</si>
  <si>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</si>
  <si>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</si>
  <si>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</si>
  <si>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</si>
  <si>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</si>
  <si>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</si>
  <si>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</si>
  <si>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</si>
  <si>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</si>
  <si>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</si>
  <si>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</si>
  <si>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</si>
  <si>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</si>
  <si>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</si>
  <si>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</si>
  <si>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</si>
  <si>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</si>
  <si>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</si>
  <si>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</si>
  <si>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</si>
  <si>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</si>
  <si>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</si>
  <si>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</si>
  <si>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</si>
  <si>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</si>
  <si>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</si>
  <si>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</si>
  <si>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</si>
  <si>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</si>
  <si>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</si>
  <si>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</si>
  <si>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</si>
  <si>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</si>
  <si>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</si>
  <si>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</si>
  <si>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</si>
  <si>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</si>
  <si>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</si>
  <si>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</si>
  <si>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</si>
  <si>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</si>
  <si>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</si>
  <si>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</si>
  <si>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</si>
  <si>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</si>
  <si>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</si>
  <si>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</si>
  <si>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</si>
  <si>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</si>
  <si>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</si>
  <si>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</si>
  <si>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</si>
  <si>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</si>
  <si>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</si>
  <si>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</si>
  <si>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</si>
  <si>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</si>
  <si>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</si>
  <si>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</si>
  <si>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</si>
  <si>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</si>
  <si>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</si>
  <si>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</si>
  <si>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</si>
  <si>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</si>
  <si>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</si>
  <si>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</si>
  <si>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</si>
  <si>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</si>
  <si>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</si>
  <si>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</si>
  <si>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</si>
  <si>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</si>
  <si>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</si>
  <si>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</si>
  <si>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</si>
  <si>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</si>
  <si>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</si>
  <si>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</si>
  <si>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</si>
  <si>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</si>
  <si>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</si>
  <si>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</si>
  <si>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</si>
  <si>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</si>
  <si>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</si>
  <si>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</si>
  <si>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</si>
  <si>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</si>
  <si>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</si>
  <si>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</si>
  <si>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</si>
  <si>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</si>
  <si>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</si>
  <si>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</si>
  <si>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</si>
  <si>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</si>
  <si>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</si>
  <si>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</si>
  <si>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</si>
  <si>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</si>
  <si>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</si>
  <si>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</si>
  <si>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</si>
  <si>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</si>
  <si>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</si>
  <si>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</si>
  <si>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</si>
  <si>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</si>
  <si>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</si>
  <si>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</si>
  <si>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</si>
  <si>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</si>
  <si>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</si>
  <si>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</si>
  <si>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</si>
  <si>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</si>
  <si>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</si>
  <si>
    <t>Diesel cost, $/l</t>
  </si>
  <si>
    <t>250 liter tank refill interval, d</t>
  </si>
  <si>
    <t>Fuel Cost per Month, $USD</t>
  </si>
  <si>
    <t>1000 liter tank refill interval, days</t>
  </si>
  <si>
    <t>Engine maintenance interval, days</t>
  </si>
  <si>
    <t>These plots customized for Angus's Chilean customer.</t>
  </si>
  <si>
    <t>W</t>
  </si>
  <si>
    <t>Batt end of life definition, capacity degradation</t>
  </si>
  <si>
    <t>Avg bank energy over lifetime</t>
  </si>
  <si>
    <t>Batt Cycles 50% DOD, 0.5C charge, estimated by Boston Power</t>
  </si>
  <si>
    <t>Battery Parameters</t>
  </si>
  <si>
    <t>Engine Parameters</t>
  </si>
  <si>
    <t>Life under most conservative assumptions</t>
  </si>
  <si>
    <t>Life under most optimistic assumptions</t>
  </si>
  <si>
    <t>Middle case</t>
  </si>
  <si>
    <t>Batt Cycles, projected based on end of life extension</t>
  </si>
  <si>
    <t>4 sets of assumptions</t>
  </si>
  <si>
    <t>Beckett battery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</si>
</sst>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9" fontId="0" fillId="0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top" wrapText="1"/>
    </xf>
    <xf numFmtId="164" fontId="0" fillId="3" borderId="0" xfId="0" applyNumberFormat="1" applyFill="1"/>
    <xf numFmtId="9" fontId="0" fillId="3" borderId="0" xfId="1" applyFont="1" applyFill="1"/>
    <xf numFmtId="0" fontId="3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Models'!$G$105:$G$111</c:f>
              <c:numCache>
                <c:formatCode>0.00</c:formatCode>
                <c:ptCount val="7"/>
                <c:pt idx="0">
                  <c:v>31.254189908802292</c:v>
                </c:pt>
                <c:pt idx="1">
                  <c:v>15.56701324327401</c:v>
                </c:pt>
                <c:pt idx="2">
                  <c:v>7.7234249105098725</c:v>
                </c:pt>
                <c:pt idx="3">
                  <c:v>5.1088954662551593</c:v>
                </c:pt>
                <c:pt idx="4">
                  <c:v>3.8016307441278037</c:v>
                </c:pt>
                <c:pt idx="5">
                  <c:v>3.017271910851389</c:v>
                </c:pt>
                <c:pt idx="6">
                  <c:v>2.4943660220004467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Models'!$G$114:$G$120</c:f>
              <c:numCache>
                <c:formatCode>0.00</c:formatCode>
                <c:ptCount val="7"/>
                <c:pt idx="0">
                  <c:v>12.191989403175011</c:v>
                </c:pt>
                <c:pt idx="1">
                  <c:v>6.6218680302958912</c:v>
                </c:pt>
                <c:pt idx="2">
                  <c:v>4.0110362683161478</c:v>
                </c:pt>
                <c:pt idx="3">
                  <c:v>3.4053903625434692</c:v>
                </c:pt>
                <c:pt idx="4">
                  <c:v>3.5366239207742294</c:v>
                </c:pt>
                <c:pt idx="5">
                  <c:v>4.6446259560631358</c:v>
                </c:pt>
                <c:pt idx="6">
                  <c:v>11.119639174288887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6288"/>
        <c:axId val="168882560"/>
      </c:scatterChart>
      <c:valAx>
        <c:axId val="168876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68882560"/>
        <c:crosses val="autoZero"/>
        <c:crossBetween val="midCat"/>
      </c:valAx>
      <c:valAx>
        <c:axId val="16888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8876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Engine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4"/>
          <c:order val="1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2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2528"/>
        <c:axId val="66203008"/>
      </c:scatterChart>
      <c:valAx>
        <c:axId val="661825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6203008"/>
        <c:crosses val="autoZero"/>
        <c:crossBetween val="midCat"/>
      </c:valAx>
      <c:valAx>
        <c:axId val="66203008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6182528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Models'!$J$46:$J$53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776"/>
        <c:axId val="169186048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Models'!$K$46:$K$53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98336"/>
        <c:axId val="169187968"/>
      </c:scatterChart>
      <c:valAx>
        <c:axId val="169179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86048"/>
        <c:crosses val="autoZero"/>
        <c:crossBetween val="midCat"/>
      </c:valAx>
      <c:valAx>
        <c:axId val="16918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179776"/>
        <c:crosses val="autoZero"/>
        <c:crossBetween val="midCat"/>
      </c:valAx>
      <c:valAx>
        <c:axId val="169187968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98336"/>
        <c:crosses val="max"/>
        <c:crossBetween val="midCat"/>
        <c:majorUnit val="30"/>
      </c:valAx>
      <c:valAx>
        <c:axId val="16919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879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Models'!$J$46:$J$49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6272"/>
        <c:axId val="169776640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Models'!$K$46:$K$49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'Hygen Use Models'!$M$45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Models'!$M$46:$M$49</c:f>
              <c:numCache>
                <c:formatCode>0.00</c:formatCode>
                <c:ptCount val="4"/>
                <c:pt idx="1">
                  <c:v>570.38896583564178</c:v>
                </c:pt>
                <c:pt idx="2">
                  <c:v>284.0979916897507</c:v>
                </c:pt>
                <c:pt idx="3">
                  <c:v>140.95250461680516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0736"/>
        <c:axId val="169778560"/>
      </c:scatterChart>
      <c:valAx>
        <c:axId val="16976627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76640"/>
        <c:crosses val="autoZero"/>
        <c:crossBetween val="midCat"/>
        <c:majorUnit val="0.5"/>
      </c:valAx>
      <c:valAx>
        <c:axId val="16977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766272"/>
        <c:crosses val="autoZero"/>
        <c:crossBetween val="midCat"/>
      </c:valAx>
      <c:valAx>
        <c:axId val="169778560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80736"/>
        <c:crosses val="max"/>
        <c:crossBetween val="midCat"/>
        <c:majorUnit val="60"/>
      </c:valAx>
      <c:valAx>
        <c:axId val="16978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785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Models'!$D$105:$D$107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Models'!$G$105:$G$107</c:f>
              <c:numCache>
                <c:formatCode>0.00</c:formatCode>
                <c:ptCount val="3"/>
                <c:pt idx="0">
                  <c:v>31.254189908802292</c:v>
                </c:pt>
                <c:pt idx="1">
                  <c:v>15.56701324327401</c:v>
                </c:pt>
                <c:pt idx="2">
                  <c:v>7.7234249105098725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Models'!$D$114:$D$116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Models'!$G$114:$G$116</c:f>
              <c:numCache>
                <c:formatCode>0.00</c:formatCode>
                <c:ptCount val="3"/>
                <c:pt idx="0">
                  <c:v>12.191989403175011</c:v>
                </c:pt>
                <c:pt idx="1">
                  <c:v>6.6218680302958912</c:v>
                </c:pt>
                <c:pt idx="2">
                  <c:v>4.0110362683161478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1600"/>
        <c:axId val="169883520"/>
      </c:scatterChart>
      <c:valAx>
        <c:axId val="16988160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69883520"/>
        <c:crosses val="autoZero"/>
        <c:crossBetween val="midCat"/>
        <c:majorUnit val="0.5"/>
      </c:valAx>
      <c:valAx>
        <c:axId val="16988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881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2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3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4"/>
          <c:order val="4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5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ser>
          <c:idx val="6"/>
          <c:order val="6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3.6361397714891872</c:v>
                </c:pt>
                <c:pt idx="1">
                  <c:v>1.9612298784575395</c:v>
                </c:pt>
                <c:pt idx="2">
                  <c:v>1.166266149170391</c:v>
                </c:pt>
                <c:pt idx="3">
                  <c:v>0.96234143930657823</c:v>
                </c:pt>
                <c:pt idx="4">
                  <c:v>0.95116778999545804</c:v>
                </c:pt>
                <c:pt idx="5">
                  <c:v>1.1231897047665897</c:v>
                </c:pt>
                <c:pt idx="6">
                  <c:v>1.8108333739579783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0320"/>
        <c:axId val="169566976"/>
      </c:scatterChart>
      <c:valAx>
        <c:axId val="1695603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69566976"/>
        <c:crosses val="autoZero"/>
        <c:crossBetween val="midCat"/>
      </c:valAx>
      <c:valAx>
        <c:axId val="169566976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9560320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projections'!$M$53:$M$60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7856"/>
        <c:axId val="167585280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projections'!$N$53:$N$60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89376"/>
        <c:axId val="167587200"/>
      </c:scatterChart>
      <c:valAx>
        <c:axId val="16957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585280"/>
        <c:crosses val="autoZero"/>
        <c:crossBetween val="midCat"/>
      </c:valAx>
      <c:valAx>
        <c:axId val="16758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9577856"/>
        <c:crosses val="autoZero"/>
        <c:crossBetween val="midCat"/>
      </c:valAx>
      <c:valAx>
        <c:axId val="167587200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589376"/>
        <c:crosses val="max"/>
        <c:crossBetween val="midCat"/>
        <c:majorUnit val="30"/>
      </c:valAx>
      <c:valAx>
        <c:axId val="1675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587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projections'!$M$53:$M$56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6528"/>
        <c:axId val="167616896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projections'!$N$53:$N$56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 year life projections'!$P$52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projections'!$P$53:$P$56</c:f>
              <c:numCache>
                <c:formatCode>0.00</c:formatCode>
                <c:ptCount val="4"/>
                <c:pt idx="1">
                  <c:v>616.55701754385973</c:v>
                </c:pt>
                <c:pt idx="2">
                  <c:v>307.18201754385967</c:v>
                </c:pt>
                <c:pt idx="3">
                  <c:v>152.49451754385962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3280"/>
        <c:axId val="167618816"/>
      </c:scatterChart>
      <c:valAx>
        <c:axId val="16760652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16896"/>
        <c:crosses val="autoZero"/>
        <c:crossBetween val="midCat"/>
        <c:majorUnit val="0.5"/>
      </c:valAx>
      <c:valAx>
        <c:axId val="16761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7606528"/>
        <c:crosses val="autoZero"/>
        <c:crossBetween val="midCat"/>
      </c:valAx>
      <c:valAx>
        <c:axId val="167618816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33280"/>
        <c:crosses val="max"/>
        <c:crossBetween val="midCat"/>
        <c:majorUnit val="60"/>
      </c:valAx>
      <c:valAx>
        <c:axId val="1676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188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'5 year life projections'!$D$112:$D$114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projections'!$E$112:$E$114</c:f>
              <c:numCache>
                <c:formatCode>0.00</c:formatCode>
                <c:ptCount val="3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projections'!$E$121:$E$123</c:f>
              <c:numCache>
                <c:formatCode>0.00</c:formatCode>
                <c:ptCount val="3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56096"/>
        <c:axId val="169958016"/>
      </c:scatterChart>
      <c:valAx>
        <c:axId val="16995609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69958016"/>
        <c:crosses val="autoZero"/>
        <c:crossBetween val="midCat"/>
        <c:majorUnit val="0.5"/>
      </c:valAx>
      <c:valAx>
        <c:axId val="1699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99560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Battery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1"/>
          <c:order val="0"/>
          <c:tx>
            <c:v>Battery Life in Years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1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2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0"/>
          <c:order val="3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3.6361397714891872</c:v>
                </c:pt>
                <c:pt idx="1">
                  <c:v>1.9612298784575395</c:v>
                </c:pt>
                <c:pt idx="2">
                  <c:v>1.166266149170391</c:v>
                </c:pt>
                <c:pt idx="3">
                  <c:v>0.96234143930657823</c:v>
                </c:pt>
                <c:pt idx="4">
                  <c:v>0.95116778999545804</c:v>
                </c:pt>
                <c:pt idx="5">
                  <c:v>1.1231897047665897</c:v>
                </c:pt>
                <c:pt idx="6">
                  <c:v>1.8108333739579783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75680"/>
        <c:axId val="106779776"/>
      </c:scatterChart>
      <c:valAx>
        <c:axId val="1067756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6779776"/>
        <c:crosses val="autoZero"/>
        <c:crossBetween val="midCat"/>
      </c:valAx>
      <c:valAx>
        <c:axId val="106779776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6775680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7</xdr:col>
      <xdr:colOff>752474</xdr:colOff>
      <xdr:row>98</xdr:row>
      <xdr:rowOff>33336</xdr:rowOff>
    </xdr:from>
    <xdr:to>
      <xdr:col>15</xdr:col>
      <xdr:colOff>9525</xdr:colOff>
      <xdr:row>121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733424</xdr:colOff>
      <xdr:row>73</xdr:row>
      <xdr:rowOff>180975</xdr:rowOff>
    </xdr:from>
    <xdr:to>
      <xdr:col>14</xdr:col>
      <xdr:colOff>609599</xdr:colOff>
      <xdr:row>96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171450</xdr:rowOff>
    </xdr:from>
    <xdr:to>
      <xdr:col>27</xdr:col>
      <xdr:colOff>371475</xdr:colOff>
      <xdr:row>96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98</xdr:row>
      <xdr:rowOff>0</xdr:rowOff>
    </xdr:from>
    <xdr:to>
      <xdr:col>27</xdr:col>
      <xdr:colOff>371476</xdr:colOff>
      <xdr:row>121</xdr:row>
      <xdr:rowOff>138114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5</xdr:col>
      <xdr:colOff>2076450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85750"/>
          <a:ext cx="7715250" cy="1991313"/>
        </a:xfrm>
        <a:prstGeom prst="rect">
          <a:avLst/>
        </a:prstGeom>
      </xdr:spPr>
    </xdr:pic>
    <xdr:clientData/>
  </xdr:twoCellAnchor>
  <xdr:twoCellAnchor>
    <xdr:from>
      <xdr:col>10</xdr:col>
      <xdr:colOff>752474</xdr:colOff>
      <xdr:row>105</xdr:row>
      <xdr:rowOff>33336</xdr:rowOff>
    </xdr:from>
    <xdr:to>
      <xdr:col>19</xdr:col>
      <xdr:colOff>409575</xdr:colOff>
      <xdr:row>136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733424</xdr:colOff>
      <xdr:row>80</xdr:row>
      <xdr:rowOff>180975</xdr:rowOff>
    </xdr:from>
    <xdr:to>
      <xdr:col>17</xdr:col>
      <xdr:colOff>609599</xdr:colOff>
      <xdr:row>103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80</xdr:row>
      <xdr:rowOff>171450</xdr:rowOff>
    </xdr:from>
    <xdr:to>
      <xdr:col>30</xdr:col>
      <xdr:colOff>371475</xdr:colOff>
      <xdr:row>103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105</xdr:row>
      <xdr:rowOff>0</xdr:rowOff>
    </xdr:from>
    <xdr:to>
      <xdr:col>30</xdr:col>
      <xdr:colOff>371476</xdr:colOff>
      <xdr:row>128</xdr:row>
      <xdr:rowOff>138114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790575</xdr:colOff>
      <xdr:row>140</xdr:row>
      <xdr:rowOff>114300</xdr:rowOff>
    </xdr:from>
    <xdr:to>
      <xdr:col>19</xdr:col>
      <xdr:colOff>447676</xdr:colOff>
      <xdr:row>172</xdr:row>
      <xdr:rowOff>61914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828675</xdr:colOff>
      <xdr:row>174</xdr:row>
      <xdr:rowOff>57150</xdr:rowOff>
    </xdr:from>
    <xdr:to>
      <xdr:col>19</xdr:col>
      <xdr:colOff>485776</xdr:colOff>
      <xdr:row>206</xdr:row>
      <xdr:rowOff>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0.84088</cdr:x>
      <cdr:y>0.6383</cdr:y>
    </cdr:from>
    <cdr:to>
      <cdr:x>0.94415</cdr:x>
      <cdr:y>0.78014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949" y="3857625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3000 Cycles</a:t>
          </a:r>
        </a:p>
        <a:p xmlns:a="http://schemas.openxmlformats.org/drawingml/2006/main">
          <a:r>
            <a:rPr lang="en-US" sz="1100"/>
            <a:t>80%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0.8444</cdr:x>
      <cdr:y>0.46231</cdr:y>
    </cdr:from>
    <cdr:to>
      <cdr:x>0.94766</cdr:x>
      <cdr:y>0.60415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32700" y="2794000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Marty Est</a:t>
          </a:r>
        </a:p>
        <a:p xmlns:a="http://schemas.openxmlformats.org/drawingml/2006/main">
          <a:r>
            <a:rPr lang="en-US" sz="1100"/>
            <a:t>7500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0.84229</cdr:x>
      <cdr:y>0.30785</cdr:y>
    </cdr:from>
    <cdr:to>
      <cdr:x>0.94556</cdr:x>
      <cdr:y>0.45548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13650" y="1860549"/>
          <a:ext cx="933451" cy="892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Boston Pwr</a:t>
          </a:r>
        </a:p>
        <a:p xmlns:a="http://schemas.openxmlformats.org/drawingml/2006/main">
          <a:r>
            <a:rPr lang="en-US" sz="1100"/>
            <a:t>10000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  <cdr:relSizeAnchor xmlns:cdr="http://schemas.openxmlformats.org/drawingml/2006/chartDrawing">
    <cdr:from>
      <cdr:x>0.84124</cdr:x>
      <cdr:y>0.09982</cdr:y>
    </cdr:from>
    <cdr:to>
      <cdr:x>0.9445</cdr:x>
      <cdr:y>0.25532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604125" y="603250"/>
          <a:ext cx="933451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Extrapolation</a:t>
          </a:r>
        </a:p>
        <a:p xmlns:a="http://schemas.openxmlformats.org/drawingml/2006/main">
          <a:r>
            <a:rPr lang="en-US" sz="1100"/>
            <a:t>15000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70%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0.84721</cdr:x>
      <cdr:y>0.67297</cdr:y>
    </cdr:from>
    <cdr:to>
      <cdr:x>0.94731</cdr:x>
      <cdr:y>0.77541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58100" y="4067175"/>
          <a:ext cx="90487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Perkins</a:t>
          </a:r>
          <a:r>
            <a:rPr lang="en-US" sz="1100" baseline="0"/>
            <a:t> Spec</a:t>
          </a:r>
        </a:p>
        <a:p xmlns:a="http://schemas.openxmlformats.org/drawingml/2006/main">
          <a:r>
            <a:rPr lang="en-US" sz="1100" baseline="0"/>
            <a:t>15,000 hrs</a:t>
          </a:r>
        </a:p>
        <a:p xmlns:a="http://schemas.openxmlformats.org/drawingml/2006/main">
          <a:r>
            <a:rPr lang="en-US" sz="1100" baseline="0"/>
            <a:t>70% load</a:t>
          </a:r>
          <a:endParaRPr lang="en-US" sz="1100"/>
        </a:p>
      </cdr:txBody>
    </cdr:sp>
  </cdr:relSizeAnchor>
  <cdr:relSizeAnchor xmlns:cdr="http://schemas.openxmlformats.org/drawingml/2006/chartDrawing">
    <cdr:from>
      <cdr:x>0.84615</cdr:x>
      <cdr:y>0.62727</cdr:y>
    </cdr:from>
    <cdr:to>
      <cdr:x>0.94626</cdr:x>
      <cdr:y>0.66982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48575" y="3790950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20,000 hrs</a:t>
          </a:r>
        </a:p>
      </cdr:txBody>
    </cdr:sp>
  </cdr:relSizeAnchor>
  <cdr:relSizeAnchor xmlns:cdr="http://schemas.openxmlformats.org/drawingml/2006/chartDrawing">
    <cdr:from>
      <cdr:x>0.84861</cdr:x>
      <cdr:y>0.56475</cdr:y>
    </cdr:from>
    <cdr:to>
      <cdr:x>0.94872</cdr:x>
      <cdr:y>0.6073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70800" y="3413125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25,000 hrs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K21" sqref="K21"/>
    </sheetView>
  </sheetViews>
  <sheetFormatPr defaultRowHeight="15" x14ac:dyDescent="0.25"/>
  <cols>
    <col min="2" max="2" width="16.5703125" bestFit="1" customWidth="1"/>
    <col min="7" max="7" width="28" customWidth="1"/>
    <col min="10" max="10" width="8.42578125" bestFit="1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27</v>
      </c>
      <c r="C11">
        <v>3.2</v>
      </c>
      <c r="D11" t="s">
        <v>6</v>
      </c>
      <c r="G11" t="s">
        <v>45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28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24</v>
      </c>
      <c r="M14" t="s">
        <v>10</v>
      </c>
      <c r="N14">
        <f>H14*Format_Series_Stack</f>
        <v>261.8</v>
      </c>
      <c r="O14" t="s">
        <v>6</v>
      </c>
      <c r="P14">
        <v>260</v>
      </c>
      <c r="Q14" t="s">
        <v>6</v>
      </c>
      <c r="R14" t="s">
        <v>36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25</v>
      </c>
      <c r="M15" t="s">
        <v>11</v>
      </c>
      <c r="N15">
        <f>H15*Format_Series_Stack</f>
        <v>296.45</v>
      </c>
      <c r="O15" t="s">
        <v>6</v>
      </c>
      <c r="P15">
        <v>296</v>
      </c>
      <c r="Q15" t="s">
        <v>6</v>
      </c>
      <c r="R15" t="s">
        <v>37</v>
      </c>
    </row>
    <row r="16" spans="1:18" x14ac:dyDescent="0.25">
      <c r="R16" t="s">
        <v>38</v>
      </c>
    </row>
    <row r="17" spans="1:16" x14ac:dyDescent="0.25">
      <c r="G17" t="s">
        <v>81</v>
      </c>
      <c r="H17">
        <f>Format_Series*Format_Parallel*Nominal_Energy</f>
        <v>945.7</v>
      </c>
      <c r="I17" t="s">
        <v>4</v>
      </c>
      <c r="J17" t="s">
        <v>26</v>
      </c>
      <c r="M17" t="s">
        <v>79</v>
      </c>
      <c r="N17">
        <f>H17*Format_Series_Stack</f>
        <v>10402.700000000001</v>
      </c>
      <c r="O17" t="s">
        <v>4</v>
      </c>
      <c r="P17" t="s">
        <v>23</v>
      </c>
    </row>
    <row r="19" spans="1:16" x14ac:dyDescent="0.25">
      <c r="G19" t="s">
        <v>29</v>
      </c>
      <c r="H19">
        <f>Nominal_Capacity_Module/2</f>
        <v>21.2</v>
      </c>
      <c r="I19" t="s">
        <v>8</v>
      </c>
    </row>
    <row r="20" spans="1:16" x14ac:dyDescent="0.25">
      <c r="G20" t="s">
        <v>30</v>
      </c>
      <c r="H20">
        <v>25</v>
      </c>
      <c r="I20" t="s">
        <v>8</v>
      </c>
      <c r="J20">
        <f>(P15+P14)/2*H20</f>
        <v>6950</v>
      </c>
      <c r="K20" t="s">
        <v>168</v>
      </c>
    </row>
    <row r="21" spans="1:16" x14ac:dyDescent="0.25">
      <c r="G21" t="s">
        <v>31</v>
      </c>
      <c r="H21">
        <v>50</v>
      </c>
      <c r="I21" t="s">
        <v>8</v>
      </c>
    </row>
    <row r="27" spans="1:16" x14ac:dyDescent="0.25">
      <c r="A27" t="s">
        <v>32</v>
      </c>
    </row>
    <row r="28" spans="1:16" x14ac:dyDescent="0.25">
      <c r="B28" t="s">
        <v>33</v>
      </c>
      <c r="C28">
        <v>24.4</v>
      </c>
      <c r="D28" t="s">
        <v>8</v>
      </c>
    </row>
    <row r="29" spans="1:16" x14ac:dyDescent="0.25">
      <c r="B29" t="s">
        <v>34</v>
      </c>
      <c r="C29" t="s">
        <v>35</v>
      </c>
      <c r="D29" t="s">
        <v>34</v>
      </c>
    </row>
    <row r="30" spans="1:16" x14ac:dyDescent="0.25">
      <c r="B30" t="s">
        <v>39</v>
      </c>
      <c r="C30">
        <f>220 * 2/SQRT(2)</f>
        <v>311.12698372208087</v>
      </c>
      <c r="D30" t="s">
        <v>34</v>
      </c>
    </row>
    <row r="31" spans="1:16" x14ac:dyDescent="0.25">
      <c r="B31" t="s">
        <v>40</v>
      </c>
      <c r="C31">
        <f>240*2/SQRT(2)</f>
        <v>339.41125496954277</v>
      </c>
      <c r="D31" t="s">
        <v>34</v>
      </c>
    </row>
    <row r="35" spans="2:2" x14ac:dyDescent="0.25">
      <c r="B35" t="s">
        <v>41</v>
      </c>
    </row>
    <row r="36" spans="2:2" x14ac:dyDescent="0.25">
      <c r="B36" t="s">
        <v>42</v>
      </c>
    </row>
    <row r="37" spans="2:2" x14ac:dyDescent="0.25">
      <c r="B37" t="s">
        <v>43</v>
      </c>
    </row>
    <row r="38" spans="2:2" x14ac:dyDescent="0.25">
      <c r="B3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9"/>
  <sheetViews>
    <sheetView topLeftCell="A94" workbookViewId="0">
      <selection activeCell="D18" sqref="D18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8" width="17.7109375" customWidth="1"/>
    <col min="9" max="13" width="15.7109375" customWidth="1"/>
  </cols>
  <sheetData>
    <row r="1" spans="2:7" x14ac:dyDescent="0.25">
      <c r="B1" t="s">
        <v>46</v>
      </c>
    </row>
    <row r="14" spans="2:7" x14ac:dyDescent="0.25">
      <c r="C14" s="1" t="s">
        <v>80</v>
      </c>
      <c r="D14" s="3">
        <v>1</v>
      </c>
      <c r="F14" s="1" t="s">
        <v>110</v>
      </c>
      <c r="G14">
        <v>20000</v>
      </c>
    </row>
    <row r="15" spans="2:7" x14ac:dyDescent="0.25">
      <c r="C15" t="s">
        <v>82</v>
      </c>
      <c r="D15">
        <v>11</v>
      </c>
      <c r="F15" t="s">
        <v>111</v>
      </c>
      <c r="G15">
        <f>365*24</f>
        <v>8760</v>
      </c>
    </row>
    <row r="16" spans="2:7" ht="30" x14ac:dyDescent="0.25">
      <c r="C16" s="1" t="s">
        <v>83</v>
      </c>
      <c r="D16">
        <f>D15*D14</f>
        <v>11</v>
      </c>
      <c r="F16" s="1" t="s">
        <v>122</v>
      </c>
      <c r="G16">
        <v>1000</v>
      </c>
    </row>
    <row r="17" spans="2:7" x14ac:dyDescent="0.25">
      <c r="C17" s="1" t="s">
        <v>169</v>
      </c>
      <c r="D17" s="2">
        <v>0.8</v>
      </c>
      <c r="F17" s="1"/>
    </row>
    <row r="18" spans="2:7" x14ac:dyDescent="0.25">
      <c r="C18" s="1" t="s">
        <v>170</v>
      </c>
      <c r="D18" s="2">
        <f>(1+D17)/2</f>
        <v>0.9</v>
      </c>
      <c r="F18" s="1"/>
    </row>
    <row r="19" spans="2:7" x14ac:dyDescent="0.25">
      <c r="C19" s="1" t="s">
        <v>87</v>
      </c>
      <c r="D19" s="2">
        <v>0.5</v>
      </c>
    </row>
    <row r="20" spans="2:7" x14ac:dyDescent="0.25">
      <c r="C20" t="s">
        <v>88</v>
      </c>
      <c r="D20">
        <f>D19*Batt_bank_energy__kWh*Avg_bank_energy_over_lifetime</f>
        <v>4.95</v>
      </c>
      <c r="F20" s="1" t="s">
        <v>160</v>
      </c>
      <c r="G20">
        <v>0.38</v>
      </c>
    </row>
    <row r="21" spans="2:7" x14ac:dyDescent="0.25">
      <c r="C21" t="s">
        <v>117</v>
      </c>
      <c r="D21">
        <v>3000</v>
      </c>
      <c r="F21" t="s">
        <v>161</v>
      </c>
      <c r="G21">
        <v>1000</v>
      </c>
    </row>
    <row r="22" spans="2:7" ht="30" x14ac:dyDescent="0.25">
      <c r="C22" s="1" t="s">
        <v>171</v>
      </c>
      <c r="D22">
        <v>10000</v>
      </c>
      <c r="F22" s="1" t="s">
        <v>162</v>
      </c>
      <c r="G22" s="25">
        <v>1</v>
      </c>
    </row>
    <row r="23" spans="2:7" x14ac:dyDescent="0.25">
      <c r="C23" s="1"/>
      <c r="D23" s="19"/>
    </row>
    <row r="24" spans="2:7" x14ac:dyDescent="0.25">
      <c r="C24" s="1"/>
    </row>
    <row r="25" spans="2:7" x14ac:dyDescent="0.25">
      <c r="C25" s="1"/>
    </row>
    <row r="27" spans="2:7" x14ac:dyDescent="0.25">
      <c r="C27" t="s">
        <v>63</v>
      </c>
      <c r="E27" s="4" t="s">
        <v>47</v>
      </c>
      <c r="F27" s="4" t="s">
        <v>48</v>
      </c>
      <c r="G27" s="32" t="s">
        <v>48</v>
      </c>
    </row>
    <row r="28" spans="2:7" ht="45" x14ac:dyDescent="0.25">
      <c r="F28" s="1" t="s">
        <v>89</v>
      </c>
      <c r="G28" s="33" t="s">
        <v>90</v>
      </c>
    </row>
    <row r="29" spans="2:7" x14ac:dyDescent="0.25">
      <c r="B29" s="4" t="s">
        <v>8</v>
      </c>
      <c r="C29" t="s">
        <v>49</v>
      </c>
      <c r="E29" s="4">
        <v>10.3</v>
      </c>
      <c r="F29" s="4">
        <v>15.3</v>
      </c>
      <c r="G29" s="32">
        <v>15.3</v>
      </c>
    </row>
    <row r="30" spans="2:7" x14ac:dyDescent="0.25">
      <c r="B30" s="4"/>
      <c r="C30" t="s">
        <v>52</v>
      </c>
      <c r="E30" s="5">
        <v>0.7</v>
      </c>
      <c r="F30" s="5">
        <v>0.7</v>
      </c>
      <c r="G30" s="34">
        <v>0.59</v>
      </c>
    </row>
    <row r="31" spans="2:7" x14ac:dyDescent="0.25">
      <c r="B31" s="4" t="s">
        <v>50</v>
      </c>
      <c r="C31" t="s">
        <v>51</v>
      </c>
      <c r="E31" s="6">
        <f>E29*E30</f>
        <v>7.21</v>
      </c>
      <c r="F31" s="6">
        <f t="shared" ref="F31:G31" si="0">F29*F30</f>
        <v>10.709999999999999</v>
      </c>
      <c r="G31" s="35">
        <f t="shared" si="0"/>
        <v>9.0269999999999992</v>
      </c>
    </row>
    <row r="32" spans="2:7" x14ac:dyDescent="0.25">
      <c r="B32" s="4"/>
      <c r="C32" t="s">
        <v>53</v>
      </c>
      <c r="E32" s="5">
        <v>0.88</v>
      </c>
      <c r="F32" s="5">
        <v>0.88</v>
      </c>
      <c r="G32" s="34">
        <v>0.88</v>
      </c>
    </row>
    <row r="33" spans="2:13" x14ac:dyDescent="0.25">
      <c r="B33" s="4" t="s">
        <v>54</v>
      </c>
      <c r="C33" t="s">
        <v>55</v>
      </c>
      <c r="E33" s="6">
        <f>E32*E31</f>
        <v>6.3448000000000002</v>
      </c>
      <c r="F33" s="6">
        <f t="shared" ref="F33:G33" si="1">F32*F31</f>
        <v>9.4247999999999994</v>
      </c>
      <c r="G33" s="35">
        <f t="shared" si="1"/>
        <v>7.9437599999999993</v>
      </c>
    </row>
    <row r="34" spans="2:13" x14ac:dyDescent="0.25">
      <c r="B34" s="4"/>
      <c r="C34" t="s">
        <v>56</v>
      </c>
      <c r="E34" s="5">
        <v>0.94</v>
      </c>
      <c r="F34" s="5">
        <v>0.94</v>
      </c>
      <c r="G34" s="34">
        <v>0.94</v>
      </c>
    </row>
    <row r="35" spans="2:13" x14ac:dyDescent="0.25">
      <c r="B35" s="4" t="s">
        <v>57</v>
      </c>
      <c r="C35" t="s">
        <v>58</v>
      </c>
      <c r="E35" s="9">
        <f>E34*E33</f>
        <v>5.9641120000000001</v>
      </c>
      <c r="F35" s="6">
        <f t="shared" ref="F35:G35" si="2">F34*F33</f>
        <v>8.8593119999999992</v>
      </c>
      <c r="G35" s="35">
        <f t="shared" si="2"/>
        <v>7.4671343999999991</v>
      </c>
    </row>
    <row r="36" spans="2:13" x14ac:dyDescent="0.25">
      <c r="B36" s="4" t="s">
        <v>57</v>
      </c>
      <c r="C36" t="s">
        <v>59</v>
      </c>
      <c r="E36" s="4">
        <v>7.5</v>
      </c>
      <c r="F36" s="9">
        <f>F35</f>
        <v>8.8593119999999992</v>
      </c>
      <c r="G36" s="10">
        <v>7.5</v>
      </c>
    </row>
    <row r="37" spans="2:13" x14ac:dyDescent="0.25">
      <c r="B37" s="4"/>
      <c r="C37" t="s">
        <v>60</v>
      </c>
      <c r="E37" s="5">
        <v>0.99</v>
      </c>
      <c r="F37" s="5">
        <v>0.99</v>
      </c>
      <c r="G37" s="34">
        <v>0.99</v>
      </c>
    </row>
    <row r="38" spans="2:13" x14ac:dyDescent="0.25">
      <c r="B38" s="4" t="s">
        <v>61</v>
      </c>
      <c r="C38" t="s">
        <v>62</v>
      </c>
      <c r="E38" s="6">
        <f>E37*E35</f>
        <v>5.9044708799999999</v>
      </c>
      <c r="F38" s="6">
        <f>F37*F36</f>
        <v>8.7707188799999987</v>
      </c>
      <c r="G38" s="35">
        <f>G37*G36</f>
        <v>7.4249999999999998</v>
      </c>
    </row>
    <row r="39" spans="2:13" x14ac:dyDescent="0.25">
      <c r="B39" s="4"/>
      <c r="C39" t="s">
        <v>64</v>
      </c>
      <c r="E39" s="5">
        <v>0.95</v>
      </c>
      <c r="F39" s="5">
        <v>0.95</v>
      </c>
      <c r="G39" s="34">
        <v>0.95</v>
      </c>
    </row>
    <row r="40" spans="2:13" x14ac:dyDescent="0.25">
      <c r="B40" s="4" t="s">
        <v>65</v>
      </c>
      <c r="C40" t="s">
        <v>66</v>
      </c>
      <c r="E40" s="6">
        <f>E39*E38</f>
        <v>5.6092473359999993</v>
      </c>
      <c r="F40" s="6">
        <f t="shared" ref="F40:G40" si="3">F39*F38</f>
        <v>8.3321829359999988</v>
      </c>
      <c r="G40" s="35">
        <f t="shared" si="3"/>
        <v>7.0537499999999991</v>
      </c>
    </row>
    <row r="41" spans="2:13" x14ac:dyDescent="0.25">
      <c r="B41" s="4" t="s">
        <v>71</v>
      </c>
      <c r="C41" t="s">
        <v>72</v>
      </c>
      <c r="E41" s="4">
        <v>0.5</v>
      </c>
      <c r="F41" s="4">
        <v>0.5</v>
      </c>
      <c r="G41" s="32">
        <v>0.5</v>
      </c>
    </row>
    <row r="42" spans="2:13" x14ac:dyDescent="0.25">
      <c r="B42" s="4"/>
      <c r="C42" t="s">
        <v>73</v>
      </c>
      <c r="E42" s="5">
        <f>E39</f>
        <v>0.95</v>
      </c>
      <c r="F42" s="5">
        <f t="shared" ref="F42:G42" si="4">F39</f>
        <v>0.95</v>
      </c>
      <c r="G42" s="34">
        <f t="shared" si="4"/>
        <v>0.95</v>
      </c>
    </row>
    <row r="43" spans="2:13" x14ac:dyDescent="0.25">
      <c r="B43" s="4" t="s">
        <v>67</v>
      </c>
      <c r="C43" t="s">
        <v>68</v>
      </c>
      <c r="E43" s="7">
        <f>E41/E42</f>
        <v>0.52631578947368418</v>
      </c>
      <c r="F43" s="7">
        <f t="shared" ref="F43:G43" si="5">F41/F42</f>
        <v>0.52631578947368418</v>
      </c>
      <c r="G43" s="36">
        <f t="shared" si="5"/>
        <v>0.52631578947368418</v>
      </c>
    </row>
    <row r="44" spans="2:13" x14ac:dyDescent="0.25">
      <c r="B44" s="4" t="s">
        <v>69</v>
      </c>
      <c r="C44" t="s">
        <v>70</v>
      </c>
      <c r="E44" s="8">
        <f>E40-E43</f>
        <v>5.0829315465263152</v>
      </c>
      <c r="F44" s="8">
        <f t="shared" ref="F44:G44" si="6">F40-F43</f>
        <v>7.8058671465263147</v>
      </c>
      <c r="G44" s="37">
        <f t="shared" si="6"/>
        <v>6.527434210526315</v>
      </c>
    </row>
    <row r="45" spans="2:13" ht="45" x14ac:dyDescent="0.25">
      <c r="B45" s="4"/>
      <c r="E45" s="8"/>
      <c r="F45" s="8"/>
      <c r="G45" s="8"/>
      <c r="H45" s="8"/>
      <c r="I45" s="1" t="s">
        <v>85</v>
      </c>
      <c r="J45" s="27" t="s">
        <v>164</v>
      </c>
      <c r="K45" s="27" t="s">
        <v>165</v>
      </c>
      <c r="L45" s="27" t="s">
        <v>163</v>
      </c>
      <c r="M45" s="27" t="s">
        <v>166</v>
      </c>
    </row>
    <row r="46" spans="2:13" x14ac:dyDescent="0.25">
      <c r="B46" s="4"/>
      <c r="C46" t="s">
        <v>127</v>
      </c>
      <c r="E46" s="8"/>
      <c r="F46" s="8"/>
      <c r="G46" s="8"/>
      <c r="H46" s="11"/>
      <c r="I46" s="4">
        <v>0</v>
      </c>
      <c r="J46" s="26">
        <f t="shared" ref="J46:J53" si="7">$I46*24*30.5*SFC__l_kWh*Diesel_cost____l</f>
        <v>0</v>
      </c>
      <c r="M46" s="4"/>
    </row>
    <row r="47" spans="2:13" ht="30" x14ac:dyDescent="0.25">
      <c r="B47" s="4"/>
      <c r="C47" s="1" t="s">
        <v>78</v>
      </c>
      <c r="D47" s="1" t="s">
        <v>85</v>
      </c>
      <c r="E47" s="8"/>
      <c r="F47" s="8"/>
      <c r="G47" s="8"/>
      <c r="H47" s="11"/>
      <c r="I47" s="29">
        <v>0.5</v>
      </c>
      <c r="J47" s="28">
        <f t="shared" si="7"/>
        <v>139.08000000000001</v>
      </c>
      <c r="K47" s="30">
        <f t="shared" ref="K47:K53" si="8">Fuel_Tank_Capacity__l/($I47*24*SFC__l_kWh)</f>
        <v>219.29824561403507</v>
      </c>
      <c r="L47" s="30">
        <f t="shared" ref="L47:L53" si="9">K47/4</f>
        <v>54.824561403508767</v>
      </c>
      <c r="M47" s="24">
        <f t="shared" ref="M47:M53" si="10">G123</f>
        <v>570.38896583564178</v>
      </c>
    </row>
    <row r="48" spans="2:13" x14ac:dyDescent="0.25">
      <c r="B48" s="4" t="s">
        <v>84</v>
      </c>
      <c r="C48" t="s">
        <v>86</v>
      </c>
      <c r="D48" s="4">
        <v>0</v>
      </c>
      <c r="E48" s="11">
        <f t="shared" ref="E48:G55" si="11">E$38-($D48+E$43)/E$39</f>
        <v>5.3504542595013849</v>
      </c>
      <c r="F48" s="11">
        <f t="shared" si="11"/>
        <v>8.2167022595013837</v>
      </c>
      <c r="G48" s="11">
        <f t="shared" si="11"/>
        <v>6.8709833795013848</v>
      </c>
      <c r="H48" s="11"/>
      <c r="I48" s="29">
        <v>1</v>
      </c>
      <c r="J48" s="28">
        <f t="shared" si="7"/>
        <v>278.16000000000003</v>
      </c>
      <c r="K48" s="30">
        <f t="shared" si="8"/>
        <v>109.64912280701753</v>
      </c>
      <c r="L48" s="30">
        <f t="shared" si="9"/>
        <v>27.412280701754383</v>
      </c>
      <c r="M48" s="24">
        <f t="shared" si="10"/>
        <v>284.0979916897507</v>
      </c>
    </row>
    <row r="49" spans="2:13" x14ac:dyDescent="0.25">
      <c r="B49" s="4"/>
      <c r="C49" t="s">
        <v>86</v>
      </c>
      <c r="D49" s="4">
        <v>0.5</v>
      </c>
      <c r="E49" s="11">
        <f t="shared" si="11"/>
        <v>4.8241384700277008</v>
      </c>
      <c r="F49" s="11">
        <f t="shared" si="11"/>
        <v>7.6903864700276996</v>
      </c>
      <c r="G49" s="11">
        <f t="shared" si="11"/>
        <v>6.3446675900277008</v>
      </c>
      <c r="H49" s="11"/>
      <c r="I49" s="4">
        <v>2</v>
      </c>
      <c r="J49" s="26">
        <f t="shared" si="7"/>
        <v>556.32000000000005</v>
      </c>
      <c r="K49" s="3">
        <f t="shared" si="8"/>
        <v>54.824561403508767</v>
      </c>
      <c r="L49" s="3">
        <f t="shared" si="9"/>
        <v>13.706140350877192</v>
      </c>
      <c r="M49" s="7">
        <f t="shared" si="10"/>
        <v>140.95250461680516</v>
      </c>
    </row>
    <row r="50" spans="2:13" x14ac:dyDescent="0.25">
      <c r="B50" s="4"/>
      <c r="C50" t="s">
        <v>86</v>
      </c>
      <c r="D50" s="4">
        <v>1</v>
      </c>
      <c r="E50" s="11">
        <f t="shared" si="11"/>
        <v>4.2978226805540167</v>
      </c>
      <c r="F50" s="11">
        <f t="shared" si="11"/>
        <v>7.1640706805540155</v>
      </c>
      <c r="G50" s="11">
        <f t="shared" si="11"/>
        <v>5.8183518005540167</v>
      </c>
      <c r="H50" s="11"/>
      <c r="I50" s="4">
        <v>3</v>
      </c>
      <c r="J50" s="26">
        <f t="shared" si="7"/>
        <v>834.48</v>
      </c>
      <c r="K50" s="3">
        <f t="shared" si="8"/>
        <v>36.549707602339183</v>
      </c>
      <c r="L50" s="3">
        <f t="shared" si="9"/>
        <v>9.1374269005847957</v>
      </c>
      <c r="M50" s="7">
        <f t="shared" si="10"/>
        <v>93.237342259156662</v>
      </c>
    </row>
    <row r="51" spans="2:13" x14ac:dyDescent="0.25">
      <c r="B51" s="4"/>
      <c r="C51" t="s">
        <v>86</v>
      </c>
      <c r="D51" s="4">
        <v>2</v>
      </c>
      <c r="E51" s="11">
        <f t="shared" si="11"/>
        <v>3.2451911016066481</v>
      </c>
      <c r="F51" s="11">
        <f t="shared" si="11"/>
        <v>6.1114391016066474</v>
      </c>
      <c r="G51" s="11">
        <f t="shared" si="11"/>
        <v>4.7657202216066477</v>
      </c>
      <c r="H51" s="11"/>
      <c r="I51" s="4">
        <v>4</v>
      </c>
      <c r="J51" s="26">
        <f t="shared" si="7"/>
        <v>1112.6400000000001</v>
      </c>
      <c r="K51" s="3">
        <f t="shared" si="8"/>
        <v>27.412280701754383</v>
      </c>
      <c r="L51" s="3">
        <f t="shared" si="9"/>
        <v>6.8530701754385959</v>
      </c>
      <c r="M51" s="7">
        <f t="shared" si="10"/>
        <v>69.379761080332415</v>
      </c>
    </row>
    <row r="52" spans="2:13" x14ac:dyDescent="0.25">
      <c r="B52" s="4"/>
      <c r="C52" t="s">
        <v>86</v>
      </c>
      <c r="D52" s="4">
        <v>3</v>
      </c>
      <c r="E52" s="11">
        <f t="shared" si="11"/>
        <v>2.1925595226592796</v>
      </c>
      <c r="F52" s="11">
        <f t="shared" si="11"/>
        <v>5.0588075226592784</v>
      </c>
      <c r="G52" s="11">
        <f t="shared" si="11"/>
        <v>3.7130886426592795</v>
      </c>
      <c r="H52" s="11"/>
      <c r="I52" s="4">
        <v>5</v>
      </c>
      <c r="J52" s="26">
        <f t="shared" si="7"/>
        <v>1390.8</v>
      </c>
      <c r="K52" s="3">
        <f t="shared" si="8"/>
        <v>21.929824561403507</v>
      </c>
      <c r="L52" s="3">
        <f t="shared" si="9"/>
        <v>5.4824561403508767</v>
      </c>
      <c r="M52" s="7">
        <f t="shared" si="10"/>
        <v>55.065212373037845</v>
      </c>
    </row>
    <row r="53" spans="2:13" x14ac:dyDescent="0.25">
      <c r="B53" s="4"/>
      <c r="C53" t="s">
        <v>86</v>
      </c>
      <c r="D53" s="4">
        <v>4</v>
      </c>
      <c r="E53" s="11">
        <f t="shared" si="11"/>
        <v>1.1399279437119114</v>
      </c>
      <c r="F53" s="11">
        <f t="shared" si="11"/>
        <v>4.0061759437119102</v>
      </c>
      <c r="G53" s="11">
        <f t="shared" si="11"/>
        <v>2.6604570637119114</v>
      </c>
      <c r="H53" s="11"/>
      <c r="I53" s="4">
        <v>6</v>
      </c>
      <c r="J53" s="26">
        <f t="shared" si="7"/>
        <v>1668.96</v>
      </c>
      <c r="K53" s="3">
        <f t="shared" si="8"/>
        <v>18.274853801169591</v>
      </c>
      <c r="L53" s="3">
        <f t="shared" si="9"/>
        <v>4.5687134502923978</v>
      </c>
      <c r="M53" s="7">
        <f t="shared" si="10"/>
        <v>45.522179901508146</v>
      </c>
    </row>
    <row r="54" spans="2:13" x14ac:dyDescent="0.25">
      <c r="B54" s="4"/>
      <c r="C54" t="s">
        <v>86</v>
      </c>
      <c r="D54" s="4">
        <v>5</v>
      </c>
      <c r="E54" s="11">
        <f t="shared" si="11"/>
        <v>8.7296364764542389E-2</v>
      </c>
      <c r="F54" s="11">
        <f t="shared" si="11"/>
        <v>2.9535443647645412</v>
      </c>
      <c r="G54" s="11">
        <f t="shared" si="11"/>
        <v>1.6078254847645423</v>
      </c>
    </row>
    <row r="55" spans="2:13" x14ac:dyDescent="0.25">
      <c r="B55" s="4"/>
      <c r="C55" t="s">
        <v>86</v>
      </c>
      <c r="D55" s="4">
        <v>6</v>
      </c>
      <c r="E55" s="22">
        <f t="shared" si="11"/>
        <v>-0.96533521418282575</v>
      </c>
      <c r="F55" s="11">
        <f t="shared" si="11"/>
        <v>1.900912785817173</v>
      </c>
      <c r="G55" s="11">
        <f t="shared" si="11"/>
        <v>0.5551939058171742</v>
      </c>
    </row>
    <row r="56" spans="2:13" x14ac:dyDescent="0.25">
      <c r="E56" s="12"/>
      <c r="F56" s="12"/>
      <c r="G56" s="12"/>
    </row>
    <row r="57" spans="2:13" x14ac:dyDescent="0.25">
      <c r="C57" s="17" t="s">
        <v>74</v>
      </c>
      <c r="D57" s="17"/>
      <c r="E57" s="21">
        <f t="shared" ref="E57:G64" si="12">E48/(Batt_bank_energy__kWh *Avg_bank_energy_over_lifetime)</f>
        <v>0.54044992520216006</v>
      </c>
      <c r="F57" s="21">
        <f t="shared" si="12"/>
        <v>0.82996992520215995</v>
      </c>
      <c r="G57" s="21">
        <f t="shared" si="12"/>
        <v>0.69403872520216003</v>
      </c>
    </row>
    <row r="58" spans="2:13" x14ac:dyDescent="0.25">
      <c r="C58" s="17" t="s">
        <v>128</v>
      </c>
      <c r="D58" s="17"/>
      <c r="E58" s="18">
        <f t="shared" si="12"/>
        <v>0.48728671414421221</v>
      </c>
      <c r="F58" s="21">
        <f t="shared" si="12"/>
        <v>0.7768067141442121</v>
      </c>
      <c r="G58" s="21">
        <f t="shared" si="12"/>
        <v>0.64087551414421218</v>
      </c>
    </row>
    <row r="59" spans="2:13" x14ac:dyDescent="0.25">
      <c r="C59" s="17" t="s">
        <v>129</v>
      </c>
      <c r="D59" s="17"/>
      <c r="E59" s="18">
        <f t="shared" si="12"/>
        <v>0.4341235030862643</v>
      </c>
      <c r="F59" s="21">
        <f t="shared" si="12"/>
        <v>0.72364350308626413</v>
      </c>
      <c r="G59" s="21">
        <f t="shared" si="12"/>
        <v>0.58771230308626432</v>
      </c>
    </row>
    <row r="60" spans="2:13" x14ac:dyDescent="0.25">
      <c r="C60" s="17" t="s">
        <v>75</v>
      </c>
      <c r="D60" s="17"/>
      <c r="E60" s="18">
        <f t="shared" si="12"/>
        <v>0.32779708097036847</v>
      </c>
      <c r="F60" s="21">
        <f t="shared" si="12"/>
        <v>0.61731708097036841</v>
      </c>
      <c r="G60" s="18">
        <f t="shared" si="12"/>
        <v>0.48138588097036844</v>
      </c>
    </row>
    <row r="61" spans="2:13" x14ac:dyDescent="0.25">
      <c r="C61" s="17" t="s">
        <v>130</v>
      </c>
      <c r="D61" s="17"/>
      <c r="E61" s="18">
        <f t="shared" si="12"/>
        <v>0.22147065885447267</v>
      </c>
      <c r="F61" s="21">
        <f t="shared" si="12"/>
        <v>0.51099065885447259</v>
      </c>
      <c r="G61" s="18">
        <f t="shared" si="12"/>
        <v>0.37505945885447267</v>
      </c>
    </row>
    <row r="62" spans="2:13" x14ac:dyDescent="0.25">
      <c r="C62" s="17" t="s">
        <v>76</v>
      </c>
      <c r="D62" s="17"/>
      <c r="E62" s="18">
        <f t="shared" si="12"/>
        <v>0.1151442367385769</v>
      </c>
      <c r="F62" s="18">
        <f t="shared" si="12"/>
        <v>0.40466423673857677</v>
      </c>
      <c r="G62" s="18">
        <f t="shared" si="12"/>
        <v>0.2687330367385769</v>
      </c>
    </row>
    <row r="63" spans="2:13" x14ac:dyDescent="0.25">
      <c r="C63" s="17" t="s">
        <v>131</v>
      </c>
      <c r="D63" s="17"/>
      <c r="E63" s="18">
        <f t="shared" si="12"/>
        <v>8.8178146226810493E-3</v>
      </c>
      <c r="F63" s="18">
        <f t="shared" si="12"/>
        <v>0.29833781462268094</v>
      </c>
      <c r="G63" s="18">
        <f t="shared" si="12"/>
        <v>0.16240661462268105</v>
      </c>
    </row>
    <row r="64" spans="2:13" x14ac:dyDescent="0.25">
      <c r="C64" s="17" t="s">
        <v>77</v>
      </c>
      <c r="D64" s="17"/>
      <c r="E64" s="18">
        <f t="shared" si="12"/>
        <v>-9.7508607493214716E-2</v>
      </c>
      <c r="F64" s="18">
        <f t="shared" si="12"/>
        <v>0.19201139250678514</v>
      </c>
      <c r="G64" s="18">
        <f t="shared" si="12"/>
        <v>5.6080192506785274E-2</v>
      </c>
    </row>
    <row r="66" spans="2:18" x14ac:dyDescent="0.25">
      <c r="B66" t="s">
        <v>99</v>
      </c>
      <c r="C66" t="s">
        <v>91</v>
      </c>
      <c r="E66" s="13">
        <f t="shared" ref="E66:G73" si="13">1/E57*Depth_of_Discharge</f>
        <v>0.9251550914970903</v>
      </c>
      <c r="F66" s="13">
        <f t="shared" si="13"/>
        <v>0.60243146747541787</v>
      </c>
      <c r="G66" s="13">
        <f t="shared" si="13"/>
        <v>0.72042089561264711</v>
      </c>
    </row>
    <row r="67" spans="2:18" x14ac:dyDescent="0.25">
      <c r="C67" t="s">
        <v>132</v>
      </c>
      <c r="E67" s="13">
        <f t="shared" si="13"/>
        <v>1.0260899496882758</v>
      </c>
      <c r="F67" s="13">
        <f t="shared" si="13"/>
        <v>0.6436607600010732</v>
      </c>
      <c r="G67" s="13">
        <f t="shared" si="13"/>
        <v>0.78018271718130916</v>
      </c>
    </row>
    <row r="68" spans="2:18" x14ac:dyDescent="0.25">
      <c r="C68" t="s">
        <v>133</v>
      </c>
      <c r="E68" s="13">
        <f t="shared" si="13"/>
        <v>1.1517459811445534</v>
      </c>
      <c r="F68" s="13">
        <f t="shared" si="13"/>
        <v>0.69094795692568522</v>
      </c>
      <c r="G68" s="13">
        <f t="shared" si="13"/>
        <v>0.85075639453920038</v>
      </c>
    </row>
    <row r="69" spans="2:18" x14ac:dyDescent="0.25">
      <c r="C69" t="s">
        <v>92</v>
      </c>
      <c r="E69" s="13">
        <f t="shared" si="13"/>
        <v>1.5253339002283488</v>
      </c>
      <c r="F69" s="13">
        <f t="shared" si="13"/>
        <v>0.80995652868383905</v>
      </c>
      <c r="G69" s="13">
        <f t="shared" si="13"/>
        <v>1.0386677710449455</v>
      </c>
    </row>
    <row r="70" spans="2:18" x14ac:dyDescent="0.25">
      <c r="C70" t="s">
        <v>134</v>
      </c>
      <c r="E70" s="13">
        <f t="shared" si="13"/>
        <v>2.2576354022974559</v>
      </c>
      <c r="F70" s="13">
        <f t="shared" si="13"/>
        <v>0.97849146816282084</v>
      </c>
      <c r="G70" s="13">
        <f t="shared" si="13"/>
        <v>1.3331219575880786</v>
      </c>
    </row>
    <row r="71" spans="2:18" x14ac:dyDescent="0.25">
      <c r="C71" t="s">
        <v>93</v>
      </c>
      <c r="E71" s="13">
        <f t="shared" si="13"/>
        <v>4.3423797331272285</v>
      </c>
      <c r="F71" s="13">
        <f t="shared" si="13"/>
        <v>1.2355922629333131</v>
      </c>
      <c r="G71" s="13">
        <f t="shared" si="13"/>
        <v>1.8605825545982249</v>
      </c>
    </row>
    <row r="72" spans="2:18" x14ac:dyDescent="0.25">
      <c r="C72" t="s">
        <v>135</v>
      </c>
      <c r="E72" s="13">
        <f t="shared" si="13"/>
        <v>56.703392098299226</v>
      </c>
      <c r="F72" s="13">
        <f t="shared" si="13"/>
        <v>1.6759524790123197</v>
      </c>
      <c r="G72" s="13">
        <f t="shared" si="13"/>
        <v>3.0786923375113076</v>
      </c>
      <c r="R72" t="s">
        <v>167</v>
      </c>
    </row>
    <row r="73" spans="2:18" x14ac:dyDescent="0.25">
      <c r="C73" t="s">
        <v>94</v>
      </c>
      <c r="E73" s="21">
        <f t="shared" si="13"/>
        <v>-5.1277524400581074</v>
      </c>
      <c r="F73" s="13">
        <f t="shared" si="13"/>
        <v>2.60401215507216</v>
      </c>
      <c r="G73" s="13">
        <f t="shared" si="13"/>
        <v>8.9158039166770653</v>
      </c>
    </row>
    <row r="74" spans="2:18" x14ac:dyDescent="0.25">
      <c r="E74" s="13"/>
      <c r="F74" s="13"/>
      <c r="G74" s="13"/>
    </row>
    <row r="76" spans="2:18" x14ac:dyDescent="0.25">
      <c r="B76" t="s">
        <v>100</v>
      </c>
      <c r="C76" t="s">
        <v>95</v>
      </c>
      <c r="D76" s="4">
        <v>0</v>
      </c>
      <c r="E76" s="13"/>
      <c r="F76" s="13"/>
      <c r="G76" s="13"/>
    </row>
    <row r="77" spans="2:18" x14ac:dyDescent="0.25">
      <c r="C77" t="s">
        <v>136</v>
      </c>
      <c r="D77" s="4">
        <v>0.5</v>
      </c>
      <c r="E77" s="13">
        <f t="shared" ref="E77:G83" si="14">Cycle_energy__kWh/$D77</f>
        <v>9.9</v>
      </c>
      <c r="F77" s="13">
        <f t="shared" si="14"/>
        <v>9.9</v>
      </c>
      <c r="G77" s="13">
        <f t="shared" si="14"/>
        <v>9.9</v>
      </c>
    </row>
    <row r="78" spans="2:18" x14ac:dyDescent="0.25">
      <c r="C78" t="s">
        <v>137</v>
      </c>
      <c r="D78" s="4">
        <v>1</v>
      </c>
      <c r="E78" s="13">
        <f t="shared" si="14"/>
        <v>4.95</v>
      </c>
      <c r="F78" s="13">
        <f t="shared" si="14"/>
        <v>4.95</v>
      </c>
      <c r="G78" s="13">
        <f t="shared" si="14"/>
        <v>4.95</v>
      </c>
    </row>
    <row r="79" spans="2:18" x14ac:dyDescent="0.25">
      <c r="C79" t="s">
        <v>96</v>
      </c>
      <c r="D79" s="4">
        <v>2</v>
      </c>
      <c r="E79" s="13">
        <f t="shared" si="14"/>
        <v>2.4750000000000001</v>
      </c>
      <c r="F79" s="13">
        <f t="shared" si="14"/>
        <v>2.4750000000000001</v>
      </c>
      <c r="G79" s="13">
        <f t="shared" si="14"/>
        <v>2.4750000000000001</v>
      </c>
    </row>
    <row r="80" spans="2:18" x14ac:dyDescent="0.25">
      <c r="C80" t="s">
        <v>138</v>
      </c>
      <c r="D80" s="4">
        <v>3</v>
      </c>
      <c r="E80" s="13">
        <f t="shared" si="14"/>
        <v>1.6500000000000001</v>
      </c>
      <c r="F80" s="13">
        <f t="shared" si="14"/>
        <v>1.6500000000000001</v>
      </c>
      <c r="G80" s="13">
        <f t="shared" si="14"/>
        <v>1.6500000000000001</v>
      </c>
    </row>
    <row r="81" spans="2:7" x14ac:dyDescent="0.25">
      <c r="C81" t="s">
        <v>97</v>
      </c>
      <c r="D81" s="4">
        <v>4</v>
      </c>
      <c r="E81" s="13">
        <f t="shared" si="14"/>
        <v>1.2375</v>
      </c>
      <c r="F81" s="13">
        <f t="shared" si="14"/>
        <v>1.2375</v>
      </c>
      <c r="G81" s="13">
        <f t="shared" si="14"/>
        <v>1.2375</v>
      </c>
    </row>
    <row r="82" spans="2:7" x14ac:dyDescent="0.25">
      <c r="C82" t="s">
        <v>139</v>
      </c>
      <c r="D82" s="4">
        <v>5</v>
      </c>
      <c r="E82" s="13">
        <f t="shared" si="14"/>
        <v>0.99</v>
      </c>
      <c r="F82" s="13">
        <f t="shared" si="14"/>
        <v>0.99</v>
      </c>
      <c r="G82" s="13">
        <f t="shared" si="14"/>
        <v>0.99</v>
      </c>
    </row>
    <row r="83" spans="2:7" x14ac:dyDescent="0.25">
      <c r="C83" t="s">
        <v>98</v>
      </c>
      <c r="D83" s="4">
        <v>6</v>
      </c>
      <c r="E83" s="21">
        <f t="shared" si="14"/>
        <v>0.82500000000000007</v>
      </c>
      <c r="F83" s="13">
        <f t="shared" si="14"/>
        <v>0.82500000000000007</v>
      </c>
      <c r="G83" s="13">
        <f t="shared" si="14"/>
        <v>0.82500000000000007</v>
      </c>
    </row>
    <row r="85" spans="2:7" x14ac:dyDescent="0.25">
      <c r="B85" t="s">
        <v>101</v>
      </c>
      <c r="C85" t="s">
        <v>102</v>
      </c>
      <c r="E85" s="7"/>
      <c r="F85" s="7"/>
      <c r="G85" s="7"/>
    </row>
    <row r="86" spans="2:7" x14ac:dyDescent="0.25">
      <c r="C86" t="s">
        <v>140</v>
      </c>
      <c r="E86" s="7">
        <f t="shared" ref="E86:G92" si="15">E67+E77</f>
        <v>10.926089949688276</v>
      </c>
      <c r="F86" s="7">
        <f t="shared" si="15"/>
        <v>10.543660760001073</v>
      </c>
      <c r="G86" s="7">
        <f t="shared" si="15"/>
        <v>10.68018271718131</v>
      </c>
    </row>
    <row r="87" spans="2:7" x14ac:dyDescent="0.25">
      <c r="C87" t="s">
        <v>141</v>
      </c>
      <c r="E87" s="7">
        <f t="shared" si="15"/>
        <v>6.1017459811445534</v>
      </c>
      <c r="F87" s="7">
        <f t="shared" si="15"/>
        <v>5.6409479569256851</v>
      </c>
      <c r="G87" s="7">
        <f t="shared" si="15"/>
        <v>5.8007563945392002</v>
      </c>
    </row>
    <row r="88" spans="2:7" x14ac:dyDescent="0.25">
      <c r="C88" t="s">
        <v>103</v>
      </c>
      <c r="E88" s="7">
        <f t="shared" si="15"/>
        <v>4.0003339002283491</v>
      </c>
      <c r="F88" s="7">
        <f t="shared" si="15"/>
        <v>3.2849565286838391</v>
      </c>
      <c r="G88" s="7">
        <f t="shared" si="15"/>
        <v>3.5136677710449455</v>
      </c>
    </row>
    <row r="89" spans="2:7" x14ac:dyDescent="0.25">
      <c r="C89" t="s">
        <v>142</v>
      </c>
      <c r="E89" s="7">
        <f t="shared" si="15"/>
        <v>3.9076354022974558</v>
      </c>
      <c r="F89" s="7">
        <f t="shared" si="15"/>
        <v>2.6284914681628209</v>
      </c>
      <c r="G89" s="7">
        <f t="shared" si="15"/>
        <v>2.9831219575880787</v>
      </c>
    </row>
    <row r="90" spans="2:7" x14ac:dyDescent="0.25">
      <c r="C90" t="s">
        <v>104</v>
      </c>
      <c r="E90" s="7">
        <f t="shared" si="15"/>
        <v>5.5798797331272283</v>
      </c>
      <c r="F90" s="7">
        <f t="shared" si="15"/>
        <v>2.4730922629333132</v>
      </c>
      <c r="G90" s="7">
        <f t="shared" si="15"/>
        <v>3.0980825545982249</v>
      </c>
    </row>
    <row r="91" spans="2:7" x14ac:dyDescent="0.25">
      <c r="C91" t="s">
        <v>143</v>
      </c>
      <c r="E91" s="7">
        <f t="shared" si="15"/>
        <v>57.693392098299228</v>
      </c>
      <c r="F91" s="7">
        <f t="shared" si="15"/>
        <v>2.6659524790123195</v>
      </c>
      <c r="G91" s="7">
        <f t="shared" si="15"/>
        <v>4.0686923375113073</v>
      </c>
    </row>
    <row r="92" spans="2:7" x14ac:dyDescent="0.25">
      <c r="C92" t="s">
        <v>105</v>
      </c>
      <c r="E92" s="31">
        <f t="shared" si="15"/>
        <v>-4.3027524400581072</v>
      </c>
      <c r="F92" s="7">
        <f t="shared" si="15"/>
        <v>3.4290121550721602</v>
      </c>
      <c r="G92" s="7">
        <f t="shared" si="15"/>
        <v>9.7408039166770646</v>
      </c>
    </row>
    <row r="94" spans="2:7" x14ac:dyDescent="0.25">
      <c r="C94" t="s">
        <v>106</v>
      </c>
      <c r="E94" s="7"/>
      <c r="F94" s="7"/>
      <c r="G94" s="7"/>
    </row>
    <row r="95" spans="2:7" x14ac:dyDescent="0.25">
      <c r="C95" t="s">
        <v>144</v>
      </c>
      <c r="E95" s="7">
        <f t="shared" ref="E95:G100" si="16">E67/E86</f>
        <v>9.3911907591201049E-2</v>
      </c>
      <c r="F95" s="7">
        <f t="shared" si="16"/>
        <v>6.1047180353420979E-2</v>
      </c>
      <c r="G95" s="7">
        <f t="shared" si="16"/>
        <v>7.3049566457905432E-2</v>
      </c>
    </row>
    <row r="96" spans="2:7" x14ac:dyDescent="0.25">
      <c r="C96" t="s">
        <v>145</v>
      </c>
      <c r="E96" s="7">
        <f t="shared" si="16"/>
        <v>0.18875678940153309</v>
      </c>
      <c r="F96" s="7">
        <f t="shared" si="16"/>
        <v>0.1224879155421692</v>
      </c>
      <c r="G96" s="7">
        <f t="shared" si="16"/>
        <v>0.14666301024812864</v>
      </c>
    </row>
    <row r="97" spans="3:7" x14ac:dyDescent="0.25">
      <c r="C97" t="s">
        <v>107</v>
      </c>
      <c r="E97" s="7">
        <f t="shared" si="16"/>
        <v>0.38130164588042986</v>
      </c>
      <c r="F97" s="7">
        <f t="shared" si="16"/>
        <v>0.24656537205634158</v>
      </c>
      <c r="G97" s="7">
        <f t="shared" si="16"/>
        <v>0.29560784875687074</v>
      </c>
    </row>
    <row r="98" spans="3:7" x14ac:dyDescent="0.25">
      <c r="C98" t="s">
        <v>146</v>
      </c>
      <c r="E98" s="7">
        <f t="shared" si="16"/>
        <v>0.57774975653309446</v>
      </c>
      <c r="F98" s="7">
        <f t="shared" si="16"/>
        <v>0.37226351312706962</v>
      </c>
      <c r="G98" s="7">
        <f t="shared" si="16"/>
        <v>0.44688818510991679</v>
      </c>
    </row>
    <row r="99" spans="3:7" x14ac:dyDescent="0.25">
      <c r="C99" t="s">
        <v>108</v>
      </c>
      <c r="D99" s="20"/>
      <c r="E99" s="7">
        <f t="shared" si="16"/>
        <v>0.77822102640437263</v>
      </c>
      <c r="F99" s="7">
        <f t="shared" si="16"/>
        <v>0.49961430127470779</v>
      </c>
      <c r="G99" s="7">
        <f t="shared" si="16"/>
        <v>0.60055938530001973</v>
      </c>
    </row>
    <row r="100" spans="3:7" x14ac:dyDescent="0.25">
      <c r="C100" t="s">
        <v>147</v>
      </c>
      <c r="D100" s="20"/>
      <c r="E100" s="7">
        <f t="shared" si="16"/>
        <v>0.98284032253965548</v>
      </c>
      <c r="F100" s="7">
        <f t="shared" si="16"/>
        <v>0.62865054505143525</v>
      </c>
      <c r="G100" s="7">
        <f t="shared" si="16"/>
        <v>0.75667857928880611</v>
      </c>
    </row>
    <row r="101" spans="3:7" x14ac:dyDescent="0.25">
      <c r="C101" t="s">
        <v>109</v>
      </c>
      <c r="D101" s="20"/>
      <c r="E101" s="31" t="s">
        <v>116</v>
      </c>
      <c r="F101" s="7">
        <f>F73/F92</f>
        <v>0.75940592722027289</v>
      </c>
      <c r="G101" s="7">
        <f>G73/G92</f>
        <v>0.9153047318212072</v>
      </c>
    </row>
    <row r="102" spans="3:7" x14ac:dyDescent="0.25">
      <c r="D102" s="20"/>
      <c r="E102" s="7"/>
      <c r="F102" s="7"/>
      <c r="G102" s="7"/>
    </row>
    <row r="103" spans="3:7" x14ac:dyDescent="0.25">
      <c r="D103" s="20"/>
    </row>
    <row r="104" spans="3:7" x14ac:dyDescent="0.25">
      <c r="C104" s="14" t="s">
        <v>112</v>
      </c>
      <c r="D104" s="14">
        <v>0</v>
      </c>
      <c r="E104" s="15"/>
      <c r="F104" s="15"/>
      <c r="G104" s="15"/>
    </row>
    <row r="105" spans="3:7" x14ac:dyDescent="0.25">
      <c r="C105" s="23" t="s">
        <v>148</v>
      </c>
      <c r="D105" s="23">
        <v>0.5</v>
      </c>
      <c r="E105" s="24">
        <f t="shared" ref="E105:G110" si="17">Engine_spec_d_life__h/Hours_in_a_year__h/E95</f>
        <v>24.311134566336534</v>
      </c>
      <c r="F105" s="24">
        <f t="shared" si="17"/>
        <v>37.399024977295433</v>
      </c>
      <c r="G105" s="24">
        <f t="shared" si="17"/>
        <v>31.254189908802292</v>
      </c>
    </row>
    <row r="106" spans="3:7" x14ac:dyDescent="0.25">
      <c r="C106" s="23" t="s">
        <v>149</v>
      </c>
      <c r="D106" s="23">
        <v>1</v>
      </c>
      <c r="E106" s="24">
        <f t="shared" si="17"/>
        <v>12.095485572041135</v>
      </c>
      <c r="F106" s="24">
        <f t="shared" si="17"/>
        <v>18.639430777520584</v>
      </c>
      <c r="G106" s="24">
        <f t="shared" si="17"/>
        <v>15.56701324327401</v>
      </c>
    </row>
    <row r="107" spans="3:7" x14ac:dyDescent="0.25">
      <c r="C107" s="14" t="s">
        <v>113</v>
      </c>
      <c r="D107" s="14">
        <v>2</v>
      </c>
      <c r="E107" s="15">
        <f t="shared" si="17"/>
        <v>5.9876610748934347</v>
      </c>
      <c r="F107" s="15">
        <f t="shared" si="17"/>
        <v>9.2596336776331594</v>
      </c>
      <c r="G107" s="15">
        <f t="shared" si="17"/>
        <v>7.7234249105098725</v>
      </c>
    </row>
    <row r="108" spans="3:7" x14ac:dyDescent="0.25">
      <c r="C108" s="14" t="s">
        <v>150</v>
      </c>
      <c r="D108" s="14">
        <v>3</v>
      </c>
      <c r="E108" s="15">
        <f t="shared" si="17"/>
        <v>3.951719575844201</v>
      </c>
      <c r="F108" s="15">
        <f t="shared" si="17"/>
        <v>6.1330346443373509</v>
      </c>
      <c r="G108" s="15">
        <f t="shared" si="17"/>
        <v>5.1088954662551593</v>
      </c>
    </row>
    <row r="109" spans="3:7" x14ac:dyDescent="0.25">
      <c r="C109" s="14" t="s">
        <v>114</v>
      </c>
      <c r="D109" s="14">
        <v>4</v>
      </c>
      <c r="E109" s="15">
        <f t="shared" si="17"/>
        <v>2.9337488263195843</v>
      </c>
      <c r="F109" s="15">
        <f t="shared" si="17"/>
        <v>4.5697351276894462</v>
      </c>
      <c r="G109" s="15">
        <f t="shared" si="17"/>
        <v>3.8016307441278037</v>
      </c>
    </row>
    <row r="110" spans="3:7" x14ac:dyDescent="0.25">
      <c r="C110" s="14" t="s">
        <v>151</v>
      </c>
      <c r="D110" s="14">
        <v>5</v>
      </c>
      <c r="E110" s="15">
        <f t="shared" si="17"/>
        <v>2.3229663766048141</v>
      </c>
      <c r="F110" s="15">
        <f t="shared" si="17"/>
        <v>3.6317554177007039</v>
      </c>
      <c r="G110" s="15">
        <f t="shared" si="17"/>
        <v>3.017271910851389</v>
      </c>
    </row>
    <row r="111" spans="3:7" x14ac:dyDescent="0.25">
      <c r="C111" s="14" t="s">
        <v>115</v>
      </c>
      <c r="D111" s="14">
        <v>6</v>
      </c>
      <c r="E111" s="31" t="s">
        <v>116</v>
      </c>
      <c r="F111" s="15">
        <f>Engine_spec_d_life__h/Hours_in_a_year__h/F101</f>
        <v>3.0064356110415424</v>
      </c>
      <c r="G111" s="15">
        <f>Engine_spec_d_life__h/Hours_in_a_year__h/G101</f>
        <v>2.4943660220004467</v>
      </c>
    </row>
    <row r="112" spans="3:7" x14ac:dyDescent="0.25">
      <c r="C112" s="14"/>
      <c r="D112" s="14"/>
      <c r="E112" s="14"/>
      <c r="F112" s="14"/>
      <c r="G112" s="14"/>
    </row>
    <row r="113" spans="3:7" x14ac:dyDescent="0.25">
      <c r="C113" s="14" t="s">
        <v>118</v>
      </c>
      <c r="D113" s="14">
        <v>0</v>
      </c>
      <c r="E113" s="16"/>
      <c r="F113" s="16"/>
      <c r="G113" s="16"/>
    </row>
    <row r="114" spans="3:7" x14ac:dyDescent="0.25">
      <c r="C114" s="23" t="s">
        <v>152</v>
      </c>
      <c r="D114" s="23">
        <v>0.5</v>
      </c>
      <c r="E114" s="24">
        <f t="shared" ref="E114:G119" si="18">Batt_Cycles_50__DOD__guesstimated/(Hours_in_a_year__h/E86)</f>
        <v>12.47270542201858</v>
      </c>
      <c r="F114" s="24">
        <f t="shared" si="18"/>
        <v>12.036142420092549</v>
      </c>
      <c r="G114" s="24">
        <f t="shared" si="18"/>
        <v>12.191989403175011</v>
      </c>
    </row>
    <row r="115" spans="3:7" x14ac:dyDescent="0.25">
      <c r="C115" s="23" t="s">
        <v>153</v>
      </c>
      <c r="D115" s="23">
        <v>1</v>
      </c>
      <c r="E115" s="24">
        <f t="shared" si="18"/>
        <v>6.9654634487951519</v>
      </c>
      <c r="F115" s="24">
        <f t="shared" si="18"/>
        <v>6.4394383069927912</v>
      </c>
      <c r="G115" s="24">
        <f t="shared" si="18"/>
        <v>6.6218680302958912</v>
      </c>
    </row>
    <row r="116" spans="3:7" x14ac:dyDescent="0.25">
      <c r="C116" s="14" t="s">
        <v>119</v>
      </c>
      <c r="D116" s="14">
        <v>2</v>
      </c>
      <c r="E116" s="15">
        <f t="shared" si="18"/>
        <v>4.5665912103063349</v>
      </c>
      <c r="F116" s="15">
        <f t="shared" si="18"/>
        <v>3.749950375209862</v>
      </c>
      <c r="G116" s="15">
        <f t="shared" si="18"/>
        <v>4.0110362683161478</v>
      </c>
    </row>
    <row r="117" spans="3:7" x14ac:dyDescent="0.25">
      <c r="C117" s="14" t="s">
        <v>154</v>
      </c>
      <c r="D117" s="14">
        <v>3</v>
      </c>
      <c r="E117" s="15">
        <f t="shared" si="18"/>
        <v>4.4607710071888764</v>
      </c>
      <c r="F117" s="15">
        <f t="shared" si="18"/>
        <v>3.0005610367155491</v>
      </c>
      <c r="G117" s="15">
        <f t="shared" si="18"/>
        <v>3.4053903625434692</v>
      </c>
    </row>
    <row r="118" spans="3:7" x14ac:dyDescent="0.25">
      <c r="C118" s="14" t="s">
        <v>120</v>
      </c>
      <c r="D118" s="14">
        <v>4</v>
      </c>
      <c r="E118" s="15">
        <f t="shared" si="18"/>
        <v>6.3697257227479769</v>
      </c>
      <c r="F118" s="15">
        <f t="shared" si="18"/>
        <v>2.8231646837138276</v>
      </c>
      <c r="G118" s="15">
        <f t="shared" si="18"/>
        <v>3.5366239207742294</v>
      </c>
    </row>
    <row r="119" spans="3:7" x14ac:dyDescent="0.25">
      <c r="C119" s="14" t="s">
        <v>155</v>
      </c>
      <c r="D119" s="14">
        <v>5</v>
      </c>
      <c r="E119" s="15">
        <f t="shared" si="18"/>
        <v>65.860036641894098</v>
      </c>
      <c r="F119" s="15">
        <f t="shared" si="18"/>
        <v>3.0433247477309586</v>
      </c>
      <c r="G119" s="15">
        <f t="shared" si="18"/>
        <v>4.6446259560631358</v>
      </c>
    </row>
    <row r="120" spans="3:7" x14ac:dyDescent="0.25">
      <c r="C120" s="14" t="s">
        <v>121</v>
      </c>
      <c r="D120" s="14">
        <v>6</v>
      </c>
      <c r="E120" s="31" t="s">
        <v>116</v>
      </c>
      <c r="F120" s="15">
        <f>Batt_Cycles_50__DOD__guesstimated/(Hours_in_a_year__h/F92)</f>
        <v>3.9143974372969867</v>
      </c>
      <c r="G120" s="15">
        <f>Batt_Cycles_50__DOD__guesstimated/(Hours_in_a_year__h/G92)</f>
        <v>11.119639174288887</v>
      </c>
    </row>
    <row r="122" spans="3:7" x14ac:dyDescent="0.25">
      <c r="C122" t="s">
        <v>123</v>
      </c>
      <c r="D122" s="20">
        <v>0</v>
      </c>
      <c r="E122" s="4"/>
      <c r="F122" s="4"/>
      <c r="G122" s="4"/>
    </row>
    <row r="123" spans="3:7" x14ac:dyDescent="0.25">
      <c r="C123" s="23" t="s">
        <v>156</v>
      </c>
      <c r="D123" s="23">
        <v>0.5</v>
      </c>
      <c r="E123" s="24">
        <f t="shared" ref="E123:G128" si="19">(Engine_service_interval__h/E95)/24</f>
        <v>443.67820583564179</v>
      </c>
      <c r="F123" s="24">
        <f t="shared" si="19"/>
        <v>682.53220583564166</v>
      </c>
      <c r="G123" s="24">
        <f t="shared" si="19"/>
        <v>570.38896583564178</v>
      </c>
    </row>
    <row r="124" spans="3:7" x14ac:dyDescent="0.25">
      <c r="C124" s="23" t="s">
        <v>157</v>
      </c>
      <c r="D124" s="23">
        <v>1</v>
      </c>
      <c r="E124" s="24">
        <f t="shared" si="19"/>
        <v>220.74261168975067</v>
      </c>
      <c r="F124" s="24">
        <f t="shared" si="19"/>
        <v>340.16961168975064</v>
      </c>
      <c r="G124" s="24">
        <f t="shared" si="19"/>
        <v>284.0979916897507</v>
      </c>
    </row>
    <row r="125" spans="3:7" x14ac:dyDescent="0.25">
      <c r="C125" t="s">
        <v>124</v>
      </c>
      <c r="D125" s="20">
        <v>2</v>
      </c>
      <c r="E125" s="7">
        <f t="shared" si="19"/>
        <v>109.27481461680516</v>
      </c>
      <c r="F125" s="7">
        <f t="shared" si="19"/>
        <v>168.98831461680516</v>
      </c>
      <c r="G125" s="7">
        <f t="shared" si="19"/>
        <v>140.95250461680516</v>
      </c>
    </row>
    <row r="126" spans="3:7" x14ac:dyDescent="0.25">
      <c r="C126" t="s">
        <v>158</v>
      </c>
      <c r="D126" s="20">
        <v>3</v>
      </c>
      <c r="E126" s="7">
        <f t="shared" si="19"/>
        <v>72.118882259156663</v>
      </c>
      <c r="F126" s="7">
        <f t="shared" si="19"/>
        <v>111.92788225915666</v>
      </c>
      <c r="G126" s="7">
        <f t="shared" si="19"/>
        <v>93.237342259156662</v>
      </c>
    </row>
    <row r="127" spans="3:7" x14ac:dyDescent="0.25">
      <c r="C127" t="s">
        <v>125</v>
      </c>
      <c r="D127" s="20">
        <v>4</v>
      </c>
      <c r="E127" s="7">
        <f t="shared" si="19"/>
        <v>53.540916080332408</v>
      </c>
      <c r="F127" s="7">
        <f t="shared" si="19"/>
        <v>83.397666080332399</v>
      </c>
      <c r="G127" s="7">
        <f t="shared" si="19"/>
        <v>69.379761080332415</v>
      </c>
    </row>
    <row r="128" spans="3:7" x14ac:dyDescent="0.25">
      <c r="C128" t="s">
        <v>159</v>
      </c>
      <c r="D128" s="20">
        <v>5</v>
      </c>
      <c r="E128" s="7">
        <f t="shared" si="19"/>
        <v>42.39413637303786</v>
      </c>
      <c r="F128" s="7">
        <f t="shared" si="19"/>
        <v>66.279536373037843</v>
      </c>
      <c r="G128" s="7">
        <f t="shared" si="19"/>
        <v>55.065212373037845</v>
      </c>
    </row>
    <row r="129" spans="3:7" x14ac:dyDescent="0.25">
      <c r="C129" t="s">
        <v>126</v>
      </c>
      <c r="D129" s="20">
        <v>6</v>
      </c>
      <c r="E129" s="31" t="s">
        <v>116</v>
      </c>
      <c r="F129" s="7">
        <f>(Engine_service_interval__h/F101)/24</f>
        <v>54.867449901508145</v>
      </c>
      <c r="G129" s="7">
        <f>(Engine_service_interval__h/G101)/24</f>
        <v>45.522179901508146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6"/>
  <sheetViews>
    <sheetView tabSelected="1" topLeftCell="E1" workbookViewId="0">
      <selection activeCell="F13" sqref="F13:J31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40.140625" style="20" customWidth="1"/>
    <col min="7" max="10" width="12.7109375" style="20" customWidth="1"/>
    <col min="11" max="11" width="18.28515625" customWidth="1"/>
    <col min="12" max="12" width="17" customWidth="1"/>
    <col min="13" max="13" width="17.7109375" customWidth="1"/>
    <col min="14" max="18" width="15.7109375" customWidth="1"/>
  </cols>
  <sheetData>
    <row r="1" spans="2:10" x14ac:dyDescent="0.25">
      <c r="B1" t="s">
        <v>46</v>
      </c>
    </row>
    <row r="13" spans="2:10" x14ac:dyDescent="0.25">
      <c r="C13" s="38" t="s">
        <v>172</v>
      </c>
      <c r="F13" s="38" t="s">
        <v>172</v>
      </c>
      <c r="G13" s="38"/>
      <c r="I13" s="52" t="s">
        <v>178</v>
      </c>
    </row>
    <row r="14" spans="2:10" x14ac:dyDescent="0.25">
      <c r="C14" s="1" t="s">
        <v>80</v>
      </c>
      <c r="D14" s="3">
        <v>1</v>
      </c>
      <c r="F14" s="1" t="s">
        <v>80</v>
      </c>
      <c r="G14" s="3">
        <v>1</v>
      </c>
      <c r="H14" s="3">
        <v>1</v>
      </c>
      <c r="I14" s="3">
        <v>1</v>
      </c>
      <c r="J14" s="50">
        <v>1.1000000000000001</v>
      </c>
    </row>
    <row r="15" spans="2:10" x14ac:dyDescent="0.25">
      <c r="C15" t="s">
        <v>82</v>
      </c>
      <c r="D15">
        <v>11</v>
      </c>
      <c r="F15" t="s">
        <v>82</v>
      </c>
      <c r="G15">
        <v>11</v>
      </c>
      <c r="H15">
        <v>11</v>
      </c>
      <c r="I15">
        <v>11</v>
      </c>
      <c r="J15">
        <v>11</v>
      </c>
    </row>
    <row r="16" spans="2:10" x14ac:dyDescent="0.25">
      <c r="C16" s="1" t="s">
        <v>83</v>
      </c>
      <c r="D16">
        <f>D15*D14</f>
        <v>11</v>
      </c>
      <c r="F16" s="1" t="s">
        <v>83</v>
      </c>
      <c r="G16">
        <f>G15*G14</f>
        <v>11</v>
      </c>
      <c r="H16">
        <f>H15*H14</f>
        <v>11</v>
      </c>
      <c r="I16">
        <f>I15*I14</f>
        <v>11</v>
      </c>
      <c r="J16">
        <f>J15*J14</f>
        <v>12.100000000000001</v>
      </c>
    </row>
    <row r="17" spans="3:10" ht="30" x14ac:dyDescent="0.25">
      <c r="C17" s="1" t="s">
        <v>169</v>
      </c>
      <c r="D17" s="2">
        <v>0.8</v>
      </c>
      <c r="F17" s="1" t="s">
        <v>169</v>
      </c>
      <c r="G17" s="2">
        <v>0.8</v>
      </c>
      <c r="H17" s="2">
        <v>0.8</v>
      </c>
      <c r="I17" s="2">
        <v>0.8</v>
      </c>
      <c r="J17" s="51">
        <v>0.7</v>
      </c>
    </row>
    <row r="18" spans="3:10" x14ac:dyDescent="0.25">
      <c r="C18" s="1" t="s">
        <v>170</v>
      </c>
      <c r="D18" s="2">
        <f>(1+D17)/2</f>
        <v>0.9</v>
      </c>
      <c r="F18" s="1" t="s">
        <v>170</v>
      </c>
      <c r="G18" s="2">
        <f>(1+G17)/2</f>
        <v>0.9</v>
      </c>
      <c r="H18" s="2">
        <f>(1+H17)/2</f>
        <v>0.9</v>
      </c>
      <c r="I18" s="2">
        <f>(1+I17)/2</f>
        <v>0.9</v>
      </c>
      <c r="J18" s="2">
        <f>(1+J17)/2</f>
        <v>0.85</v>
      </c>
    </row>
    <row r="19" spans="3:10" x14ac:dyDescent="0.25">
      <c r="C19" s="1" t="s">
        <v>87</v>
      </c>
      <c r="D19" s="2">
        <v>0.5</v>
      </c>
      <c r="F19" s="1" t="s">
        <v>87</v>
      </c>
      <c r="G19" s="2">
        <v>0.5</v>
      </c>
      <c r="H19" s="2">
        <v>0.5</v>
      </c>
      <c r="I19" s="2">
        <v>0.5</v>
      </c>
      <c r="J19" s="2">
        <v>0.5</v>
      </c>
    </row>
    <row r="20" spans="3:10" x14ac:dyDescent="0.25">
      <c r="C20" t="s">
        <v>88</v>
      </c>
      <c r="D20">
        <f>D19*Batt_bank_energy__kWh*Avg_bank_energy_over_lifetime</f>
        <v>4.95</v>
      </c>
      <c r="F20" t="s">
        <v>88</v>
      </c>
      <c r="G20">
        <f>G19*G16*G18</f>
        <v>4.95</v>
      </c>
      <c r="H20">
        <f>H19*H16*H18</f>
        <v>4.95</v>
      </c>
      <c r="I20">
        <f t="shared" ref="I20:J20" si="0">I19*I16*I18</f>
        <v>4.95</v>
      </c>
      <c r="J20" s="25">
        <f t="shared" si="0"/>
        <v>5.1425000000000001</v>
      </c>
    </row>
    <row r="21" spans="3:10" x14ac:dyDescent="0.25">
      <c r="C21" t="s">
        <v>117</v>
      </c>
      <c r="D21">
        <v>3000</v>
      </c>
      <c r="F21" t="s">
        <v>117</v>
      </c>
      <c r="G21">
        <v>3000</v>
      </c>
      <c r="H21">
        <v>3000</v>
      </c>
      <c r="I21">
        <v>3000</v>
      </c>
      <c r="J21">
        <v>3000</v>
      </c>
    </row>
    <row r="22" spans="3:10" ht="30" x14ac:dyDescent="0.25">
      <c r="C22" s="1" t="s">
        <v>171</v>
      </c>
      <c r="D22">
        <v>10000</v>
      </c>
      <c r="F22" s="1" t="s">
        <v>171</v>
      </c>
      <c r="G22">
        <v>7500</v>
      </c>
      <c r="H22">
        <v>7500</v>
      </c>
      <c r="I22" s="20">
        <v>10000</v>
      </c>
      <c r="J22">
        <v>10000</v>
      </c>
    </row>
    <row r="23" spans="3:10" ht="30" x14ac:dyDescent="0.25">
      <c r="C23" s="1" t="s">
        <v>177</v>
      </c>
      <c r="F23" s="1" t="s">
        <v>177</v>
      </c>
      <c r="G23" s="14">
        <v>3000</v>
      </c>
      <c r="H23" s="14">
        <f>(1-H17)/(1-0.8) *H22</f>
        <v>7500</v>
      </c>
      <c r="I23" s="14">
        <f>(1-I17)/(1-0.8) *I22</f>
        <v>10000</v>
      </c>
      <c r="J23" s="14">
        <f>(1-J17)/(1-0.8) *J22</f>
        <v>15000.000000000004</v>
      </c>
    </row>
    <row r="24" spans="3:10" x14ac:dyDescent="0.25">
      <c r="C24" s="1"/>
      <c r="F24" s="1"/>
      <c r="G24"/>
      <c r="H24"/>
      <c r="I24"/>
      <c r="J24"/>
    </row>
    <row r="25" spans="3:10" x14ac:dyDescent="0.25">
      <c r="C25" s="39" t="s">
        <v>173</v>
      </c>
      <c r="D25" s="19"/>
      <c r="F25" s="39" t="s">
        <v>173</v>
      </c>
      <c r="G25" s="19"/>
      <c r="H25" s="19"/>
      <c r="I25" s="19"/>
      <c r="J25" s="19"/>
    </row>
    <row r="26" spans="3:10" x14ac:dyDescent="0.25">
      <c r="C26" s="1" t="s">
        <v>110</v>
      </c>
      <c r="D26">
        <v>20000</v>
      </c>
      <c r="F26" s="1" t="s">
        <v>110</v>
      </c>
      <c r="G26">
        <v>15000</v>
      </c>
      <c r="H26" s="14">
        <v>15000</v>
      </c>
      <c r="I26" s="14">
        <v>20000</v>
      </c>
      <c r="J26" s="14">
        <v>25000</v>
      </c>
    </row>
    <row r="27" spans="3:10" x14ac:dyDescent="0.25">
      <c r="C27" t="s">
        <v>111</v>
      </c>
      <c r="D27">
        <f>365*24</f>
        <v>8760</v>
      </c>
      <c r="F27" t="s">
        <v>111</v>
      </c>
      <c r="G27">
        <f>365*24</f>
        <v>8760</v>
      </c>
      <c r="H27">
        <f>365*24</f>
        <v>8760</v>
      </c>
      <c r="I27">
        <f>365*24</f>
        <v>8760</v>
      </c>
      <c r="J27">
        <f>365*24</f>
        <v>8760</v>
      </c>
    </row>
    <row r="28" spans="3:10" x14ac:dyDescent="0.25">
      <c r="C28" s="1" t="s">
        <v>122</v>
      </c>
      <c r="D28">
        <v>1000</v>
      </c>
      <c r="F28" s="1" t="s">
        <v>122</v>
      </c>
      <c r="G28">
        <v>1000</v>
      </c>
      <c r="H28">
        <v>1000</v>
      </c>
      <c r="I28">
        <v>1000</v>
      </c>
      <c r="J28">
        <v>1000</v>
      </c>
    </row>
    <row r="29" spans="3:10" x14ac:dyDescent="0.25">
      <c r="C29" s="1" t="s">
        <v>160</v>
      </c>
      <c r="D29">
        <v>0.38</v>
      </c>
      <c r="F29" s="1" t="s">
        <v>160</v>
      </c>
      <c r="G29">
        <v>0.38</v>
      </c>
      <c r="H29">
        <v>0.38</v>
      </c>
      <c r="I29">
        <v>0.38</v>
      </c>
      <c r="J29">
        <v>0.38</v>
      </c>
    </row>
    <row r="30" spans="3:10" x14ac:dyDescent="0.25">
      <c r="C30" t="s">
        <v>161</v>
      </c>
      <c r="D30">
        <v>1000</v>
      </c>
      <c r="F30" t="s">
        <v>161</v>
      </c>
      <c r="G30">
        <v>1000</v>
      </c>
      <c r="H30">
        <v>1000</v>
      </c>
      <c r="I30">
        <v>1000</v>
      </c>
      <c r="J30">
        <v>1000</v>
      </c>
    </row>
    <row r="31" spans="3:10" x14ac:dyDescent="0.25">
      <c r="C31" s="1" t="s">
        <v>162</v>
      </c>
      <c r="D31" s="25">
        <v>1</v>
      </c>
      <c r="F31" s="1" t="s">
        <v>162</v>
      </c>
      <c r="G31" s="25">
        <v>1</v>
      </c>
      <c r="H31" s="25">
        <v>1</v>
      </c>
      <c r="I31" s="25">
        <v>1</v>
      </c>
      <c r="J31" s="25">
        <v>1</v>
      </c>
    </row>
    <row r="32" spans="3:10" x14ac:dyDescent="0.25">
      <c r="C32" s="1"/>
      <c r="D32" s="19"/>
    </row>
    <row r="34" spans="2:10" x14ac:dyDescent="0.25">
      <c r="C34" t="s">
        <v>63</v>
      </c>
      <c r="E34" s="32" t="s">
        <v>48</v>
      </c>
      <c r="F34" s="40"/>
      <c r="G34" s="40"/>
      <c r="H34" s="40"/>
      <c r="I34" s="40"/>
      <c r="J34" s="40"/>
    </row>
    <row r="35" spans="2:10" ht="30" x14ac:dyDescent="0.25">
      <c r="E35" s="33" t="s">
        <v>90</v>
      </c>
      <c r="F35" s="41"/>
      <c r="G35" s="41"/>
      <c r="H35" s="41"/>
      <c r="I35" s="41"/>
      <c r="J35" s="41"/>
    </row>
    <row r="36" spans="2:10" x14ac:dyDescent="0.25">
      <c r="B36" s="4" t="s">
        <v>8</v>
      </c>
      <c r="C36" t="s">
        <v>49</v>
      </c>
      <c r="E36" s="32">
        <v>15.3</v>
      </c>
      <c r="F36" s="40"/>
      <c r="G36" s="40"/>
      <c r="H36" s="40"/>
      <c r="I36" s="40"/>
      <c r="J36" s="40"/>
    </row>
    <row r="37" spans="2:10" x14ac:dyDescent="0.25">
      <c r="B37" s="4"/>
      <c r="C37" t="s">
        <v>52</v>
      </c>
      <c r="E37" s="34">
        <v>0.59</v>
      </c>
      <c r="F37" s="42"/>
      <c r="G37" s="42"/>
      <c r="H37" s="42"/>
      <c r="I37" s="42"/>
      <c r="J37" s="42"/>
    </row>
    <row r="38" spans="2:10" x14ac:dyDescent="0.25">
      <c r="B38" s="4" t="s">
        <v>50</v>
      </c>
      <c r="C38" t="s">
        <v>51</v>
      </c>
      <c r="E38" s="35">
        <f t="shared" ref="E38" si="1">E36*E37</f>
        <v>9.0269999999999992</v>
      </c>
      <c r="F38" s="43"/>
      <c r="G38" s="43"/>
      <c r="H38" s="43"/>
      <c r="I38" s="43"/>
      <c r="J38" s="43"/>
    </row>
    <row r="39" spans="2:10" x14ac:dyDescent="0.25">
      <c r="B39" s="4"/>
      <c r="C39" t="s">
        <v>53</v>
      </c>
      <c r="E39" s="34">
        <v>0.88</v>
      </c>
      <c r="F39" s="42"/>
      <c r="G39" s="42"/>
      <c r="H39" s="42"/>
      <c r="I39" s="42"/>
      <c r="J39" s="42"/>
    </row>
    <row r="40" spans="2:10" x14ac:dyDescent="0.25">
      <c r="B40" s="4" t="s">
        <v>54</v>
      </c>
      <c r="C40" t="s">
        <v>55</v>
      </c>
      <c r="E40" s="35">
        <f t="shared" ref="E40" si="2">E39*E38</f>
        <v>7.9437599999999993</v>
      </c>
      <c r="F40" s="43"/>
      <c r="G40" s="43"/>
      <c r="H40" s="43"/>
      <c r="I40" s="43"/>
      <c r="J40" s="43"/>
    </row>
    <row r="41" spans="2:10" x14ac:dyDescent="0.25">
      <c r="B41" s="4"/>
      <c r="C41" t="s">
        <v>56</v>
      </c>
      <c r="E41" s="34">
        <v>0.94</v>
      </c>
      <c r="F41" s="42"/>
      <c r="G41" s="42"/>
      <c r="H41" s="42"/>
      <c r="I41" s="42"/>
      <c r="J41" s="42"/>
    </row>
    <row r="42" spans="2:10" x14ac:dyDescent="0.25">
      <c r="B42" s="4" t="s">
        <v>57</v>
      </c>
      <c r="C42" t="s">
        <v>58</v>
      </c>
      <c r="E42" s="35">
        <f t="shared" ref="E42" si="3">E41*E40</f>
        <v>7.4671343999999991</v>
      </c>
      <c r="F42" s="43"/>
      <c r="G42" s="43"/>
      <c r="H42" s="43"/>
      <c r="I42" s="43"/>
      <c r="J42" s="43"/>
    </row>
    <row r="43" spans="2:10" x14ac:dyDescent="0.25">
      <c r="B43" s="4" t="s">
        <v>57</v>
      </c>
      <c r="C43" t="s">
        <v>59</v>
      </c>
      <c r="E43" s="10">
        <v>7.5</v>
      </c>
      <c r="F43" s="40"/>
      <c r="G43" s="40"/>
      <c r="H43" s="40"/>
      <c r="I43" s="40"/>
      <c r="J43" s="40"/>
    </row>
    <row r="44" spans="2:10" x14ac:dyDescent="0.25">
      <c r="B44" s="4"/>
      <c r="C44" t="s">
        <v>60</v>
      </c>
      <c r="E44" s="34">
        <v>0.99</v>
      </c>
      <c r="F44" s="42"/>
      <c r="G44" s="42"/>
      <c r="H44" s="42"/>
      <c r="I44" s="42"/>
      <c r="J44" s="42"/>
    </row>
    <row r="45" spans="2:10" x14ac:dyDescent="0.25">
      <c r="B45" s="4" t="s">
        <v>61</v>
      </c>
      <c r="C45" t="s">
        <v>62</v>
      </c>
      <c r="E45" s="35">
        <f>E44*E43</f>
        <v>7.4249999999999998</v>
      </c>
      <c r="F45" s="43"/>
      <c r="G45" s="43"/>
      <c r="H45" s="43"/>
      <c r="I45" s="43"/>
      <c r="J45" s="43"/>
    </row>
    <row r="46" spans="2:10" x14ac:dyDescent="0.25">
      <c r="B46" s="4"/>
      <c r="C46" t="s">
        <v>64</v>
      </c>
      <c r="E46" s="34">
        <v>0.95</v>
      </c>
      <c r="F46" s="42"/>
      <c r="G46" s="42"/>
      <c r="H46" s="42"/>
      <c r="I46" s="42"/>
      <c r="J46" s="42"/>
    </row>
    <row r="47" spans="2:10" x14ac:dyDescent="0.25">
      <c r="B47" s="4" t="s">
        <v>65</v>
      </c>
      <c r="C47" t="s">
        <v>66</v>
      </c>
      <c r="E47" s="35">
        <f t="shared" ref="E47" si="4">E46*E45</f>
        <v>7.0537499999999991</v>
      </c>
      <c r="F47" s="43"/>
      <c r="G47" s="43"/>
      <c r="H47" s="43"/>
      <c r="I47" s="43"/>
      <c r="J47" s="43"/>
    </row>
    <row r="48" spans="2:10" x14ac:dyDescent="0.25">
      <c r="B48" s="4" t="s">
        <v>71</v>
      </c>
      <c r="C48" t="s">
        <v>72</v>
      </c>
      <c r="E48" s="53">
        <v>0</v>
      </c>
      <c r="F48" s="40"/>
      <c r="G48" s="40"/>
      <c r="H48" s="40"/>
      <c r="I48" s="40"/>
      <c r="J48" s="40"/>
    </row>
    <row r="49" spans="2:16" x14ac:dyDescent="0.25">
      <c r="B49" s="4"/>
      <c r="C49" t="s">
        <v>73</v>
      </c>
      <c r="E49" s="34">
        <f t="shared" ref="E49" si="5">E46</f>
        <v>0.95</v>
      </c>
      <c r="F49" s="42"/>
      <c r="G49" s="42"/>
      <c r="H49" s="42"/>
      <c r="I49" s="42"/>
      <c r="J49" s="42"/>
    </row>
    <row r="50" spans="2:16" x14ac:dyDescent="0.25">
      <c r="B50" s="4" t="s">
        <v>67</v>
      </c>
      <c r="C50" t="s">
        <v>68</v>
      </c>
      <c r="E50" s="36">
        <f t="shared" ref="E50" si="6">E48/E49</f>
        <v>0</v>
      </c>
      <c r="F50" s="44"/>
      <c r="G50" s="44"/>
      <c r="H50" s="44"/>
      <c r="I50" s="44"/>
      <c r="J50" s="44"/>
    </row>
    <row r="51" spans="2:16" x14ac:dyDescent="0.25">
      <c r="B51" s="4" t="s">
        <v>69</v>
      </c>
      <c r="C51" t="s">
        <v>70</v>
      </c>
      <c r="E51" s="37">
        <f t="shared" ref="E51" si="7">E47-E50</f>
        <v>7.0537499999999991</v>
      </c>
      <c r="F51" s="45"/>
      <c r="G51" s="45"/>
      <c r="H51" s="45"/>
      <c r="I51" s="45"/>
      <c r="J51" s="45"/>
    </row>
    <row r="52" spans="2:16" ht="45" x14ac:dyDescent="0.25">
      <c r="B52" s="4"/>
      <c r="E52" s="8"/>
      <c r="F52" s="45"/>
      <c r="G52" s="45"/>
      <c r="H52" s="45"/>
      <c r="I52" s="45"/>
      <c r="J52" s="45"/>
      <c r="K52" s="8"/>
      <c r="L52" s="1" t="s">
        <v>85</v>
      </c>
      <c r="M52" s="27" t="s">
        <v>164</v>
      </c>
      <c r="N52" s="27" t="s">
        <v>165</v>
      </c>
      <c r="O52" s="27" t="s">
        <v>163</v>
      </c>
      <c r="P52" s="27" t="s">
        <v>166</v>
      </c>
    </row>
    <row r="53" spans="2:16" ht="60" x14ac:dyDescent="0.25">
      <c r="B53" s="4"/>
      <c r="C53" t="s">
        <v>127</v>
      </c>
      <c r="E53" s="8"/>
      <c r="F53" s="45"/>
      <c r="G53" s="49" t="s">
        <v>179</v>
      </c>
      <c r="H53" s="49" t="s">
        <v>174</v>
      </c>
      <c r="I53" s="49" t="s">
        <v>176</v>
      </c>
      <c r="J53" s="49" t="s">
        <v>175</v>
      </c>
      <c r="K53" s="11"/>
      <c r="L53" s="4">
        <v>0</v>
      </c>
      <c r="M53" s="26">
        <f t="shared" ref="M53:M60" si="8">$L53*24*30.5*SFC__l_kWh*Diesel_cost____l</f>
        <v>0</v>
      </c>
      <c r="P53" s="4"/>
    </row>
    <row r="54" spans="2:16" ht="30" x14ac:dyDescent="0.25">
      <c r="B54" s="4"/>
      <c r="C54" s="1" t="s">
        <v>78</v>
      </c>
      <c r="D54" s="1" t="s">
        <v>85</v>
      </c>
      <c r="E54" s="8"/>
      <c r="F54" s="45"/>
      <c r="G54" s="45"/>
      <c r="H54" s="45"/>
      <c r="I54" s="45"/>
      <c r="J54" s="45"/>
      <c r="K54" s="11"/>
      <c r="L54" s="29">
        <v>0.5</v>
      </c>
      <c r="M54" s="28">
        <f t="shared" si="8"/>
        <v>139.08000000000001</v>
      </c>
      <c r="N54" s="30">
        <f t="shared" ref="N54:N60" si="9">Fuel_Tank_Capacity__l/($L54*24*SFC__l_kWh)</f>
        <v>219.29824561403507</v>
      </c>
      <c r="O54" s="30">
        <f t="shared" ref="O54:O60" si="10">N54/4</f>
        <v>54.824561403508767</v>
      </c>
      <c r="P54" s="24">
        <f t="shared" ref="P54:P60" si="11">E130</f>
        <v>616.55701754385973</v>
      </c>
    </row>
    <row r="55" spans="2:16" x14ac:dyDescent="0.25">
      <c r="B55" s="4" t="s">
        <v>84</v>
      </c>
      <c r="C55" t="s">
        <v>86</v>
      </c>
      <c r="D55" s="4">
        <v>0</v>
      </c>
      <c r="E55" s="11">
        <f t="shared" ref="E55:E62" si="12">Rectifier_max_output__kW - ($D55 + AC_accessory_load__kW)/DC___DC_converter_power_efficiency</f>
        <v>7.4249999999999998</v>
      </c>
      <c r="F55" s="46"/>
      <c r="G55" s="11">
        <f t="shared" ref="G55:J62" si="13">Rectifier_max_output__kW - ($D55 + AC_accessory_load__kW)/DC___DC_converter_power_efficiency</f>
        <v>7.4249999999999998</v>
      </c>
      <c r="H55" s="11">
        <f t="shared" si="13"/>
        <v>7.4249999999999998</v>
      </c>
      <c r="I55" s="11">
        <f t="shared" si="13"/>
        <v>7.4249999999999998</v>
      </c>
      <c r="J55" s="11">
        <f t="shared" si="13"/>
        <v>7.4249999999999998</v>
      </c>
      <c r="K55" s="11"/>
      <c r="L55" s="29">
        <v>1</v>
      </c>
      <c r="M55" s="28">
        <f t="shared" si="8"/>
        <v>278.16000000000003</v>
      </c>
      <c r="N55" s="30">
        <f t="shared" si="9"/>
        <v>109.64912280701753</v>
      </c>
      <c r="O55" s="30">
        <f t="shared" si="10"/>
        <v>27.412280701754383</v>
      </c>
      <c r="P55" s="24">
        <f t="shared" si="11"/>
        <v>307.18201754385967</v>
      </c>
    </row>
    <row r="56" spans="2:16" x14ac:dyDescent="0.25">
      <c r="B56" s="4"/>
      <c r="C56" t="s">
        <v>86</v>
      </c>
      <c r="D56" s="4">
        <v>0.5</v>
      </c>
      <c r="E56" s="11">
        <f t="shared" si="12"/>
        <v>6.8986842105263158</v>
      </c>
      <c r="F56" s="46"/>
      <c r="G56" s="11">
        <f t="shared" si="13"/>
        <v>6.8986842105263158</v>
      </c>
      <c r="H56" s="11">
        <f t="shared" si="13"/>
        <v>6.8986842105263158</v>
      </c>
      <c r="I56" s="11">
        <f t="shared" si="13"/>
        <v>6.8986842105263158</v>
      </c>
      <c r="J56" s="11">
        <f t="shared" si="13"/>
        <v>6.8986842105263158</v>
      </c>
      <c r="K56" s="11"/>
      <c r="L56" s="4">
        <v>2</v>
      </c>
      <c r="M56" s="26">
        <f t="shared" si="8"/>
        <v>556.32000000000005</v>
      </c>
      <c r="N56" s="3">
        <f t="shared" si="9"/>
        <v>54.824561403508767</v>
      </c>
      <c r="O56" s="3">
        <f t="shared" si="10"/>
        <v>13.706140350877192</v>
      </c>
      <c r="P56" s="7">
        <f t="shared" si="11"/>
        <v>152.49451754385962</v>
      </c>
    </row>
    <row r="57" spans="2:16" x14ac:dyDescent="0.25">
      <c r="B57" s="4"/>
      <c r="C57" t="s">
        <v>86</v>
      </c>
      <c r="D57" s="4">
        <v>1</v>
      </c>
      <c r="E57" s="11">
        <f t="shared" si="12"/>
        <v>6.3723684210526317</v>
      </c>
      <c r="F57" s="46"/>
      <c r="G57" s="11">
        <f t="shared" si="13"/>
        <v>6.3723684210526317</v>
      </c>
      <c r="H57" s="11">
        <f t="shared" si="13"/>
        <v>6.3723684210526317</v>
      </c>
      <c r="I57" s="11">
        <f t="shared" si="13"/>
        <v>6.3723684210526317</v>
      </c>
      <c r="J57" s="11">
        <f t="shared" si="13"/>
        <v>6.3723684210526317</v>
      </c>
      <c r="K57" s="11"/>
      <c r="L57" s="4">
        <v>3</v>
      </c>
      <c r="M57" s="26">
        <f t="shared" si="8"/>
        <v>834.48</v>
      </c>
      <c r="N57" s="3">
        <f t="shared" si="9"/>
        <v>36.549707602339183</v>
      </c>
      <c r="O57" s="3">
        <f t="shared" si="10"/>
        <v>9.1374269005847957</v>
      </c>
      <c r="P57" s="7">
        <f t="shared" si="11"/>
        <v>100.93201754385963</v>
      </c>
    </row>
    <row r="58" spans="2:16" x14ac:dyDescent="0.25">
      <c r="B58" s="4"/>
      <c r="C58" t="s">
        <v>86</v>
      </c>
      <c r="D58" s="4">
        <v>2</v>
      </c>
      <c r="E58" s="11">
        <f t="shared" si="12"/>
        <v>5.3197368421052627</v>
      </c>
      <c r="F58" s="46"/>
      <c r="G58" s="11">
        <f t="shared" si="13"/>
        <v>5.3197368421052627</v>
      </c>
      <c r="H58" s="11">
        <f t="shared" si="13"/>
        <v>5.3197368421052627</v>
      </c>
      <c r="I58" s="11">
        <f t="shared" si="13"/>
        <v>5.3197368421052627</v>
      </c>
      <c r="J58" s="11">
        <f t="shared" si="13"/>
        <v>5.3197368421052627</v>
      </c>
      <c r="K58" s="11"/>
      <c r="L58" s="4">
        <v>4</v>
      </c>
      <c r="M58" s="26">
        <f t="shared" si="8"/>
        <v>1112.6400000000001</v>
      </c>
      <c r="N58" s="3">
        <f t="shared" si="9"/>
        <v>27.412280701754383</v>
      </c>
      <c r="O58" s="3">
        <f t="shared" si="10"/>
        <v>6.8530701754385959</v>
      </c>
      <c r="P58" s="7">
        <f t="shared" si="11"/>
        <v>75.150767543859644</v>
      </c>
    </row>
    <row r="59" spans="2:16" x14ac:dyDescent="0.25">
      <c r="B59" s="4"/>
      <c r="C59" t="s">
        <v>86</v>
      </c>
      <c r="D59" s="4">
        <v>3</v>
      </c>
      <c r="E59" s="11">
        <f t="shared" si="12"/>
        <v>4.2671052631578945</v>
      </c>
      <c r="F59" s="46"/>
      <c r="G59" s="11">
        <f t="shared" si="13"/>
        <v>4.2671052631578945</v>
      </c>
      <c r="H59" s="11">
        <f t="shared" si="13"/>
        <v>4.2671052631578945</v>
      </c>
      <c r="I59" s="11">
        <f t="shared" si="13"/>
        <v>4.2671052631578945</v>
      </c>
      <c r="J59" s="11">
        <f t="shared" si="13"/>
        <v>4.2671052631578945</v>
      </c>
      <c r="K59" s="11"/>
      <c r="L59" s="4">
        <v>5</v>
      </c>
      <c r="M59" s="26">
        <f t="shared" si="8"/>
        <v>1390.8</v>
      </c>
      <c r="N59" s="3">
        <f t="shared" si="9"/>
        <v>21.929824561403507</v>
      </c>
      <c r="O59" s="3">
        <f t="shared" si="10"/>
        <v>5.4824561403508767</v>
      </c>
      <c r="P59" s="7">
        <f t="shared" si="11"/>
        <v>59.682017543859651</v>
      </c>
    </row>
    <row r="60" spans="2:16" x14ac:dyDescent="0.25">
      <c r="B60" s="4"/>
      <c r="C60" t="s">
        <v>86</v>
      </c>
      <c r="D60" s="4">
        <v>4</v>
      </c>
      <c r="E60" s="11">
        <f t="shared" si="12"/>
        <v>3.2144736842105264</v>
      </c>
      <c r="F60" s="46"/>
      <c r="G60" s="11">
        <f t="shared" si="13"/>
        <v>3.2144736842105264</v>
      </c>
      <c r="H60" s="11">
        <f t="shared" si="13"/>
        <v>3.2144736842105264</v>
      </c>
      <c r="I60" s="11">
        <f t="shared" si="13"/>
        <v>3.2144736842105264</v>
      </c>
      <c r="J60" s="11">
        <f t="shared" si="13"/>
        <v>3.2144736842105264</v>
      </c>
      <c r="K60" s="11"/>
      <c r="L60" s="4">
        <v>6</v>
      </c>
      <c r="M60" s="26">
        <f t="shared" si="8"/>
        <v>1668.96</v>
      </c>
      <c r="N60" s="3">
        <f t="shared" si="9"/>
        <v>18.274853801169591</v>
      </c>
      <c r="O60" s="3">
        <f t="shared" si="10"/>
        <v>4.5687134502923978</v>
      </c>
      <c r="P60" s="7">
        <f t="shared" si="11"/>
        <v>49.369517543859644</v>
      </c>
    </row>
    <row r="61" spans="2:16" x14ac:dyDescent="0.25">
      <c r="B61" s="4"/>
      <c r="C61" t="s">
        <v>86</v>
      </c>
      <c r="D61" s="4">
        <v>5</v>
      </c>
      <c r="E61" s="11">
        <f t="shared" si="12"/>
        <v>2.1618421052631573</v>
      </c>
      <c r="F61" s="46"/>
      <c r="G61" s="11">
        <f t="shared" si="13"/>
        <v>2.1618421052631573</v>
      </c>
      <c r="H61" s="11">
        <f t="shared" si="13"/>
        <v>2.1618421052631573</v>
      </c>
      <c r="I61" s="11">
        <f t="shared" si="13"/>
        <v>2.1618421052631573</v>
      </c>
      <c r="J61" s="11">
        <f t="shared" si="13"/>
        <v>2.1618421052631573</v>
      </c>
    </row>
    <row r="62" spans="2:16" x14ac:dyDescent="0.25">
      <c r="B62" s="4"/>
      <c r="C62" t="s">
        <v>86</v>
      </c>
      <c r="D62" s="4">
        <v>6</v>
      </c>
      <c r="E62" s="11">
        <f t="shared" si="12"/>
        <v>1.1092105263157892</v>
      </c>
      <c r="F62" s="46"/>
      <c r="G62" s="11">
        <f t="shared" si="13"/>
        <v>1.1092105263157892</v>
      </c>
      <c r="H62" s="11">
        <f t="shared" si="13"/>
        <v>1.1092105263157892</v>
      </c>
      <c r="I62" s="11">
        <f t="shared" si="13"/>
        <v>1.1092105263157892</v>
      </c>
      <c r="J62" s="11">
        <f t="shared" si="13"/>
        <v>1.1092105263157892</v>
      </c>
    </row>
    <row r="63" spans="2:16" x14ac:dyDescent="0.25">
      <c r="E63" s="12"/>
      <c r="F63" s="47"/>
      <c r="G63" s="12"/>
      <c r="H63" s="12"/>
      <c r="I63" s="47"/>
      <c r="J63" s="47"/>
    </row>
    <row r="64" spans="2:16" x14ac:dyDescent="0.25">
      <c r="C64" s="17" t="s">
        <v>74</v>
      </c>
      <c r="D64" s="17"/>
      <c r="E64" s="21">
        <f t="shared" ref="E64:E71" si="14">E55/(Batt_bank_energy__kWh *Avg_bank_energy_over_lifetime)</f>
        <v>0.75</v>
      </c>
      <c r="F64" s="48"/>
      <c r="G64" s="21">
        <f>G55/(G$16*G$18)</f>
        <v>0.75</v>
      </c>
      <c r="H64" s="21">
        <f>H55/(H$16*H$18)</f>
        <v>0.75</v>
      </c>
      <c r="I64" s="21">
        <f t="shared" ref="I64:J64" si="15">I55/(I$16*I$18)</f>
        <v>0.75</v>
      </c>
      <c r="J64" s="21">
        <f t="shared" si="15"/>
        <v>0.72192513368983957</v>
      </c>
    </row>
    <row r="65" spans="2:21" x14ac:dyDescent="0.25">
      <c r="C65" s="17" t="s">
        <v>128</v>
      </c>
      <c r="D65" s="17"/>
      <c r="E65" s="21">
        <f t="shared" si="14"/>
        <v>0.69683678894205203</v>
      </c>
      <c r="F65" s="48"/>
      <c r="G65" s="21">
        <f t="shared" ref="G65" si="16">G56/(G$16*G$18)</f>
        <v>0.69683678894205203</v>
      </c>
      <c r="H65" s="21">
        <f t="shared" ref="H65:J71" si="17">H56/(H$16*H$18)</f>
        <v>0.69683678894205203</v>
      </c>
      <c r="I65" s="21">
        <f t="shared" si="17"/>
        <v>0.69683678894205203</v>
      </c>
      <c r="J65" s="21">
        <f t="shared" si="17"/>
        <v>0.67075198935598601</v>
      </c>
    </row>
    <row r="66" spans="2:21" x14ac:dyDescent="0.25">
      <c r="C66" s="17" t="s">
        <v>129</v>
      </c>
      <c r="D66" s="17"/>
      <c r="E66" s="21">
        <f t="shared" si="14"/>
        <v>0.64367357788410418</v>
      </c>
      <c r="F66" s="48"/>
      <c r="G66" s="21">
        <f t="shared" ref="G66" si="18">G57/(G$16*G$18)</f>
        <v>0.64367357788410418</v>
      </c>
      <c r="H66" s="21">
        <f t="shared" si="17"/>
        <v>0.64367357788410418</v>
      </c>
      <c r="I66" s="21">
        <f t="shared" si="17"/>
        <v>0.64367357788410418</v>
      </c>
      <c r="J66" s="21">
        <f t="shared" si="17"/>
        <v>0.61957884502213234</v>
      </c>
    </row>
    <row r="67" spans="2:21" x14ac:dyDescent="0.25">
      <c r="C67" s="17" t="s">
        <v>75</v>
      </c>
      <c r="D67" s="17"/>
      <c r="E67" s="21">
        <f t="shared" si="14"/>
        <v>0.53734715576820835</v>
      </c>
      <c r="F67" s="48"/>
      <c r="G67" s="21">
        <f t="shared" ref="G67" si="19">G58/(G$16*G$18)</f>
        <v>0.53734715576820835</v>
      </c>
      <c r="H67" s="21">
        <f t="shared" si="17"/>
        <v>0.53734715576820835</v>
      </c>
      <c r="I67" s="21">
        <f t="shared" si="17"/>
        <v>0.53734715576820835</v>
      </c>
      <c r="J67" s="21">
        <f t="shared" si="17"/>
        <v>0.51723255635442511</v>
      </c>
    </row>
    <row r="68" spans="2:21" x14ac:dyDescent="0.25">
      <c r="C68" s="17" t="s">
        <v>130</v>
      </c>
      <c r="D68" s="17"/>
      <c r="E68" s="18">
        <f t="shared" si="14"/>
        <v>0.43102073365231258</v>
      </c>
      <c r="F68" s="48"/>
      <c r="G68" s="18">
        <f t="shared" ref="G68" si="20">G59/(G$16*G$18)</f>
        <v>0.43102073365231258</v>
      </c>
      <c r="H68" s="18">
        <f t="shared" si="17"/>
        <v>0.43102073365231258</v>
      </c>
      <c r="I68" s="18">
        <f t="shared" si="17"/>
        <v>0.43102073365231258</v>
      </c>
      <c r="J68" s="18">
        <f t="shared" si="17"/>
        <v>0.41488626768671799</v>
      </c>
    </row>
    <row r="69" spans="2:21" x14ac:dyDescent="0.25">
      <c r="C69" s="17" t="s">
        <v>76</v>
      </c>
      <c r="D69" s="17"/>
      <c r="E69" s="18">
        <f t="shared" si="14"/>
        <v>0.32469431153641681</v>
      </c>
      <c r="F69" s="48"/>
      <c r="G69" s="18">
        <f t="shared" ref="G69" si="21">G60/(G$16*G$18)</f>
        <v>0.32469431153641681</v>
      </c>
      <c r="H69" s="18">
        <f t="shared" si="17"/>
        <v>0.32469431153641681</v>
      </c>
      <c r="I69" s="18">
        <f t="shared" si="17"/>
        <v>0.32469431153641681</v>
      </c>
      <c r="J69" s="18">
        <f t="shared" si="17"/>
        <v>0.31253997901901082</v>
      </c>
    </row>
    <row r="70" spans="2:21" x14ac:dyDescent="0.25">
      <c r="C70" s="17" t="s">
        <v>131</v>
      </c>
      <c r="D70" s="17"/>
      <c r="E70" s="18">
        <f t="shared" si="14"/>
        <v>0.21836788942052093</v>
      </c>
      <c r="F70" s="48"/>
      <c r="G70" s="18">
        <f t="shared" ref="G70" si="22">G61/(G$16*G$18)</f>
        <v>0.21836788942052093</v>
      </c>
      <c r="H70" s="18">
        <f t="shared" si="17"/>
        <v>0.21836788942052093</v>
      </c>
      <c r="I70" s="18">
        <f t="shared" si="17"/>
        <v>0.21836788942052093</v>
      </c>
      <c r="J70" s="18">
        <f t="shared" si="17"/>
        <v>0.21019369035130359</v>
      </c>
    </row>
    <row r="71" spans="2:21" x14ac:dyDescent="0.25">
      <c r="C71" s="17" t="s">
        <v>77</v>
      </c>
      <c r="D71" s="17"/>
      <c r="E71" s="18">
        <f t="shared" si="14"/>
        <v>0.11204146730462516</v>
      </c>
      <c r="F71" s="48"/>
      <c r="G71" s="18">
        <f t="shared" ref="G71" si="23">G62/(G$16*G$18)</f>
        <v>0.11204146730462516</v>
      </c>
      <c r="H71" s="18">
        <f t="shared" si="17"/>
        <v>0.11204146730462516</v>
      </c>
      <c r="I71" s="18">
        <f t="shared" si="17"/>
        <v>0.11204146730462516</v>
      </c>
      <c r="J71" s="18">
        <f t="shared" si="17"/>
        <v>0.10784740168359642</v>
      </c>
    </row>
    <row r="72" spans="2:21" x14ac:dyDescent="0.25">
      <c r="G72"/>
      <c r="H72"/>
    </row>
    <row r="73" spans="2:21" x14ac:dyDescent="0.25">
      <c r="B73" t="s">
        <v>99</v>
      </c>
      <c r="C73" t="s">
        <v>91</v>
      </c>
      <c r="E73" s="13">
        <f t="shared" ref="E73:E80" si="24">1/E64*Depth_of_Discharge</f>
        <v>0.66666666666666663</v>
      </c>
      <c r="F73" s="48"/>
      <c r="G73" s="13">
        <f>1/G64*G$19</f>
        <v>0.66666666666666663</v>
      </c>
      <c r="H73" s="13">
        <f>1/H64*H$19</f>
        <v>0.66666666666666663</v>
      </c>
      <c r="I73" s="13">
        <f t="shared" ref="I73:J73" si="25">1/I64*I$19</f>
        <v>0.66666666666666663</v>
      </c>
      <c r="J73" s="13">
        <f t="shared" si="25"/>
        <v>0.69259259259259265</v>
      </c>
    </row>
    <row r="74" spans="2:21" x14ac:dyDescent="0.25">
      <c r="C74" t="s">
        <v>132</v>
      </c>
      <c r="E74" s="13">
        <f t="shared" si="24"/>
        <v>0.71752813274842653</v>
      </c>
      <c r="F74" s="48"/>
      <c r="G74" s="13">
        <f t="shared" ref="G74" si="26">1/G65*G$19</f>
        <v>0.71752813274842653</v>
      </c>
      <c r="H74" s="13">
        <f t="shared" ref="H74:J80" si="27">1/H65*H$19</f>
        <v>0.71752813274842653</v>
      </c>
      <c r="I74" s="13">
        <f t="shared" si="27"/>
        <v>0.71752813274842653</v>
      </c>
      <c r="J74" s="13">
        <f t="shared" si="27"/>
        <v>0.74543200457753189</v>
      </c>
    </row>
    <row r="75" spans="2:21" x14ac:dyDescent="0.25">
      <c r="C75" t="s">
        <v>133</v>
      </c>
      <c r="E75" s="13">
        <f t="shared" si="24"/>
        <v>0.77679124509601494</v>
      </c>
      <c r="F75" s="48"/>
      <c r="G75" s="13">
        <f t="shared" ref="G75" si="28">1/G66*G$19</f>
        <v>0.77679124509601494</v>
      </c>
      <c r="H75" s="13">
        <f t="shared" si="27"/>
        <v>0.77679124509601494</v>
      </c>
      <c r="I75" s="13">
        <f t="shared" si="27"/>
        <v>0.77679124509601494</v>
      </c>
      <c r="J75" s="13">
        <f t="shared" si="27"/>
        <v>0.80699979351641549</v>
      </c>
    </row>
    <row r="76" spans="2:21" x14ac:dyDescent="0.25">
      <c r="C76" t="s">
        <v>92</v>
      </c>
      <c r="E76" s="13">
        <f t="shared" si="24"/>
        <v>0.93049715557754153</v>
      </c>
      <c r="F76" s="48"/>
      <c r="G76" s="13">
        <f t="shared" ref="G76" si="29">1/G67*G$19</f>
        <v>0.93049715557754153</v>
      </c>
      <c r="H76" s="13">
        <f t="shared" si="27"/>
        <v>0.93049715557754153</v>
      </c>
      <c r="I76" s="13">
        <f t="shared" si="27"/>
        <v>0.93049715557754153</v>
      </c>
      <c r="J76" s="13">
        <f t="shared" si="27"/>
        <v>0.96668315607222377</v>
      </c>
    </row>
    <row r="77" spans="2:21" x14ac:dyDescent="0.25">
      <c r="C77" t="s">
        <v>134</v>
      </c>
      <c r="E77" s="13">
        <f t="shared" si="24"/>
        <v>1.1600370027752083</v>
      </c>
      <c r="F77" s="48"/>
      <c r="G77" s="13">
        <f t="shared" ref="G77" si="30">1/G68*G$19</f>
        <v>1.1600370027752083</v>
      </c>
      <c r="H77" s="13">
        <f t="shared" si="27"/>
        <v>1.1600370027752083</v>
      </c>
      <c r="I77" s="13">
        <f t="shared" si="27"/>
        <v>1.1600370027752083</v>
      </c>
      <c r="J77" s="13">
        <f t="shared" si="27"/>
        <v>1.2051495528831329</v>
      </c>
    </row>
    <row r="78" spans="2:21" x14ac:dyDescent="0.25">
      <c r="C78" t="s">
        <v>93</v>
      </c>
      <c r="E78" s="13">
        <f t="shared" si="24"/>
        <v>1.5399099467867376</v>
      </c>
      <c r="F78" s="48"/>
      <c r="G78" s="13">
        <f t="shared" ref="G78" si="31">1/G69*G$19</f>
        <v>1.5399099467867376</v>
      </c>
      <c r="H78" s="13">
        <f t="shared" si="27"/>
        <v>1.5399099467867376</v>
      </c>
      <c r="I78" s="13">
        <f t="shared" si="27"/>
        <v>1.5399099467867376</v>
      </c>
      <c r="J78" s="13">
        <f t="shared" si="27"/>
        <v>1.5997953336062218</v>
      </c>
    </row>
    <row r="79" spans="2:21" x14ac:dyDescent="0.25">
      <c r="C79" t="s">
        <v>135</v>
      </c>
      <c r="E79" s="13">
        <f t="shared" si="24"/>
        <v>2.2897139379184424</v>
      </c>
      <c r="F79" s="48"/>
      <c r="G79" s="13">
        <f t="shared" ref="G79" si="32">1/G70*G$19</f>
        <v>2.2897139379184424</v>
      </c>
      <c r="H79" s="13">
        <f t="shared" si="27"/>
        <v>2.2897139379184424</v>
      </c>
      <c r="I79" s="13">
        <f t="shared" si="27"/>
        <v>2.2897139379184424</v>
      </c>
      <c r="J79" s="13">
        <f t="shared" si="27"/>
        <v>2.3787583688374929</v>
      </c>
      <c r="U79" t="s">
        <v>167</v>
      </c>
    </row>
    <row r="80" spans="2:21" x14ac:dyDescent="0.25">
      <c r="C80" t="s">
        <v>94</v>
      </c>
      <c r="E80" s="13">
        <f t="shared" si="24"/>
        <v>4.4626334519572968</v>
      </c>
      <c r="F80" s="48"/>
      <c r="G80" s="13">
        <f t="shared" ref="G80" si="33">1/G71*G$19</f>
        <v>4.4626334519572968</v>
      </c>
      <c r="H80" s="13">
        <f t="shared" si="27"/>
        <v>4.4626334519572968</v>
      </c>
      <c r="I80" s="13">
        <f t="shared" si="27"/>
        <v>4.4626334519572968</v>
      </c>
      <c r="J80" s="13">
        <f t="shared" si="27"/>
        <v>4.6361803084223023</v>
      </c>
    </row>
    <row r="81" spans="2:10" x14ac:dyDescent="0.25">
      <c r="E81" s="13"/>
      <c r="F81" s="48"/>
      <c r="G81" s="13"/>
      <c r="H81" s="13"/>
      <c r="I81" s="48"/>
      <c r="J81" s="48"/>
    </row>
    <row r="82" spans="2:10" x14ac:dyDescent="0.25">
      <c r="G82"/>
      <c r="H82"/>
    </row>
    <row r="83" spans="2:10" x14ac:dyDescent="0.25">
      <c r="B83" t="s">
        <v>100</v>
      </c>
      <c r="C83" t="s">
        <v>95</v>
      </c>
      <c r="D83" s="4">
        <v>0</v>
      </c>
      <c r="E83" s="13"/>
      <c r="F83" s="48"/>
      <c r="G83" s="13"/>
      <c r="H83" s="13"/>
      <c r="I83" s="48"/>
      <c r="J83" s="48"/>
    </row>
    <row r="84" spans="2:10" x14ac:dyDescent="0.25">
      <c r="C84" t="s">
        <v>136</v>
      </c>
      <c r="D84" s="4">
        <v>0.5</v>
      </c>
      <c r="E84" s="13">
        <f t="shared" ref="E84:E90" si="34">Cycle_energy__kWh/$D84</f>
        <v>9.9</v>
      </c>
      <c r="F84" s="48"/>
      <c r="G84" s="13">
        <f>G$20/$D84</f>
        <v>9.9</v>
      </c>
      <c r="H84" s="13">
        <f>H$20/$D84</f>
        <v>9.9</v>
      </c>
      <c r="I84" s="13">
        <f t="shared" ref="I84:J84" si="35">I$20/$D84</f>
        <v>9.9</v>
      </c>
      <c r="J84" s="13">
        <f t="shared" si="35"/>
        <v>10.285</v>
      </c>
    </row>
    <row r="85" spans="2:10" x14ac:dyDescent="0.25">
      <c r="C85" t="s">
        <v>137</v>
      </c>
      <c r="D85" s="4">
        <v>1</v>
      </c>
      <c r="E85" s="13">
        <f t="shared" si="34"/>
        <v>4.95</v>
      </c>
      <c r="F85" s="48"/>
      <c r="G85" s="13">
        <f t="shared" ref="G85:J90" si="36">G$20/$D85</f>
        <v>4.95</v>
      </c>
      <c r="H85" s="13">
        <f t="shared" si="36"/>
        <v>4.95</v>
      </c>
      <c r="I85" s="13">
        <f t="shared" si="36"/>
        <v>4.95</v>
      </c>
      <c r="J85" s="13">
        <f t="shared" si="36"/>
        <v>5.1425000000000001</v>
      </c>
    </row>
    <row r="86" spans="2:10" x14ac:dyDescent="0.25">
      <c r="C86" t="s">
        <v>96</v>
      </c>
      <c r="D86" s="4">
        <v>2</v>
      </c>
      <c r="E86" s="13">
        <f t="shared" si="34"/>
        <v>2.4750000000000001</v>
      </c>
      <c r="F86" s="48"/>
      <c r="G86" s="13">
        <f t="shared" si="36"/>
        <v>2.4750000000000001</v>
      </c>
      <c r="H86" s="13">
        <f t="shared" si="36"/>
        <v>2.4750000000000001</v>
      </c>
      <c r="I86" s="13">
        <f t="shared" si="36"/>
        <v>2.4750000000000001</v>
      </c>
      <c r="J86" s="13">
        <f t="shared" si="36"/>
        <v>2.57125</v>
      </c>
    </row>
    <row r="87" spans="2:10" x14ac:dyDescent="0.25">
      <c r="C87" t="s">
        <v>138</v>
      </c>
      <c r="D87" s="4">
        <v>3</v>
      </c>
      <c r="E87" s="13">
        <f t="shared" si="34"/>
        <v>1.6500000000000001</v>
      </c>
      <c r="F87" s="48"/>
      <c r="G87" s="13">
        <f t="shared" si="36"/>
        <v>1.6500000000000001</v>
      </c>
      <c r="H87" s="13">
        <f t="shared" si="36"/>
        <v>1.6500000000000001</v>
      </c>
      <c r="I87" s="13">
        <f t="shared" si="36"/>
        <v>1.6500000000000001</v>
      </c>
      <c r="J87" s="13">
        <f t="shared" si="36"/>
        <v>1.7141666666666666</v>
      </c>
    </row>
    <row r="88" spans="2:10" x14ac:dyDescent="0.25">
      <c r="C88" t="s">
        <v>97</v>
      </c>
      <c r="D88" s="4">
        <v>4</v>
      </c>
      <c r="E88" s="13">
        <f t="shared" si="34"/>
        <v>1.2375</v>
      </c>
      <c r="F88" s="48"/>
      <c r="G88" s="13">
        <f t="shared" si="36"/>
        <v>1.2375</v>
      </c>
      <c r="H88" s="13">
        <f t="shared" si="36"/>
        <v>1.2375</v>
      </c>
      <c r="I88" s="13">
        <f t="shared" si="36"/>
        <v>1.2375</v>
      </c>
      <c r="J88" s="13">
        <f t="shared" si="36"/>
        <v>1.285625</v>
      </c>
    </row>
    <row r="89" spans="2:10" x14ac:dyDescent="0.25">
      <c r="C89" t="s">
        <v>139</v>
      </c>
      <c r="D89" s="4">
        <v>5</v>
      </c>
      <c r="E89" s="13">
        <f t="shared" si="34"/>
        <v>0.99</v>
      </c>
      <c r="F89" s="48"/>
      <c r="G89" s="13">
        <f t="shared" si="36"/>
        <v>0.99</v>
      </c>
      <c r="H89" s="13">
        <f t="shared" si="36"/>
        <v>0.99</v>
      </c>
      <c r="I89" s="13">
        <f t="shared" si="36"/>
        <v>0.99</v>
      </c>
      <c r="J89" s="13">
        <f t="shared" si="36"/>
        <v>1.0285</v>
      </c>
    </row>
    <row r="90" spans="2:10" x14ac:dyDescent="0.25">
      <c r="C90" t="s">
        <v>98</v>
      </c>
      <c r="D90" s="4">
        <v>6</v>
      </c>
      <c r="E90" s="13">
        <f t="shared" si="34"/>
        <v>0.82500000000000007</v>
      </c>
      <c r="F90" s="48"/>
      <c r="G90" s="13">
        <f t="shared" si="36"/>
        <v>0.82500000000000007</v>
      </c>
      <c r="H90" s="13">
        <f t="shared" si="36"/>
        <v>0.82500000000000007</v>
      </c>
      <c r="I90" s="13">
        <f t="shared" si="36"/>
        <v>0.82500000000000007</v>
      </c>
      <c r="J90" s="13">
        <f t="shared" si="36"/>
        <v>0.85708333333333331</v>
      </c>
    </row>
    <row r="91" spans="2:10" x14ac:dyDescent="0.25">
      <c r="G91"/>
      <c r="H91"/>
    </row>
    <row r="92" spans="2:10" x14ac:dyDescent="0.25">
      <c r="B92" t="s">
        <v>101</v>
      </c>
      <c r="C92" t="s">
        <v>102</v>
      </c>
      <c r="E92" s="7"/>
      <c r="F92" s="44"/>
      <c r="G92" s="7"/>
      <c r="H92" s="7"/>
      <c r="I92" s="44"/>
      <c r="J92" s="44"/>
    </row>
    <row r="93" spans="2:10" x14ac:dyDescent="0.25">
      <c r="C93" t="s">
        <v>140</v>
      </c>
      <c r="E93" s="7">
        <f t="shared" ref="E93:H99" si="37">E74+E84</f>
        <v>10.617528132748427</v>
      </c>
      <c r="F93" s="44"/>
      <c r="G93" s="7">
        <f t="shared" ref="G93" si="38">G74+G84</f>
        <v>10.617528132748427</v>
      </c>
      <c r="H93" s="7">
        <f t="shared" si="37"/>
        <v>10.617528132748427</v>
      </c>
      <c r="I93" s="7">
        <f t="shared" ref="I93:J93" si="39">I74+I84</f>
        <v>10.617528132748427</v>
      </c>
      <c r="J93" s="7">
        <f t="shared" si="39"/>
        <v>11.030432004577532</v>
      </c>
    </row>
    <row r="94" spans="2:10" x14ac:dyDescent="0.25">
      <c r="C94" t="s">
        <v>141</v>
      </c>
      <c r="E94" s="7">
        <f t="shared" si="37"/>
        <v>5.726791245096015</v>
      </c>
      <c r="F94" s="44"/>
      <c r="G94" s="7">
        <f t="shared" ref="G94" si="40">G75+G85</f>
        <v>5.726791245096015</v>
      </c>
      <c r="H94" s="7">
        <f t="shared" si="37"/>
        <v>5.726791245096015</v>
      </c>
      <c r="I94" s="7">
        <f t="shared" ref="I94:J94" si="41">I75+I85</f>
        <v>5.726791245096015</v>
      </c>
      <c r="J94" s="7">
        <f t="shared" si="41"/>
        <v>5.9494997935164156</v>
      </c>
    </row>
    <row r="95" spans="2:10" x14ac:dyDescent="0.25">
      <c r="C95" t="s">
        <v>103</v>
      </c>
      <c r="E95" s="7">
        <f t="shared" si="37"/>
        <v>3.4054971555775415</v>
      </c>
      <c r="F95" s="44"/>
      <c r="G95" s="7">
        <f t="shared" ref="G95" si="42">G76+G86</f>
        <v>3.4054971555775415</v>
      </c>
      <c r="H95" s="7">
        <f t="shared" si="37"/>
        <v>3.4054971555775415</v>
      </c>
      <c r="I95" s="7">
        <f t="shared" ref="I95:J95" si="43">I76+I86</f>
        <v>3.4054971555775415</v>
      </c>
      <c r="J95" s="7">
        <f t="shared" si="43"/>
        <v>3.5379331560722238</v>
      </c>
    </row>
    <row r="96" spans="2:10" x14ac:dyDescent="0.25">
      <c r="C96" t="s">
        <v>142</v>
      </c>
      <c r="E96" s="7">
        <f t="shared" si="37"/>
        <v>2.8100370027752084</v>
      </c>
      <c r="F96" s="44"/>
      <c r="G96" s="7">
        <f t="shared" ref="G96" si="44">G77+G87</f>
        <v>2.8100370027752084</v>
      </c>
      <c r="H96" s="7">
        <f t="shared" si="37"/>
        <v>2.8100370027752084</v>
      </c>
      <c r="I96" s="7">
        <f t="shared" ref="I96:J96" si="45">I77+I87</f>
        <v>2.8100370027752084</v>
      </c>
      <c r="J96" s="7">
        <f t="shared" si="45"/>
        <v>2.9193162195497995</v>
      </c>
    </row>
    <row r="97" spans="3:10" x14ac:dyDescent="0.25">
      <c r="C97" t="s">
        <v>104</v>
      </c>
      <c r="E97" s="7">
        <f t="shared" si="37"/>
        <v>2.7774099467867375</v>
      </c>
      <c r="F97" s="44"/>
      <c r="G97" s="7">
        <f t="shared" ref="G97" si="46">G78+G88</f>
        <v>2.7774099467867375</v>
      </c>
      <c r="H97" s="7">
        <f t="shared" si="37"/>
        <v>2.7774099467867375</v>
      </c>
      <c r="I97" s="7">
        <f t="shared" ref="I97:J97" si="47">I78+I88</f>
        <v>2.7774099467867375</v>
      </c>
      <c r="J97" s="7">
        <f t="shared" si="47"/>
        <v>2.8854203336062216</v>
      </c>
    </row>
    <row r="98" spans="3:10" x14ac:dyDescent="0.25">
      <c r="C98" t="s">
        <v>143</v>
      </c>
      <c r="E98" s="7">
        <f t="shared" si="37"/>
        <v>3.2797139379184426</v>
      </c>
      <c r="F98" s="44"/>
      <c r="G98" s="7">
        <f t="shared" ref="G98" si="48">G79+G89</f>
        <v>3.2797139379184426</v>
      </c>
      <c r="H98" s="7">
        <f t="shared" si="37"/>
        <v>3.2797139379184426</v>
      </c>
      <c r="I98" s="7">
        <f t="shared" ref="I98:J98" si="49">I79+I89</f>
        <v>3.2797139379184426</v>
      </c>
      <c r="J98" s="7">
        <f t="shared" si="49"/>
        <v>3.4072583688374927</v>
      </c>
    </row>
    <row r="99" spans="3:10" x14ac:dyDescent="0.25">
      <c r="C99" t="s">
        <v>105</v>
      </c>
      <c r="E99" s="7">
        <f t="shared" si="37"/>
        <v>5.2876334519572969</v>
      </c>
      <c r="F99" s="44"/>
      <c r="G99" s="7">
        <f t="shared" ref="G99" si="50">G80+G90</f>
        <v>5.2876334519572969</v>
      </c>
      <c r="H99" s="7">
        <f t="shared" si="37"/>
        <v>5.2876334519572969</v>
      </c>
      <c r="I99" s="7">
        <f t="shared" ref="I99:J99" si="51">I80+I90</f>
        <v>5.2876334519572969</v>
      </c>
      <c r="J99" s="7">
        <f t="shared" si="51"/>
        <v>5.493263641755636</v>
      </c>
    </row>
    <row r="100" spans="3:10" x14ac:dyDescent="0.25">
      <c r="G100"/>
      <c r="H100"/>
    </row>
    <row r="101" spans="3:10" x14ac:dyDescent="0.25">
      <c r="C101" t="s">
        <v>106</v>
      </c>
      <c r="E101" s="7"/>
      <c r="F101" s="44"/>
      <c r="G101" s="7"/>
      <c r="H101" s="7"/>
      <c r="I101" s="44"/>
      <c r="J101" s="44"/>
    </row>
    <row r="102" spans="3:10" x14ac:dyDescent="0.25">
      <c r="C102" t="s">
        <v>144</v>
      </c>
      <c r="E102" s="7">
        <f t="shared" ref="E102:H107" si="52">E74/E93</f>
        <v>6.7579583852036273E-2</v>
      </c>
      <c r="F102" s="44"/>
      <c r="G102" s="7">
        <f t="shared" ref="G102" si="53">G74/G93</f>
        <v>6.7579583852036273E-2</v>
      </c>
      <c r="H102" s="7">
        <f t="shared" si="52"/>
        <v>6.7579583852036273E-2</v>
      </c>
      <c r="I102" s="7">
        <f t="shared" ref="I102:J102" si="54">I74/I93</f>
        <v>6.7579583852036273E-2</v>
      </c>
      <c r="J102" s="7">
        <f t="shared" si="54"/>
        <v>6.7579583852036273E-2</v>
      </c>
    </row>
    <row r="103" spans="3:10" x14ac:dyDescent="0.25">
      <c r="C103" t="s">
        <v>145</v>
      </c>
      <c r="E103" s="7">
        <f t="shared" si="52"/>
        <v>0.13564162056041407</v>
      </c>
      <c r="F103" s="44"/>
      <c r="G103" s="7">
        <f t="shared" ref="G103" si="55">G75/G94</f>
        <v>0.13564162056041407</v>
      </c>
      <c r="H103" s="7">
        <f t="shared" si="52"/>
        <v>0.13564162056041407</v>
      </c>
      <c r="I103" s="7">
        <f t="shared" ref="I103:J103" si="56">I75/I94</f>
        <v>0.13564162056041407</v>
      </c>
      <c r="J103" s="7">
        <f t="shared" si="56"/>
        <v>0.13564162056041407</v>
      </c>
    </row>
    <row r="104" spans="3:10" x14ac:dyDescent="0.25">
      <c r="C104" t="s">
        <v>107</v>
      </c>
      <c r="E104" s="7">
        <f t="shared" si="52"/>
        <v>0.27323386661873095</v>
      </c>
      <c r="F104" s="44"/>
      <c r="G104" s="7">
        <f t="shared" ref="G104" si="57">G76/G95</f>
        <v>0.27323386661873095</v>
      </c>
      <c r="H104" s="7">
        <f t="shared" si="52"/>
        <v>0.27323386661873095</v>
      </c>
      <c r="I104" s="7">
        <f t="shared" ref="I104:J104" si="58">I76/I95</f>
        <v>0.27323386661873095</v>
      </c>
      <c r="J104" s="7">
        <f t="shared" si="58"/>
        <v>0.27323386661873095</v>
      </c>
    </row>
    <row r="105" spans="3:10" x14ac:dyDescent="0.25">
      <c r="C105" t="s">
        <v>146</v>
      </c>
      <c r="E105" s="7">
        <f t="shared" si="52"/>
        <v>0.41281912004345467</v>
      </c>
      <c r="F105" s="44"/>
      <c r="G105" s="7">
        <f t="shared" ref="G105" si="59">G77/G96</f>
        <v>0.41281912004345467</v>
      </c>
      <c r="H105" s="7">
        <f t="shared" si="52"/>
        <v>0.41281912004345467</v>
      </c>
      <c r="I105" s="7">
        <f t="shared" ref="I105:J105" si="60">I77/I96</f>
        <v>0.41281912004345467</v>
      </c>
      <c r="J105" s="7">
        <f t="shared" si="60"/>
        <v>0.41281912004345467</v>
      </c>
    </row>
    <row r="106" spans="3:10" x14ac:dyDescent="0.25">
      <c r="C106" t="s">
        <v>108</v>
      </c>
      <c r="D106" s="20"/>
      <c r="E106" s="7">
        <f t="shared" si="52"/>
        <v>0.5544409994528543</v>
      </c>
      <c r="F106" s="44"/>
      <c r="G106" s="7">
        <f t="shared" ref="G106" si="61">G78/G97</f>
        <v>0.5544409994528543</v>
      </c>
      <c r="H106" s="7">
        <f t="shared" si="52"/>
        <v>0.5544409994528543</v>
      </c>
      <c r="I106" s="7">
        <f t="shared" ref="I106:J106" si="62">I78/I97</f>
        <v>0.5544409994528543</v>
      </c>
      <c r="J106" s="7">
        <f t="shared" si="62"/>
        <v>0.5544409994528543</v>
      </c>
    </row>
    <row r="107" spans="3:10" x14ac:dyDescent="0.25">
      <c r="C107" t="s">
        <v>147</v>
      </c>
      <c r="D107" s="20"/>
      <c r="E107" s="7">
        <f t="shared" si="52"/>
        <v>0.69814440565864411</v>
      </c>
      <c r="F107" s="44"/>
      <c r="G107" s="7">
        <f t="shared" ref="G107" si="63">G79/G98</f>
        <v>0.69814440565864411</v>
      </c>
      <c r="H107" s="7">
        <f t="shared" si="52"/>
        <v>0.69814440565864411</v>
      </c>
      <c r="I107" s="7">
        <f t="shared" ref="I107:J107" si="64">I79/I98</f>
        <v>0.69814440565864411</v>
      </c>
      <c r="J107" s="7">
        <f t="shared" si="64"/>
        <v>0.69814440565864422</v>
      </c>
    </row>
    <row r="108" spans="3:10" x14ac:dyDescent="0.25">
      <c r="C108" t="s">
        <v>109</v>
      </c>
      <c r="D108" s="20"/>
      <c r="E108" s="7">
        <f>E80/E99</f>
        <v>0.8439755691282621</v>
      </c>
      <c r="F108" s="44"/>
      <c r="G108" s="7">
        <f>G80/G99</f>
        <v>0.8439755691282621</v>
      </c>
      <c r="H108" s="7">
        <f>H80/H99</f>
        <v>0.8439755691282621</v>
      </c>
      <c r="I108" s="7">
        <f t="shared" ref="I108:J108" si="65">I80/I99</f>
        <v>0.8439755691282621</v>
      </c>
      <c r="J108" s="7">
        <f t="shared" si="65"/>
        <v>0.8439755691282621</v>
      </c>
    </row>
    <row r="109" spans="3:10" x14ac:dyDescent="0.25">
      <c r="D109" s="20"/>
      <c r="E109" s="7"/>
      <c r="F109" s="44"/>
      <c r="G109" s="7"/>
      <c r="H109" s="7"/>
      <c r="I109" s="44"/>
      <c r="J109" s="44"/>
    </row>
    <row r="110" spans="3:10" x14ac:dyDescent="0.25">
      <c r="D110" s="20"/>
      <c r="G110"/>
      <c r="H110"/>
    </row>
    <row r="111" spans="3:10" x14ac:dyDescent="0.25">
      <c r="C111" s="14" t="s">
        <v>112</v>
      </c>
      <c r="D111" s="14">
        <v>0</v>
      </c>
      <c r="E111" s="15"/>
      <c r="F111" s="44"/>
      <c r="G111" s="44"/>
      <c r="H111" s="44"/>
      <c r="I111" s="44"/>
      <c r="J111" s="44"/>
    </row>
    <row r="112" spans="3:10" x14ac:dyDescent="0.25">
      <c r="C112" s="23" t="s">
        <v>148</v>
      </c>
      <c r="D112" s="23">
        <v>0.5</v>
      </c>
      <c r="E112" s="24">
        <f t="shared" ref="E112:E117" si="66">Engine_spec_d_life__h/Hours_in_a_year__h/E102</f>
        <v>33.783946166786833</v>
      </c>
      <c r="F112" s="44"/>
      <c r="G112" s="44">
        <f t="shared" ref="G112" si="67">G$26/Hours_in_a_year__h/G102</f>
        <v>25.337959625090125</v>
      </c>
      <c r="H112" s="44">
        <f t="shared" ref="H112:J118" si="68">H$26/Hours_in_a_year__h/H102</f>
        <v>25.337959625090125</v>
      </c>
      <c r="I112" s="44">
        <f t="shared" si="68"/>
        <v>33.783946166786833</v>
      </c>
      <c r="J112" s="44">
        <f t="shared" si="68"/>
        <v>42.229932708483538</v>
      </c>
    </row>
    <row r="113" spans="3:10" x14ac:dyDescent="0.25">
      <c r="C113" s="23" t="s">
        <v>149</v>
      </c>
      <c r="D113" s="23">
        <v>1</v>
      </c>
      <c r="E113" s="24">
        <f t="shared" si="66"/>
        <v>16.831891372266284</v>
      </c>
      <c r="F113" s="44"/>
      <c r="G113" s="44">
        <f t="shared" ref="G113" si="69">G$26/Hours_in_a_year__h/G103</f>
        <v>12.623918529199711</v>
      </c>
      <c r="H113" s="44">
        <f t="shared" si="68"/>
        <v>12.623918529199711</v>
      </c>
      <c r="I113" s="44">
        <f t="shared" si="68"/>
        <v>16.831891372266284</v>
      </c>
      <c r="J113" s="44">
        <f t="shared" si="68"/>
        <v>21.039864215332852</v>
      </c>
    </row>
    <row r="114" spans="3:10" x14ac:dyDescent="0.25">
      <c r="C114" s="14" t="s">
        <v>113</v>
      </c>
      <c r="D114" s="14">
        <v>2</v>
      </c>
      <c r="E114" s="15">
        <f t="shared" si="66"/>
        <v>8.3558639750060077</v>
      </c>
      <c r="F114" s="44"/>
      <c r="G114" s="44">
        <f t="shared" ref="G114" si="70">G$26/Hours_in_a_year__h/G104</f>
        <v>6.2668979812545045</v>
      </c>
      <c r="H114" s="44">
        <f t="shared" si="68"/>
        <v>6.2668979812545045</v>
      </c>
      <c r="I114" s="44">
        <f t="shared" si="68"/>
        <v>8.3558639750060077</v>
      </c>
      <c r="J114" s="44">
        <f t="shared" si="68"/>
        <v>10.444829968757508</v>
      </c>
    </row>
    <row r="115" spans="3:10" x14ac:dyDescent="0.25">
      <c r="C115" s="14" t="s">
        <v>150</v>
      </c>
      <c r="D115" s="14">
        <v>3</v>
      </c>
      <c r="E115" s="15">
        <f t="shared" si="66"/>
        <v>5.5305215092525835</v>
      </c>
      <c r="F115" s="44"/>
      <c r="G115" s="44">
        <f t="shared" ref="G115" si="71">G$26/Hours_in_a_year__h/G105</f>
        <v>4.1478911319394376</v>
      </c>
      <c r="H115" s="44">
        <f t="shared" si="68"/>
        <v>4.1478911319394376</v>
      </c>
      <c r="I115" s="44">
        <f t="shared" si="68"/>
        <v>5.5305215092525835</v>
      </c>
      <c r="J115" s="44">
        <f t="shared" si="68"/>
        <v>6.9131518865657293</v>
      </c>
    </row>
    <row r="116" spans="3:10" x14ac:dyDescent="0.25">
      <c r="C116" s="14" t="s">
        <v>114</v>
      </c>
      <c r="D116" s="14">
        <v>4</v>
      </c>
      <c r="E116" s="15">
        <f t="shared" si="66"/>
        <v>4.1178502763758713</v>
      </c>
      <c r="F116" s="44"/>
      <c r="G116" s="44">
        <f t="shared" ref="G116" si="72">G$26/Hours_in_a_year__h/G106</f>
        <v>3.0883877072819033</v>
      </c>
      <c r="H116" s="44">
        <f t="shared" si="68"/>
        <v>3.0883877072819033</v>
      </c>
      <c r="I116" s="44">
        <f t="shared" si="68"/>
        <v>4.1178502763758713</v>
      </c>
      <c r="J116" s="44">
        <f t="shared" si="68"/>
        <v>5.1473128454698385</v>
      </c>
    </row>
    <row r="117" spans="3:10" x14ac:dyDescent="0.25">
      <c r="C117" s="14" t="s">
        <v>151</v>
      </c>
      <c r="D117" s="14">
        <v>5</v>
      </c>
      <c r="E117" s="15">
        <f t="shared" si="66"/>
        <v>3.270247536649844</v>
      </c>
      <c r="F117" s="44"/>
      <c r="G117" s="44">
        <f t="shared" ref="G117" si="73">G$26/Hours_in_a_year__h/G107</f>
        <v>2.452685652487383</v>
      </c>
      <c r="H117" s="44">
        <f t="shared" si="68"/>
        <v>2.452685652487383</v>
      </c>
      <c r="I117" s="44">
        <f t="shared" si="68"/>
        <v>3.270247536649844</v>
      </c>
      <c r="J117" s="44">
        <f t="shared" si="68"/>
        <v>4.0878094208123041</v>
      </c>
    </row>
    <row r="118" spans="3:10" x14ac:dyDescent="0.25">
      <c r="C118" s="14" t="s">
        <v>115</v>
      </c>
      <c r="D118" s="14">
        <v>6</v>
      </c>
      <c r="E118" s="15">
        <f>Engine_spec_d_life__h/Hours_in_a_year__h/E108</f>
        <v>2.7051790434991587</v>
      </c>
      <c r="F118" s="44"/>
      <c r="G118" s="44">
        <f t="shared" ref="G118" si="74">G$26/Hours_in_a_year__h/G108</f>
        <v>2.0288842826243689</v>
      </c>
      <c r="H118" s="44">
        <f t="shared" si="68"/>
        <v>2.0288842826243689</v>
      </c>
      <c r="I118" s="44">
        <f t="shared" si="68"/>
        <v>2.7051790434991587</v>
      </c>
      <c r="J118" s="44">
        <f t="shared" si="68"/>
        <v>3.3814738043739485</v>
      </c>
    </row>
    <row r="119" spans="3:10" x14ac:dyDescent="0.25">
      <c r="C119" s="14"/>
      <c r="D119" s="14"/>
      <c r="E119" s="14"/>
    </row>
    <row r="120" spans="3:10" x14ac:dyDescent="0.25">
      <c r="C120" s="14" t="s">
        <v>118</v>
      </c>
      <c r="D120" s="14">
        <v>0</v>
      </c>
      <c r="E120" s="16"/>
      <c r="F120" s="40"/>
      <c r="G120" s="40"/>
      <c r="H120" s="40"/>
      <c r="I120" s="40"/>
      <c r="J120" s="40"/>
    </row>
    <row r="121" spans="3:10" x14ac:dyDescent="0.25">
      <c r="C121" s="23" t="s">
        <v>152</v>
      </c>
      <c r="D121" s="23">
        <v>0.5</v>
      </c>
      <c r="E121" s="24">
        <f t="shared" ref="E121:E126" si="75">Batt_Cycles_50__DOD__guesstimated/(Hours_in_a_year__h/E93)</f>
        <v>12.120465904963957</v>
      </c>
      <c r="F121" s="44"/>
      <c r="G121" s="44">
        <f t="shared" ref="G121" si="76">G$23/(Hours_in_a_year__h/G93)</f>
        <v>3.6361397714891872</v>
      </c>
      <c r="H121" s="44">
        <f t="shared" ref="H121:J127" si="77">H$23/(Hours_in_a_year__h/H93)</f>
        <v>9.090349428722968</v>
      </c>
      <c r="I121" s="44">
        <f t="shared" si="77"/>
        <v>12.120465904963957</v>
      </c>
      <c r="J121" s="44">
        <f t="shared" si="77"/>
        <v>18.887726035235506</v>
      </c>
    </row>
    <row r="122" spans="3:10" x14ac:dyDescent="0.25">
      <c r="C122" s="23" t="s">
        <v>153</v>
      </c>
      <c r="D122" s="23">
        <v>1</v>
      </c>
      <c r="E122" s="24">
        <f t="shared" si="75"/>
        <v>6.537432928191798</v>
      </c>
      <c r="F122" s="44"/>
      <c r="G122" s="44">
        <f t="shared" ref="G122" si="78">G$23/(Hours_in_a_year__h/G94)</f>
        <v>1.9612298784575395</v>
      </c>
      <c r="H122" s="44">
        <f t="shared" si="77"/>
        <v>4.9030746961438485</v>
      </c>
      <c r="I122" s="44">
        <f t="shared" si="77"/>
        <v>6.537432928191798</v>
      </c>
      <c r="J122" s="44">
        <f t="shared" si="77"/>
        <v>10.187499646432221</v>
      </c>
    </row>
    <row r="123" spans="3:10" x14ac:dyDescent="0.25">
      <c r="C123" s="14" t="s">
        <v>119</v>
      </c>
      <c r="D123" s="14">
        <v>2</v>
      </c>
      <c r="E123" s="15">
        <f t="shared" si="75"/>
        <v>3.8875538305679695</v>
      </c>
      <c r="F123" s="44"/>
      <c r="G123" s="44">
        <f t="shared" ref="G123" si="79">G$23/(Hours_in_a_year__h/G95)</f>
        <v>1.166266149170391</v>
      </c>
      <c r="H123" s="44">
        <f t="shared" si="77"/>
        <v>2.9156653729259774</v>
      </c>
      <c r="I123" s="44">
        <f t="shared" si="77"/>
        <v>3.8875538305679695</v>
      </c>
      <c r="J123" s="44">
        <f t="shared" si="77"/>
        <v>6.0581047193017543</v>
      </c>
    </row>
    <row r="124" spans="3:10" x14ac:dyDescent="0.25">
      <c r="C124" s="14" t="s">
        <v>154</v>
      </c>
      <c r="D124" s="14">
        <v>3</v>
      </c>
      <c r="E124" s="15">
        <f t="shared" si="75"/>
        <v>3.2078047976885942</v>
      </c>
      <c r="F124" s="44"/>
      <c r="G124" s="44">
        <f t="shared" ref="G124" si="80">G$23/(Hours_in_a_year__h/G96)</f>
        <v>0.96234143930657823</v>
      </c>
      <c r="H124" s="44">
        <f t="shared" si="77"/>
        <v>2.4058535982664453</v>
      </c>
      <c r="I124" s="44">
        <f t="shared" si="77"/>
        <v>3.2078047976885942</v>
      </c>
      <c r="J124" s="44">
        <f t="shared" si="77"/>
        <v>4.998829143064726</v>
      </c>
    </row>
    <row r="125" spans="3:10" x14ac:dyDescent="0.25">
      <c r="C125" s="14" t="s">
        <v>120</v>
      </c>
      <c r="D125" s="14">
        <v>4</v>
      </c>
      <c r="E125" s="15">
        <f t="shared" si="75"/>
        <v>3.17055929998486</v>
      </c>
      <c r="F125" s="44"/>
      <c r="G125" s="44">
        <f t="shared" ref="G125" si="81">G$23/(Hours_in_a_year__h/G97)</f>
        <v>0.95116778999545804</v>
      </c>
      <c r="H125" s="44">
        <f t="shared" si="77"/>
        <v>2.3779194749886452</v>
      </c>
      <c r="I125" s="44">
        <f t="shared" si="77"/>
        <v>3.17055929998486</v>
      </c>
      <c r="J125" s="44">
        <f t="shared" si="77"/>
        <v>4.9407882424764082</v>
      </c>
    </row>
    <row r="126" spans="3:10" x14ac:dyDescent="0.25">
      <c r="C126" s="14" t="s">
        <v>155</v>
      </c>
      <c r="D126" s="14">
        <v>5</v>
      </c>
      <c r="E126" s="15">
        <f t="shared" si="75"/>
        <v>3.7439656825552996</v>
      </c>
      <c r="F126" s="44"/>
      <c r="G126" s="44">
        <f t="shared" ref="G126" si="82">G$23/(Hours_in_a_year__h/G98)</f>
        <v>1.1231897047665897</v>
      </c>
      <c r="H126" s="44">
        <f t="shared" si="77"/>
        <v>2.8079742619164745</v>
      </c>
      <c r="I126" s="44">
        <f t="shared" si="77"/>
        <v>3.7439656825552996</v>
      </c>
      <c r="J126" s="44">
        <f t="shared" si="77"/>
        <v>5.8343465219820096</v>
      </c>
    </row>
    <row r="127" spans="3:10" x14ac:dyDescent="0.25">
      <c r="C127" s="14" t="s">
        <v>121</v>
      </c>
      <c r="D127" s="14">
        <v>6</v>
      </c>
      <c r="E127" s="15">
        <f>Batt_Cycles_50__DOD__guesstimated/(Hours_in_a_year__h/E99)</f>
        <v>6.0361112465265947</v>
      </c>
      <c r="F127" s="44"/>
      <c r="G127" s="44">
        <f t="shared" ref="G127" si="83">G$23/(Hours_in_a_year__h/G99)</f>
        <v>1.8108333739579783</v>
      </c>
      <c r="H127" s="44">
        <f t="shared" si="77"/>
        <v>4.527083434894946</v>
      </c>
      <c r="I127" s="44">
        <f t="shared" si="77"/>
        <v>6.0361112465265947</v>
      </c>
      <c r="J127" s="44">
        <f t="shared" si="77"/>
        <v>9.406273359170612</v>
      </c>
    </row>
    <row r="129" spans="3:10" x14ac:dyDescent="0.25">
      <c r="C129" t="s">
        <v>123</v>
      </c>
      <c r="D129" s="20">
        <v>0</v>
      </c>
      <c r="E129" s="4"/>
      <c r="F129" s="40"/>
      <c r="G129" s="40"/>
      <c r="H129" s="40"/>
      <c r="I129" s="40"/>
      <c r="J129" s="40"/>
    </row>
    <row r="130" spans="3:10" x14ac:dyDescent="0.25">
      <c r="C130" s="23" t="s">
        <v>156</v>
      </c>
      <c r="D130" s="23">
        <v>0.5</v>
      </c>
      <c r="E130" s="24">
        <f t="shared" ref="E130:E135" si="84">(Engine_service_interval__h/E102)/24</f>
        <v>616.55701754385973</v>
      </c>
      <c r="F130" s="44"/>
      <c r="G130" s="44">
        <f>(G$28/G102)/24</f>
        <v>616.55701754385973</v>
      </c>
      <c r="H130" s="44">
        <f>(H$28/H102)/24</f>
        <v>616.55701754385973</v>
      </c>
      <c r="I130" s="44">
        <f t="shared" ref="I130:J130" si="85">(I$28/I102)/24</f>
        <v>616.55701754385973</v>
      </c>
      <c r="J130" s="44">
        <f t="shared" si="85"/>
        <v>616.55701754385973</v>
      </c>
    </row>
    <row r="131" spans="3:10" x14ac:dyDescent="0.25">
      <c r="C131" s="23" t="s">
        <v>157</v>
      </c>
      <c r="D131" s="23">
        <v>1</v>
      </c>
      <c r="E131" s="24">
        <f t="shared" si="84"/>
        <v>307.18201754385967</v>
      </c>
      <c r="F131" s="44"/>
      <c r="G131" s="44">
        <f t="shared" ref="G131" si="86">(G$28/G103)/24</f>
        <v>307.18201754385967</v>
      </c>
      <c r="H131" s="44">
        <f t="shared" ref="H131:J136" si="87">(H$28/H103)/24</f>
        <v>307.18201754385967</v>
      </c>
      <c r="I131" s="44">
        <f t="shared" si="87"/>
        <v>307.18201754385967</v>
      </c>
      <c r="J131" s="44">
        <f t="shared" si="87"/>
        <v>307.18201754385967</v>
      </c>
    </row>
    <row r="132" spans="3:10" x14ac:dyDescent="0.25">
      <c r="C132" t="s">
        <v>124</v>
      </c>
      <c r="D132" s="20">
        <v>2</v>
      </c>
      <c r="E132" s="7">
        <f t="shared" si="84"/>
        <v>152.49451754385962</v>
      </c>
      <c r="F132" s="44"/>
      <c r="G132" s="44">
        <f t="shared" ref="G132" si="88">(G$28/G104)/24</f>
        <v>152.49451754385962</v>
      </c>
      <c r="H132" s="44">
        <f t="shared" si="87"/>
        <v>152.49451754385962</v>
      </c>
      <c r="I132" s="44">
        <f t="shared" si="87"/>
        <v>152.49451754385962</v>
      </c>
      <c r="J132" s="44">
        <f t="shared" si="87"/>
        <v>152.49451754385962</v>
      </c>
    </row>
    <row r="133" spans="3:10" x14ac:dyDescent="0.25">
      <c r="C133" t="s">
        <v>158</v>
      </c>
      <c r="D133" s="20">
        <v>3</v>
      </c>
      <c r="E133" s="7">
        <f t="shared" si="84"/>
        <v>100.93201754385963</v>
      </c>
      <c r="F133" s="44"/>
      <c r="G133" s="44">
        <f t="shared" ref="G133" si="89">(G$28/G105)/24</f>
        <v>100.93201754385963</v>
      </c>
      <c r="H133" s="44">
        <f t="shared" si="87"/>
        <v>100.93201754385963</v>
      </c>
      <c r="I133" s="44">
        <f t="shared" si="87"/>
        <v>100.93201754385963</v>
      </c>
      <c r="J133" s="44">
        <f t="shared" si="87"/>
        <v>100.93201754385963</v>
      </c>
    </row>
    <row r="134" spans="3:10" x14ac:dyDescent="0.25">
      <c r="C134" t="s">
        <v>125</v>
      </c>
      <c r="D134" s="20">
        <v>4</v>
      </c>
      <c r="E134" s="7">
        <f t="shared" si="84"/>
        <v>75.150767543859644</v>
      </c>
      <c r="F134" s="44"/>
      <c r="G134" s="44">
        <f t="shared" ref="G134" si="90">(G$28/G106)/24</f>
        <v>75.150767543859644</v>
      </c>
      <c r="H134" s="44">
        <f t="shared" si="87"/>
        <v>75.150767543859644</v>
      </c>
      <c r="I134" s="44">
        <f t="shared" si="87"/>
        <v>75.150767543859644</v>
      </c>
      <c r="J134" s="44">
        <f t="shared" si="87"/>
        <v>75.150767543859644</v>
      </c>
    </row>
    <row r="135" spans="3:10" x14ac:dyDescent="0.25">
      <c r="C135" t="s">
        <v>159</v>
      </c>
      <c r="D135" s="20">
        <v>5</v>
      </c>
      <c r="E135" s="7">
        <f t="shared" si="84"/>
        <v>59.682017543859651</v>
      </c>
      <c r="F135" s="44"/>
      <c r="G135" s="44">
        <f t="shared" ref="G135" si="91">(G$28/G107)/24</f>
        <v>59.682017543859651</v>
      </c>
      <c r="H135" s="44">
        <f t="shared" si="87"/>
        <v>59.682017543859651</v>
      </c>
      <c r="I135" s="44">
        <f t="shared" si="87"/>
        <v>59.682017543859651</v>
      </c>
      <c r="J135" s="44">
        <f t="shared" si="87"/>
        <v>59.682017543859644</v>
      </c>
    </row>
    <row r="136" spans="3:10" x14ac:dyDescent="0.25">
      <c r="C136" t="s">
        <v>126</v>
      </c>
      <c r="D136" s="20">
        <v>6</v>
      </c>
      <c r="E136" s="7">
        <f>(Engine_service_interval__h/E108)/24</f>
        <v>49.369517543859644</v>
      </c>
      <c r="F136" s="44"/>
      <c r="G136" s="44">
        <f t="shared" ref="G136" si="92">(G$28/G108)/24</f>
        <v>49.369517543859644</v>
      </c>
      <c r="H136" s="44">
        <f t="shared" si="87"/>
        <v>49.369517543859644</v>
      </c>
      <c r="I136" s="44">
        <f t="shared" si="87"/>
        <v>49.369517543859644</v>
      </c>
      <c r="J136" s="44">
        <f t="shared" si="87"/>
        <v>49.369517543859644</v>
      </c>
    </row>
  </sheetData>
  <printOptions horizontalCentered="1" verticalCentered="1" gridLines="1"/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63</vt:i4>
      </vt:variant>
    </vt:vector>
  </HeadingPairs>
  <TitlesOfParts>
    <vt:vector size="66" baseType="lpstr">
      <vt:lpstr>Beckett Battery Modules</vt:lpstr>
      <vt:lpstr>Hygen Use Models</vt:lpstr>
      <vt:lpstr>5 year life projections</vt:lpstr>
      <vt:lpstr>AC_accessory_load__kW</vt:lpstr>
      <vt:lpstr>Alternator_max_output__calculated___kW</vt:lpstr>
      <vt:lpstr>Alternator_power_efficiency</vt:lpstr>
      <vt:lpstr>'5 year life projections'!Avg_bank_energy_over_lifetime</vt:lpstr>
      <vt:lpstr>Avg_bank_energy_over_lifetime</vt:lpstr>
      <vt:lpstr>'5 year life projections'!Batt_bank_energy__kWh</vt:lpstr>
      <vt:lpstr>Batt_bank_energy__kWh</vt:lpstr>
      <vt:lpstr>'5 year life projections'!Batt_Cycles_50__DOD__guesstimated</vt:lpstr>
      <vt:lpstr>Batt_Cycles_50__DOD__guesstimated</vt:lpstr>
      <vt:lpstr>'5 year life projections'!Batt_Cycles_80__DOD</vt:lpstr>
      <vt:lpstr>Batt_Cycles_80__DOD</vt:lpstr>
      <vt:lpstr>'5 year life projections'!Batt_end_of_life_definition__capacity_degradation</vt:lpstr>
      <vt:lpstr>Batt_end_of_life_definition__capacity_degradation</vt:lpstr>
      <vt:lpstr>'5 year life projections'!Beckett_module_nominal_energy__kWh</vt:lpstr>
      <vt:lpstr>Beckett_module_nominal_energy__kWh</vt:lpstr>
      <vt:lpstr>'5 year life projections'!Cycle_energy__kWh</vt:lpstr>
      <vt:lpstr>Cycle_energy__kWh</vt:lpstr>
      <vt:lpstr>DC___DC_converter_power_efficiency</vt:lpstr>
      <vt:lpstr>'5 year life projections'!Depth_of_Discharge</vt:lpstr>
      <vt:lpstr>Depth_of_Discharge</vt:lpstr>
      <vt:lpstr>'5 year life projections'!Diesel_cost____l</vt:lpstr>
      <vt:lpstr>Diesel_cost____l</vt:lpstr>
      <vt:lpstr>Engine_efficiency__after_fan__alternator__etc.</vt:lpstr>
      <vt:lpstr>Engine_gross_intermittent_power__kW</vt:lpstr>
      <vt:lpstr>Engine_max_net_weighted_power__kW</vt:lpstr>
      <vt:lpstr>Engine_net_intermittent_power__kW</vt:lpstr>
      <vt:lpstr>'5 year life projections'!Engine_service_interval__h</vt:lpstr>
      <vt:lpstr>Engine_service_interval__h</vt:lpstr>
      <vt:lpstr>'5 year life projections'!Engine_spec_d_life__h</vt:lpstr>
      <vt:lpstr>Engine_spec_d_life__h</vt:lpstr>
      <vt:lpstr>Estimated_AC_inverter_efficiency</vt:lpstr>
      <vt:lpstr>Format_Parallel</vt:lpstr>
      <vt:lpstr>Format_Parallel_Stack</vt:lpstr>
      <vt:lpstr>Format_Series</vt:lpstr>
      <vt:lpstr>Format_Series_Stack</vt:lpstr>
      <vt:lpstr>'5 year life projections'!Fuel_Tank_Capacity__l</vt:lpstr>
      <vt:lpstr>Fuel_Tank_Capacity__l</vt:lpstr>
      <vt:lpstr>'5 year life projections'!Hours_in_a_year__h</vt:lpstr>
      <vt:lpstr>Hours_in_a_year__h</vt:lpstr>
      <vt:lpstr>Max_charge_rate</vt:lpstr>
      <vt:lpstr>Max_discharge_rate</vt:lpstr>
      <vt:lpstr>Max_rated_DC_power_output__kW</vt:lpstr>
      <vt:lpstr>Max_rated_tower_load__kW</vt:lpstr>
      <vt:lpstr>Maximum_engine_load_factor</vt:lpstr>
      <vt:lpstr>Nominal_Capacity</vt:lpstr>
      <vt:lpstr>Nominal_Capacity_Module</vt:lpstr>
      <vt:lpstr>Nominal_Energy</vt:lpstr>
      <vt:lpstr>Nominal_Energy_Module</vt:lpstr>
      <vt:lpstr>Nominal_Voltage</vt:lpstr>
      <vt:lpstr>NovaTorque_max_power__kW</vt:lpstr>
      <vt:lpstr>'5 year life projections'!Print_Area</vt:lpstr>
      <vt:lpstr>'Hygen Use Models'!Print_Area</vt:lpstr>
      <vt:lpstr>Rectifier_max_output__kW</vt:lpstr>
      <vt:lpstr>Rectifier_power_efficiency</vt:lpstr>
      <vt:lpstr>'5 year life projections'!SFC__l_kWh</vt:lpstr>
      <vt:lpstr>SFC__l_kWh</vt:lpstr>
      <vt:lpstr>Spec_d_AC_max_accessory_load__kW</vt:lpstr>
      <vt:lpstr>'5 year life projections'!Stack_height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2016-05-06T22:30:12Z</cp:lastPrinted>
  <dcterms:created xsi:type="dcterms:W3CDTF">2016-02-24T21:15:18Z</dcterms:created>
  <dcterms:modified xsi:type="dcterms:W3CDTF">2016-05-12T00:40:39Z</dcterms:modified>
</cp:coreProperties>
</file>